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3"/>
  <workbookPr/>
  <mc:AlternateContent xmlns:mc="http://schemas.openxmlformats.org/markup-compatibility/2006">
    <mc:Choice Requires="x15">
      <x15ac:absPath xmlns:x15ac="http://schemas.microsoft.com/office/spreadsheetml/2010/11/ac" url="C:\Users\a0491884\Documents\812\Collateral\"/>
    </mc:Choice>
  </mc:AlternateContent>
  <xr:revisionPtr revIDLastSave="0" documentId="13_ncr:1_{F3F01DEB-3077-468F-81BE-C903431DDC56}" xr6:coauthVersionLast="36" xr6:coauthVersionMax="36" xr10:uidLastSave="{00000000-0000-0000-0000-000000000000}"/>
  <bookViews>
    <workbookView xWindow="0" yWindow="645" windowWidth="12480" windowHeight="7575" tabRatio="782" xr2:uid="{00000000-000D-0000-FFFF-FFFF00000000}"/>
  </bookViews>
  <sheets>
    <sheet name="DP83TC813 Pin Wise Checklist" sheetId="2" r:id="rId1"/>
    <sheet name="Strap Tool" sheetId="11" r:id="rId2"/>
    <sheet name="Layout Checklist" sheetId="12" r:id="rId3"/>
    <sheet name="Pictures" sheetId="13" state="hidden" r:id="rId4"/>
  </sheets>
  <definedNames>
    <definedName name="_xlnm._FilterDatabase" localSheetId="0" hidden="1">'DP83TC813 Pin Wise Checklist'!$C$4:$H$8</definedName>
    <definedName name="_xlnm._FilterDatabase" localSheetId="1" hidden="1">'Strap Tool'!$B$4:$I$9</definedName>
    <definedName name="Pics">INDEX(Pictures!$B$1:$B$3, MATCH('DP83TC813 Pin Wise Checklist'!$A$12:$B$13,Pictures!$A$1:$A$3,0))</definedName>
    <definedName name="Pics2">INDEX(Pictures!$B$6:$B$9, MATCH('DP83TC813 Pin Wise Checklist'!$A$12:$B$13,Pictures!$A$6:$A$9,0))</definedName>
    <definedName name="Pics3">INDEX(Pictures!$B$10:$B$14, MATCH('DP83TC813 Pin Wise Checklist'!$A$27:$B$40,Pictures!$A$10:$A$14,0))</definedName>
    <definedName name="Pics4">INDEX(Pictures!$B$15:$B$16, MATCH('DP83TC813 Pin Wise Checklist'!$D$8,Pictures!$A$15:$A$16,0))</definedName>
  </definedNames>
  <calcPr calcId="191029"/>
</workbook>
</file>

<file path=xl/calcChain.xml><?xml version="1.0" encoding="utf-8"?>
<calcChain xmlns="http://schemas.openxmlformats.org/spreadsheetml/2006/main">
  <c r="F12" i="2" l="1"/>
  <c r="F38" i="2" l="1"/>
  <c r="F33" i="2" l="1"/>
  <c r="F13" i="2" l="1"/>
  <c r="B5" i="12" l="1"/>
  <c r="B6" i="12" s="1"/>
  <c r="B7" i="12" s="1"/>
  <c r="B8" i="12" s="1"/>
  <c r="B9" i="12" s="1"/>
  <c r="B10" i="12" s="1"/>
  <c r="B11" i="12" s="1"/>
  <c r="B12" i="12" s="1"/>
  <c r="B14" i="12" s="1"/>
  <c r="B15" i="12" s="1"/>
  <c r="B16" i="12" s="1"/>
  <c r="B17" i="12" s="1"/>
  <c r="B18" i="12" s="1"/>
  <c r="B19" i="12" s="1"/>
  <c r="B21" i="12" s="1"/>
  <c r="B22" i="12" s="1"/>
  <c r="B23" i="12" s="1"/>
  <c r="B24" i="12" s="1"/>
  <c r="B26" i="12" s="1"/>
  <c r="B27" i="12" s="1"/>
  <c r="B28" i="12" s="1"/>
  <c r="B29" i="12" s="1"/>
  <c r="B30" i="12" s="1"/>
  <c r="B31" i="12" s="1"/>
  <c r="B33" i="12" s="1"/>
  <c r="B34" i="12" s="1"/>
  <c r="B35" i="12" s="1"/>
  <c r="B37" i="12" s="1"/>
  <c r="B38" i="12" s="1"/>
  <c r="B39" i="12" s="1"/>
  <c r="B40" i="12" s="1"/>
  <c r="B41" i="12" s="1"/>
  <c r="B42" i="12" s="1"/>
  <c r="B43" i="12" s="1"/>
  <c r="B44" i="12" s="1"/>
  <c r="B45" i="12" s="1"/>
  <c r="B46" i="12" s="1"/>
  <c r="B47" i="12" s="1"/>
  <c r="B48" i="12" s="1"/>
  <c r="B49" i="12" s="1"/>
  <c r="B50" i="12" s="1"/>
  <c r="B51" i="12" s="1"/>
  <c r="B52" i="12" s="1"/>
  <c r="I23" i="11"/>
  <c r="I22" i="11"/>
  <c r="J11" i="11"/>
  <c r="P11" i="11" s="1"/>
  <c r="J10" i="11"/>
  <c r="L10" i="11" s="1"/>
  <c r="J9" i="11"/>
  <c r="J8" i="11"/>
  <c r="J7" i="11"/>
  <c r="L7" i="11" s="1"/>
  <c r="J6" i="11"/>
  <c r="J5" i="11"/>
  <c r="L5" i="11" s="1"/>
  <c r="F40" i="2"/>
  <c r="F39" i="2"/>
  <c r="F37" i="2"/>
  <c r="F36" i="2"/>
  <c r="F35" i="2"/>
  <c r="F34" i="2"/>
  <c r="F32" i="2"/>
  <c r="F31" i="2"/>
  <c r="F30" i="2"/>
  <c r="F29" i="2"/>
  <c r="F28" i="2"/>
  <c r="F27" i="2"/>
  <c r="N8" i="11" l="1"/>
  <c r="L8" i="11"/>
  <c r="N9" i="11"/>
  <c r="L9" i="11"/>
  <c r="P6" i="11"/>
  <c r="L6" i="11"/>
  <c r="P7" i="11"/>
  <c r="N5" i="11"/>
  <c r="P5" i="11"/>
  <c r="N7" i="11"/>
  <c r="P9" i="11"/>
  <c r="P10" i="11"/>
  <c r="N6" i="11"/>
  <c r="P8" i="11"/>
  <c r="L11" i="11"/>
  <c r="P13" i="11" l="1"/>
  <c r="H22" i="11" s="1"/>
  <c r="H24" i="11" s="1"/>
  <c r="P12" i="11"/>
  <c r="G23" i="11" s="1"/>
  <c r="G25" i="11" s="1"/>
  <c r="H23" i="11" l="1"/>
  <c r="H25" i="11" s="1"/>
  <c r="G22" i="11"/>
  <c r="G24" i="11" s="1"/>
  <c r="N16"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Creger, David</author>
  </authors>
  <commentList>
    <comment ref="N16" authorId="0" shapeId="0" xr:uid="{E33297AB-CCF7-475D-8463-B3E77A574CE4}">
      <text>
        <r>
          <rPr>
            <b/>
            <sz val="9"/>
            <color indexed="81"/>
            <rFont val="Tahoma"/>
            <family val="2"/>
          </rPr>
          <t>Creger, David:</t>
        </r>
        <r>
          <rPr>
            <sz val="9"/>
            <color indexed="81"/>
            <rFont val="Tahoma"/>
            <family val="2"/>
          </rPr>
          <t xml:space="preserve">
Bit[14] may be 0 or 1 based on CLKOUT level sampled at reset de-assertion</t>
        </r>
      </text>
    </comment>
  </commentList>
</comments>
</file>

<file path=xl/sharedStrings.xml><?xml version="1.0" encoding="utf-8"?>
<sst xmlns="http://schemas.openxmlformats.org/spreadsheetml/2006/main" count="270" uniqueCount="180">
  <si>
    <t>RX_D2</t>
  </si>
  <si>
    <t>RX_D1</t>
  </si>
  <si>
    <t>RX_D0</t>
  </si>
  <si>
    <t>RX_D3</t>
  </si>
  <si>
    <t>SGMII</t>
  </si>
  <si>
    <t>PD</t>
  </si>
  <si>
    <t>Hardware Configuration</t>
  </si>
  <si>
    <t>Bootstrap Pin</t>
  </si>
  <si>
    <t>Bootstrap Mode</t>
  </si>
  <si>
    <t>MAC Interface</t>
  </si>
  <si>
    <t>M/S Configuration</t>
  </si>
  <si>
    <t>Operational Mode</t>
  </si>
  <si>
    <t>Mode 1</t>
  </si>
  <si>
    <t>Mode 2</t>
  </si>
  <si>
    <t>RGMII (Align)</t>
  </si>
  <si>
    <t>RGMII (TX Internal Delay)</t>
  </si>
  <si>
    <t>RGMII (RX Internal Delay)</t>
  </si>
  <si>
    <t>RX_DV</t>
  </si>
  <si>
    <t>RX_ER</t>
  </si>
  <si>
    <t>0x0</t>
  </si>
  <si>
    <t>0x4</t>
  </si>
  <si>
    <t>0x5</t>
  </si>
  <si>
    <t>Mode 3</t>
  </si>
  <si>
    <t>0x8</t>
  </si>
  <si>
    <t>0xA</t>
  </si>
  <si>
    <t>0xC</t>
  </si>
  <si>
    <t>0xD</t>
  </si>
  <si>
    <t>0xE</t>
  </si>
  <si>
    <t>0xF</t>
  </si>
  <si>
    <t>PU</t>
  </si>
  <si>
    <t>OPEN</t>
  </si>
  <si>
    <t>2.49kΩ</t>
  </si>
  <si>
    <t>Domain</t>
  </si>
  <si>
    <t>Recommended Connection</t>
  </si>
  <si>
    <t>Pictures</t>
  </si>
  <si>
    <t>Power</t>
  </si>
  <si>
    <t xml:space="preserve"> </t>
  </si>
  <si>
    <t>VDDA</t>
  </si>
  <si>
    <t>GND</t>
  </si>
  <si>
    <t>Ground Pad</t>
  </si>
  <si>
    <t>XI</t>
  </si>
  <si>
    <t>XO</t>
  </si>
  <si>
    <t>Serial Management Interface</t>
  </si>
  <si>
    <t>MDC</t>
  </si>
  <si>
    <t>MDIO</t>
  </si>
  <si>
    <t>RESET_N</t>
  </si>
  <si>
    <t>INT_N</t>
  </si>
  <si>
    <t>WAKE</t>
  </si>
  <si>
    <t>INH</t>
  </si>
  <si>
    <t>Medium Dependent Interface (MDI)</t>
  </si>
  <si>
    <t>TRD_M</t>
  </si>
  <si>
    <t>TRD_P</t>
  </si>
  <si>
    <t>TX_CLK</t>
  </si>
  <si>
    <t>TX_D3</t>
  </si>
  <si>
    <t>TX_D2</t>
  </si>
  <si>
    <t>RX_CLK</t>
  </si>
  <si>
    <t>RX_DV/CRS_DV/RX_CTRL</t>
  </si>
  <si>
    <t>Item</t>
  </si>
  <si>
    <t>Picture</t>
  </si>
  <si>
    <t>Yes/No</t>
  </si>
  <si>
    <t>TRDP/TRDM</t>
  </si>
  <si>
    <t>Are connector ground and board ground connected well with 0ohms placed on all sides?
Refer to R110, R11 and R70 positions in the picture  (recommended)</t>
  </si>
  <si>
    <t>Are common mode terminations placed symmetrically and on the connector ground?
Refer to R68,R67,R73,C89 positions in the picture  (recommended)</t>
  </si>
  <si>
    <t>Is there continuous ground under trdp and trdm traces (recommended)?</t>
  </si>
  <si>
    <t>Is there void under the components used on trdp and trdm traces? 
If all layer void is not possible then atleast 2nd layer should be cleared off the ground.</t>
  </si>
  <si>
    <t xml:space="preserve">If ESDs are used, are they 2 terminal packages (recommended)? </t>
  </si>
  <si>
    <t>Is the impedance of trdp/trdm pair = differential 100ohms +/-5%?</t>
  </si>
  <si>
    <t>Are trdp/trdm traces matched with +/-10mil accuracy?</t>
  </si>
  <si>
    <t>CMC, AC coupling caps and common mode termination components close to the connector (recommended)?</t>
  </si>
  <si>
    <t>Is the same layer ground plane symmetrically placed around trdp and trdm traces (till connector)?</t>
  </si>
  <si>
    <t>Are 10nF,100nF supply decaps placed on the same layer as the PHY and closed to PHY?</t>
  </si>
  <si>
    <t>For supply network spread across multiple layers, are there minimum of 4 vias connecting one layer to another?</t>
  </si>
  <si>
    <t>Is the position of ferrite bead for each power pin combination close to PHY and is good to provide strong connection to both the pins?</t>
  </si>
  <si>
    <t>Is there a ground plane reference for every power plane (recommended for EMC)?</t>
  </si>
  <si>
    <t>Even if sleep mode is not used, is Vsleep routed as power (recommended)?</t>
  </si>
  <si>
    <t>Crystal</t>
  </si>
  <si>
    <t>Is crystal placed closest possible to PHY (making XI and XO route the shortest possible) (recommended)?</t>
  </si>
  <si>
    <t>Are caps connected to xi and xo placed in same orientation  (recommended)?</t>
  </si>
  <si>
    <t>Are caps connected to xi and xo connected well to the top ground and that ground strongly connected to the board ground on bottom layer through continous vias (recommended)?</t>
  </si>
  <si>
    <t>Are switching signals like led and mdc routed away from XI route ?</t>
  </si>
  <si>
    <t>RGMII</t>
  </si>
  <si>
    <t>Are Rgmii traces burried (recommended for EMC)? Vias should be close to PHY/MAC transmitter.</t>
  </si>
  <si>
    <t>Is Rgmii routing lower than 5 inches (recommended)?</t>
  </si>
  <si>
    <t>Is Rgmii data and clock skew less than 200ps?</t>
  </si>
  <si>
    <t>Are Rgmii traces routed with 50ohms impedance control?</t>
  </si>
  <si>
    <t>At Rgmii receiver pins of PHY, 1ns (20%-80%) rise/fall time met?</t>
  </si>
  <si>
    <t>Are their test points close to the MAC and PHY RGMII receiver pins?</t>
  </si>
  <si>
    <t>Are sgmii tx and rx signals routed with 100ohms +/5 % differential impedance control (recommended)?</t>
  </si>
  <si>
    <t>Is mismatch in p and m signal of differential pair less than 5 mils (recommended)?</t>
  </si>
  <si>
    <t>AC-coupling caps on Sgmii signal lines placed close to transmitter side (recommended)?</t>
  </si>
  <si>
    <t>General</t>
  </si>
  <si>
    <t>trace length mismatch : serpentine should be done at mismatch end</t>
  </si>
  <si>
    <t>high speed signals should be routed over a solid ground and not across a plane split or void</t>
  </si>
  <si>
    <t>distance from void &gt; trace width x 1.5</t>
  </si>
  <si>
    <t>place stich capacitors iff traces are crossing two different planes</t>
  </si>
  <si>
    <t>place gnd stiching vias close to the signal transition vias symmetrically ( &lt; 200 mils away)</t>
  </si>
  <si>
    <t>keep out distance from other switching signal : keep out distance &gt; 5w (width of the trace)</t>
  </si>
  <si>
    <t>no probe or test points on any high-speed diff signal</t>
  </si>
  <si>
    <t>no traces near crystals, clock gens, mounting holes, magnetic devices or ics</t>
  </si>
  <si>
    <t>maintain constant trace width to avoid impedance mismatches</t>
  </si>
  <si>
    <t>maximize differential pair to pair spacing &gt; 30mils (after package breakout and before connector)</t>
  </si>
  <si>
    <t>Package break-out must occur within 250mils from the package</t>
  </si>
  <si>
    <t>Keep via stubs short &lt; 15mils</t>
  </si>
  <si>
    <t>Avoid vias on the high speed signals and use them only near SoCs</t>
  </si>
  <si>
    <t>SMDs on high speed traces : 0402 or smaller. Place them symmetrically</t>
  </si>
  <si>
    <t>SMDS on high speed traces :  should have void under them</t>
  </si>
  <si>
    <t>Signal bending rules</t>
  </si>
  <si>
    <r>
      <t>Suggested Pull-Up (R</t>
    </r>
    <r>
      <rPr>
        <b/>
        <vertAlign val="subscript"/>
        <sz val="12"/>
        <rFont val="Calibri"/>
        <family val="2"/>
        <scheme val="minor"/>
      </rPr>
      <t>H</t>
    </r>
    <r>
      <rPr>
        <b/>
        <sz val="12"/>
        <rFont val="Calibri"/>
        <family val="2"/>
        <scheme val="minor"/>
      </rPr>
      <t>)</t>
    </r>
  </si>
  <si>
    <r>
      <t>Suggested Pull-down (R</t>
    </r>
    <r>
      <rPr>
        <b/>
        <vertAlign val="subscript"/>
        <sz val="12"/>
        <rFont val="Calibri"/>
        <family val="2"/>
        <scheme val="minor"/>
      </rPr>
      <t>L</t>
    </r>
    <r>
      <rPr>
        <b/>
        <sz val="12"/>
        <rFont val="Calibri"/>
        <family val="2"/>
        <scheme val="minor"/>
      </rPr>
      <t>)</t>
    </r>
  </si>
  <si>
    <t>PHY Address (0x0-0xF)</t>
  </si>
  <si>
    <t>VDDIO</t>
  </si>
  <si>
    <t>RGMII (TX + RX Internal Delay)</t>
  </si>
  <si>
    <r>
      <t>13k</t>
    </r>
    <r>
      <rPr>
        <sz val="12"/>
        <rFont val="Calibri"/>
        <family val="2"/>
      </rPr>
      <t>Ω</t>
    </r>
  </si>
  <si>
    <r>
      <t>4.5k</t>
    </r>
    <r>
      <rPr>
        <sz val="12"/>
        <rFont val="Calibri"/>
        <family val="2"/>
      </rPr>
      <t>Ω</t>
    </r>
  </si>
  <si>
    <t>3.3V VDDIO</t>
  </si>
  <si>
    <t>2.5V VDDIO</t>
  </si>
  <si>
    <r>
      <t>12k</t>
    </r>
    <r>
      <rPr>
        <sz val="12"/>
        <rFont val="Calibri"/>
        <family val="2"/>
      </rPr>
      <t>Ω</t>
    </r>
  </si>
  <si>
    <r>
      <t>2k</t>
    </r>
    <r>
      <rPr>
        <sz val="12"/>
        <rFont val="Calibri"/>
        <family val="2"/>
      </rPr>
      <t>Ω</t>
    </r>
  </si>
  <si>
    <t>1.8V VDDIO</t>
  </si>
  <si>
    <r>
      <t>4k</t>
    </r>
    <r>
      <rPr>
        <sz val="12"/>
        <rFont val="Calibri"/>
        <family val="2"/>
      </rPr>
      <t>Ω</t>
    </r>
  </si>
  <si>
    <r>
      <t>0.8k</t>
    </r>
    <r>
      <rPr>
        <sz val="12"/>
        <rFont val="Calibri"/>
        <family val="2"/>
      </rPr>
      <t>Ω</t>
    </r>
  </si>
  <si>
    <t>Bootstrap Pin Number</t>
  </si>
  <si>
    <t xml:space="preserve">RX_ER </t>
  </si>
  <si>
    <t>Pin Number</t>
  </si>
  <si>
    <t>Clock (25MHz XTAL)</t>
  </si>
  <si>
    <t>Clock (25MHz Oscillator)</t>
  </si>
  <si>
    <t>Clock (50MHz Oscillator)</t>
  </si>
  <si>
    <t>SGMII (4-wire)</t>
  </si>
  <si>
    <t>MII</t>
  </si>
  <si>
    <t>RMII Slave</t>
  </si>
  <si>
    <t>RMII Master</t>
  </si>
  <si>
    <t>MII Mode</t>
  </si>
  <si>
    <t>RGMII Mode</t>
  </si>
  <si>
    <t>SGMII Mode</t>
  </si>
  <si>
    <t>TX_ER (Optional)</t>
  </si>
  <si>
    <t>Straps</t>
  </si>
  <si>
    <t>RMII Master Mode</t>
  </si>
  <si>
    <t>RMII Slave Mode</t>
  </si>
  <si>
    <t>Autonomous</t>
  </si>
  <si>
    <t>Pin Name</t>
  </si>
  <si>
    <t xml:space="preserve">Is the smallest capacitor placed closest to the PHY? </t>
  </si>
  <si>
    <t xml:space="preserve">Supply voltage: 3.3 V
Recommended ferrite bead: BLM18KG601SH
</t>
  </si>
  <si>
    <t>Supply voltage: 1.8 V, 2.5 V, or 3.3 V
Recommended ferrite bead: BLM18KG601SH
*If VDDMAC and VDDIO are separate, each will need its own ferrite bead, 470nF and 10nF capacitor.</t>
  </si>
  <si>
    <t>Sleep mode used?</t>
  </si>
  <si>
    <t>Vsleep</t>
  </si>
  <si>
    <t>Yes</t>
  </si>
  <si>
    <t>No</t>
  </si>
  <si>
    <t>Supply voltage: 3.3 V</t>
  </si>
  <si>
    <r>
      <t>Leave option to isolate connector ground from board ground (for EMC concerns) Populate two 0.25W 0</t>
    </r>
    <r>
      <rPr>
        <sz val="12"/>
        <color theme="1"/>
        <rFont val="Calibri"/>
        <family val="2"/>
      </rPr>
      <t>Ω isolation resistors and leave placeholders for two isolation capacitors</t>
    </r>
  </si>
  <si>
    <t>Active-LOW reset. Assert LOW for at least 1 μs for reset, which reinitializes all internal registers to default values and resamples bootstrap configuration.</t>
  </si>
  <si>
    <t>Reset and Interrupt</t>
  </si>
  <si>
    <t>Strap Tool</t>
  </si>
  <si>
    <t>Expected Reg 0x45D Value in Hex</t>
  </si>
  <si>
    <t>TC10 pins</t>
  </si>
  <si>
    <t>Questions</t>
  </si>
  <si>
    <t>Questions (if any)</t>
  </si>
  <si>
    <t xml:space="preserve"> Yes/No</t>
  </si>
  <si>
    <t>For TC10 operation, external 10kohm pull down should be used and WAKE pin should be connected to MAC.
If sleep mode of phy is not used, this pin should be connected to VSLEEP</t>
  </si>
  <si>
    <t>Connect to Host driving the SMI clock for PHY register programming. Maximum of  20Mhz. This pin should NOT have an external pullup resistor</t>
  </si>
  <si>
    <t>DP83TC813 Schematic Checklist</t>
  </si>
  <si>
    <t>VDDIO
VDDMAC</t>
  </si>
  <si>
    <t>7
23</t>
  </si>
  <si>
    <t>Active-LOW output, which will be asserted LOW when an interrupt condition occurs. This pin has a weak internal pullup.</t>
  </si>
  <si>
    <r>
      <t>Open Drain output, asserted HIGH when the PHY is in operational mode. This pin is released by the PHY when in TC10 sleep and pulled low via external 10k</t>
    </r>
    <r>
      <rPr>
        <sz val="12"/>
        <color theme="1"/>
        <rFont val="Calibri"/>
        <family val="2"/>
      </rPr>
      <t>Ω</t>
    </r>
    <r>
      <rPr>
        <sz val="12"/>
        <color theme="1"/>
        <rFont val="Calibri"/>
        <family val="2"/>
        <scheme val="minor"/>
      </rPr>
      <t xml:space="preserve"> resistor. Connect INH to enable pin of voltage regulator/PMIC which enables VDDIO/VDDMAC/VDDA supplies
If TC10 mode is used, INH must have a pull-down of 10k</t>
    </r>
    <r>
      <rPr>
        <sz val="12"/>
        <color theme="1"/>
        <rFont val="Calibri"/>
        <family val="2"/>
      </rPr>
      <t>Ω</t>
    </r>
    <r>
      <rPr>
        <sz val="12"/>
        <color theme="1"/>
        <rFont val="Calibri"/>
        <family val="2"/>
        <scheme val="minor"/>
      </rPr>
      <t>.  If TC10 is not used, this pin can be left floating</t>
    </r>
  </si>
  <si>
    <t>TX_D1/TX_P</t>
  </si>
  <si>
    <t>TX_D0/TX_M</t>
  </si>
  <si>
    <t>RX_D2/RX_P</t>
  </si>
  <si>
    <t>RX_D3/RX_M</t>
  </si>
  <si>
    <t>TX_EN/TX_CTRL</t>
  </si>
  <si>
    <t>Click Me</t>
  </si>
  <si>
    <t xml:space="preserve">     *Blue squares are selectable</t>
  </si>
  <si>
    <t>CLKOUT/LED_1</t>
  </si>
  <si>
    <t>LED/CLKOUT</t>
  </si>
  <si>
    <t>Default functinality is CLKOUT. To enable LED_1 on pin 14, write the following:
0x045F = 0x000F
0x0452 = 0x0000
0x0451 = 0x0009</t>
  </si>
  <si>
    <t>RX_DV/RX_CTRL</t>
  </si>
  <si>
    <t>Slave</t>
  </si>
  <si>
    <t>DP83TC813 Layout Checklist</t>
  </si>
  <si>
    <t>This pin requires a pullup resistor between 2.2kΩ and 9kΩ</t>
  </si>
  <si>
    <r>
      <t>Recommended Components:
1. CMC Choke: 
DLW43MH201XK2L, DLW32MH201XK2, AE2002, or ACT1210L-201
2. DC Blocking Capacitors: 0.1uF, 100V, 1%
3. Common Mode (CM) Termination Resistors: 1k</t>
    </r>
    <r>
      <rPr>
        <sz val="12"/>
        <color theme="1"/>
        <rFont val="Calibri"/>
        <family val="2"/>
      </rPr>
      <t>Ω, 0.75W, 1%, size 2010
4. MDI Coupling Capacitor: 4.7nF</t>
    </r>
    <r>
      <rPr>
        <sz val="12"/>
        <color theme="1"/>
        <rFont val="Calibri"/>
        <family val="2"/>
        <scheme val="minor"/>
      </rPr>
      <t xml:space="preserve">
5. ESD Shunt: 100k</t>
    </r>
    <r>
      <rPr>
        <sz val="12"/>
        <color theme="1"/>
        <rFont val="Calibri"/>
        <family val="2"/>
      </rPr>
      <t>Ω, 0.125W, 5%, size 0805</t>
    </r>
  </si>
  <si>
    <t>3.3V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</si>
</sst>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2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sz val="12"/>
      <name val="Calibri"/>
      <family val="2"/>
      <scheme val="minor"/>
    </font>
    <font>
      <sz val="11"/>
      <name val="Calibri"/>
      <family val="2"/>
      <scheme val="minor"/>
    </font>
    <font>
      <b/>
      <sz val="12"/>
      <name val="Calibri"/>
      <family val="2"/>
      <scheme val="minor"/>
    </font>
    <font>
      <b/>
      <vertAlign val="subscript"/>
      <sz val="12"/>
      <name val="Calibri"/>
      <family val="2"/>
      <scheme val="minor"/>
    </font>
    <font>
      <sz val="12"/>
      <color theme="1"/>
      <name val="Calibri"/>
      <family val="2"/>
    </font>
    <font>
      <sz val="12"/>
      <name val="Calibri"/>
      <family val="2"/>
    </font>
    <font>
      <b/>
      <sz val="18"/>
      <color theme="1"/>
      <name val="Calibri"/>
      <family val="2"/>
      <scheme val="minor"/>
    </font>
    <font>
      <sz val="18"/>
      <color theme="1"/>
      <name val="Calibri"/>
      <family val="2"/>
      <scheme val="minor"/>
    </font>
    <font>
      <b/>
      <sz val="16"/>
      <name val="Calibri"/>
      <family val="2"/>
      <scheme val="minor"/>
    </font>
    <font>
      <b/>
      <sz val="26"/>
      <color theme="1"/>
      <name val="Calibri"/>
      <family val="2"/>
      <scheme val="minor"/>
    </font>
    <font>
      <u/>
      <sz val="12"/>
      <color theme="1"/>
      <name val="Calibri"/>
      <family val="2"/>
      <scheme val="minor"/>
    </font>
    <font>
      <sz val="9"/>
      <color indexed="81"/>
      <name val="Tahoma"/>
      <family val="2"/>
    </font>
    <font>
      <b/>
      <sz val="9"/>
      <color indexed="81"/>
      <name val="Tahoma"/>
      <family val="2"/>
    </font>
    <font>
      <b/>
      <i/>
      <sz val="18"/>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4">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2" fillId="0" borderId="0"/>
    <xf numFmtId="0" fontId="1" fillId="0" borderId="0"/>
    <xf numFmtId="0" fontId="4" fillId="0" borderId="0" applyNumberFormat="0" applyFill="0" applyBorder="0" applyAlignment="0" applyProtection="0"/>
  </cellStyleXfs>
  <cellXfs count="106">
    <xf numFmtId="0" fontId="0" fillId="0" borderId="0" xfId="0"/>
    <xf numFmtId="0" fontId="0" fillId="0" borderId="1" xfId="0" applyBorder="1"/>
    <xf numFmtId="0" fontId="0" fillId="0" borderId="1" xfId="0"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wrapText="1"/>
    </xf>
    <xf numFmtId="0" fontId="6" fillId="0" borderId="1" xfId="0" applyFont="1" applyBorder="1" applyAlignment="1">
      <alignment horizontal="center" vertical="center" wrapText="1"/>
    </xf>
    <xf numFmtId="0" fontId="0" fillId="0" borderId="0" xfId="0" applyAlignment="1">
      <alignment horizontal="center" vertical="center" wrapText="1"/>
    </xf>
    <xf numFmtId="0" fontId="7" fillId="0" borderId="0" xfId="0" applyFont="1"/>
    <xf numFmtId="0" fontId="0" fillId="0" borderId="1" xfId="0" applyBorder="1" applyAlignment="1">
      <alignment horizontal="left" vertical="center" wrapText="1"/>
    </xf>
    <xf numFmtId="0" fontId="0" fillId="4" borderId="1" xfId="0" applyFill="1" applyBorder="1" applyAlignment="1">
      <alignment horizontal="center" vertical="center" wrapText="1"/>
    </xf>
    <xf numFmtId="0" fontId="7" fillId="0" borderId="0" xfId="0" applyFont="1" applyAlignment="1">
      <alignment horizontal="center"/>
    </xf>
    <xf numFmtId="0" fontId="8" fillId="0" borderId="0" xfId="21" applyFont="1"/>
    <xf numFmtId="0" fontId="7" fillId="0" borderId="0" xfId="21" applyFont="1"/>
    <xf numFmtId="0" fontId="0" fillId="0" borderId="0" xfId="0" applyBorder="1"/>
    <xf numFmtId="0" fontId="0" fillId="0" borderId="1" xfId="0" applyBorder="1" applyAlignment="1">
      <alignment vertical="center" wrapText="1"/>
    </xf>
    <xf numFmtId="0" fontId="0" fillId="0" borderId="1" xfId="0" applyBorder="1" applyAlignment="1">
      <alignment horizontal="center" vertical="center" wrapText="1"/>
    </xf>
    <xf numFmtId="0" fontId="3" fillId="0" borderId="1" xfId="0" applyFont="1" applyFill="1" applyBorder="1" applyAlignment="1">
      <alignment horizontal="center" vertical="center"/>
    </xf>
    <xf numFmtId="0" fontId="7" fillId="0" borderId="0" xfId="0" applyFont="1" applyFill="1" applyBorder="1" applyAlignment="1"/>
    <xf numFmtId="2" fontId="7" fillId="0" borderId="0" xfId="0" applyNumberFormat="1" applyFont="1" applyFill="1" applyBorder="1" applyAlignment="1"/>
    <xf numFmtId="164" fontId="7" fillId="0" borderId="0" xfId="0" applyNumberFormat="1" applyFont="1" applyAlignment="1"/>
    <xf numFmtId="0" fontId="3" fillId="0" borderId="1"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1" xfId="0" applyBorder="1" applyAlignment="1">
      <alignment vertical="center"/>
    </xf>
    <xf numFmtId="0" fontId="13" fillId="8" borderId="1" xfId="0" applyFont="1" applyFill="1" applyBorder="1" applyAlignment="1">
      <alignment vertical="center"/>
    </xf>
    <xf numFmtId="0" fontId="0" fillId="8" borderId="1" xfId="0" applyFill="1" applyBorder="1"/>
    <xf numFmtId="0" fontId="13" fillId="8" borderId="1" xfId="0" applyFont="1" applyFill="1" applyBorder="1" applyAlignment="1">
      <alignment vertical="center" wrapText="1"/>
    </xf>
    <xf numFmtId="0" fontId="17" fillId="0" borderId="13" xfId="0" applyFont="1" applyBorder="1" applyAlignment="1">
      <alignment horizontal="center"/>
    </xf>
    <xf numFmtId="0" fontId="16"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14" fillId="2" borderId="1" xfId="0" applyFont="1" applyFill="1" applyBorder="1" applyAlignment="1">
      <alignment vertical="center" wrapText="1"/>
    </xf>
    <xf numFmtId="0" fontId="0" fillId="0" borderId="0" xfId="0" applyFill="1"/>
    <xf numFmtId="0" fontId="16" fillId="0" borderId="0" xfId="0" applyFont="1" applyAlignment="1">
      <alignment vertical="center" wrapText="1"/>
    </xf>
    <xf numFmtId="0" fontId="3" fillId="8" borderId="1" xfId="0" applyFont="1" applyFill="1" applyBorder="1"/>
    <xf numFmtId="0" fontId="0" fillId="0" borderId="1" xfId="0" applyBorder="1" applyAlignment="1">
      <alignment wrapText="1"/>
    </xf>
    <xf numFmtId="0" fontId="0" fillId="4" borderId="1" xfId="0" applyFill="1" applyBorder="1"/>
    <xf numFmtId="0" fontId="0" fillId="0" borderId="1" xfId="0" applyBorder="1" applyAlignment="1">
      <alignment horizontal="center"/>
    </xf>
    <xf numFmtId="0" fontId="3" fillId="2" borderId="1" xfId="0" applyFont="1" applyFill="1" applyBorder="1" applyAlignment="1">
      <alignment horizontal="center"/>
    </xf>
    <xf numFmtId="0" fontId="0" fillId="0" borderId="0" xfId="0" applyAlignment="1">
      <alignment wrapText="1"/>
    </xf>
    <xf numFmtId="0" fontId="0" fillId="0" borderId="1" xfId="0" applyBorder="1" applyAlignment="1">
      <alignment horizontal="center" vertical="center"/>
    </xf>
    <xf numFmtId="0" fontId="14" fillId="2" borderId="1" xfId="0" quotePrefix="1" applyFont="1" applyFill="1" applyBorder="1" applyAlignment="1">
      <alignment horizontal="center" vertical="center"/>
    </xf>
    <xf numFmtId="0" fontId="0" fillId="9" borderId="1" xfId="0" applyFont="1" applyFill="1" applyBorder="1" applyAlignment="1">
      <alignment horizontal="center" vertical="center" wrapText="1"/>
    </xf>
    <xf numFmtId="0" fontId="0" fillId="0" borderId="12" xfId="0" applyBorder="1" applyAlignment="1">
      <alignment horizontal="center" vertical="center" wrapText="1"/>
    </xf>
    <xf numFmtId="0" fontId="20" fillId="9" borderId="0" xfId="0" applyFont="1" applyFill="1" applyAlignment="1">
      <alignment horizontal="center" vertical="center" wrapText="1"/>
    </xf>
    <xf numFmtId="0" fontId="3" fillId="0" borderId="11" xfId="0" applyFont="1" applyFill="1" applyBorder="1" applyAlignment="1">
      <alignment vertical="center"/>
    </xf>
    <xf numFmtId="0" fontId="16" fillId="0" borderId="0" xfId="0" applyFont="1" applyAlignment="1">
      <alignment horizontal="center" vertical="center" wrapText="1"/>
    </xf>
    <xf numFmtId="0" fontId="3" fillId="0" borderId="0" xfId="0" applyFont="1" applyAlignment="1">
      <alignment horizontal="left" vertical="center" wrapText="1"/>
    </xf>
    <xf numFmtId="0" fontId="3" fillId="0" borderId="1" xfId="0" applyFont="1" applyFill="1" applyBorder="1" applyAlignment="1">
      <alignment horizontal="center" vertical="center" wrapText="1"/>
    </xf>
    <xf numFmtId="0" fontId="0" fillId="0" borderId="9" xfId="0" applyBorder="1" applyAlignment="1">
      <alignment horizontal="center" vertical="center"/>
    </xf>
    <xf numFmtId="0" fontId="0" fillId="0" borderId="13" xfId="0" applyBorder="1" applyAlignment="1">
      <alignment horizontal="center" vertical="center"/>
    </xf>
    <xf numFmtId="0" fontId="13" fillId="8" borderId="9" xfId="0" applyFont="1" applyFill="1" applyBorder="1" applyAlignment="1">
      <alignment horizontal="center" vertical="center" wrapText="1"/>
    </xf>
    <xf numFmtId="0" fontId="13" fillId="8" borderId="13"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0" fillId="8" borderId="9" xfId="0" applyFill="1" applyBorder="1" applyAlignment="1">
      <alignment horizontal="center" vertical="center"/>
    </xf>
    <xf numFmtId="0" fontId="0" fillId="8" borderId="10" xfId="0" applyFill="1" applyBorder="1" applyAlignment="1">
      <alignment horizontal="center" vertical="center"/>
    </xf>
    <xf numFmtId="0" fontId="4" fillId="0" borderId="9" xfId="23" quotePrefix="1" applyFill="1" applyBorder="1" applyAlignment="1">
      <alignment horizontal="center" vertical="center"/>
    </xf>
    <xf numFmtId="0" fontId="4" fillId="0" borderId="13" xfId="23" quotePrefix="1" applyFill="1" applyBorder="1" applyAlignment="1">
      <alignment horizontal="center" vertical="center"/>
    </xf>
    <xf numFmtId="0" fontId="0" fillId="8" borderId="9" xfId="0" applyFill="1" applyBorder="1" applyAlignment="1">
      <alignment horizontal="center" vertical="center" wrapText="1"/>
    </xf>
    <xf numFmtId="0" fontId="0" fillId="8" borderId="10" xfId="0" applyFill="1" applyBorder="1" applyAlignment="1">
      <alignment horizontal="center" vertical="center" wrapText="1"/>
    </xf>
    <xf numFmtId="0" fontId="3" fillId="9" borderId="1" xfId="0" applyFont="1" applyFill="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horizontal="center" vertical="center" wrapText="1"/>
    </xf>
    <xf numFmtId="0" fontId="3" fillId="0" borderId="11" xfId="0" applyFont="1" applyFill="1" applyBorder="1" applyAlignment="1">
      <alignment horizontal="center" vertical="center"/>
    </xf>
    <xf numFmtId="0" fontId="3" fillId="0" borderId="12" xfId="0" applyFont="1" applyFill="1" applyBorder="1" applyAlignment="1">
      <alignment horizontal="center" vertical="center"/>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3"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0" fillId="0" borderId="14"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1" xfId="0" applyBorder="1" applyAlignment="1">
      <alignment horizontal="center" wrapText="1"/>
    </xf>
    <xf numFmtId="0" fontId="0" fillId="0" borderId="12" xfId="0" applyBorder="1" applyAlignment="1">
      <alignment horizontal="center" wrapText="1"/>
    </xf>
    <xf numFmtId="0" fontId="9" fillId="8" borderId="5" xfId="0" applyFont="1" applyFill="1" applyBorder="1" applyAlignment="1">
      <alignment horizontal="center"/>
    </xf>
    <xf numFmtId="0" fontId="9" fillId="8" borderId="6" xfId="0" applyFont="1" applyFill="1" applyBorder="1" applyAlignment="1">
      <alignment horizontal="center"/>
    </xf>
    <xf numFmtId="0" fontId="7" fillId="7" borderId="1" xfId="0" applyFont="1" applyFill="1" applyBorder="1" applyAlignment="1">
      <alignment horizontal="center"/>
    </xf>
    <xf numFmtId="0" fontId="7" fillId="6" borderId="1" xfId="0" applyFont="1" applyFill="1" applyBorder="1" applyAlignment="1">
      <alignment horizontal="center"/>
    </xf>
    <xf numFmtId="0" fontId="7" fillId="6" borderId="2" xfId="0" applyFont="1" applyFill="1" applyBorder="1" applyAlignment="1">
      <alignment horizontal="center"/>
    </xf>
    <xf numFmtId="0" fontId="9" fillId="7" borderId="7" xfId="0" applyFont="1" applyFill="1" applyBorder="1" applyAlignment="1">
      <alignment horizontal="right" vertical="center"/>
    </xf>
    <xf numFmtId="0" fontId="9" fillId="7" borderId="1" xfId="0" applyFont="1" applyFill="1" applyBorder="1" applyAlignment="1">
      <alignment horizontal="right" vertical="center"/>
    </xf>
    <xf numFmtId="0" fontId="7" fillId="3" borderId="1" xfId="0" applyFont="1" applyFill="1" applyBorder="1" applyAlignment="1">
      <alignment horizontal="center" vertical="center"/>
    </xf>
    <xf numFmtId="0" fontId="9" fillId="8" borderId="4" xfId="0" applyFont="1" applyFill="1" applyBorder="1" applyAlignment="1">
      <alignment horizontal="center"/>
    </xf>
    <xf numFmtId="1" fontId="7" fillId="7" borderId="1" xfId="0" applyNumberFormat="1" applyFont="1" applyFill="1" applyBorder="1" applyAlignment="1">
      <alignment horizontal="center" vertical="center"/>
    </xf>
    <xf numFmtId="0" fontId="9" fillId="7" borderId="8" xfId="0" applyFont="1" applyFill="1" applyBorder="1" applyAlignment="1">
      <alignment horizontal="right" vertical="center"/>
    </xf>
    <xf numFmtId="0" fontId="9" fillId="7" borderId="3" xfId="0" applyFont="1" applyFill="1" applyBorder="1" applyAlignment="1">
      <alignment horizontal="right" vertical="center"/>
    </xf>
    <xf numFmtId="0" fontId="7" fillId="3" borderId="3" xfId="0" applyFont="1" applyFill="1" applyBorder="1" applyAlignment="1">
      <alignment horizontal="center" vertical="center"/>
    </xf>
    <xf numFmtId="0" fontId="7" fillId="7" borderId="16" xfId="0" applyFont="1" applyFill="1" applyBorder="1" applyAlignment="1">
      <alignment horizontal="center"/>
    </xf>
    <xf numFmtId="0" fontId="7" fillId="7" borderId="17" xfId="0" applyFont="1" applyFill="1" applyBorder="1" applyAlignment="1">
      <alignment horizontal="center"/>
    </xf>
    <xf numFmtId="0" fontId="7" fillId="7" borderId="18" xfId="0" applyFont="1" applyFill="1" applyBorder="1" applyAlignment="1">
      <alignment horizontal="center"/>
    </xf>
    <xf numFmtId="0" fontId="15" fillId="5" borderId="1" xfId="0" applyFont="1" applyFill="1" applyBorder="1" applyAlignment="1">
      <alignment horizontal="center" vertical="center"/>
    </xf>
    <xf numFmtId="0" fontId="3" fillId="0" borderId="1" xfId="0" applyFont="1" applyBorder="1" applyAlignment="1">
      <alignment horizontal="center" vertical="center"/>
    </xf>
    <xf numFmtId="0" fontId="0" fillId="0" borderId="1" xfId="0" applyBorder="1" applyAlignment="1">
      <alignment horizontal="center"/>
    </xf>
    <xf numFmtId="0" fontId="3" fillId="0" borderId="1" xfId="0" applyFont="1" applyBorder="1" applyAlignment="1">
      <alignment horizontal="center" vertical="center" wrapText="1"/>
    </xf>
    <xf numFmtId="0" fontId="3" fillId="8" borderId="9"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9" xfId="0" applyFont="1" applyFill="1" applyBorder="1" applyAlignment="1">
      <alignment horizontal="center" vertical="center" wrapText="1"/>
    </xf>
    <xf numFmtId="0" fontId="3" fillId="8" borderId="10" xfId="0" applyFont="1" applyFill="1" applyBorder="1" applyAlignment="1">
      <alignment horizontal="center" vertical="center" wrapText="1"/>
    </xf>
  </cellXfs>
  <cellStyles count="24">
    <cellStyle name="Followed Hyperlink" xfId="10" builtinId="9" hidden="1"/>
    <cellStyle name="Followed Hyperlink" xfId="12" builtinId="9" hidden="1"/>
    <cellStyle name="Followed Hyperlink" xfId="16" builtinId="9" hidden="1"/>
    <cellStyle name="Followed Hyperlink" xfId="18" builtinId="9" hidden="1"/>
    <cellStyle name="Followed Hyperlink" xfId="20" builtinId="9" hidden="1"/>
    <cellStyle name="Followed Hyperlink" xfId="14" builtinId="9" hidden="1"/>
    <cellStyle name="Followed Hyperlink" xfId="6" builtinId="9" hidden="1"/>
    <cellStyle name="Followed Hyperlink" xfId="8" builtinId="9" hidden="1"/>
    <cellStyle name="Followed Hyperlink" xfId="4" builtinId="9" hidden="1"/>
    <cellStyle name="Followed Hyperlink" xfId="2" builtinId="9" hidden="1"/>
    <cellStyle name="Hyperlink" xfId="15" builtinId="8" hidden="1"/>
    <cellStyle name="Hyperlink" xfId="17" builtinId="8" hidden="1"/>
    <cellStyle name="Hyperlink" xfId="19" builtinId="8" hidden="1"/>
    <cellStyle name="Hyperlink" xfId="13" builtinId="8" hidden="1"/>
    <cellStyle name="Hyperlink" xfId="7" builtinId="8" hidden="1"/>
    <cellStyle name="Hyperlink" xfId="9" builtinId="8" hidden="1"/>
    <cellStyle name="Hyperlink" xfId="11" builtinId="8" hidden="1"/>
    <cellStyle name="Hyperlink" xfId="3" builtinId="8" hidden="1"/>
    <cellStyle name="Hyperlink" xfId="5" builtinId="8" hidden="1"/>
    <cellStyle name="Hyperlink" xfId="1" builtinId="8" hidden="1"/>
    <cellStyle name="Hyperlink" xfId="23" builtinId="8"/>
    <cellStyle name="Normal" xfId="0" builtinId="0"/>
    <cellStyle name="Normal 2" xfId="21" xr:uid="{00000000-0005-0000-0000-000016000000}"/>
    <cellStyle name="Normal 3" xfId="22" xr:uid="{00000000-0005-0000-0000-000017000000}"/>
  </cellStyles>
  <dxfs count="3">
    <dxf>
      <font>
        <color rgb="FF9C0006"/>
      </font>
    </dxf>
    <dxf>
      <font>
        <color rgb="FF9C0006"/>
      </font>
      <fill>
        <patternFill>
          <bgColor rgb="FFFFC7CE"/>
        </patternFill>
      </fill>
    </dxf>
    <dxf>
      <font>
        <color rgb="FF006100"/>
      </font>
      <fill>
        <patternFill>
          <bgColor rgb="FFC6EFCE"/>
        </patternFill>
      </fill>
    </dxf>
  </dxfs>
  <tableStyles count="0" defaultTableStyle="TableStyleMedium9" defaultPivotStyle="PivotStyleMedium7"/>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List" dx="22" fmlaRange="$1:$1048576" noThreeD="1" sel="1" val="0"/>
</file>

<file path=xl/ctrlProps/ctrlProp2.xml><?xml version="1.0" encoding="utf-8"?>
<formControlPr xmlns="http://schemas.microsoft.com/office/spreadsheetml/2009/9/main" objectType="List" dx="22" fmlaRange="$1:$1048576" noThreeD="1" sel="1" val="0"/>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emf"/></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30.png"/><Relationship Id="rId2" Type="http://schemas.microsoft.com/office/2007/relationships/hdphoto" Target="../media/hdphoto1.wdp"/><Relationship Id="rId1" Type="http://schemas.openxmlformats.org/officeDocument/2006/relationships/image" Target="../media/image20.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oneCellAnchor>
    <xdr:from>
      <xdr:col>6</xdr:col>
      <xdr:colOff>1527720</xdr:colOff>
      <xdr:row>14</xdr:row>
      <xdr:rowOff>27966</xdr:rowOff>
    </xdr:from>
    <xdr:ext cx="1838484" cy="1736240"/>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a:stretch>
          <a:fillRect/>
        </a:stretch>
      </xdr:blipFill>
      <xdr:spPr>
        <a:xfrm>
          <a:off x="11005095" y="13029591"/>
          <a:ext cx="1838484" cy="1736240"/>
        </a:xfrm>
        <a:prstGeom prst="rect">
          <a:avLst/>
        </a:prstGeom>
      </xdr:spPr>
    </xdr:pic>
    <xdr:clientData/>
  </xdr:oneCellAnchor>
  <xdr:oneCellAnchor>
    <xdr:from>
      <xdr:col>6</xdr:col>
      <xdr:colOff>1341664</xdr:colOff>
      <xdr:row>18</xdr:row>
      <xdr:rowOff>127392</xdr:rowOff>
    </xdr:from>
    <xdr:ext cx="2080986" cy="1319151"/>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288485" y="17476499"/>
          <a:ext cx="2080986" cy="1319151"/>
        </a:xfrm>
        <a:prstGeom prst="rect">
          <a:avLst/>
        </a:prstGeom>
      </xdr:spPr>
    </xdr:pic>
    <xdr:clientData/>
  </xdr:oneCellAnchor>
  <xdr:oneCellAnchor>
    <xdr:from>
      <xdr:col>6</xdr:col>
      <xdr:colOff>591169</xdr:colOff>
      <xdr:row>4</xdr:row>
      <xdr:rowOff>92198</xdr:rowOff>
    </xdr:from>
    <xdr:ext cx="3949062" cy="1875543"/>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537990" y="1371269"/>
          <a:ext cx="3949062" cy="1875543"/>
        </a:xfrm>
        <a:prstGeom prst="rect">
          <a:avLst/>
        </a:prstGeom>
      </xdr:spPr>
    </xdr:pic>
    <xdr:clientData/>
  </xdr:oneCellAnchor>
  <xdr:oneCellAnchor>
    <xdr:from>
      <xdr:col>6</xdr:col>
      <xdr:colOff>269347</xdr:colOff>
      <xdr:row>5</xdr:row>
      <xdr:rowOff>523484</xdr:rowOff>
    </xdr:from>
    <xdr:ext cx="4515905" cy="1183080"/>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16168" y="3898055"/>
          <a:ext cx="4515905" cy="1183080"/>
        </a:xfrm>
        <a:prstGeom prst="rect">
          <a:avLst/>
        </a:prstGeom>
      </xdr:spPr>
    </xdr:pic>
    <xdr:clientData/>
  </xdr:oneCellAnchor>
  <xdr:oneCellAnchor>
    <xdr:from>
      <xdr:col>6</xdr:col>
      <xdr:colOff>1251858</xdr:colOff>
      <xdr:row>23</xdr:row>
      <xdr:rowOff>41029</xdr:rowOff>
    </xdr:from>
    <xdr:ext cx="2544535" cy="2027471"/>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198679" y="21472279"/>
          <a:ext cx="2544535" cy="2027471"/>
        </a:xfrm>
        <a:prstGeom prst="rect">
          <a:avLst/>
        </a:prstGeom>
      </xdr:spPr>
    </xdr:pic>
    <xdr:clientData/>
  </xdr:oneCellAnchor>
  <xdr:oneCellAnchor>
    <xdr:from>
      <xdr:col>6</xdr:col>
      <xdr:colOff>730102</xdr:colOff>
      <xdr:row>17</xdr:row>
      <xdr:rowOff>107213</xdr:rowOff>
    </xdr:from>
    <xdr:ext cx="3770440" cy="1449269"/>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11140" y="16959136"/>
          <a:ext cx="3770440" cy="1449269"/>
        </a:xfrm>
        <a:prstGeom prst="rect">
          <a:avLst/>
        </a:prstGeom>
      </xdr:spPr>
    </xdr:pic>
    <xdr:clientData/>
  </xdr:oneCellAnchor>
  <xdr:oneCellAnchor>
    <xdr:from>
      <xdr:col>6</xdr:col>
      <xdr:colOff>1064557</xdr:colOff>
      <xdr:row>9</xdr:row>
      <xdr:rowOff>211263</xdr:rowOff>
    </xdr:from>
    <xdr:ext cx="2902325" cy="1327149"/>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508439" y="8559645"/>
          <a:ext cx="2902325" cy="1327149"/>
        </a:xfrm>
        <a:prstGeom prst="rect">
          <a:avLst/>
        </a:prstGeom>
      </xdr:spPr>
    </xdr:pic>
    <xdr:clientData/>
  </xdr:oneCellAnchor>
  <mc:AlternateContent xmlns:mc="http://schemas.openxmlformats.org/markup-compatibility/2006">
    <mc:Choice xmlns:a14="http://schemas.microsoft.com/office/drawing/2010/main" Requires="a14">
      <xdr:oneCellAnchor>
        <xdr:from>
          <xdr:col>6</xdr:col>
          <xdr:colOff>179294</xdr:colOff>
          <xdr:row>12</xdr:row>
          <xdr:rowOff>44824</xdr:rowOff>
        </xdr:from>
        <xdr:ext cx="4746032" cy="1635931"/>
        <xdr:pic>
          <xdr:nvPicPr>
            <xdr:cNvPr id="13" name="Picture 12">
              <a:extLst>
                <a:ext uri="{FF2B5EF4-FFF2-40B4-BE49-F238E27FC236}">
                  <a16:creationId xmlns:a16="http://schemas.microsoft.com/office/drawing/2014/main" id="{00000000-0008-0000-0000-00000D000000}"/>
                </a:ext>
              </a:extLst>
            </xdr:cNvPr>
            <xdr:cNvPicPr>
              <a:picLocks noChangeAspect="1" noChangeArrowheads="1"/>
              <a:extLst>
                <a:ext uri="{84589F7E-364E-4C9E-8A38-B11213B215E9}">
                  <a14:cameraTool cellRange="Pics2" spid="_x0000_s6814"/>
                </a:ext>
              </a:extLst>
            </xdr:cNvPicPr>
          </xdr:nvPicPr>
          <xdr:blipFill>
            <a:blip xmlns:r="http://schemas.openxmlformats.org/officeDocument/2006/relationships" r:embed="rId8"/>
            <a:srcRect/>
            <a:stretch>
              <a:fillRect/>
            </a:stretch>
          </xdr:blipFill>
          <xdr:spPr bwMode="auto">
            <a:xfrm>
              <a:off x="9659470" y="11093824"/>
              <a:ext cx="4746032" cy="1635931"/>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6</xdr:col>
          <xdr:colOff>95810</xdr:colOff>
          <xdr:row>11</xdr:row>
          <xdr:rowOff>81243</xdr:rowOff>
        </xdr:from>
        <xdr:ext cx="4972050" cy="974725"/>
        <xdr:pic>
          <xdr:nvPicPr>
            <xdr:cNvPr id="14" name="Picture 13">
              <a:extLst>
                <a:ext uri="{FF2B5EF4-FFF2-40B4-BE49-F238E27FC236}">
                  <a16:creationId xmlns:a16="http://schemas.microsoft.com/office/drawing/2014/main" id="{00000000-0008-0000-0000-00000E000000}"/>
                </a:ext>
              </a:extLst>
            </xdr:cNvPr>
            <xdr:cNvPicPr>
              <a:picLocks noChangeAspect="1" noChangeArrowheads="1"/>
              <a:extLst>
                <a:ext uri="{84589F7E-364E-4C9E-8A38-B11213B215E9}">
                  <a14:cameraTool cellRange="Pics" spid="_x0000_s6815"/>
                </a:ext>
              </a:extLst>
            </xdr:cNvPicPr>
          </xdr:nvPicPr>
          <xdr:blipFill>
            <a:blip xmlns:r="http://schemas.openxmlformats.org/officeDocument/2006/relationships" r:embed="rId9"/>
            <a:srcRect/>
            <a:stretch>
              <a:fillRect/>
            </a:stretch>
          </xdr:blipFill>
          <xdr:spPr bwMode="auto">
            <a:xfrm>
              <a:off x="9573185" y="9425268"/>
              <a:ext cx="4972050" cy="974725"/>
            </a:xfrm>
            <a:prstGeom prst="rect">
              <a:avLst/>
            </a:prstGeom>
            <a:noFill/>
            <a:extLst>
              <a:ext uri="{909E8E84-426E-40DD-AFC4-6F175D3DCCD1}">
                <a14:hiddenFill>
                  <a:solidFill>
                    <a:srgbClr val="FFFFFF"/>
                  </a:solidFill>
                </a14:hiddenFill>
              </a:ext>
            </a:extLst>
          </xdr:spPr>
        </xdr:pic>
        <xdr:clientData/>
      </xdr:oneCellAnchor>
    </mc:Choice>
    <mc:Fallback/>
  </mc:AlternateContent>
  <xdr:oneCellAnchor>
    <xdr:from>
      <xdr:col>6</xdr:col>
      <xdr:colOff>1647825</xdr:colOff>
      <xdr:row>21</xdr:row>
      <xdr:rowOff>73413</xdr:rowOff>
    </xdr:from>
    <xdr:ext cx="1819275" cy="1243898"/>
    <xdr:pic>
      <xdr:nvPicPr>
        <xdr:cNvPr id="16" name="Pictur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125200" y="21323688"/>
          <a:ext cx="1819275" cy="1243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oneCellAnchor>
        <xdr:from>
          <xdr:col>6</xdr:col>
          <xdr:colOff>26894</xdr:colOff>
          <xdr:row>26</xdr:row>
          <xdr:rowOff>44825</xdr:rowOff>
        </xdr:from>
        <xdr:ext cx="5065059" cy="4052045"/>
        <xdr:pic>
          <xdr:nvPicPr>
            <xdr:cNvPr id="17" name="Picture 16">
              <a:extLst>
                <a:ext uri="{FF2B5EF4-FFF2-40B4-BE49-F238E27FC236}">
                  <a16:creationId xmlns:a16="http://schemas.microsoft.com/office/drawing/2014/main" id="{00000000-0008-0000-0000-000011000000}"/>
                </a:ext>
              </a:extLst>
            </xdr:cNvPr>
            <xdr:cNvPicPr>
              <a:picLocks noChangeAspect="1" noChangeArrowheads="1"/>
              <a:extLst>
                <a:ext uri="{84589F7E-364E-4C9E-8A38-B11213B215E9}">
                  <a14:cameraTool cellRange="Pics3" spid="_x0000_s6816"/>
                </a:ext>
              </a:extLst>
            </xdr:cNvPicPr>
          </xdr:nvPicPr>
          <xdr:blipFill>
            <a:blip xmlns:r="http://schemas.openxmlformats.org/officeDocument/2006/relationships" r:embed="rId11"/>
            <a:srcRect/>
            <a:stretch>
              <a:fillRect/>
            </a:stretch>
          </xdr:blipFill>
          <xdr:spPr bwMode="auto">
            <a:xfrm>
              <a:off x="9511553" y="25074284"/>
              <a:ext cx="5065059" cy="4052045"/>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twoCellAnchor editAs="absolute">
        <xdr:from>
          <xdr:col>6</xdr:col>
          <xdr:colOff>55835</xdr:colOff>
          <xdr:row>6</xdr:row>
          <xdr:rowOff>17384</xdr:rowOff>
        </xdr:from>
        <xdr:to>
          <xdr:col>6</xdr:col>
          <xdr:colOff>5083660</xdr:colOff>
          <xdr:row>8</xdr:row>
          <xdr:rowOff>946</xdr:rowOff>
        </xdr:to>
        <xdr:pic>
          <xdr:nvPicPr>
            <xdr:cNvPr id="15" name="Picture 14">
              <a:extLst>
                <a:ext uri="{FF2B5EF4-FFF2-40B4-BE49-F238E27FC236}">
                  <a16:creationId xmlns:a16="http://schemas.microsoft.com/office/drawing/2014/main" id="{00000000-0008-0000-0000-00000F000000}"/>
                </a:ext>
              </a:extLst>
            </xdr:cNvPr>
            <xdr:cNvPicPr>
              <a:picLocks noChangeAspect="1"/>
              <a:extLst>
                <a:ext uri="{84589F7E-364E-4C9E-8A38-B11213B215E9}">
                  <a14:cameraTool cellRange="Pics4" spid="_x0000_s6817"/>
                </a:ext>
              </a:extLst>
            </xdr:cNvPicPr>
          </xdr:nvPicPr>
          <xdr:blipFill>
            <a:blip xmlns:r="http://schemas.openxmlformats.org/officeDocument/2006/relationships" r:embed="rId12"/>
            <a:stretch>
              <a:fillRect/>
            </a:stretch>
          </xdr:blipFill>
          <xdr:spPr>
            <a:xfrm>
              <a:off x="10002656" y="5516303"/>
              <a:ext cx="5027825" cy="2233094"/>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80</xdr:row>
          <xdr:rowOff>104775</xdr:rowOff>
        </xdr:from>
        <xdr:to>
          <xdr:col>0</xdr:col>
          <xdr:colOff>695325</xdr:colOff>
          <xdr:row>82</xdr:row>
          <xdr:rowOff>9525</xdr:rowOff>
        </xdr:to>
        <xdr:sp macro="" textlink="">
          <xdr:nvSpPr>
            <xdr:cNvPr id="6723" name="List Box 1603" hidden="1">
              <a:extLst>
                <a:ext uri="{63B3BB69-23CF-44E3-9099-C40C66FF867C}">
                  <a14:compatExt spid="_x0000_s6723"/>
                </a:ext>
                <a:ext uri="{FF2B5EF4-FFF2-40B4-BE49-F238E27FC236}">
                  <a16:creationId xmlns:a16="http://schemas.microsoft.com/office/drawing/2014/main" id="{00000000-0008-0000-0000-000043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948024</xdr:colOff>
      <xdr:row>14</xdr:row>
      <xdr:rowOff>198900</xdr:rowOff>
    </xdr:from>
    <xdr:to>
      <xdr:col>4</xdr:col>
      <xdr:colOff>376860</xdr:colOff>
      <xdr:row>18</xdr:row>
      <xdr:rowOff>140235</xdr:rowOff>
    </xdr:to>
    <xdr:sp macro="" textlink="">
      <xdr:nvSpPr>
        <xdr:cNvPr id="17" name="Rounded Rectangle 3">
          <a:extLst>
            <a:ext uri="{FF2B5EF4-FFF2-40B4-BE49-F238E27FC236}">
              <a16:creationId xmlns:a16="http://schemas.microsoft.com/office/drawing/2014/main" id="{00000000-0008-0000-0100-000011000000}"/>
            </a:ext>
          </a:extLst>
        </xdr:cNvPr>
        <xdr:cNvSpPr/>
      </xdr:nvSpPr>
      <xdr:spPr>
        <a:xfrm>
          <a:off x="2646458" y="3320346"/>
          <a:ext cx="1509800" cy="7676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the dropdowns to select the desired Strap Configurations </a:t>
          </a:r>
        </a:p>
      </xdr:txBody>
    </xdr:sp>
    <xdr:clientData/>
  </xdr:twoCellAnchor>
  <xdr:twoCellAnchor>
    <xdr:from>
      <xdr:col>3</xdr:col>
      <xdr:colOff>661792</xdr:colOff>
      <xdr:row>12</xdr:row>
      <xdr:rowOff>87982</xdr:rowOff>
    </xdr:from>
    <xdr:to>
      <xdr:col>3</xdr:col>
      <xdr:colOff>1004210</xdr:colOff>
      <xdr:row>14</xdr:row>
      <xdr:rowOff>198900</xdr:rowOff>
    </xdr:to>
    <xdr:cxnSp macro="">
      <xdr:nvCxnSpPr>
        <xdr:cNvPr id="18" name="Straight Arrow Connector 17">
          <a:extLst>
            <a:ext uri="{FF2B5EF4-FFF2-40B4-BE49-F238E27FC236}">
              <a16:creationId xmlns:a16="http://schemas.microsoft.com/office/drawing/2014/main" id="{00000000-0008-0000-0100-000012000000}"/>
            </a:ext>
          </a:extLst>
        </xdr:cNvPr>
        <xdr:cNvCxnSpPr>
          <a:stCxn id="17" idx="0"/>
        </xdr:cNvCxnSpPr>
      </xdr:nvCxnSpPr>
      <xdr:spPr>
        <a:xfrm flipV="1">
          <a:off x="3400708" y="2796295"/>
          <a:ext cx="342418" cy="5240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556107</xdr:colOff>
      <xdr:row>8</xdr:row>
      <xdr:rowOff>3399</xdr:rowOff>
    </xdr:from>
    <xdr:to>
      <xdr:col>20</xdr:col>
      <xdr:colOff>159335</xdr:colOff>
      <xdr:row>10</xdr:row>
      <xdr:rowOff>159657</xdr:rowOff>
    </xdr:to>
    <xdr:sp macro="" textlink="">
      <xdr:nvSpPr>
        <xdr:cNvPr id="19" name="Rounded Rectangle 3">
          <a:extLst>
            <a:ext uri="{FF2B5EF4-FFF2-40B4-BE49-F238E27FC236}">
              <a16:creationId xmlns:a16="http://schemas.microsoft.com/office/drawing/2014/main" id="{00000000-0008-0000-0100-000013000000}"/>
            </a:ext>
          </a:extLst>
        </xdr:cNvPr>
        <xdr:cNvSpPr/>
      </xdr:nvSpPr>
      <xdr:spPr>
        <a:xfrm>
          <a:off x="14167332" y="1632174"/>
          <a:ext cx="2994128" cy="55630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Note: Resistors with 1% tolerance</a:t>
          </a:r>
          <a:r>
            <a:rPr lang="en-US" sz="1100" baseline="0"/>
            <a:t> are required for 2.5V VDDIO operations for PHY Address straps, otherwise use 10% tolerance.</a:t>
          </a:r>
          <a:endParaRPr lang="en-US" sz="1100"/>
        </a:p>
      </xdr:txBody>
    </xdr:sp>
    <xdr:clientData/>
  </xdr:twoCellAnchor>
  <xdr:twoCellAnchor>
    <xdr:from>
      <xdr:col>16</xdr:col>
      <xdr:colOff>37635</xdr:colOff>
      <xdr:row>8</xdr:row>
      <xdr:rowOff>183980</xdr:rowOff>
    </xdr:from>
    <xdr:to>
      <xdr:col>16</xdr:col>
      <xdr:colOff>556107</xdr:colOff>
      <xdr:row>10</xdr:row>
      <xdr:rowOff>92230</xdr:rowOff>
    </xdr:to>
    <xdr:cxnSp macro="">
      <xdr:nvCxnSpPr>
        <xdr:cNvPr id="21" name="Straight Arrow Connector 20">
          <a:extLst>
            <a:ext uri="{FF2B5EF4-FFF2-40B4-BE49-F238E27FC236}">
              <a16:creationId xmlns:a16="http://schemas.microsoft.com/office/drawing/2014/main" id="{00000000-0008-0000-0100-000015000000}"/>
            </a:ext>
          </a:extLst>
        </xdr:cNvPr>
        <xdr:cNvCxnSpPr>
          <a:stCxn id="19" idx="1"/>
        </xdr:cNvCxnSpPr>
      </xdr:nvCxnSpPr>
      <xdr:spPr>
        <a:xfrm flipH="1">
          <a:off x="13648860" y="1812755"/>
          <a:ext cx="518472" cy="308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28342</xdr:colOff>
      <xdr:row>8</xdr:row>
      <xdr:rowOff>183980</xdr:rowOff>
    </xdr:from>
    <xdr:to>
      <xdr:col>16</xdr:col>
      <xdr:colOff>556107</xdr:colOff>
      <xdr:row>9</xdr:row>
      <xdr:rowOff>73645</xdr:rowOff>
    </xdr:to>
    <xdr:cxnSp macro="">
      <xdr:nvCxnSpPr>
        <xdr:cNvPr id="24" name="Straight Arrow Connector 23">
          <a:extLst>
            <a:ext uri="{FF2B5EF4-FFF2-40B4-BE49-F238E27FC236}">
              <a16:creationId xmlns:a16="http://schemas.microsoft.com/office/drawing/2014/main" id="{00000000-0008-0000-0100-000018000000}"/>
            </a:ext>
          </a:extLst>
        </xdr:cNvPr>
        <xdr:cNvCxnSpPr>
          <a:stCxn id="19" idx="1"/>
        </xdr:cNvCxnSpPr>
      </xdr:nvCxnSpPr>
      <xdr:spPr>
        <a:xfrm flipH="1">
          <a:off x="13639567" y="1812755"/>
          <a:ext cx="527765" cy="896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114300</xdr:colOff>
          <xdr:row>107</xdr:row>
          <xdr:rowOff>133350</xdr:rowOff>
        </xdr:from>
        <xdr:to>
          <xdr:col>0</xdr:col>
          <xdr:colOff>695325</xdr:colOff>
          <xdr:row>109</xdr:row>
          <xdr:rowOff>180975</xdr:rowOff>
        </xdr:to>
        <xdr:sp macro="" textlink="">
          <xdr:nvSpPr>
            <xdr:cNvPr id="3084" name="List Box 12" hidden="1">
              <a:extLst>
                <a:ext uri="{63B3BB69-23CF-44E3-9099-C40C66FF867C}">
                  <a14:compatExt spid="_x0000_s3084"/>
                </a:ext>
                <a:ext uri="{FF2B5EF4-FFF2-40B4-BE49-F238E27FC236}">
                  <a16:creationId xmlns:a16="http://schemas.microsoft.com/office/drawing/2014/main" id="{2578EE87-0A62-4CC1-8C2D-2AEBE8F92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3</xdr:col>
      <xdr:colOff>356577</xdr:colOff>
      <xdr:row>3</xdr:row>
      <xdr:rowOff>24424</xdr:rowOff>
    </xdr:from>
    <xdr:ext cx="2271346" cy="211434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413977" y="424474"/>
          <a:ext cx="2271346" cy="2114340"/>
        </a:xfrm>
        <a:prstGeom prst="rect">
          <a:avLst/>
        </a:prstGeom>
      </xdr:spPr>
    </xdr:pic>
    <xdr:clientData/>
  </xdr:oneCellAnchor>
  <xdr:oneCellAnchor>
    <xdr:from>
      <xdr:col>2</xdr:col>
      <xdr:colOff>1479177</xdr:colOff>
      <xdr:row>51</xdr:row>
      <xdr:rowOff>37694</xdr:rowOff>
    </xdr:from>
    <xdr:ext cx="197" cy="3543654"/>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2060202" y="9038819"/>
          <a:ext cx="197" cy="3543654"/>
        </a:xfrm>
        <a:prstGeom prst="rect">
          <a:avLst/>
        </a:prstGeom>
      </xdr:spPr>
    </xdr:pic>
    <xdr:clientData/>
  </xdr:oneCellAnchor>
  <xdr:oneCellAnchor>
    <xdr:from>
      <xdr:col>3</xdr:col>
      <xdr:colOff>418354</xdr:colOff>
      <xdr:row>51</xdr:row>
      <xdr:rowOff>171825</xdr:rowOff>
    </xdr:from>
    <xdr:ext cx="2644588" cy="1693204"/>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2475754" y="9172950"/>
          <a:ext cx="2644588" cy="1693204"/>
        </a:xfrm>
        <a:prstGeom prst="rect">
          <a:avLst/>
        </a:prstGeom>
      </xdr:spPr>
    </xdr:pic>
    <xdr:clientData/>
  </xdr:oneCellAnchor>
  <xdr:oneCellAnchor>
    <xdr:from>
      <xdr:col>3</xdr:col>
      <xdr:colOff>276412</xdr:colOff>
      <xdr:row>20</xdr:row>
      <xdr:rowOff>1</xdr:rowOff>
    </xdr:from>
    <xdr:ext cx="2061883" cy="1558178"/>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2333812" y="3400426"/>
          <a:ext cx="2061883" cy="1558178"/>
        </a:xfrm>
        <a:prstGeom prst="rect">
          <a:avLst/>
        </a:prstGeom>
      </xdr:spPr>
    </xdr:pic>
    <xdr:clientData/>
  </xdr:oneCellAnchor>
  <xdr:twoCellAnchor>
    <xdr:from>
      <xdr:col>3</xdr:col>
      <xdr:colOff>859118</xdr:colOff>
      <xdr:row>20</xdr:row>
      <xdr:rowOff>224118</xdr:rowOff>
    </xdr:from>
    <xdr:to>
      <xdr:col>3</xdr:col>
      <xdr:colOff>1030942</xdr:colOff>
      <xdr:row>22</xdr:row>
      <xdr:rowOff>0</xdr:rowOff>
    </xdr:to>
    <xdr:cxnSp macro="">
      <xdr:nvCxnSpPr>
        <xdr:cNvPr id="6" name="Straight Arrow Connector 5">
          <a:extLst>
            <a:ext uri="{FF2B5EF4-FFF2-40B4-BE49-F238E27FC236}">
              <a16:creationId xmlns:a16="http://schemas.microsoft.com/office/drawing/2014/main" id="{00000000-0008-0000-0200-000006000000}"/>
            </a:ext>
          </a:extLst>
        </xdr:cNvPr>
        <xdr:cNvCxnSpPr/>
      </xdr:nvCxnSpPr>
      <xdr:spPr>
        <a:xfrm>
          <a:off x="2745068" y="3595968"/>
          <a:ext cx="374" cy="204507"/>
        </a:xfrm>
        <a:prstGeom prst="straightConnector1">
          <a:avLst/>
        </a:prstGeom>
        <a:ln w="381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857250</xdr:colOff>
      <xdr:row>20</xdr:row>
      <xdr:rowOff>209550</xdr:rowOff>
    </xdr:from>
    <xdr:to>
      <xdr:col>3</xdr:col>
      <xdr:colOff>1029074</xdr:colOff>
      <xdr:row>21</xdr:row>
      <xdr:rowOff>182282</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a:off x="2743200" y="3600450"/>
          <a:ext cx="374" cy="182282"/>
        </a:xfrm>
        <a:prstGeom prst="straightConnector1">
          <a:avLst/>
        </a:prstGeom>
        <a:ln w="381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1</xdr:rowOff>
    </xdr:from>
    <xdr:to>
      <xdr:col>2</xdr:col>
      <xdr:colOff>12605</xdr:colOff>
      <xdr:row>0</xdr:row>
      <xdr:rowOff>476251</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99000"/>
                  </a14:imgEffect>
                </a14:imgLayer>
              </a14:imgProps>
            </a:ext>
            <a:ext uri="{28A0092B-C50C-407E-A947-70E740481C1C}">
              <a14:useLocalDpi xmlns:a14="http://schemas.microsoft.com/office/drawing/2010/main" val="0"/>
            </a:ext>
          </a:extLst>
        </a:blip>
        <a:stretch>
          <a:fillRect/>
        </a:stretch>
      </xdr:blipFill>
      <xdr:spPr>
        <a:xfrm>
          <a:off x="1143000" y="1"/>
          <a:ext cx="4194080" cy="476250"/>
        </a:xfrm>
        <a:prstGeom prst="rect">
          <a:avLst/>
        </a:prstGeom>
      </xdr:spPr>
    </xdr:pic>
    <xdr:clientData fLocksWithSheet="0"/>
  </xdr:twoCellAnchor>
  <xdr:twoCellAnchor editAs="oneCell">
    <xdr:from>
      <xdr:col>1</xdr:col>
      <xdr:colOff>1</xdr:colOff>
      <xdr:row>1</xdr:row>
      <xdr:rowOff>0</xdr:rowOff>
    </xdr:from>
    <xdr:to>
      <xdr:col>2</xdr:col>
      <xdr:colOff>12701</xdr:colOff>
      <xdr:row>1</xdr:row>
      <xdr:rowOff>620155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25601" y="590550"/>
          <a:ext cx="4191000" cy="620155"/>
        </a:xfrm>
        <a:prstGeom prst="rect">
          <a:avLst/>
        </a:prstGeom>
      </xdr:spPr>
    </xdr:pic>
    <xdr:clientData/>
  </xdr:twoCellAnchor>
  <xdr:twoCellAnchor editAs="oneCell">
    <xdr:from>
      <xdr:col>1</xdr:col>
      <xdr:colOff>0</xdr:colOff>
      <xdr:row>2</xdr:row>
      <xdr:rowOff>0</xdr:rowOff>
    </xdr:from>
    <xdr:to>
      <xdr:col>1</xdr:col>
      <xdr:colOff>4163552</xdr:colOff>
      <xdr:row>3</xdr:row>
      <xdr:rowOff>6350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25600" y="1219200"/>
          <a:ext cx="4163552" cy="603250"/>
        </a:xfrm>
        <a:prstGeom prst="rect">
          <a:avLst/>
        </a:prstGeom>
      </xdr:spPr>
    </xdr:pic>
    <xdr:clientData/>
  </xdr:twoCellAnchor>
  <xdr:oneCellAnchor>
    <xdr:from>
      <xdr:col>1</xdr:col>
      <xdr:colOff>171450</xdr:colOff>
      <xdr:row>5</xdr:row>
      <xdr:rowOff>25400</xdr:rowOff>
    </xdr:from>
    <xdr:ext cx="3757613" cy="1654274"/>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97050" y="2235200"/>
          <a:ext cx="3757613" cy="1654274"/>
        </a:xfrm>
        <a:prstGeom prst="rect">
          <a:avLst/>
        </a:prstGeom>
      </xdr:spPr>
    </xdr:pic>
    <xdr:clientData/>
  </xdr:oneCellAnchor>
  <xdr:twoCellAnchor editAs="oneCell">
    <xdr:from>
      <xdr:col>1</xdr:col>
      <xdr:colOff>43544</xdr:colOff>
      <xdr:row>9</xdr:row>
      <xdr:rowOff>0</xdr:rowOff>
    </xdr:from>
    <xdr:to>
      <xdr:col>1</xdr:col>
      <xdr:colOff>4150529</xdr:colOff>
      <xdr:row>9</xdr:row>
      <xdr:rowOff>4833257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6"/>
        <a:stretch>
          <a:fillRect/>
        </a:stretch>
      </xdr:blipFill>
      <xdr:spPr>
        <a:xfrm>
          <a:off x="1676401" y="4931229"/>
          <a:ext cx="4106985" cy="4833257"/>
        </a:xfrm>
        <a:prstGeom prst="rect">
          <a:avLst/>
        </a:prstGeom>
      </xdr:spPr>
    </xdr:pic>
    <xdr:clientData/>
  </xdr:twoCellAnchor>
  <xdr:twoCellAnchor editAs="oneCell">
    <xdr:from>
      <xdr:col>1</xdr:col>
      <xdr:colOff>43544</xdr:colOff>
      <xdr:row>12</xdr:row>
      <xdr:rowOff>0</xdr:rowOff>
    </xdr:from>
    <xdr:to>
      <xdr:col>1</xdr:col>
      <xdr:colOff>4136573</xdr:colOff>
      <xdr:row>12</xdr:row>
      <xdr:rowOff>4317647</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a:stretch>
          <a:fillRect/>
        </a:stretch>
      </xdr:blipFill>
      <xdr:spPr>
        <a:xfrm>
          <a:off x="1676401" y="14325600"/>
          <a:ext cx="4093029" cy="4317647"/>
        </a:xfrm>
        <a:prstGeom prst="rect">
          <a:avLst/>
        </a:prstGeom>
      </xdr:spPr>
    </xdr:pic>
    <xdr:clientData/>
  </xdr:twoCellAnchor>
  <xdr:twoCellAnchor editAs="oneCell">
    <xdr:from>
      <xdr:col>1</xdr:col>
      <xdr:colOff>43544</xdr:colOff>
      <xdr:row>13</xdr:row>
      <xdr:rowOff>0</xdr:rowOff>
    </xdr:from>
    <xdr:to>
      <xdr:col>1</xdr:col>
      <xdr:colOff>4132311</xdr:colOff>
      <xdr:row>13</xdr:row>
      <xdr:rowOff>3842658</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stretch>
          <a:fillRect/>
        </a:stretch>
      </xdr:blipFill>
      <xdr:spPr>
        <a:xfrm>
          <a:off x="1676401" y="18690771"/>
          <a:ext cx="4088767" cy="3842658"/>
        </a:xfrm>
        <a:prstGeom prst="rect">
          <a:avLst/>
        </a:prstGeom>
      </xdr:spPr>
    </xdr:pic>
    <xdr:clientData/>
  </xdr:twoCellAnchor>
  <xdr:twoCellAnchor editAs="oneCell">
    <xdr:from>
      <xdr:col>1</xdr:col>
      <xdr:colOff>293914</xdr:colOff>
      <xdr:row>10</xdr:row>
      <xdr:rowOff>32657</xdr:rowOff>
    </xdr:from>
    <xdr:to>
      <xdr:col>1</xdr:col>
      <xdr:colOff>3886200</xdr:colOff>
      <xdr:row>10</xdr:row>
      <xdr:rowOff>4995122</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9"/>
        <a:stretch>
          <a:fillRect/>
        </a:stretch>
      </xdr:blipFill>
      <xdr:spPr>
        <a:xfrm>
          <a:off x="1926771" y="9862457"/>
          <a:ext cx="3592286" cy="4962465"/>
        </a:xfrm>
        <a:prstGeom prst="rect">
          <a:avLst/>
        </a:prstGeom>
      </xdr:spPr>
    </xdr:pic>
    <xdr:clientData/>
  </xdr:twoCellAnchor>
  <xdr:twoCellAnchor editAs="oneCell">
    <xdr:from>
      <xdr:col>1</xdr:col>
      <xdr:colOff>65314</xdr:colOff>
      <xdr:row>11</xdr:row>
      <xdr:rowOff>65314</xdr:rowOff>
    </xdr:from>
    <xdr:to>
      <xdr:col>1</xdr:col>
      <xdr:colOff>4060371</xdr:colOff>
      <xdr:row>11</xdr:row>
      <xdr:rowOff>5037636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0"/>
        <a:stretch>
          <a:fillRect/>
        </a:stretch>
      </xdr:blipFill>
      <xdr:spPr>
        <a:xfrm>
          <a:off x="1698171" y="15087600"/>
          <a:ext cx="3995057" cy="4972322"/>
        </a:xfrm>
        <a:prstGeom prst="rect">
          <a:avLst/>
        </a:prstGeom>
      </xdr:spPr>
    </xdr:pic>
    <xdr:clientData/>
  </xdr:twoCellAnchor>
  <xdr:twoCellAnchor editAs="oneCell">
    <xdr:from>
      <xdr:col>1</xdr:col>
      <xdr:colOff>501163</xdr:colOff>
      <xdr:row>15</xdr:row>
      <xdr:rowOff>46728</xdr:rowOff>
    </xdr:from>
    <xdr:to>
      <xdr:col>1</xdr:col>
      <xdr:colOff>3721547</xdr:colOff>
      <xdr:row>15</xdr:row>
      <xdr:rowOff>1792941</xdr:rowOff>
    </xdr:to>
    <xdr:pic>
      <xdr:nvPicPr>
        <xdr:cNvPr id="15" name="Picture 14">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2126016" y="30448287"/>
          <a:ext cx="3220384" cy="1746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185991</xdr:colOff>
      <xdr:row>14</xdr:row>
      <xdr:rowOff>268942</xdr:rowOff>
    </xdr:from>
    <xdr:to>
      <xdr:col>1</xdr:col>
      <xdr:colOff>3974410</xdr:colOff>
      <xdr:row>14</xdr:row>
      <xdr:rowOff>1320389</xdr:rowOff>
    </xdr:to>
    <xdr:pic>
      <xdr:nvPicPr>
        <xdr:cNvPr id="16" name="Picture 1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810844" y="28787913"/>
          <a:ext cx="3788419" cy="1051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81"/>
  <sheetViews>
    <sheetView tabSelected="1" zoomScale="70" zoomScaleNormal="70" workbookViewId="0">
      <selection activeCell="A2" sqref="A2"/>
    </sheetView>
  </sheetViews>
  <sheetFormatPr defaultColWidth="10.875" defaultRowHeight="15.75" x14ac:dyDescent="0.25"/>
  <cols>
    <col min="1" max="1" width="18.5" style="3" customWidth="1"/>
    <col min="2" max="2" width="4.375" hidden="1" customWidth="1"/>
    <col min="3" max="3" width="11.625" customWidth="1"/>
    <col min="4" max="4" width="16.375" style="3" customWidth="1"/>
    <col min="5" max="5" width="16.875" style="3" bestFit="1" customWidth="1"/>
    <col min="6" max="7" width="66.875" style="6" customWidth="1"/>
    <col min="8" max="8" width="26.5" style="3" customWidth="1"/>
    <col min="9" max="9" width="24.125" style="41" customWidth="1"/>
  </cols>
  <sheetData>
    <row r="1" spans="1:9" ht="31.15" customHeight="1" x14ac:dyDescent="0.25">
      <c r="A1" s="48" t="s">
        <v>159</v>
      </c>
      <c r="B1" s="48"/>
      <c r="C1" s="48"/>
      <c r="D1" s="48"/>
      <c r="E1" s="48"/>
      <c r="F1" s="48"/>
      <c r="G1" s="22"/>
      <c r="H1" s="21"/>
    </row>
    <row r="2" spans="1:9" ht="31.15" customHeight="1" x14ac:dyDescent="0.25">
      <c r="A2" s="46" t="s">
        <v>169</v>
      </c>
      <c r="B2" s="49" t="s">
        <v>170</v>
      </c>
      <c r="C2" s="49"/>
      <c r="D2" s="49"/>
      <c r="E2" s="28"/>
      <c r="F2" s="28"/>
      <c r="G2" s="30"/>
      <c r="H2" s="29"/>
    </row>
    <row r="3" spans="1:9" x14ac:dyDescent="0.25">
      <c r="A3" s="21"/>
      <c r="D3" s="21"/>
      <c r="E3" s="21"/>
      <c r="F3" s="22"/>
      <c r="G3" s="22"/>
      <c r="H3" s="21"/>
    </row>
    <row r="4" spans="1:9" s="13" customFormat="1" ht="23.25" customHeight="1" x14ac:dyDescent="0.25">
      <c r="A4" s="24" t="s">
        <v>32</v>
      </c>
      <c r="B4" s="25"/>
      <c r="C4" s="53" t="s">
        <v>139</v>
      </c>
      <c r="D4" s="54"/>
      <c r="E4" s="26" t="s">
        <v>123</v>
      </c>
      <c r="F4" s="26" t="s">
        <v>33</v>
      </c>
      <c r="G4" s="26" t="s">
        <v>34</v>
      </c>
      <c r="H4" s="43" t="s">
        <v>156</v>
      </c>
      <c r="I4" s="33" t="s">
        <v>155</v>
      </c>
    </row>
    <row r="5" spans="1:9" ht="165" customHeight="1" x14ac:dyDescent="0.25">
      <c r="A5" s="73" t="s">
        <v>35</v>
      </c>
      <c r="B5" s="1"/>
      <c r="C5" s="76" t="s">
        <v>160</v>
      </c>
      <c r="D5" s="77"/>
      <c r="E5" s="4" t="s">
        <v>161</v>
      </c>
      <c r="F5" s="8" t="s">
        <v>142</v>
      </c>
      <c r="G5" s="9" t="s">
        <v>36</v>
      </c>
      <c r="H5" s="31"/>
      <c r="I5" s="37"/>
    </row>
    <row r="6" spans="1:9" ht="165" customHeight="1" x14ac:dyDescent="0.25">
      <c r="A6" s="74"/>
      <c r="B6" s="1"/>
      <c r="C6" s="51" t="s">
        <v>37</v>
      </c>
      <c r="D6" s="52"/>
      <c r="E6" s="2">
        <v>18</v>
      </c>
      <c r="F6" s="8" t="s">
        <v>141</v>
      </c>
      <c r="G6" s="9"/>
      <c r="H6" s="42"/>
      <c r="I6" s="37"/>
    </row>
    <row r="7" spans="1:9" ht="78" customHeight="1" x14ac:dyDescent="0.25">
      <c r="A7" s="74"/>
      <c r="B7" s="1"/>
      <c r="C7" s="78" t="s">
        <v>144</v>
      </c>
      <c r="D7" s="27" t="s">
        <v>143</v>
      </c>
      <c r="E7" s="56">
        <v>15</v>
      </c>
      <c r="F7" s="69" t="s">
        <v>147</v>
      </c>
      <c r="G7" s="71"/>
      <c r="H7" s="75"/>
      <c r="I7" s="80"/>
    </row>
    <row r="8" spans="1:9" ht="100.5" customHeight="1" x14ac:dyDescent="0.25">
      <c r="A8" s="74"/>
      <c r="B8" s="1"/>
      <c r="C8" s="79"/>
      <c r="D8" s="44" t="s">
        <v>146</v>
      </c>
      <c r="E8" s="57"/>
      <c r="F8" s="70"/>
      <c r="G8" s="72"/>
      <c r="H8" s="75"/>
      <c r="I8" s="81"/>
    </row>
    <row r="9" spans="1:9" ht="18" customHeight="1" x14ac:dyDescent="0.25">
      <c r="A9" s="58"/>
      <c r="B9" s="59"/>
      <c r="C9" s="59"/>
      <c r="D9" s="59"/>
      <c r="E9" s="59"/>
      <c r="F9" s="59"/>
      <c r="G9" s="59"/>
      <c r="H9" s="59"/>
      <c r="I9" s="59"/>
    </row>
    <row r="10" spans="1:9" ht="142.5" customHeight="1" x14ac:dyDescent="0.25">
      <c r="A10" s="16" t="s">
        <v>38</v>
      </c>
      <c r="B10" s="1"/>
      <c r="C10" s="51" t="s">
        <v>38</v>
      </c>
      <c r="D10" s="52"/>
      <c r="E10" s="2" t="s">
        <v>39</v>
      </c>
      <c r="F10" s="8" t="s">
        <v>148</v>
      </c>
      <c r="G10" s="4"/>
      <c r="H10" s="42"/>
      <c r="I10" s="37"/>
    </row>
    <row r="11" spans="1:9" ht="18" customHeight="1" x14ac:dyDescent="0.25">
      <c r="A11" s="58"/>
      <c r="B11" s="59"/>
      <c r="C11" s="59"/>
      <c r="D11" s="59"/>
      <c r="E11" s="59"/>
      <c r="F11" s="59"/>
      <c r="G11" s="59"/>
      <c r="H11" s="59"/>
      <c r="I11" s="59"/>
    </row>
    <row r="12" spans="1:9" ht="90" customHeight="1" x14ac:dyDescent="0.25">
      <c r="A12" s="55" t="s">
        <v>124</v>
      </c>
      <c r="B12" s="1"/>
      <c r="C12" s="51" t="s">
        <v>40</v>
      </c>
      <c r="D12" s="52"/>
      <c r="E12" s="2">
        <v>13</v>
      </c>
      <c r="F12" s="8" t="str">
        <f>IF(OR(A12="Clock (25MHz XTAL)", A12="Clock (50MHz XTAL)"), "Populate 100 ohm series resistor on XI path.
Contact crystal vendor to tune capacitance values and ensure crystal circuit meets the specifications shown in table to the right.", "Ensure Oscillator Input meets  the spec (jitter, ppm, rise/fall time, duty cycle) as defined in datasheet.")</f>
        <v>Populate 100 ohm series resistor on XI path.
Contact crystal vendor to tune capacitance values and ensure crystal circuit meets the specifications shown in table to the right.</v>
      </c>
      <c r="G12" s="4"/>
      <c r="H12" s="42"/>
      <c r="I12" s="37"/>
    </row>
    <row r="13" spans="1:9" ht="135" customHeight="1" x14ac:dyDescent="0.25">
      <c r="A13" s="55"/>
      <c r="B13" s="1"/>
      <c r="C13" s="51" t="s">
        <v>41</v>
      </c>
      <c r="D13" s="52"/>
      <c r="E13" s="2">
        <v>12</v>
      </c>
      <c r="F13" s="8" t="str">
        <f>IF(A12="Clock (25Mhz XTAL)", "Populate XO series resistor as minimum value required for crystal wattage specification", "Do not connect")</f>
        <v>Populate XO series resistor as minimum value required for crystal wattage specification</v>
      </c>
      <c r="G13" s="4"/>
      <c r="H13" s="42"/>
      <c r="I13" s="37"/>
    </row>
    <row r="14" spans="1:9" ht="18" customHeight="1" x14ac:dyDescent="0.25">
      <c r="A14" s="58"/>
      <c r="B14" s="59"/>
      <c r="C14" s="59"/>
      <c r="D14" s="59"/>
      <c r="E14" s="59"/>
      <c r="F14" s="59"/>
      <c r="G14" s="59"/>
      <c r="H14" s="59"/>
      <c r="I14" s="59"/>
    </row>
    <row r="15" spans="1:9" ht="142.5" customHeight="1" x14ac:dyDescent="0.25">
      <c r="A15" s="67" t="s">
        <v>150</v>
      </c>
      <c r="B15" s="1"/>
      <c r="C15" s="51" t="s">
        <v>45</v>
      </c>
      <c r="D15" s="52"/>
      <c r="E15" s="2">
        <v>11</v>
      </c>
      <c r="F15" s="8" t="s">
        <v>149</v>
      </c>
      <c r="G15" s="4"/>
      <c r="H15" s="42"/>
      <c r="I15" s="37"/>
    </row>
    <row r="16" spans="1:9" ht="45" customHeight="1" x14ac:dyDescent="0.25">
      <c r="A16" s="68"/>
      <c r="B16" s="1"/>
      <c r="C16" s="51" t="s">
        <v>46</v>
      </c>
      <c r="D16" s="52"/>
      <c r="E16" s="2">
        <v>10</v>
      </c>
      <c r="F16" s="8" t="s">
        <v>162</v>
      </c>
      <c r="G16" s="14"/>
      <c r="H16" s="42"/>
      <c r="I16" s="37"/>
    </row>
    <row r="17" spans="1:9" ht="18" customHeight="1" x14ac:dyDescent="0.25">
      <c r="A17" s="58"/>
      <c r="B17" s="59"/>
      <c r="C17" s="59"/>
      <c r="D17" s="59"/>
      <c r="E17" s="59"/>
      <c r="F17" s="59"/>
      <c r="G17" s="59"/>
      <c r="H17" s="59"/>
      <c r="I17" s="59"/>
    </row>
    <row r="18" spans="1:9" ht="127.5" customHeight="1" x14ac:dyDescent="0.25">
      <c r="A18" s="67" t="s">
        <v>153</v>
      </c>
      <c r="B18" s="1"/>
      <c r="C18" s="51" t="s">
        <v>47</v>
      </c>
      <c r="D18" s="52"/>
      <c r="E18" s="2">
        <v>16</v>
      </c>
      <c r="F18" s="8" t="s">
        <v>157</v>
      </c>
      <c r="G18" s="14"/>
      <c r="H18" s="42"/>
      <c r="I18" s="37"/>
    </row>
    <row r="19" spans="1:9" ht="127.5" customHeight="1" x14ac:dyDescent="0.25">
      <c r="A19" s="68"/>
      <c r="B19" s="1"/>
      <c r="C19" s="51" t="s">
        <v>48</v>
      </c>
      <c r="D19" s="52"/>
      <c r="E19" s="2">
        <v>17</v>
      </c>
      <c r="F19" s="8" t="s">
        <v>163</v>
      </c>
      <c r="G19" s="14"/>
      <c r="H19" s="42"/>
      <c r="I19" s="37"/>
    </row>
    <row r="20" spans="1:9" ht="18" customHeight="1" x14ac:dyDescent="0.25">
      <c r="A20" s="58"/>
      <c r="B20" s="59"/>
      <c r="C20" s="59"/>
      <c r="D20" s="59"/>
      <c r="E20" s="59"/>
      <c r="F20" s="59"/>
      <c r="G20" s="59"/>
      <c r="H20" s="59"/>
      <c r="I20" s="59"/>
    </row>
    <row r="21" spans="1:9" ht="45" customHeight="1" x14ac:dyDescent="0.25">
      <c r="A21" s="50" t="s">
        <v>42</v>
      </c>
      <c r="B21" s="1"/>
      <c r="C21" s="51" t="s">
        <v>43</v>
      </c>
      <c r="D21" s="52"/>
      <c r="E21" s="2">
        <v>9</v>
      </c>
      <c r="F21" s="8" t="s">
        <v>158</v>
      </c>
      <c r="G21" s="4"/>
      <c r="H21" s="42"/>
      <c r="I21" s="37"/>
    </row>
    <row r="22" spans="1:9" ht="112.5" customHeight="1" x14ac:dyDescent="0.25">
      <c r="A22" s="50"/>
      <c r="B22" s="1"/>
      <c r="C22" s="51" t="s">
        <v>44</v>
      </c>
      <c r="D22" s="52"/>
      <c r="E22" s="2">
        <v>8</v>
      </c>
      <c r="F22" s="8" t="s">
        <v>177</v>
      </c>
      <c r="G22" s="4"/>
      <c r="H22" s="42"/>
      <c r="I22" s="37"/>
    </row>
    <row r="23" spans="1:9" ht="18" customHeight="1" x14ac:dyDescent="0.25">
      <c r="A23" s="62"/>
      <c r="B23" s="63"/>
      <c r="C23" s="63"/>
      <c r="D23" s="63"/>
      <c r="E23" s="63"/>
      <c r="F23" s="63"/>
      <c r="G23" s="63"/>
      <c r="H23" s="63"/>
      <c r="I23" s="63"/>
    </row>
    <row r="24" spans="1:9" ht="82.5" customHeight="1" x14ac:dyDescent="0.25">
      <c r="A24" s="50" t="s">
        <v>49</v>
      </c>
      <c r="B24" s="1"/>
      <c r="C24" s="51" t="s">
        <v>50</v>
      </c>
      <c r="D24" s="52"/>
      <c r="E24" s="2">
        <v>20</v>
      </c>
      <c r="F24" s="66" t="s">
        <v>178</v>
      </c>
      <c r="G24" s="65"/>
      <c r="H24" s="42"/>
      <c r="I24" s="37"/>
    </row>
    <row r="25" spans="1:9" ht="82.5" customHeight="1" x14ac:dyDescent="0.25">
      <c r="A25" s="50"/>
      <c r="B25" s="1"/>
      <c r="C25" s="51" t="s">
        <v>51</v>
      </c>
      <c r="D25" s="52"/>
      <c r="E25" s="2">
        <v>19</v>
      </c>
      <c r="F25" s="66"/>
      <c r="G25" s="65"/>
      <c r="H25" s="42"/>
      <c r="I25" s="37"/>
    </row>
    <row r="26" spans="1:9" ht="18" customHeight="1" x14ac:dyDescent="0.25">
      <c r="A26" s="62"/>
      <c r="B26" s="63"/>
      <c r="C26" s="63"/>
      <c r="D26" s="63"/>
      <c r="E26" s="63"/>
      <c r="F26" s="63"/>
      <c r="G26" s="63"/>
      <c r="H26" s="63"/>
      <c r="I26" s="63"/>
    </row>
    <row r="27" spans="1:9" ht="23.45" customHeight="1" x14ac:dyDescent="0.25">
      <c r="A27" s="55" t="s">
        <v>136</v>
      </c>
      <c r="B27" s="1"/>
      <c r="C27" s="51" t="s">
        <v>52</v>
      </c>
      <c r="D27" s="52"/>
      <c r="E27" s="2">
        <v>1</v>
      </c>
      <c r="F27" s="4" t="str">
        <f>IF(OR(A27="MII Mode", A27="RGMII Mode"), "25 MHz Transmit Clock", "Do Not Connect")</f>
        <v>Do Not Connect</v>
      </c>
      <c r="G27" s="65"/>
      <c r="H27" s="42"/>
      <c r="I27" s="37"/>
    </row>
    <row r="28" spans="1:9" ht="23.45" customHeight="1" x14ac:dyDescent="0.25">
      <c r="A28" s="64"/>
      <c r="B28" s="1"/>
      <c r="C28" s="51" t="s">
        <v>168</v>
      </c>
      <c r="D28" s="52"/>
      <c r="E28" s="2">
        <v>2</v>
      </c>
      <c r="F28" s="5" t="str">
        <f>_xlfn.SWITCH(A27,"MII Mode","Transmit Enable", "RMII Master Mode", "Transmit Enable", "RMII Slave Mode", "Transmit Enable", "RGMII Mode", "Transmit Control", "SGMII Mode", "Do Not Connect")</f>
        <v>Transmit Enable</v>
      </c>
      <c r="G28" s="65"/>
      <c r="H28" s="42"/>
      <c r="I28" s="37"/>
    </row>
    <row r="29" spans="1:9" ht="23.45" customHeight="1" x14ac:dyDescent="0.25">
      <c r="A29" s="64"/>
      <c r="B29" s="1"/>
      <c r="C29" s="51" t="s">
        <v>53</v>
      </c>
      <c r="D29" s="52"/>
      <c r="E29" s="2">
        <v>3</v>
      </c>
      <c r="F29" s="5" t="str">
        <f>IF(OR(A27="MII Mode", A27="RGMII Mode"), "Transmit Data", "Do Not Connect")</f>
        <v>Do Not Connect</v>
      </c>
      <c r="G29" s="65"/>
      <c r="H29" s="42"/>
      <c r="I29" s="37"/>
    </row>
    <row r="30" spans="1:9" ht="23.45" customHeight="1" x14ac:dyDescent="0.25">
      <c r="A30" s="64"/>
      <c r="B30" s="1"/>
      <c r="C30" s="51" t="s">
        <v>54</v>
      </c>
      <c r="D30" s="52"/>
      <c r="E30" s="2">
        <v>4</v>
      </c>
      <c r="F30" s="5" t="str">
        <f>IF(OR(A27="MII Mode", A27="RGMII Mode"), "Transmit Data", "Do Not Connect")</f>
        <v>Do Not Connect</v>
      </c>
      <c r="G30" s="65"/>
      <c r="H30" s="42"/>
      <c r="I30" s="37"/>
    </row>
    <row r="31" spans="1:9" ht="23.45" customHeight="1" x14ac:dyDescent="0.25">
      <c r="A31" s="64"/>
      <c r="B31" s="1"/>
      <c r="C31" s="51" t="s">
        <v>164</v>
      </c>
      <c r="D31" s="52"/>
      <c r="E31" s="2">
        <v>5</v>
      </c>
      <c r="F31" s="5" t="str">
        <f>IF(A27="SGMII Mode", "Transmit Data (TX_P)", "Transmit Data")</f>
        <v>Transmit Data</v>
      </c>
      <c r="G31" s="65"/>
      <c r="H31" s="42"/>
      <c r="I31" s="37"/>
    </row>
    <row r="32" spans="1:9" ht="23.45" customHeight="1" x14ac:dyDescent="0.25">
      <c r="A32" s="64"/>
      <c r="B32" s="1"/>
      <c r="C32" s="51" t="s">
        <v>165</v>
      </c>
      <c r="D32" s="52"/>
      <c r="E32" s="2">
        <v>6</v>
      </c>
      <c r="F32" s="5" t="str">
        <f>IF(A27="SGMII Mode", "Transmit Data (TX_M)", "Transmit Data")</f>
        <v>Transmit Data</v>
      </c>
      <c r="G32" s="65"/>
      <c r="H32" s="42"/>
      <c r="I32" s="37"/>
    </row>
    <row r="33" spans="1:9" ht="23.45" customHeight="1" x14ac:dyDescent="0.25">
      <c r="A33" s="64"/>
      <c r="B33" s="1"/>
      <c r="C33" s="51" t="s">
        <v>134</v>
      </c>
      <c r="D33" s="52"/>
      <c r="E33" s="2">
        <v>14</v>
      </c>
      <c r="F33" s="4" t="str">
        <f>IF(A27="MII Mode", "Transmit Error (Write Register 0x453[15] = 1 to set LED_1 pin to TX_ER)", "Do Not Connect")</f>
        <v>Do Not Connect</v>
      </c>
      <c r="G33" s="65"/>
      <c r="H33" s="42"/>
      <c r="I33" s="37"/>
    </row>
    <row r="34" spans="1:9" ht="24" customHeight="1" x14ac:dyDescent="0.25">
      <c r="A34" s="64"/>
      <c r="B34" s="1"/>
      <c r="C34" s="51" t="s">
        <v>55</v>
      </c>
      <c r="D34" s="52"/>
      <c r="E34" s="2">
        <v>28</v>
      </c>
      <c r="F34" s="4" t="str">
        <f>IF(OR(A27="MII Mode", A27="RGMII Mode"), "25 MHz Receive Clock", "Do Not Connect")</f>
        <v>Do Not Connect</v>
      </c>
      <c r="G34" s="65"/>
      <c r="H34" s="42"/>
      <c r="I34" s="37"/>
    </row>
    <row r="35" spans="1:9" ht="23.45" customHeight="1" x14ac:dyDescent="0.25">
      <c r="A35" s="64"/>
      <c r="B35" s="1"/>
      <c r="C35" s="51" t="s">
        <v>2</v>
      </c>
      <c r="D35" s="52"/>
      <c r="E35" s="2">
        <v>27</v>
      </c>
      <c r="F35" s="4" t="str">
        <f>IF(A27="SGMII Mode", "Do Not Connect", "Receive Data")</f>
        <v>Receive Data</v>
      </c>
      <c r="G35" s="65"/>
      <c r="H35" s="42"/>
      <c r="I35" s="37"/>
    </row>
    <row r="36" spans="1:9" ht="23.45" customHeight="1" x14ac:dyDescent="0.25">
      <c r="A36" s="64"/>
      <c r="B36" s="1"/>
      <c r="C36" s="51" t="s">
        <v>1</v>
      </c>
      <c r="D36" s="52"/>
      <c r="E36" s="2">
        <v>26</v>
      </c>
      <c r="F36" s="4" t="str">
        <f>IF(A27="SGMII Mode", "Do Not Connect", "Receive Data")</f>
        <v>Receive Data</v>
      </c>
      <c r="G36" s="65"/>
      <c r="H36" s="42"/>
      <c r="I36" s="37"/>
    </row>
    <row r="37" spans="1:9" ht="23.45" customHeight="1" x14ac:dyDescent="0.25">
      <c r="A37" s="64"/>
      <c r="B37" s="1"/>
      <c r="C37" s="51" t="s">
        <v>166</v>
      </c>
      <c r="D37" s="52"/>
      <c r="E37" s="2">
        <v>25</v>
      </c>
      <c r="F37" s="4" t="str">
        <f>_xlfn.SWITCH(A27, "RMII Master Mode", "Do Not Connect", "RMII Slave Mode", "Do Not Connect", "SGMII Mode", "Receive Data (RX_P)", "Receive Data")</f>
        <v>Do Not Connect</v>
      </c>
      <c r="G37" s="65"/>
      <c r="H37" s="42"/>
      <c r="I37" s="37"/>
    </row>
    <row r="38" spans="1:9" ht="23.45" customHeight="1" x14ac:dyDescent="0.25">
      <c r="A38" s="64"/>
      <c r="B38" s="1"/>
      <c r="C38" s="51" t="s">
        <v>167</v>
      </c>
      <c r="D38" s="52"/>
      <c r="E38" s="2">
        <v>24</v>
      </c>
      <c r="F38" s="4" t="str">
        <f>_xlfn.SWITCH(A27, "RMII Master Mode", "50 MHz Reference Clock Output", "RMII Slave Mode", "Do Not Connect", "SGMII Mode", "Receive Data (RX_M)", "Receive Data")</f>
        <v>50 MHz Reference Clock Output</v>
      </c>
      <c r="G38" s="65"/>
      <c r="H38" s="42"/>
      <c r="I38" s="37"/>
    </row>
    <row r="39" spans="1:9" ht="23.45" customHeight="1" x14ac:dyDescent="0.25">
      <c r="A39" s="64"/>
      <c r="B39" s="1"/>
      <c r="C39" s="51" t="s">
        <v>56</v>
      </c>
      <c r="D39" s="52"/>
      <c r="E39" s="2">
        <v>22</v>
      </c>
      <c r="F39" s="4" t="str">
        <f>_xlfn.SWITCH(A27, "MII Mode", "Receive Data Valid",  "RMII Master Mode", "Carrier Sense Data Valid", "RMII Slave Mode", "Carrier Sense Data Valid", "RGMII Mode", "Receive Control", "Do Not Connect")</f>
        <v>Carrier Sense Data Valid</v>
      </c>
      <c r="G39" s="65"/>
      <c r="H39" s="42"/>
      <c r="I39" s="37"/>
    </row>
    <row r="40" spans="1:9" ht="23.45" customHeight="1" x14ac:dyDescent="0.25">
      <c r="A40" s="64"/>
      <c r="B40" s="1"/>
      <c r="C40" s="51" t="s">
        <v>18</v>
      </c>
      <c r="D40" s="52"/>
      <c r="E40" s="2">
        <v>21</v>
      </c>
      <c r="F40" s="4" t="str">
        <f>IF(A27="MII Mode", "Receive Error", "Do Not Connect")</f>
        <v>Do Not Connect</v>
      </c>
      <c r="G40" s="65"/>
      <c r="H40" s="42"/>
      <c r="I40" s="37"/>
    </row>
    <row r="41" spans="1:9" ht="18" customHeight="1" x14ac:dyDescent="0.25">
      <c r="A41" s="58"/>
      <c r="B41" s="59"/>
      <c r="C41" s="59"/>
      <c r="D41" s="59"/>
      <c r="E41" s="59"/>
      <c r="F41" s="59"/>
      <c r="G41" s="59"/>
      <c r="H41" s="59"/>
      <c r="I41" s="59"/>
    </row>
    <row r="42" spans="1:9" ht="93" customHeight="1" x14ac:dyDescent="0.25">
      <c r="A42" s="47" t="s">
        <v>172</v>
      </c>
      <c r="B42" s="1"/>
      <c r="C42" s="51" t="s">
        <v>171</v>
      </c>
      <c r="D42" s="52"/>
      <c r="E42" s="2">
        <v>14</v>
      </c>
      <c r="F42" s="15" t="s">
        <v>173</v>
      </c>
      <c r="G42" s="45"/>
      <c r="H42" s="42"/>
      <c r="I42" s="37"/>
    </row>
    <row r="43" spans="1:9" ht="18" customHeight="1" x14ac:dyDescent="0.25">
      <c r="A43" s="58"/>
      <c r="B43" s="59"/>
      <c r="C43" s="59"/>
      <c r="D43" s="59"/>
      <c r="E43" s="59"/>
      <c r="F43" s="59"/>
      <c r="G43" s="59"/>
      <c r="H43" s="59"/>
      <c r="I43" s="59"/>
    </row>
    <row r="44" spans="1:9" ht="24" customHeight="1" x14ac:dyDescent="0.25">
      <c r="A44" s="20" t="s">
        <v>135</v>
      </c>
      <c r="B44" s="1"/>
      <c r="C44" s="60" t="s">
        <v>151</v>
      </c>
      <c r="D44" s="61"/>
      <c r="E44" s="23"/>
      <c r="F44" s="1"/>
      <c r="G44" s="1"/>
      <c r="H44" s="42"/>
      <c r="I44" s="37"/>
    </row>
    <row r="45" spans="1:9" x14ac:dyDescent="0.25">
      <c r="A45"/>
      <c r="D45"/>
      <c r="E45"/>
      <c r="F45"/>
      <c r="G45"/>
      <c r="H45"/>
    </row>
    <row r="46" spans="1:9" x14ac:dyDescent="0.25">
      <c r="A46"/>
      <c r="D46"/>
      <c r="E46"/>
      <c r="F46"/>
      <c r="G46"/>
      <c r="H46"/>
    </row>
    <row r="51" spans="6:8" x14ac:dyDescent="0.25">
      <c r="F51"/>
      <c r="G51"/>
      <c r="H51"/>
    </row>
    <row r="52" spans="6:8" x14ac:dyDescent="0.25">
      <c r="F52"/>
      <c r="G52"/>
      <c r="H52"/>
    </row>
    <row r="53" spans="6:8" x14ac:dyDescent="0.25">
      <c r="F53"/>
      <c r="G53"/>
      <c r="H53"/>
    </row>
    <row r="54" spans="6:8" x14ac:dyDescent="0.25">
      <c r="F54"/>
      <c r="G54"/>
      <c r="H54"/>
    </row>
    <row r="55" spans="6:8" x14ac:dyDescent="0.25">
      <c r="F55"/>
      <c r="G55"/>
      <c r="H55"/>
    </row>
    <row r="59" spans="6:8" x14ac:dyDescent="0.25">
      <c r="F59"/>
      <c r="G59"/>
      <c r="H59"/>
    </row>
    <row r="60" spans="6:8" x14ac:dyDescent="0.25">
      <c r="F60"/>
      <c r="G60"/>
      <c r="H60"/>
    </row>
    <row r="61" spans="6:8" x14ac:dyDescent="0.25">
      <c r="F61"/>
      <c r="G61"/>
      <c r="H61"/>
    </row>
    <row r="62" spans="6:8" x14ac:dyDescent="0.25">
      <c r="F62"/>
      <c r="G62"/>
      <c r="H62"/>
    </row>
    <row r="63" spans="6:8" x14ac:dyDescent="0.25">
      <c r="F63"/>
      <c r="G63"/>
      <c r="H63"/>
    </row>
    <row r="64" spans="6:8" x14ac:dyDescent="0.25">
      <c r="F64"/>
      <c r="G64"/>
      <c r="H64"/>
    </row>
    <row r="65" spans="1:8" x14ac:dyDescent="0.25">
      <c r="A65"/>
      <c r="D65"/>
      <c r="E65"/>
      <c r="F65"/>
      <c r="G65"/>
      <c r="H65"/>
    </row>
    <row r="66" spans="1:8" x14ac:dyDescent="0.25">
      <c r="A66"/>
      <c r="D66"/>
      <c r="E66"/>
      <c r="F66"/>
      <c r="G66"/>
      <c r="H66"/>
    </row>
    <row r="67" spans="1:8" x14ac:dyDescent="0.25">
      <c r="A67"/>
      <c r="D67"/>
      <c r="E67"/>
      <c r="F67"/>
      <c r="G67"/>
      <c r="H67"/>
    </row>
    <row r="68" spans="1:8" x14ac:dyDescent="0.25">
      <c r="A68"/>
      <c r="D68"/>
      <c r="E68"/>
      <c r="F68"/>
      <c r="G68"/>
      <c r="H68"/>
    </row>
    <row r="69" spans="1:8" x14ac:dyDescent="0.25">
      <c r="A69"/>
      <c r="D69"/>
      <c r="E69"/>
      <c r="F69"/>
      <c r="G69"/>
      <c r="H69"/>
    </row>
    <row r="70" spans="1:8" x14ac:dyDescent="0.25">
      <c r="A70"/>
      <c r="D70"/>
      <c r="E70"/>
      <c r="F70"/>
      <c r="G70"/>
      <c r="H70"/>
    </row>
    <row r="71" spans="1:8" x14ac:dyDescent="0.25">
      <c r="A71"/>
      <c r="D71"/>
      <c r="E71"/>
      <c r="F71"/>
      <c r="G71"/>
      <c r="H71"/>
    </row>
    <row r="72" spans="1:8" x14ac:dyDescent="0.25">
      <c r="A72"/>
      <c r="D72"/>
      <c r="E72"/>
      <c r="F72"/>
      <c r="G72"/>
      <c r="H72"/>
    </row>
    <row r="73" spans="1:8" x14ac:dyDescent="0.25">
      <c r="A73"/>
      <c r="D73"/>
      <c r="E73"/>
      <c r="F73"/>
      <c r="G73"/>
      <c r="H73"/>
    </row>
    <row r="74" spans="1:8" x14ac:dyDescent="0.25">
      <c r="A74"/>
      <c r="D74"/>
      <c r="E74"/>
      <c r="F74"/>
      <c r="G74"/>
      <c r="H74"/>
    </row>
    <row r="75" spans="1:8" x14ac:dyDescent="0.25">
      <c r="A75"/>
      <c r="D75"/>
      <c r="E75"/>
      <c r="F75"/>
      <c r="G75"/>
      <c r="H75"/>
    </row>
    <row r="76" spans="1:8" x14ac:dyDescent="0.25">
      <c r="A76"/>
      <c r="D76"/>
      <c r="E76"/>
      <c r="F76"/>
      <c r="G76"/>
      <c r="H76"/>
    </row>
    <row r="77" spans="1:8" x14ac:dyDescent="0.25">
      <c r="A77"/>
      <c r="D77"/>
      <c r="E77"/>
      <c r="F77"/>
      <c r="G77"/>
      <c r="H77"/>
    </row>
    <row r="78" spans="1:8" x14ac:dyDescent="0.25">
      <c r="A78"/>
      <c r="D78"/>
      <c r="E78"/>
      <c r="F78"/>
      <c r="G78"/>
      <c r="H78"/>
    </row>
    <row r="81" ht="27" customHeight="1" x14ac:dyDescent="0.25"/>
  </sheetData>
  <dataConsolidate link="1"/>
  <mergeCells count="57">
    <mergeCell ref="F7:F8"/>
    <mergeCell ref="G7:G8"/>
    <mergeCell ref="A9:I9"/>
    <mergeCell ref="A11:I11"/>
    <mergeCell ref="A5:A8"/>
    <mergeCell ref="H7:H8"/>
    <mergeCell ref="C5:D5"/>
    <mergeCell ref="C6:D6"/>
    <mergeCell ref="C10:D10"/>
    <mergeCell ref="C7:C8"/>
    <mergeCell ref="I7:I8"/>
    <mergeCell ref="G24:G25"/>
    <mergeCell ref="F24:F25"/>
    <mergeCell ref="A18:A19"/>
    <mergeCell ref="A15:A16"/>
    <mergeCell ref="A14:I14"/>
    <mergeCell ref="A17:I17"/>
    <mergeCell ref="A20:I20"/>
    <mergeCell ref="A23:I23"/>
    <mergeCell ref="A21:A22"/>
    <mergeCell ref="A26:I26"/>
    <mergeCell ref="C35:D35"/>
    <mergeCell ref="C36:D36"/>
    <mergeCell ref="C27:D27"/>
    <mergeCell ref="C28:D28"/>
    <mergeCell ref="C29:D29"/>
    <mergeCell ref="C30:D30"/>
    <mergeCell ref="C31:D31"/>
    <mergeCell ref="A27:A40"/>
    <mergeCell ref="G27:G40"/>
    <mergeCell ref="C32:D32"/>
    <mergeCell ref="C33:D33"/>
    <mergeCell ref="C34:D34"/>
    <mergeCell ref="C37:D37"/>
    <mergeCell ref="C38:D38"/>
    <mergeCell ref="C42:D42"/>
    <mergeCell ref="A41:I41"/>
    <mergeCell ref="A43:I43"/>
    <mergeCell ref="C44:D44"/>
    <mergeCell ref="C39:D39"/>
    <mergeCell ref="C40:D40"/>
    <mergeCell ref="A1:F1"/>
    <mergeCell ref="B2:D2"/>
    <mergeCell ref="A24:A25"/>
    <mergeCell ref="C21:D21"/>
    <mergeCell ref="C22:D22"/>
    <mergeCell ref="C24:D24"/>
    <mergeCell ref="C25:D25"/>
    <mergeCell ref="C15:D15"/>
    <mergeCell ref="C16:D16"/>
    <mergeCell ref="C18:D18"/>
    <mergeCell ref="C19:D19"/>
    <mergeCell ref="C4:D4"/>
    <mergeCell ref="C13:D13"/>
    <mergeCell ref="A12:A13"/>
    <mergeCell ref="C12:D12"/>
    <mergeCell ref="E7:E8"/>
  </mergeCells>
  <conditionalFormatting sqref="H5:H8 H10 H12:H13 H15:H16 H18:H19 H21:H22 H24:H25 H27:H40 H44 H42">
    <cfRule type="cellIs" dxfId="2" priority="2" operator="equal">
      <formula>"Yes"</formula>
    </cfRule>
    <cfRule type="cellIs" dxfId="1" priority="3" operator="equal">
      <formula>"No"</formula>
    </cfRule>
  </conditionalFormatting>
  <conditionalFormatting sqref="F27:F40">
    <cfRule type="cellIs" dxfId="0" priority="1" operator="equal">
      <formula>"Do Not Connect"</formula>
    </cfRule>
  </conditionalFormatting>
  <dataValidations count="5">
    <dataValidation type="list" allowBlank="1" showInputMessage="1" showErrorMessage="1" sqref="A43 A41" xr:uid="{22D909A6-162C-41FC-B7B1-590C1D65D5F5}">
      <formula1>"MII Mode, RMII Mode, RGMII Mode, SGMII Mode"</formula1>
    </dataValidation>
    <dataValidation type="list" allowBlank="1" showInputMessage="1" showErrorMessage="1" sqref="A12" xr:uid="{F684DCEE-8908-4DAF-BB98-940C5CAC345F}">
      <formula1>"Clock (25MHz XTAL), Clock (25MHz Oscillator), Clock (50MHz Oscillator)"</formula1>
    </dataValidation>
    <dataValidation type="list" allowBlank="1" showInputMessage="1" showErrorMessage="1" sqref="A27:A40" xr:uid="{AFE870B0-CA0B-4D18-8845-2D77BC4E2015}">
      <formula1>"MII Mode, RMII Master Mode, RMII Slave Mode, RGMII Mode, SGMII Mode"</formula1>
    </dataValidation>
    <dataValidation type="list" allowBlank="1" showInputMessage="1" showErrorMessage="1" sqref="D8" xr:uid="{E2C4979A-D120-4C97-8E1E-9AE1041F5AF6}">
      <formula1>"Yes, No"</formula1>
    </dataValidation>
    <dataValidation type="list" allowBlank="1" showInputMessage="1" showErrorMessage="1" sqref="A2" xr:uid="{152EE0C7-0C30-4868-A3D3-6504E169A52D}">
      <formula1>"Click Me, Good Job!"</formula1>
    </dataValidation>
  </dataValidations>
  <hyperlinks>
    <hyperlink ref="C44:D44" location="'Strap Tool'!A1" display="DP83TC812 Strap Tool" xr:uid="{7C06B65B-A73E-4559-AA9D-062B3EC6A9F1}"/>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723" r:id="rId4" name="List Box 1603">
              <controlPr defaultSize="0" autoLine="0" autoPict="0">
                <anchor moveWithCells="1">
                  <from>
                    <xdr:col>0</xdr:col>
                    <xdr:colOff>114300</xdr:colOff>
                    <xdr:row>80</xdr:row>
                    <xdr:rowOff>104775</xdr:rowOff>
                  </from>
                  <to>
                    <xdr:col>0</xdr:col>
                    <xdr:colOff>695325</xdr:colOff>
                    <xdr:row>82</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Z67"/>
  <sheetViews>
    <sheetView zoomScale="85" zoomScaleNormal="85" workbookViewId="0">
      <selection activeCell="B13" sqref="B13"/>
    </sheetView>
  </sheetViews>
  <sheetFormatPr defaultColWidth="11.125" defaultRowHeight="15.75" x14ac:dyDescent="0.25"/>
  <cols>
    <col min="1" max="1" width="14.25" style="7" customWidth="1"/>
    <col min="2" max="2" width="11.125" style="7"/>
    <col min="3" max="4" width="13.625" style="7" customWidth="1"/>
    <col min="5" max="5" width="12.375" style="7" bestFit="1" customWidth="1"/>
    <col min="6" max="8" width="11.125" style="7"/>
    <col min="9" max="11" width="11.125" style="7" customWidth="1"/>
    <col min="12" max="12" width="11.125" style="7"/>
    <col min="13" max="13" width="10.625" style="7" customWidth="1"/>
    <col min="14" max="14" width="11.125" style="7"/>
    <col min="15" max="15" width="14" customWidth="1"/>
    <col min="16" max="16" width="17.125" style="7" hidden="1" customWidth="1"/>
    <col min="17" max="17" width="11.125" style="7" customWidth="1"/>
    <col min="18" max="16384" width="11.125" style="7"/>
  </cols>
  <sheetData>
    <row r="3" spans="1:26" s="10" customFormat="1" ht="15.6" customHeight="1" thickBot="1" x14ac:dyDescent="0.3">
      <c r="O3"/>
    </row>
    <row r="4" spans="1:26" s="10" customFormat="1" ht="18.75" x14ac:dyDescent="0.35">
      <c r="B4" s="90" t="s">
        <v>6</v>
      </c>
      <c r="C4" s="82"/>
      <c r="D4" s="82"/>
      <c r="E4" s="82"/>
      <c r="F4" s="82" t="s">
        <v>7</v>
      </c>
      <c r="G4" s="82"/>
      <c r="H4" s="82" t="s">
        <v>121</v>
      </c>
      <c r="I4" s="82"/>
      <c r="J4" s="82" t="s">
        <v>8</v>
      </c>
      <c r="K4" s="82"/>
      <c r="L4" s="82" t="s">
        <v>107</v>
      </c>
      <c r="M4" s="82"/>
      <c r="N4" s="82" t="s">
        <v>108</v>
      </c>
      <c r="O4" s="83"/>
    </row>
    <row r="5" spans="1:26" s="10" customFormat="1" x14ac:dyDescent="0.25">
      <c r="B5" s="87" t="s">
        <v>9</v>
      </c>
      <c r="C5" s="88"/>
      <c r="D5" s="89" t="s">
        <v>127</v>
      </c>
      <c r="E5" s="89"/>
      <c r="F5" s="84" t="s">
        <v>2</v>
      </c>
      <c r="G5" s="84"/>
      <c r="H5" s="84">
        <v>27</v>
      </c>
      <c r="I5" s="84"/>
      <c r="J5" s="84" t="str">
        <f>VLOOKUP($D$5,$A$22:$D$29,4, FALSE)</f>
        <v>Mode 1</v>
      </c>
      <c r="K5" s="84"/>
      <c r="L5" s="85" t="str">
        <f>VLOOKUP(J5, $A$43:$C$44,2,FALSE)</f>
        <v>OPEN</v>
      </c>
      <c r="M5" s="85"/>
      <c r="N5" s="85" t="str">
        <f>VLOOKUP(J5, $A$43:$C$44,3,FALSE)</f>
        <v>OPEN</v>
      </c>
      <c r="O5" s="86"/>
      <c r="P5" t="str">
        <f t="shared" ref="P5:P9" si="0">_xlfn.SWITCH(J5, "Mode 1", "0", "Mode 2", "1")</f>
        <v>0</v>
      </c>
      <c r="Q5"/>
      <c r="R5" s="18"/>
      <c r="S5" s="17"/>
      <c r="T5"/>
      <c r="U5"/>
      <c r="V5"/>
      <c r="W5"/>
      <c r="X5"/>
      <c r="Y5"/>
      <c r="Z5"/>
    </row>
    <row r="6" spans="1:26" x14ac:dyDescent="0.25">
      <c r="B6" s="87"/>
      <c r="C6" s="88"/>
      <c r="D6" s="89"/>
      <c r="E6" s="89"/>
      <c r="F6" s="84" t="s">
        <v>1</v>
      </c>
      <c r="G6" s="84"/>
      <c r="H6" s="84">
        <v>26</v>
      </c>
      <c r="I6" s="84"/>
      <c r="J6" s="84" t="str">
        <f>VLOOKUP($D$5,$A$22:$D$29,3, FALSE)</f>
        <v>Mode 1</v>
      </c>
      <c r="K6" s="84"/>
      <c r="L6" s="85" t="str">
        <f>VLOOKUP(J6, $A$43:$C$44,2,FALSE)</f>
        <v>OPEN</v>
      </c>
      <c r="M6" s="85"/>
      <c r="N6" s="85" t="str">
        <f>VLOOKUP(J6, $A$43:$C$44,3,FALSE)</f>
        <v>OPEN</v>
      </c>
      <c r="O6" s="86"/>
      <c r="P6" t="str">
        <f t="shared" si="0"/>
        <v>0</v>
      </c>
      <c r="Q6"/>
      <c r="R6" s="17"/>
      <c r="S6"/>
      <c r="T6"/>
      <c r="U6"/>
      <c r="V6"/>
      <c r="W6"/>
      <c r="X6"/>
      <c r="Y6"/>
      <c r="Z6"/>
    </row>
    <row r="7" spans="1:26" x14ac:dyDescent="0.25">
      <c r="B7" s="87"/>
      <c r="C7" s="88"/>
      <c r="D7" s="89"/>
      <c r="E7" s="89"/>
      <c r="F7" s="84" t="s">
        <v>0</v>
      </c>
      <c r="G7" s="84"/>
      <c r="H7" s="84">
        <v>25</v>
      </c>
      <c r="I7" s="84"/>
      <c r="J7" s="84" t="str">
        <f>VLOOKUP($D$5,$A$22:$D$29,2, FALSE)</f>
        <v>Mode 1</v>
      </c>
      <c r="K7" s="84"/>
      <c r="L7" s="85" t="str">
        <f>VLOOKUP(J7, $A$43:$C$44,2,FALSE)</f>
        <v>OPEN</v>
      </c>
      <c r="M7" s="85"/>
      <c r="N7" s="85" t="str">
        <f>VLOOKUP(J7, $A$43:$C$44,3,FALSE)</f>
        <v>OPEN</v>
      </c>
      <c r="O7" s="86"/>
      <c r="P7" t="str">
        <f t="shared" si="0"/>
        <v>0</v>
      </c>
      <c r="Q7"/>
      <c r="R7" s="17"/>
      <c r="S7"/>
      <c r="T7"/>
      <c r="U7"/>
      <c r="V7"/>
      <c r="W7"/>
      <c r="X7"/>
      <c r="Y7"/>
      <c r="Z7"/>
    </row>
    <row r="8" spans="1:26" x14ac:dyDescent="0.25">
      <c r="B8" s="87" t="s">
        <v>10</v>
      </c>
      <c r="C8" s="88"/>
      <c r="D8" s="89" t="s">
        <v>175</v>
      </c>
      <c r="E8" s="89"/>
      <c r="F8" s="84" t="s">
        <v>3</v>
      </c>
      <c r="G8" s="84"/>
      <c r="H8" s="84">
        <v>24</v>
      </c>
      <c r="I8" s="84"/>
      <c r="J8" s="84" t="str">
        <f>IF(D8="Master","Mode 2","Mode 1")</f>
        <v>Mode 1</v>
      </c>
      <c r="K8" s="84"/>
      <c r="L8" s="85" t="str">
        <f>VLOOKUP(J8, $A$43:$C$44,2,FALSE)</f>
        <v>OPEN</v>
      </c>
      <c r="M8" s="85"/>
      <c r="N8" s="85" t="str">
        <f>VLOOKUP(J8, $A$43:$C$44,3,FALSE)</f>
        <v>OPEN</v>
      </c>
      <c r="O8" s="86"/>
      <c r="P8" t="str">
        <f t="shared" si="0"/>
        <v>0</v>
      </c>
      <c r="Q8"/>
      <c r="R8" s="17"/>
      <c r="S8"/>
      <c r="T8"/>
      <c r="U8"/>
      <c r="V8"/>
      <c r="W8"/>
      <c r="X8"/>
      <c r="Y8"/>
      <c r="Z8"/>
    </row>
    <row r="9" spans="1:26" x14ac:dyDescent="0.25">
      <c r="B9" s="87" t="s">
        <v>11</v>
      </c>
      <c r="C9" s="88"/>
      <c r="D9" s="89" t="s">
        <v>138</v>
      </c>
      <c r="E9" s="89"/>
      <c r="F9" s="84" t="s">
        <v>55</v>
      </c>
      <c r="G9" s="84"/>
      <c r="H9" s="84">
        <v>28</v>
      </c>
      <c r="I9" s="84"/>
      <c r="J9" s="84" t="str">
        <f>IF(D9="Autonomous","Mode 1","Mode 2")</f>
        <v>Mode 1</v>
      </c>
      <c r="K9" s="84"/>
      <c r="L9" s="85" t="str">
        <f>VLOOKUP(J9, $A$43:$C$44,2,FALSE)</f>
        <v>OPEN</v>
      </c>
      <c r="M9" s="85"/>
      <c r="N9" s="85" t="str">
        <f>VLOOKUP(J9, $A$43:$C$44,3,FALSE)</f>
        <v>OPEN</v>
      </c>
      <c r="O9" s="86"/>
      <c r="P9" t="str">
        <f t="shared" si="0"/>
        <v>0</v>
      </c>
      <c r="Q9"/>
      <c r="R9" s="17"/>
      <c r="S9"/>
      <c r="T9"/>
      <c r="U9"/>
      <c r="V9"/>
      <c r="W9"/>
      <c r="X9"/>
      <c r="Y9"/>
      <c r="Z9"/>
    </row>
    <row r="10" spans="1:26" x14ac:dyDescent="0.25">
      <c r="B10" s="87" t="s">
        <v>109</v>
      </c>
      <c r="C10" s="88"/>
      <c r="D10" s="89" t="s">
        <v>19</v>
      </c>
      <c r="E10" s="89"/>
      <c r="F10" s="84" t="s">
        <v>174</v>
      </c>
      <c r="G10" s="84"/>
      <c r="H10" s="84">
        <v>22</v>
      </c>
      <c r="I10" s="84"/>
      <c r="J10" s="84" t="str">
        <f>VLOOKUP($D$10, $A$32:$C$40, 2, FALSE)</f>
        <v>Mode 1</v>
      </c>
      <c r="K10" s="84"/>
      <c r="L10" s="85" t="str">
        <f>_xlfn.SWITCH($D$12, "3.3V", VLOOKUP($J$10, $A$47:$C$49, 2, FALSE), "2.5V", VLOOKUP($J$10, $A$52:$C$54, 2, FALSE), "1.8V", VLOOKUP($J$10, $A$57:$C$59, 2, FALSE), 0)</f>
        <v>OPEN</v>
      </c>
      <c r="M10" s="85"/>
      <c r="N10" s="85" t="s">
        <v>30</v>
      </c>
      <c r="O10" s="86"/>
      <c r="P10" t="str">
        <f>_xlfn.SWITCH(J10, "Mode 1", "00", "Mode 2", "01", "Mode 3", "11")</f>
        <v>00</v>
      </c>
      <c r="Q10"/>
      <c r="R10" s="17"/>
      <c r="S10"/>
      <c r="T10"/>
      <c r="U10"/>
      <c r="V10"/>
      <c r="W10"/>
      <c r="X10"/>
      <c r="Y10"/>
      <c r="Z10"/>
    </row>
    <row r="11" spans="1:26" x14ac:dyDescent="0.25">
      <c r="B11" s="87"/>
      <c r="C11" s="88"/>
      <c r="D11" s="89"/>
      <c r="E11" s="89"/>
      <c r="F11" s="84" t="s">
        <v>122</v>
      </c>
      <c r="G11" s="84"/>
      <c r="H11" s="84">
        <v>21</v>
      </c>
      <c r="I11" s="84"/>
      <c r="J11" s="84" t="str">
        <f>VLOOKUP($D$10, $A$32:$C$40, 3, FALSE)</f>
        <v>Mode 1</v>
      </c>
      <c r="K11" s="84"/>
      <c r="L11" s="85" t="str">
        <f>_xlfn.SWITCH($D$12, "3.3V", VLOOKUP($J$11, $A$47:$C$49, 2, FALSE), "2.5V", VLOOKUP($J$11, $A$52:$C$54, 2, FALSE), "1.8V", VLOOKUP($J$11, $A$57:$C$59, 2, FALSE), 0)</f>
        <v>OPEN</v>
      </c>
      <c r="M11" s="85"/>
      <c r="N11" s="85" t="s">
        <v>30</v>
      </c>
      <c r="O11" s="86"/>
      <c r="P11" t="str">
        <f>_xlfn.SWITCH(J11, "Mode 1", "00", "Mode 2", "01", "Mode 3", "11")</f>
        <v>00</v>
      </c>
      <c r="Q11"/>
      <c r="R11" s="17"/>
      <c r="S11"/>
      <c r="T11"/>
      <c r="U11"/>
      <c r="V11"/>
      <c r="W11"/>
      <c r="X11"/>
      <c r="Y11"/>
      <c r="Z11"/>
    </row>
    <row r="12" spans="1:26" ht="16.5" thickBot="1" x14ac:dyDescent="0.3">
      <c r="B12" s="92" t="s">
        <v>110</v>
      </c>
      <c r="C12" s="93"/>
      <c r="D12" s="94" t="s">
        <v>179</v>
      </c>
      <c r="E12" s="94"/>
      <c r="F12" s="95"/>
      <c r="G12" s="96"/>
      <c r="H12" s="96"/>
      <c r="I12" s="96"/>
      <c r="J12" s="96"/>
      <c r="K12" s="96"/>
      <c r="L12" s="96"/>
      <c r="M12" s="96"/>
      <c r="N12" s="96"/>
      <c r="O12" s="97"/>
      <c r="P12" s="17" t="str">
        <f>_xlfn.CONCAT("000", $P$8, "000",$P$8, $P$7, $P$6, $P$5, $P$9, $P$11, $P$10)</f>
        <v>0000000000000000</v>
      </c>
      <c r="Q12" s="17"/>
      <c r="R12"/>
      <c r="S12"/>
      <c r="T12"/>
      <c r="U12"/>
      <c r="V12"/>
      <c r="W12"/>
      <c r="X12"/>
      <c r="Y12"/>
      <c r="Z12"/>
    </row>
    <row r="13" spans="1:26" x14ac:dyDescent="0.25">
      <c r="A13"/>
      <c r="B13"/>
      <c r="C13"/>
      <c r="D13"/>
      <c r="E13"/>
      <c r="F13"/>
      <c r="G13"/>
      <c r="H13"/>
      <c r="I13"/>
      <c r="P13" s="17" t="str">
        <f>_xlfn.CONCAT("010", $P$8, "000",$P$8, $P$7, $P$6, $P$5, $P$9, $P$11, $P$10)</f>
        <v>0100000000000000</v>
      </c>
      <c r="Q13"/>
      <c r="R13"/>
      <c r="S13"/>
      <c r="T13"/>
      <c r="U13"/>
      <c r="V13"/>
      <c r="W13"/>
      <c r="X13"/>
      <c r="Y13"/>
      <c r="Z13"/>
    </row>
    <row r="14" spans="1:26" x14ac:dyDescent="0.25">
      <c r="A14"/>
      <c r="B14"/>
      <c r="C14"/>
      <c r="D14"/>
      <c r="E14"/>
      <c r="F14"/>
      <c r="G14"/>
      <c r="H14"/>
      <c r="I14"/>
      <c r="P14"/>
      <c r="Q14"/>
      <c r="R14"/>
      <c r="S14"/>
      <c r="T14"/>
      <c r="U14"/>
      <c r="V14"/>
      <c r="W14"/>
      <c r="X14"/>
      <c r="Y14"/>
      <c r="Z14"/>
    </row>
    <row r="15" spans="1:26" x14ac:dyDescent="0.25">
      <c r="J15"/>
      <c r="K15"/>
      <c r="L15"/>
      <c r="M15"/>
      <c r="N15"/>
      <c r="Q15"/>
      <c r="R15"/>
      <c r="S15"/>
      <c r="T15"/>
      <c r="U15"/>
      <c r="V15"/>
      <c r="W15"/>
      <c r="X15"/>
      <c r="Y15"/>
      <c r="Z15"/>
    </row>
    <row r="16" spans="1:26" ht="21" customHeight="1" x14ac:dyDescent="0.25">
      <c r="J16" s="98" t="s">
        <v>152</v>
      </c>
      <c r="K16" s="98"/>
      <c r="L16" s="98"/>
      <c r="M16" s="98"/>
      <c r="N16" s="91" t="str">
        <f>_xlfn.CONCAT(H24,H25," or ", G24,G25)</f>
        <v>4000 or 0000</v>
      </c>
      <c r="O16" s="91"/>
      <c r="Q16"/>
      <c r="R16"/>
      <c r="S16"/>
      <c r="T16"/>
      <c r="U16"/>
      <c r="V16"/>
      <c r="W16"/>
      <c r="X16"/>
      <c r="Y16"/>
      <c r="Z16"/>
    </row>
    <row r="17" spans="1:26" ht="21" customHeight="1" x14ac:dyDescent="0.25">
      <c r="J17" s="98"/>
      <c r="K17" s="98"/>
      <c r="L17" s="98"/>
      <c r="M17" s="98"/>
      <c r="N17" s="91"/>
      <c r="O17" s="91"/>
      <c r="Q17"/>
      <c r="R17"/>
      <c r="S17"/>
      <c r="T17"/>
      <c r="U17"/>
      <c r="V17"/>
      <c r="W17"/>
      <c r="X17"/>
      <c r="Y17"/>
      <c r="Z17"/>
    </row>
    <row r="18" spans="1:26" x14ac:dyDescent="0.25">
      <c r="A18"/>
      <c r="E18"/>
      <c r="F18"/>
      <c r="G18"/>
      <c r="P18"/>
      <c r="Q18"/>
      <c r="R18"/>
      <c r="S18"/>
      <c r="T18"/>
      <c r="U18"/>
      <c r="V18"/>
      <c r="W18"/>
      <c r="X18"/>
      <c r="Y18"/>
      <c r="Z18"/>
    </row>
    <row r="19" spans="1:26" x14ac:dyDescent="0.25">
      <c r="A19"/>
      <c r="E19"/>
      <c r="F19"/>
      <c r="G19"/>
      <c r="H19"/>
      <c r="I19"/>
      <c r="J19"/>
      <c r="K19"/>
      <c r="L19"/>
      <c r="P19"/>
      <c r="Q19"/>
      <c r="R19"/>
      <c r="S19"/>
      <c r="T19"/>
      <c r="U19"/>
      <c r="V19"/>
      <c r="W19"/>
      <c r="X19"/>
      <c r="Y19"/>
      <c r="Z19"/>
    </row>
    <row r="20" spans="1:26" x14ac:dyDescent="0.25">
      <c r="A20"/>
      <c r="E20"/>
      <c r="F20"/>
      <c r="G20"/>
      <c r="H20"/>
      <c r="I20"/>
      <c r="J20"/>
      <c r="K20"/>
      <c r="L20"/>
      <c r="P20"/>
      <c r="Q20"/>
      <c r="R20"/>
      <c r="S20"/>
      <c r="T20"/>
      <c r="U20"/>
      <c r="V20"/>
      <c r="W20"/>
      <c r="X20"/>
      <c r="Y20"/>
      <c r="Z20"/>
    </row>
    <row r="21" spans="1:26" ht="15.75" hidden="1" customHeight="1" x14ac:dyDescent="0.25">
      <c r="A21" s="12"/>
      <c r="B21" s="12" t="s">
        <v>0</v>
      </c>
      <c r="C21" s="12" t="s">
        <v>1</v>
      </c>
      <c r="D21" s="12" t="s">
        <v>2</v>
      </c>
      <c r="E21"/>
      <c r="F21"/>
      <c r="G21" s="19"/>
      <c r="H21" s="19"/>
      <c r="I21" s="19"/>
      <c r="J21" s="19"/>
      <c r="K21"/>
      <c r="L21"/>
      <c r="P21"/>
      <c r="Q21"/>
      <c r="R21"/>
      <c r="S21"/>
      <c r="T21"/>
      <c r="U21"/>
      <c r="V21"/>
      <c r="W21"/>
      <c r="X21"/>
      <c r="Y21"/>
      <c r="Z21"/>
    </row>
    <row r="22" spans="1:26" ht="15.75" hidden="1" customHeight="1" x14ac:dyDescent="0.25">
      <c r="A22" s="12" t="s">
        <v>127</v>
      </c>
      <c r="B22" s="12" t="s">
        <v>12</v>
      </c>
      <c r="C22" s="12" t="s">
        <v>12</v>
      </c>
      <c r="D22" s="12" t="s">
        <v>12</v>
      </c>
      <c r="E22"/>
      <c r="F22"/>
      <c r="G22" t="str">
        <f>LEFT(P12,8)</f>
        <v>00000000</v>
      </c>
      <c r="H22" t="str">
        <f>LEFT(P13,8)</f>
        <v>01000000</v>
      </c>
      <c r="I22" t="str">
        <f>LEFT(I21,8)</f>
        <v/>
      </c>
      <c r="J22"/>
      <c r="K22"/>
      <c r="L22"/>
    </row>
    <row r="23" spans="1:26" ht="15.75" hidden="1" customHeight="1" x14ac:dyDescent="0.25">
      <c r="A23" s="7" t="s">
        <v>128</v>
      </c>
      <c r="B23" s="7" t="s">
        <v>12</v>
      </c>
      <c r="C23" s="7" t="s">
        <v>12</v>
      </c>
      <c r="D23" s="7" t="s">
        <v>13</v>
      </c>
      <c r="E23"/>
      <c r="F23"/>
      <c r="G23" t="str">
        <f>RIGHT(P12,8)</f>
        <v>00000000</v>
      </c>
      <c r="H23" t="str">
        <f>RIGHT(P13, 8)</f>
        <v>00000000</v>
      </c>
      <c r="I23" t="str">
        <f>RIGHT(I21,8)</f>
        <v/>
      </c>
      <c r="J23"/>
      <c r="K23"/>
      <c r="L23"/>
    </row>
    <row r="24" spans="1:26" ht="16.5" hidden="1" customHeight="1" x14ac:dyDescent="0.25">
      <c r="A24" s="7" t="s">
        <v>129</v>
      </c>
      <c r="B24" s="7" t="s">
        <v>12</v>
      </c>
      <c r="C24" s="7" t="s">
        <v>13</v>
      </c>
      <c r="D24" s="7" t="s">
        <v>12</v>
      </c>
      <c r="E24"/>
      <c r="F24"/>
      <c r="G24" t="str">
        <f>BIN2HEX(G22, 2)</f>
        <v>00</v>
      </c>
      <c r="H24" t="str">
        <f>BIN2HEX(H22, 2)</f>
        <v>40</v>
      </c>
      <c r="I24"/>
      <c r="J24"/>
      <c r="K24"/>
      <c r="L24"/>
    </row>
    <row r="25" spans="1:26" hidden="1" x14ac:dyDescent="0.25">
      <c r="A25" s="7" t="s">
        <v>130</v>
      </c>
      <c r="B25" s="7" t="s">
        <v>12</v>
      </c>
      <c r="C25" s="7" t="s">
        <v>13</v>
      </c>
      <c r="D25" s="7" t="s">
        <v>13</v>
      </c>
      <c r="G25" s="7" t="str">
        <f>BIN2HEX(G23,2)</f>
        <v>00</v>
      </c>
      <c r="H25" s="7" t="str">
        <f>BIN2HEX(H23,2)</f>
        <v>00</v>
      </c>
    </row>
    <row r="26" spans="1:26" hidden="1" x14ac:dyDescent="0.25">
      <c r="A26" s="12" t="s">
        <v>14</v>
      </c>
      <c r="B26" s="12" t="s">
        <v>13</v>
      </c>
      <c r="C26" s="12" t="s">
        <v>12</v>
      </c>
      <c r="D26" s="12" t="s">
        <v>12</v>
      </c>
    </row>
    <row r="27" spans="1:26" hidden="1" x14ac:dyDescent="0.25">
      <c r="A27" s="12" t="s">
        <v>15</v>
      </c>
      <c r="B27" s="12" t="s">
        <v>13</v>
      </c>
      <c r="C27" s="12" t="s">
        <v>12</v>
      </c>
      <c r="D27" s="12" t="s">
        <v>13</v>
      </c>
    </row>
    <row r="28" spans="1:26" hidden="1" x14ac:dyDescent="0.25">
      <c r="A28" s="12" t="s">
        <v>111</v>
      </c>
      <c r="B28" s="12" t="s">
        <v>13</v>
      </c>
      <c r="C28" s="12" t="s">
        <v>13</v>
      </c>
      <c r="D28" s="12" t="s">
        <v>12</v>
      </c>
    </row>
    <row r="29" spans="1:26" hidden="1" x14ac:dyDescent="0.25">
      <c r="A29" s="12" t="s">
        <v>16</v>
      </c>
      <c r="B29" s="12" t="s">
        <v>13</v>
      </c>
      <c r="C29" s="12" t="s">
        <v>13</v>
      </c>
      <c r="D29" s="12" t="s">
        <v>13</v>
      </c>
    </row>
    <row r="30" spans="1:26" hidden="1" x14ac:dyDescent="0.25"/>
    <row r="31" spans="1:26" hidden="1" x14ac:dyDescent="0.25">
      <c r="A31" s="12"/>
      <c r="B31" s="12" t="s">
        <v>17</v>
      </c>
      <c r="C31" s="12" t="s">
        <v>18</v>
      </c>
    </row>
    <row r="32" spans="1:26" hidden="1" x14ac:dyDescent="0.25">
      <c r="A32" s="12" t="s">
        <v>19</v>
      </c>
      <c r="B32" s="12" t="s">
        <v>12</v>
      </c>
      <c r="C32" s="12" t="s">
        <v>12</v>
      </c>
    </row>
    <row r="33" spans="1:25" hidden="1" x14ac:dyDescent="0.25">
      <c r="A33" s="12" t="s">
        <v>20</v>
      </c>
      <c r="B33" s="12" t="s">
        <v>13</v>
      </c>
      <c r="C33" s="12" t="s">
        <v>12</v>
      </c>
      <c r="D33" s="11"/>
    </row>
    <row r="34" spans="1:25" hidden="1" x14ac:dyDescent="0.25">
      <c r="A34" s="12" t="s">
        <v>21</v>
      </c>
      <c r="B34" s="12" t="s">
        <v>22</v>
      </c>
      <c r="C34" s="12" t="s">
        <v>12</v>
      </c>
      <c r="D34" s="11"/>
    </row>
    <row r="35" spans="1:25" hidden="1" x14ac:dyDescent="0.25">
      <c r="A35" s="12" t="s">
        <v>23</v>
      </c>
      <c r="B35" s="12" t="s">
        <v>12</v>
      </c>
      <c r="C35" s="12" t="s">
        <v>13</v>
      </c>
      <c r="D35" s="11"/>
    </row>
    <row r="36" spans="1:25" hidden="1" x14ac:dyDescent="0.25">
      <c r="A36" s="12" t="s">
        <v>24</v>
      </c>
      <c r="B36" s="12" t="s">
        <v>12</v>
      </c>
      <c r="C36" s="12" t="s">
        <v>22</v>
      </c>
    </row>
    <row r="37" spans="1:25" hidden="1" x14ac:dyDescent="0.25">
      <c r="A37" s="12" t="s">
        <v>25</v>
      </c>
      <c r="B37" s="12" t="s">
        <v>13</v>
      </c>
      <c r="C37" s="12" t="s">
        <v>13</v>
      </c>
    </row>
    <row r="38" spans="1:25" hidden="1" x14ac:dyDescent="0.25">
      <c r="A38" s="12" t="s">
        <v>26</v>
      </c>
      <c r="B38" s="12" t="s">
        <v>22</v>
      </c>
      <c r="C38" s="12" t="s">
        <v>13</v>
      </c>
    </row>
    <row r="39" spans="1:25" hidden="1" x14ac:dyDescent="0.25">
      <c r="A39" s="12" t="s">
        <v>27</v>
      </c>
      <c r="B39" s="12" t="s">
        <v>13</v>
      </c>
      <c r="C39" s="12" t="s">
        <v>22</v>
      </c>
    </row>
    <row r="40" spans="1:25" hidden="1" x14ac:dyDescent="0.25">
      <c r="A40" s="12" t="s">
        <v>28</v>
      </c>
      <c r="B40" s="12" t="s">
        <v>22</v>
      </c>
      <c r="C40" s="12" t="s">
        <v>22</v>
      </c>
    </row>
    <row r="41" spans="1:25" hidden="1" x14ac:dyDescent="0.25"/>
    <row r="42" spans="1:25" hidden="1" x14ac:dyDescent="0.25">
      <c r="A42" s="12"/>
      <c r="B42" s="12" t="s">
        <v>29</v>
      </c>
      <c r="C42" s="12" t="s">
        <v>5</v>
      </c>
    </row>
    <row r="43" spans="1:25" hidden="1" x14ac:dyDescent="0.25">
      <c r="A43" s="12" t="s">
        <v>12</v>
      </c>
      <c r="B43" s="12" t="s">
        <v>30</v>
      </c>
      <c r="C43" s="12" t="s">
        <v>30</v>
      </c>
    </row>
    <row r="44" spans="1:25" hidden="1" x14ac:dyDescent="0.25">
      <c r="A44" s="12" t="s">
        <v>13</v>
      </c>
      <c r="B44" s="12" t="s">
        <v>31</v>
      </c>
      <c r="C44" s="12" t="s">
        <v>30</v>
      </c>
    </row>
    <row r="45" spans="1:25" hidden="1" x14ac:dyDescent="0.25"/>
    <row r="46" spans="1:25" hidden="1" x14ac:dyDescent="0.25">
      <c r="A46" s="7" t="s">
        <v>114</v>
      </c>
      <c r="B46" s="7" t="s">
        <v>29</v>
      </c>
      <c r="C46" s="7" t="s">
        <v>5</v>
      </c>
    </row>
    <row r="47" spans="1:25" hidden="1" x14ac:dyDescent="0.25">
      <c r="A47" s="7" t="s">
        <v>12</v>
      </c>
      <c r="B47" s="7" t="s">
        <v>30</v>
      </c>
      <c r="C47" s="12" t="s">
        <v>30</v>
      </c>
      <c r="W47"/>
      <c r="X47"/>
      <c r="Y47"/>
    </row>
    <row r="48" spans="1:25" hidden="1" x14ac:dyDescent="0.25">
      <c r="A48" s="7" t="s">
        <v>13</v>
      </c>
      <c r="B48" s="12" t="s">
        <v>112</v>
      </c>
      <c r="C48" s="12" t="s">
        <v>30</v>
      </c>
      <c r="W48"/>
      <c r="X48"/>
      <c r="Y48"/>
    </row>
    <row r="49" spans="1:25" hidden="1" x14ac:dyDescent="0.25">
      <c r="A49" s="7" t="s">
        <v>22</v>
      </c>
      <c r="B49" s="12" t="s">
        <v>113</v>
      </c>
      <c r="C49" s="12" t="s">
        <v>30</v>
      </c>
      <c r="W49"/>
      <c r="X49"/>
      <c r="Y49"/>
    </row>
    <row r="50" spans="1:25" hidden="1" x14ac:dyDescent="0.25">
      <c r="W50"/>
      <c r="X50"/>
      <c r="Y50"/>
    </row>
    <row r="51" spans="1:25" hidden="1" x14ac:dyDescent="0.25">
      <c r="A51" s="7" t="s">
        <v>115</v>
      </c>
      <c r="B51" s="7" t="s">
        <v>29</v>
      </c>
      <c r="C51" s="7" t="s">
        <v>5</v>
      </c>
      <c r="W51"/>
      <c r="X51"/>
      <c r="Y51"/>
    </row>
    <row r="52" spans="1:25" hidden="1" x14ac:dyDescent="0.25">
      <c r="A52" s="7" t="s">
        <v>12</v>
      </c>
      <c r="B52" s="7" t="s">
        <v>30</v>
      </c>
      <c r="C52" s="12" t="s">
        <v>30</v>
      </c>
      <c r="W52"/>
      <c r="X52"/>
      <c r="Y52"/>
    </row>
    <row r="53" spans="1:25" hidden="1" x14ac:dyDescent="0.25">
      <c r="A53" s="7" t="s">
        <v>13</v>
      </c>
      <c r="B53" s="12" t="s">
        <v>116</v>
      </c>
      <c r="C53" s="12" t="s">
        <v>30</v>
      </c>
      <c r="W53"/>
      <c r="X53"/>
      <c r="Y53"/>
    </row>
    <row r="54" spans="1:25" hidden="1" x14ac:dyDescent="0.25">
      <c r="A54" s="7" t="s">
        <v>22</v>
      </c>
      <c r="B54" s="12" t="s">
        <v>117</v>
      </c>
      <c r="C54" s="12" t="s">
        <v>30</v>
      </c>
    </row>
    <row r="55" spans="1:25" hidden="1" x14ac:dyDescent="0.25"/>
    <row r="56" spans="1:25" hidden="1" x14ac:dyDescent="0.25">
      <c r="A56" s="7" t="s">
        <v>118</v>
      </c>
      <c r="B56" s="7" t="s">
        <v>29</v>
      </c>
      <c r="C56" s="7" t="s">
        <v>5</v>
      </c>
    </row>
    <row r="57" spans="1:25" hidden="1" x14ac:dyDescent="0.25">
      <c r="A57" s="7" t="s">
        <v>12</v>
      </c>
      <c r="B57" s="7" t="s">
        <v>30</v>
      </c>
      <c r="C57" s="12" t="s">
        <v>30</v>
      </c>
    </row>
    <row r="58" spans="1:25" hidden="1" x14ac:dyDescent="0.25">
      <c r="A58" s="7" t="s">
        <v>13</v>
      </c>
      <c r="B58" s="12" t="s">
        <v>119</v>
      </c>
      <c r="C58" s="12" t="s">
        <v>30</v>
      </c>
      <c r="O58" s="7"/>
    </row>
    <row r="59" spans="1:25" hidden="1" x14ac:dyDescent="0.25">
      <c r="A59" s="7" t="s">
        <v>22</v>
      </c>
      <c r="B59" s="12" t="s">
        <v>120</v>
      </c>
      <c r="C59" s="12" t="s">
        <v>30</v>
      </c>
      <c r="O59" s="7"/>
    </row>
    <row r="60" spans="1:25" x14ac:dyDescent="0.25">
      <c r="O60" s="7"/>
    </row>
    <row r="61" spans="1:25" x14ac:dyDescent="0.25">
      <c r="O61" s="7"/>
    </row>
    <row r="62" spans="1:25" x14ac:dyDescent="0.25">
      <c r="O62" s="7"/>
    </row>
    <row r="63" spans="1:25" x14ac:dyDescent="0.25">
      <c r="O63" s="7"/>
    </row>
    <row r="64" spans="1:25" x14ac:dyDescent="0.25">
      <c r="O64" s="7"/>
    </row>
    <row r="65" spans="15:15" x14ac:dyDescent="0.25">
      <c r="O65" s="7"/>
    </row>
    <row r="66" spans="15:15" x14ac:dyDescent="0.25">
      <c r="O66" s="7"/>
    </row>
    <row r="67" spans="15:15" x14ac:dyDescent="0.25">
      <c r="O67" s="7"/>
    </row>
  </sheetData>
  <mergeCells count="54">
    <mergeCell ref="N16:O17"/>
    <mergeCell ref="J10:K10"/>
    <mergeCell ref="H10:I10"/>
    <mergeCell ref="H11:I11"/>
    <mergeCell ref="B10:C11"/>
    <mergeCell ref="D10:E11"/>
    <mergeCell ref="F11:G11"/>
    <mergeCell ref="B12:C12"/>
    <mergeCell ref="D12:E12"/>
    <mergeCell ref="J11:K11"/>
    <mergeCell ref="F12:O12"/>
    <mergeCell ref="L11:M11"/>
    <mergeCell ref="F10:G10"/>
    <mergeCell ref="J16:M17"/>
    <mergeCell ref="N10:O10"/>
    <mergeCell ref="N11:O11"/>
    <mergeCell ref="B4:E4"/>
    <mergeCell ref="F9:G9"/>
    <mergeCell ref="F8:G8"/>
    <mergeCell ref="F7:G7"/>
    <mergeCell ref="D5:E7"/>
    <mergeCell ref="B5:C7"/>
    <mergeCell ref="F6:G6"/>
    <mergeCell ref="F5:G5"/>
    <mergeCell ref="D9:E9"/>
    <mergeCell ref="F4:G4"/>
    <mergeCell ref="N9:O9"/>
    <mergeCell ref="N8:O8"/>
    <mergeCell ref="B9:C9"/>
    <mergeCell ref="D8:E8"/>
    <mergeCell ref="B8:C8"/>
    <mergeCell ref="H4:I4"/>
    <mergeCell ref="H5:I5"/>
    <mergeCell ref="H6:I6"/>
    <mergeCell ref="H7:I7"/>
    <mergeCell ref="L10:M10"/>
    <mergeCell ref="H8:I8"/>
    <mergeCell ref="J9:K9"/>
    <mergeCell ref="H9:I9"/>
    <mergeCell ref="L9:M9"/>
    <mergeCell ref="L8:M8"/>
    <mergeCell ref="L7:M7"/>
    <mergeCell ref="J8:K8"/>
    <mergeCell ref="J6:K6"/>
    <mergeCell ref="N4:O4"/>
    <mergeCell ref="J4:K4"/>
    <mergeCell ref="J7:K7"/>
    <mergeCell ref="L6:M6"/>
    <mergeCell ref="L5:M5"/>
    <mergeCell ref="N7:O7"/>
    <mergeCell ref="J5:K5"/>
    <mergeCell ref="N6:O6"/>
    <mergeCell ref="L4:M4"/>
    <mergeCell ref="N5:O5"/>
  </mergeCells>
  <dataValidations count="5">
    <dataValidation type="list" allowBlank="1" showInputMessage="1" showErrorMessage="1" sqref="D8:E8" xr:uid="{00000000-0002-0000-0200-000002000000}">
      <formula1>"Master, Slave"</formula1>
    </dataValidation>
    <dataValidation type="list" allowBlank="1" showInputMessage="1" showErrorMessage="1" sqref="D9:E9" xr:uid="{00000000-0002-0000-0200-000003000000}">
      <formula1>"Autonomous, Managed"</formula1>
    </dataValidation>
    <dataValidation type="list" allowBlank="1" showInputMessage="1" showErrorMessage="1" sqref="D12:E12" xr:uid="{638CD274-6D7D-468D-B9F5-E5C037EDA9F7}">
      <formula1>"1.8V, 2.5V, 3.3V"</formula1>
    </dataValidation>
    <dataValidation type="list" allowBlank="1" showInputMessage="1" showErrorMessage="1" sqref="D10" xr:uid="{4044465D-F476-480C-B5EA-89FA4EF151F4}">
      <formula1>"0x0,0x4, 0x5, 0x8, 0xA, 0xC, 0xD, 0xE, 0xF"</formula1>
    </dataValidation>
    <dataValidation type="list" allowBlank="1" showInputMessage="1" showErrorMessage="1" sqref="D5:E7" xr:uid="{00000000-0002-0000-0200-000000000000}">
      <formula1>$A$22:$A$29</formula1>
    </dataValidation>
  </dataValidations>
  <pageMargins left="0.7" right="0.7" top="0.75" bottom="0.75" header="0.3" footer="0.3"/>
  <pageSetup paperSize="1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84" r:id="rId4" name="List Box 12">
              <controlPr defaultSize="0" autoLine="0" autoPict="0">
                <anchor moveWithCells="1">
                  <from>
                    <xdr:col>0</xdr:col>
                    <xdr:colOff>114300</xdr:colOff>
                    <xdr:row>107</xdr:row>
                    <xdr:rowOff>133350</xdr:rowOff>
                  </from>
                  <to>
                    <xdr:col>0</xdr:col>
                    <xdr:colOff>695325</xdr:colOff>
                    <xdr:row>109</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B3F2C-B093-4D41-955E-5A21E671A3C5}">
  <dimension ref="A1:H52"/>
  <sheetViews>
    <sheetView zoomScale="79" zoomScaleNormal="85" workbookViewId="0">
      <selection activeCell="A2" sqref="A2"/>
    </sheetView>
  </sheetViews>
  <sheetFormatPr defaultRowHeight="15.75" x14ac:dyDescent="0.25"/>
  <cols>
    <col min="1" max="1" width="10.875" bestFit="1" customWidth="1"/>
    <col min="2" max="2" width="9" customWidth="1"/>
    <col min="3" max="3" width="82.5" customWidth="1"/>
    <col min="4" max="4" width="43.875" customWidth="1"/>
    <col min="6" max="6" width="11.25" customWidth="1"/>
  </cols>
  <sheetData>
    <row r="1" spans="1:8" ht="31.15" customHeight="1" x14ac:dyDescent="0.25">
      <c r="A1" s="48" t="s">
        <v>176</v>
      </c>
      <c r="B1" s="48"/>
      <c r="C1" s="48"/>
      <c r="D1" s="35"/>
      <c r="E1" s="35"/>
      <c r="F1" s="35"/>
      <c r="G1" s="32"/>
      <c r="H1" s="31"/>
    </row>
    <row r="3" spans="1:8" s="34" customFormat="1" x14ac:dyDescent="0.25">
      <c r="A3" s="36" t="s">
        <v>32</v>
      </c>
      <c r="B3" s="36"/>
      <c r="C3" s="36" t="s">
        <v>57</v>
      </c>
      <c r="D3" s="36" t="s">
        <v>58</v>
      </c>
      <c r="E3" s="40" t="s">
        <v>59</v>
      </c>
      <c r="F3" s="40" t="s">
        <v>154</v>
      </c>
    </row>
    <row r="4" spans="1:8" ht="78.599999999999994" customHeight="1" x14ac:dyDescent="0.25">
      <c r="A4" s="101" t="s">
        <v>60</v>
      </c>
      <c r="B4" s="39">
        <v>1</v>
      </c>
      <c r="C4" s="37" t="s">
        <v>61</v>
      </c>
      <c r="D4" s="100"/>
      <c r="E4" s="100"/>
      <c r="F4" s="100"/>
    </row>
    <row r="5" spans="1:8" ht="95.1" customHeight="1" x14ac:dyDescent="0.25">
      <c r="A5" s="101"/>
      <c r="B5" s="39">
        <f>B4+1</f>
        <v>2</v>
      </c>
      <c r="C5" s="37" t="s">
        <v>62</v>
      </c>
      <c r="D5" s="100"/>
      <c r="E5" s="100"/>
      <c r="F5" s="100"/>
    </row>
    <row r="6" spans="1:8" x14ac:dyDescent="0.25">
      <c r="A6" s="101"/>
      <c r="B6" s="39">
        <f t="shared" ref="B6:B52" si="0">B5+1</f>
        <v>3</v>
      </c>
      <c r="C6" s="1" t="s">
        <v>63</v>
      </c>
      <c r="D6" s="1"/>
      <c r="E6" s="1"/>
      <c r="F6" s="1"/>
    </row>
    <row r="7" spans="1:8" ht="31.5" x14ac:dyDescent="0.25">
      <c r="A7" s="101"/>
      <c r="B7" s="39">
        <f t="shared" si="0"/>
        <v>4</v>
      </c>
      <c r="C7" s="37" t="s">
        <v>64</v>
      </c>
      <c r="D7" s="1"/>
      <c r="E7" s="1"/>
      <c r="F7" s="1"/>
    </row>
    <row r="8" spans="1:8" x14ac:dyDescent="0.25">
      <c r="A8" s="101"/>
      <c r="B8" s="39">
        <f t="shared" si="0"/>
        <v>5</v>
      </c>
      <c r="C8" s="37" t="s">
        <v>65</v>
      </c>
      <c r="D8" s="1"/>
      <c r="E8" s="1"/>
      <c r="F8" s="1"/>
    </row>
    <row r="9" spans="1:8" x14ac:dyDescent="0.25">
      <c r="A9" s="101"/>
      <c r="B9" s="39">
        <f t="shared" si="0"/>
        <v>6</v>
      </c>
      <c r="C9" s="37" t="s">
        <v>66</v>
      </c>
      <c r="D9" s="1"/>
      <c r="E9" s="1"/>
      <c r="F9" s="1"/>
    </row>
    <row r="10" spans="1:8" x14ac:dyDescent="0.25">
      <c r="A10" s="101"/>
      <c r="B10" s="39">
        <f t="shared" si="0"/>
        <v>7</v>
      </c>
      <c r="C10" s="37" t="s">
        <v>67</v>
      </c>
      <c r="D10" s="1"/>
      <c r="E10" s="1"/>
      <c r="F10" s="1"/>
    </row>
    <row r="11" spans="1:8" ht="31.5" x14ac:dyDescent="0.25">
      <c r="A11" s="101"/>
      <c r="B11" s="39">
        <f t="shared" si="0"/>
        <v>8</v>
      </c>
      <c r="C11" s="37" t="s">
        <v>68</v>
      </c>
      <c r="D11" s="1"/>
      <c r="E11" s="1"/>
      <c r="F11" s="1"/>
    </row>
    <row r="12" spans="1:8" x14ac:dyDescent="0.25">
      <c r="A12" s="101"/>
      <c r="B12" s="39">
        <f t="shared" si="0"/>
        <v>9</v>
      </c>
      <c r="C12" s="37" t="s">
        <v>69</v>
      </c>
      <c r="D12" s="1"/>
      <c r="E12" s="1"/>
      <c r="F12" s="1"/>
    </row>
    <row r="13" spans="1:8" x14ac:dyDescent="0.25">
      <c r="A13" s="104"/>
      <c r="B13" s="105"/>
      <c r="C13" s="105"/>
      <c r="D13" s="105"/>
      <c r="E13" s="105"/>
      <c r="F13" s="105"/>
    </row>
    <row r="14" spans="1:8" x14ac:dyDescent="0.25">
      <c r="A14" s="99" t="s">
        <v>35</v>
      </c>
      <c r="B14" s="39">
        <f>B12+1</f>
        <v>10</v>
      </c>
      <c r="C14" s="37" t="s">
        <v>70</v>
      </c>
      <c r="D14" s="1"/>
      <c r="E14" s="1"/>
      <c r="F14" s="1"/>
    </row>
    <row r="15" spans="1:8" x14ac:dyDescent="0.25">
      <c r="A15" s="99"/>
      <c r="B15" s="39">
        <f t="shared" si="0"/>
        <v>11</v>
      </c>
      <c r="C15" s="37" t="s">
        <v>140</v>
      </c>
      <c r="D15" s="1"/>
      <c r="E15" s="1"/>
      <c r="F15" s="1"/>
    </row>
    <row r="16" spans="1:8" ht="31.5" x14ac:dyDescent="0.25">
      <c r="A16" s="99"/>
      <c r="B16" s="39">
        <f t="shared" si="0"/>
        <v>12</v>
      </c>
      <c r="C16" s="37" t="s">
        <v>71</v>
      </c>
      <c r="D16" s="1"/>
      <c r="E16" s="1"/>
      <c r="F16" s="1"/>
    </row>
    <row r="17" spans="1:6" ht="31.5" x14ac:dyDescent="0.25">
      <c r="A17" s="99"/>
      <c r="B17" s="39">
        <f t="shared" si="0"/>
        <v>13</v>
      </c>
      <c r="C17" s="37" t="s">
        <v>72</v>
      </c>
      <c r="D17" s="1"/>
      <c r="E17" s="1"/>
      <c r="F17" s="1"/>
    </row>
    <row r="18" spans="1:6" x14ac:dyDescent="0.25">
      <c r="A18" s="99"/>
      <c r="B18" s="39">
        <f t="shared" si="0"/>
        <v>14</v>
      </c>
      <c r="C18" s="37" t="s">
        <v>73</v>
      </c>
      <c r="D18" s="1"/>
      <c r="E18" s="1"/>
      <c r="F18" s="1"/>
    </row>
    <row r="19" spans="1:6" x14ac:dyDescent="0.25">
      <c r="A19" s="99"/>
      <c r="B19" s="39">
        <f t="shared" si="0"/>
        <v>15</v>
      </c>
      <c r="C19" s="37" t="s">
        <v>74</v>
      </c>
      <c r="D19" s="1"/>
      <c r="E19" s="1"/>
      <c r="F19" s="1"/>
    </row>
    <row r="20" spans="1:6" x14ac:dyDescent="0.25">
      <c r="A20" s="102"/>
      <c r="B20" s="103"/>
      <c r="C20" s="103"/>
      <c r="D20" s="103"/>
      <c r="E20" s="103"/>
      <c r="F20" s="103"/>
    </row>
    <row r="21" spans="1:6" ht="31.5" x14ac:dyDescent="0.25">
      <c r="A21" s="99" t="s">
        <v>75</v>
      </c>
      <c r="B21" s="39">
        <f>B19+1</f>
        <v>16</v>
      </c>
      <c r="C21" s="37" t="s">
        <v>76</v>
      </c>
      <c r="D21" s="100"/>
      <c r="E21" s="1"/>
      <c r="F21" s="1"/>
    </row>
    <row r="22" spans="1:6" x14ac:dyDescent="0.25">
      <c r="A22" s="99"/>
      <c r="B22" s="39">
        <f t="shared" si="0"/>
        <v>17</v>
      </c>
      <c r="C22" s="37" t="s">
        <v>77</v>
      </c>
      <c r="D22" s="100"/>
      <c r="E22" s="1"/>
      <c r="F22" s="1"/>
    </row>
    <row r="23" spans="1:6" ht="31.5" x14ac:dyDescent="0.25">
      <c r="A23" s="99"/>
      <c r="B23" s="39">
        <f t="shared" si="0"/>
        <v>18</v>
      </c>
      <c r="C23" s="37" t="s">
        <v>78</v>
      </c>
      <c r="D23" s="100"/>
      <c r="E23" s="1"/>
      <c r="F23" s="1"/>
    </row>
    <row r="24" spans="1:6" ht="52.5" customHeight="1" x14ac:dyDescent="0.25">
      <c r="A24" s="99"/>
      <c r="B24" s="39">
        <f t="shared" si="0"/>
        <v>19</v>
      </c>
      <c r="C24" s="37" t="s">
        <v>79</v>
      </c>
      <c r="D24" s="100"/>
      <c r="E24" s="1"/>
      <c r="F24" s="1"/>
    </row>
    <row r="25" spans="1:6" ht="15" customHeight="1" x14ac:dyDescent="0.25">
      <c r="A25" s="102"/>
      <c r="B25" s="103"/>
      <c r="C25" s="103"/>
      <c r="D25" s="103"/>
      <c r="E25" s="103"/>
      <c r="F25" s="103"/>
    </row>
    <row r="26" spans="1:6" x14ac:dyDescent="0.25">
      <c r="A26" s="99" t="s">
        <v>80</v>
      </c>
      <c r="B26" s="39">
        <f>B24+1</f>
        <v>20</v>
      </c>
      <c r="C26" s="37" t="s">
        <v>81</v>
      </c>
      <c r="D26" s="1"/>
      <c r="E26" s="1"/>
      <c r="F26" s="1"/>
    </row>
    <row r="27" spans="1:6" x14ac:dyDescent="0.25">
      <c r="A27" s="99"/>
      <c r="B27" s="39">
        <f t="shared" si="0"/>
        <v>21</v>
      </c>
      <c r="C27" s="37" t="s">
        <v>82</v>
      </c>
      <c r="D27" s="1"/>
      <c r="E27" s="1"/>
      <c r="F27" s="1"/>
    </row>
    <row r="28" spans="1:6" x14ac:dyDescent="0.25">
      <c r="A28" s="99"/>
      <c r="B28" s="39">
        <f t="shared" si="0"/>
        <v>22</v>
      </c>
      <c r="C28" s="37" t="s">
        <v>83</v>
      </c>
      <c r="D28" s="1"/>
      <c r="E28" s="1"/>
      <c r="F28" s="1"/>
    </row>
    <row r="29" spans="1:6" x14ac:dyDescent="0.25">
      <c r="A29" s="99"/>
      <c r="B29" s="39">
        <f t="shared" si="0"/>
        <v>23</v>
      </c>
      <c r="C29" s="37" t="s">
        <v>84</v>
      </c>
      <c r="D29" s="1"/>
      <c r="E29" s="1"/>
      <c r="F29" s="1"/>
    </row>
    <row r="30" spans="1:6" x14ac:dyDescent="0.25">
      <c r="A30" s="99"/>
      <c r="B30" s="39">
        <f t="shared" si="0"/>
        <v>24</v>
      </c>
      <c r="C30" s="37" t="s">
        <v>85</v>
      </c>
      <c r="D30" s="1"/>
      <c r="E30" s="1"/>
      <c r="F30" s="1"/>
    </row>
    <row r="31" spans="1:6" x14ac:dyDescent="0.25">
      <c r="A31" s="99"/>
      <c r="B31" s="39">
        <f t="shared" si="0"/>
        <v>25</v>
      </c>
      <c r="C31" s="37" t="s">
        <v>86</v>
      </c>
      <c r="D31" s="1"/>
      <c r="E31" s="1"/>
      <c r="F31" s="1"/>
    </row>
    <row r="32" spans="1:6" x14ac:dyDescent="0.25">
      <c r="A32" s="102"/>
      <c r="B32" s="103"/>
      <c r="C32" s="103"/>
      <c r="D32" s="103"/>
      <c r="E32" s="103"/>
      <c r="F32" s="103"/>
    </row>
    <row r="33" spans="1:6" ht="31.5" x14ac:dyDescent="0.25">
      <c r="A33" s="99" t="s">
        <v>4</v>
      </c>
      <c r="B33" s="39">
        <f>B31+1</f>
        <v>26</v>
      </c>
      <c r="C33" s="37" t="s">
        <v>87</v>
      </c>
      <c r="D33" s="1"/>
      <c r="E33" s="1"/>
      <c r="F33" s="1"/>
    </row>
    <row r="34" spans="1:6" x14ac:dyDescent="0.25">
      <c r="A34" s="99"/>
      <c r="B34" s="39">
        <f t="shared" si="0"/>
        <v>27</v>
      </c>
      <c r="C34" s="37" t="s">
        <v>88</v>
      </c>
      <c r="D34" s="1"/>
      <c r="E34" s="1"/>
      <c r="F34" s="1"/>
    </row>
    <row r="35" spans="1:6" x14ac:dyDescent="0.25">
      <c r="A35" s="99"/>
      <c r="B35" s="39">
        <f t="shared" si="0"/>
        <v>28</v>
      </c>
      <c r="C35" s="37" t="s">
        <v>89</v>
      </c>
      <c r="D35" s="1"/>
      <c r="E35" s="1"/>
      <c r="F35" s="1"/>
    </row>
    <row r="36" spans="1:6" x14ac:dyDescent="0.25">
      <c r="A36" s="102"/>
      <c r="B36" s="103"/>
      <c r="C36" s="103"/>
      <c r="D36" s="103"/>
      <c r="E36" s="103"/>
      <c r="F36" s="103"/>
    </row>
    <row r="37" spans="1:6" x14ac:dyDescent="0.25">
      <c r="A37" s="99" t="s">
        <v>90</v>
      </c>
      <c r="B37" s="39">
        <f>B35+1</f>
        <v>29</v>
      </c>
      <c r="C37" s="1" t="s">
        <v>91</v>
      </c>
      <c r="D37" s="1"/>
      <c r="E37" s="1"/>
      <c r="F37" s="1"/>
    </row>
    <row r="38" spans="1:6" x14ac:dyDescent="0.25">
      <c r="A38" s="99"/>
      <c r="B38" s="39">
        <f t="shared" si="0"/>
        <v>30</v>
      </c>
      <c r="C38" s="38" t="s">
        <v>92</v>
      </c>
      <c r="D38" s="1"/>
      <c r="E38" s="1"/>
      <c r="F38" s="1"/>
    </row>
    <row r="39" spans="1:6" x14ac:dyDescent="0.25">
      <c r="A39" s="99"/>
      <c r="B39" s="39">
        <f t="shared" si="0"/>
        <v>31</v>
      </c>
      <c r="C39" s="38" t="s">
        <v>93</v>
      </c>
      <c r="D39" s="1"/>
      <c r="E39" s="1"/>
      <c r="F39" s="1"/>
    </row>
    <row r="40" spans="1:6" x14ac:dyDescent="0.25">
      <c r="A40" s="99"/>
      <c r="B40" s="39">
        <f t="shared" si="0"/>
        <v>32</v>
      </c>
      <c r="C40" s="38" t="s">
        <v>94</v>
      </c>
      <c r="D40" s="1"/>
      <c r="E40" s="1"/>
      <c r="F40" s="1"/>
    </row>
    <row r="41" spans="1:6" x14ac:dyDescent="0.25">
      <c r="A41" s="99"/>
      <c r="B41" s="39">
        <f t="shared" si="0"/>
        <v>33</v>
      </c>
      <c r="C41" s="38" t="s">
        <v>95</v>
      </c>
      <c r="D41" s="1"/>
      <c r="E41" s="1"/>
      <c r="F41" s="1"/>
    </row>
    <row r="42" spans="1:6" x14ac:dyDescent="0.25">
      <c r="A42" s="99"/>
      <c r="B42" s="39">
        <f t="shared" si="0"/>
        <v>34</v>
      </c>
      <c r="C42" s="38" t="s">
        <v>96</v>
      </c>
      <c r="D42" s="1"/>
      <c r="E42" s="1"/>
      <c r="F42" s="1"/>
    </row>
    <row r="43" spans="1:6" x14ac:dyDescent="0.25">
      <c r="A43" s="99"/>
      <c r="B43" s="39">
        <f t="shared" si="0"/>
        <v>35</v>
      </c>
      <c r="C43" s="38" t="s">
        <v>97</v>
      </c>
      <c r="D43" s="1"/>
      <c r="E43" s="1"/>
      <c r="F43" s="1"/>
    </row>
    <row r="44" spans="1:6" x14ac:dyDescent="0.25">
      <c r="A44" s="99"/>
      <c r="B44" s="39">
        <f t="shared" si="0"/>
        <v>36</v>
      </c>
      <c r="C44" s="38" t="s">
        <v>98</v>
      </c>
      <c r="D44" s="1"/>
      <c r="E44" s="1"/>
      <c r="F44" s="1"/>
    </row>
    <row r="45" spans="1:6" x14ac:dyDescent="0.25">
      <c r="A45" s="99"/>
      <c r="B45" s="39">
        <f t="shared" si="0"/>
        <v>37</v>
      </c>
      <c r="C45" s="38" t="s">
        <v>99</v>
      </c>
      <c r="D45" s="1"/>
      <c r="E45" s="1"/>
      <c r="F45" s="1"/>
    </row>
    <row r="46" spans="1:6" x14ac:dyDescent="0.25">
      <c r="A46" s="99"/>
      <c r="B46" s="39">
        <f t="shared" si="0"/>
        <v>38</v>
      </c>
      <c r="C46" s="38" t="s">
        <v>100</v>
      </c>
      <c r="D46" s="1"/>
      <c r="E46" s="1"/>
      <c r="F46" s="1"/>
    </row>
    <row r="47" spans="1:6" x14ac:dyDescent="0.25">
      <c r="A47" s="99"/>
      <c r="B47" s="39">
        <f t="shared" si="0"/>
        <v>39</v>
      </c>
      <c r="C47" s="38" t="s">
        <v>101</v>
      </c>
      <c r="D47" s="1"/>
      <c r="E47" s="1"/>
      <c r="F47" s="1"/>
    </row>
    <row r="48" spans="1:6" x14ac:dyDescent="0.25">
      <c r="A48" s="99"/>
      <c r="B48" s="39">
        <f t="shared" si="0"/>
        <v>40</v>
      </c>
      <c r="C48" s="38" t="s">
        <v>102</v>
      </c>
      <c r="D48" s="1"/>
      <c r="E48" s="1"/>
      <c r="F48" s="1"/>
    </row>
    <row r="49" spans="1:6" x14ac:dyDescent="0.25">
      <c r="A49" s="99"/>
      <c r="B49" s="39">
        <f t="shared" si="0"/>
        <v>41</v>
      </c>
      <c r="C49" s="38" t="s">
        <v>103</v>
      </c>
      <c r="D49" s="1"/>
      <c r="E49" s="1"/>
      <c r="F49" s="1"/>
    </row>
    <row r="50" spans="1:6" x14ac:dyDescent="0.25">
      <c r="A50" s="99"/>
      <c r="B50" s="39">
        <f t="shared" si="0"/>
        <v>42</v>
      </c>
      <c r="C50" s="38" t="s">
        <v>104</v>
      </c>
      <c r="D50" s="1"/>
      <c r="E50" s="1"/>
      <c r="F50" s="1"/>
    </row>
    <row r="51" spans="1:6" x14ac:dyDescent="0.25">
      <c r="A51" s="99"/>
      <c r="B51" s="39">
        <f t="shared" si="0"/>
        <v>43</v>
      </c>
      <c r="C51" s="38" t="s">
        <v>105</v>
      </c>
      <c r="D51" s="1"/>
      <c r="E51" s="1"/>
      <c r="F51" s="1"/>
    </row>
    <row r="52" spans="1:6" ht="149.44999999999999" customHeight="1" x14ac:dyDescent="0.25">
      <c r="A52" s="99"/>
      <c r="B52" s="39">
        <f t="shared" si="0"/>
        <v>44</v>
      </c>
      <c r="C52" s="38" t="s">
        <v>106</v>
      </c>
      <c r="D52" s="1"/>
      <c r="E52" s="1"/>
      <c r="F52" s="1"/>
    </row>
  </sheetData>
  <mergeCells count="16">
    <mergeCell ref="A1:C1"/>
    <mergeCell ref="A33:A35"/>
    <mergeCell ref="A37:A52"/>
    <mergeCell ref="D21:D24"/>
    <mergeCell ref="D4:D5"/>
    <mergeCell ref="A4:A12"/>
    <mergeCell ref="A14:A19"/>
    <mergeCell ref="A21:A24"/>
    <mergeCell ref="A26:A31"/>
    <mergeCell ref="A32:F32"/>
    <mergeCell ref="A36:F36"/>
    <mergeCell ref="E4:E5"/>
    <mergeCell ref="F4:F5"/>
    <mergeCell ref="A13:F13"/>
    <mergeCell ref="A20:F20"/>
    <mergeCell ref="A25:F2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EFC2D-0537-4C85-989C-01046AAA512E}">
  <dimension ref="A1:B16"/>
  <sheetViews>
    <sheetView zoomScale="85" zoomScaleNormal="85" workbookViewId="0">
      <selection activeCell="C16" sqref="C16"/>
    </sheetView>
  </sheetViews>
  <sheetFormatPr defaultRowHeight="15.75" x14ac:dyDescent="0.25"/>
  <cols>
    <col min="1" max="1" width="21.375" bestFit="1" customWidth="1"/>
    <col min="2" max="2" width="54.875" customWidth="1"/>
  </cols>
  <sheetData>
    <row r="1" spans="1:2" ht="46.5" customHeight="1" x14ac:dyDescent="0.25">
      <c r="A1" s="2" t="s">
        <v>124</v>
      </c>
      <c r="B1" s="1"/>
    </row>
    <row r="2" spans="1:2" ht="49.5" customHeight="1" x14ac:dyDescent="0.25">
      <c r="A2" s="2" t="s">
        <v>125</v>
      </c>
      <c r="B2" s="1"/>
    </row>
    <row r="3" spans="1:2" ht="47.25" customHeight="1" x14ac:dyDescent="0.25">
      <c r="A3" t="s">
        <v>126</v>
      </c>
    </row>
    <row r="6" spans="1:2" ht="138.94999999999999" customHeight="1" x14ac:dyDescent="0.25">
      <c r="A6" s="2" t="s">
        <v>124</v>
      </c>
    </row>
    <row r="7" spans="1:2" ht="45.95" customHeight="1" x14ac:dyDescent="0.25">
      <c r="A7" s="2" t="s">
        <v>125</v>
      </c>
    </row>
    <row r="8" spans="1:2" x14ac:dyDescent="0.25">
      <c r="A8" t="s">
        <v>126</v>
      </c>
    </row>
    <row r="10" spans="1:2" ht="385.9" customHeight="1" x14ac:dyDescent="0.25">
      <c r="A10" t="s">
        <v>131</v>
      </c>
    </row>
    <row r="11" spans="1:2" ht="408.6" customHeight="1" x14ac:dyDescent="0.25">
      <c r="A11" t="s">
        <v>136</v>
      </c>
    </row>
    <row r="12" spans="1:2" ht="409.15" customHeight="1" x14ac:dyDescent="0.25">
      <c r="A12" t="s">
        <v>137</v>
      </c>
    </row>
    <row r="13" spans="1:2" ht="343.9" customHeight="1" x14ac:dyDescent="0.25">
      <c r="A13" t="s">
        <v>132</v>
      </c>
    </row>
    <row r="14" spans="1:2" ht="307.89999999999998" customHeight="1" x14ac:dyDescent="0.25">
      <c r="A14" t="s">
        <v>133</v>
      </c>
    </row>
    <row r="15" spans="1:2" ht="149.25" customHeight="1" x14ac:dyDescent="0.25">
      <c r="A15" t="s">
        <v>145</v>
      </c>
    </row>
    <row r="16" spans="1:2" ht="147" customHeight="1" x14ac:dyDescent="0.25">
      <c r="A16" t="s">
        <v>146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EF1ABF-58D5-4324-B0A3-1724252780C5}">
  <ds:schemaRefs>
    <ds:schemaRef ds:uri="http://purl.org/dc/elements/1.1/"/>
    <ds:schemaRef ds:uri="http://schemas.microsoft.com/office/2006/metadata/properties"/>
    <ds:schemaRef ds:uri="bb91c991-12d0-4478-8207-ba123b6299cc"/>
    <ds:schemaRef ds:uri="http://purl.org/dc/dcmitype/"/>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C823B5E-EB62-4ACC-81FE-3DC0F0C0C4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4F5F69-2289-4977-A295-857E69E9C01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DP83TC813 Pin Wise Checklist</vt:lpstr>
      <vt:lpstr>Strap Tool</vt:lpstr>
      <vt:lpstr>Layout Checklist</vt:lpstr>
      <vt:lpstr>Pictures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DP83TC812_Schematic_Layout_Review_Checklist</dc:title>
  <dc:subject/>
  <dc:creator>Microsoft Office User</dc:creator>
  <cp:keywords/>
  <dc:description/>
  <cp:lastModifiedBy>Creger, David</cp:lastModifiedBy>
  <cp:revision/>
  <dcterms:created xsi:type="dcterms:W3CDTF">2017-11-24T07:37:11Z</dcterms:created>
  <dcterms:modified xsi:type="dcterms:W3CDTF">2024-09-04T16:17:13Z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