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0488284\Documents\Calculations\Calculators\"/>
    </mc:Choice>
  </mc:AlternateContent>
  <xr:revisionPtr revIDLastSave="0" documentId="13_ncr:1_{A2837CDC-6106-4AAF-ABC3-1FE08C6DCA59}" xr6:coauthVersionLast="36" xr6:coauthVersionMax="36" xr10:uidLastSave="{00000000-0000-0000-0000-000000000000}"/>
  <bookViews>
    <workbookView xWindow="0" yWindow="0" windowWidth="15200" windowHeight="6760" xr2:uid="{96C76C7D-50A6-46D6-8195-EA84D09B0880}"/>
  </bookViews>
  <sheets>
    <sheet name="DRV7308 Thermal Calculator" sheetId="1" r:id="rId1"/>
    <sheet name="Revision History" sheetId="2" r:id="rId2"/>
  </sheets>
  <definedNames>
    <definedName name="a_eoff">'DRV7308 Thermal Calculator'!$P$75</definedName>
    <definedName name="a_eon">'DRV7308 Thermal Calculator'!$P$78</definedName>
    <definedName name="Ambient_temp">'DRV7308 Thermal Calculator'!$C$18</definedName>
    <definedName name="ambient_temp_device_max">'DRV7308 Thermal Calculator'!$C$68</definedName>
    <definedName name="b1_eoff">'DRV7308 Thermal Calculator'!$P$76</definedName>
    <definedName name="b1_eon">'DRV7308 Thermal Calculator'!$P$79</definedName>
    <definedName name="b1A">'DRV7308 Thermal Calculator'!$BN$22</definedName>
    <definedName name="b2_eoff">'DRV7308 Thermal Calculator'!$P$77</definedName>
    <definedName name="b2_eon">'DRV7308 Thermal Calculator'!$P$80</definedName>
    <definedName name="b4A">'DRV7308 Thermal Calculator'!$BP$22</definedName>
    <definedName name="DC_Voltage">'DRV7308 Thermal Calculator'!$C$8</definedName>
    <definedName name="Device_name">'DRV7308 Thermal Calculator'!$C$66</definedName>
    <definedName name="diode_losses">'DRV7308 Thermal Calculator'!$M$51</definedName>
    <definedName name="dRon_scaling">'DRV7308 Thermal Calculator'!$M$32</definedName>
    <definedName name="E_Cpcb">'DRV7308 Thermal Calculator'!$M$43</definedName>
    <definedName name="E_Cpcb_actual">'DRV7308 Thermal Calculator'!$M$44</definedName>
    <definedName name="Eoff">'DRV7308 Thermal Calculator'!$M$47</definedName>
    <definedName name="Eon">'DRV7308 Thermal Calculator'!$M$46</definedName>
    <definedName name="LDO1_losses">'DRV7308 Thermal Calculator'!$M$53</definedName>
    <definedName name="LDO2_losses">'DRV7308 Thermal Calculator'!$M$54</definedName>
    <definedName name="m">'DRV7308 Thermal Calculator'!$BP$20</definedName>
    <definedName name="m1A">'DRV7308 Thermal Calculator'!$BN$20</definedName>
    <definedName name="mEoff">'DRV7308 Thermal Calculator'!$V$63</definedName>
    <definedName name="mEon">'DRV7308 Thermal Calculator'!$U$63</definedName>
    <definedName name="Nominal">'DRV7308 Thermal Calculator'!$C$101</definedName>
    <definedName name="Nominal_or_worst">'DRV7308 Thermal Calculator'!$C$21</definedName>
    <definedName name="PCB_capacitance">'DRV7308 Thermal Calculator'!$C$24</definedName>
    <definedName name="PCB_capacitance_pF">'DRV7308 Thermal Calculator'!$C$24</definedName>
    <definedName name="Peak_Current">'DRV7308 Thermal Calculator'!$C$10*1.414</definedName>
    <definedName name="PWM_Modulation_selection">'DRV7308 Thermal Calculator'!$C$11</definedName>
    <definedName name="Rdson_25C">'DRV7308 Thermal Calculator'!$M$29</definedName>
    <definedName name="Rdson_scaling">'DRV7308 Thermal Calculator'!$M$31</definedName>
    <definedName name="RMS_Current">'DRV7308 Thermal Calculator'!$C$10</definedName>
    <definedName name="slew_rate">'DRV7308 Thermal Calculator'!$C$13</definedName>
    <definedName name="Slew_rate_options">'DRV7308 Thermal Calculator'!$C$78:$C$81</definedName>
    <definedName name="slew_rate_unit">'DRV7308 Thermal Calculator'!$C$77</definedName>
    <definedName name="slew_rate_V_per_ns">'DRV7308 Thermal Calculator'!$C$13</definedName>
    <definedName name="standby_power">'DRV7308 Thermal Calculator'!$M$41</definedName>
    <definedName name="Theta_JA">'DRV7308 Thermal Calculator'!$M$34</definedName>
    <definedName name="VM_MAX">'DRV7308 Thermal Calculator'!$C$71</definedName>
    <definedName name="VM_MIN">'DRV7308 Thermal Calculator'!$C$70</definedName>
    <definedName name="Worst">'DRV7308 Thermal Calculator'!$C$102</definedName>
    <definedName name="X2Eoff">'DRV7308 Thermal Calculator'!$V$65</definedName>
    <definedName name="x2Eon">'DRV7308 Thermal Calculator'!$U$65</definedName>
    <definedName name="xEoff">'DRV7308 Thermal Calculator'!$V$64</definedName>
    <definedName name="xEon">'DRV7308 Thermal Calculator'!$U$64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1" i="1" l="1"/>
  <c r="F21" i="1"/>
  <c r="J12" i="1" l="1"/>
  <c r="J17" i="1"/>
  <c r="F10" i="1" l="1"/>
  <c r="F11" i="1"/>
  <c r="M44" i="1"/>
  <c r="M43" i="1"/>
  <c r="C231" i="1"/>
  <c r="C228" i="1"/>
  <c r="C229" i="1"/>
  <c r="C227" i="1"/>
  <c r="B8" i="1"/>
  <c r="B9" i="1"/>
  <c r="D9" i="1" s="1"/>
  <c r="B10" i="1"/>
  <c r="F20" i="1"/>
  <c r="B18" i="1"/>
  <c r="B12" i="1"/>
  <c r="B5" i="1"/>
  <c r="G11" i="1" l="1"/>
  <c r="J10" i="1"/>
  <c r="C230" i="1"/>
  <c r="C232" i="1" s="1"/>
  <c r="B164" i="1" l="1"/>
  <c r="B161" i="1"/>
  <c r="B162" i="1"/>
  <c r="B163" i="1"/>
  <c r="B160" i="1"/>
  <c r="B156" i="1"/>
  <c r="B157" i="1"/>
  <c r="B158" i="1"/>
  <c r="B159" i="1"/>
  <c r="B155" i="1"/>
  <c r="B154" i="1"/>
  <c r="B151" i="1"/>
  <c r="B152" i="1"/>
  <c r="B153" i="1"/>
  <c r="B150" i="1"/>
  <c r="B146" i="1"/>
  <c r="B147" i="1"/>
  <c r="B148" i="1"/>
  <c r="B149" i="1"/>
  <c r="B145" i="1"/>
  <c r="B141" i="1"/>
  <c r="B142" i="1"/>
  <c r="B143" i="1"/>
  <c r="B144" i="1"/>
  <c r="B140" i="1"/>
  <c r="B136" i="1"/>
  <c r="B137" i="1"/>
  <c r="B138" i="1"/>
  <c r="B139" i="1"/>
  <c r="B135" i="1"/>
  <c r="C29" i="1" l="1"/>
  <c r="M34" i="1" s="1"/>
  <c r="AA24" i="1"/>
  <c r="M32" i="1" l="1"/>
  <c r="M30" i="1"/>
  <c r="M29" i="1"/>
  <c r="M27" i="1"/>
  <c r="M25" i="1"/>
  <c r="M51" i="1" s="1"/>
  <c r="K102" i="1" l="1"/>
  <c r="K103" i="1"/>
  <c r="K104" i="1"/>
  <c r="K101" i="1"/>
  <c r="AZ14" i="1"/>
  <c r="AZ13" i="1" s="1"/>
  <c r="BA14" i="1"/>
  <c r="BA13" i="1" s="1"/>
  <c r="BB14" i="1"/>
  <c r="BB13" i="1" s="1"/>
  <c r="BC14" i="1"/>
  <c r="BC13" i="1" s="1"/>
  <c r="BD14" i="1"/>
  <c r="BD13" i="1" s="1"/>
  <c r="AZ15" i="1"/>
  <c r="BA15" i="1"/>
  <c r="BB15" i="1"/>
  <c r="BC15" i="1"/>
  <c r="BD15" i="1"/>
  <c r="AZ17" i="1"/>
  <c r="AZ16" i="1" s="1"/>
  <c r="BA17" i="1"/>
  <c r="BA16" i="1" s="1"/>
  <c r="BB17" i="1"/>
  <c r="BB16" i="1" s="1"/>
  <c r="BC17" i="1"/>
  <c r="BC16" i="1" s="1"/>
  <c r="BD17" i="1"/>
  <c r="BD16" i="1" s="1"/>
  <c r="AZ18" i="1"/>
  <c r="BA18" i="1"/>
  <c r="BB18" i="1"/>
  <c r="BC18" i="1"/>
  <c r="BD18" i="1"/>
  <c r="AZ20" i="1"/>
  <c r="AZ19" i="1" s="1"/>
  <c r="BA20" i="1"/>
  <c r="BA19" i="1" s="1"/>
  <c r="BB20" i="1"/>
  <c r="BB19" i="1" s="1"/>
  <c r="BC20" i="1"/>
  <c r="BC19" i="1" s="1"/>
  <c r="BD20" i="1"/>
  <c r="BD19" i="1" s="1"/>
  <c r="AZ21" i="1"/>
  <c r="BA21" i="1"/>
  <c r="BB21" i="1"/>
  <c r="BC21" i="1"/>
  <c r="BD21" i="1"/>
  <c r="AZ23" i="1"/>
  <c r="AZ22" i="1" s="1"/>
  <c r="BA23" i="1"/>
  <c r="BA22" i="1" s="1"/>
  <c r="BB23" i="1"/>
  <c r="BB22" i="1" s="1"/>
  <c r="BC23" i="1"/>
  <c r="BC22" i="1" s="1"/>
  <c r="BD23" i="1"/>
  <c r="BD22" i="1" s="1"/>
  <c r="AZ24" i="1"/>
  <c r="BA24" i="1"/>
  <c r="BB24" i="1"/>
  <c r="BC24" i="1"/>
  <c r="BD24" i="1"/>
  <c r="AZ26" i="1"/>
  <c r="AZ25" i="1" s="1"/>
  <c r="BA26" i="1"/>
  <c r="BA25" i="1" s="1"/>
  <c r="BB26" i="1"/>
  <c r="BB25" i="1" s="1"/>
  <c r="BC26" i="1"/>
  <c r="BC25" i="1" s="1"/>
  <c r="BD26" i="1"/>
  <c r="BD25" i="1" s="1"/>
  <c r="AZ27" i="1"/>
  <c r="BA27" i="1"/>
  <c r="BB27" i="1"/>
  <c r="BC27" i="1"/>
  <c r="BD27" i="1"/>
  <c r="AZ29" i="1"/>
  <c r="AZ28" i="1" s="1"/>
  <c r="BA29" i="1"/>
  <c r="BA28" i="1" s="1"/>
  <c r="BB29" i="1"/>
  <c r="BB28" i="1" s="1"/>
  <c r="BC29" i="1"/>
  <c r="BC28" i="1" s="1"/>
  <c r="BD29" i="1"/>
  <c r="BD28" i="1" s="1"/>
  <c r="AZ30" i="1"/>
  <c r="BA30" i="1"/>
  <c r="BB30" i="1"/>
  <c r="BC30" i="1"/>
  <c r="BD30" i="1"/>
  <c r="AZ32" i="1"/>
  <c r="AZ31" i="1" s="1"/>
  <c r="BA32" i="1"/>
  <c r="BA31" i="1" s="1"/>
  <c r="BB32" i="1"/>
  <c r="BB31" i="1" s="1"/>
  <c r="BC32" i="1"/>
  <c r="BC31" i="1" s="1"/>
  <c r="BD32" i="1"/>
  <c r="BD31" i="1" s="1"/>
  <c r="AZ33" i="1"/>
  <c r="BA33" i="1"/>
  <c r="BB33" i="1"/>
  <c r="BC33" i="1"/>
  <c r="BD33" i="1"/>
  <c r="AZ35" i="1"/>
  <c r="AZ34" i="1" s="1"/>
  <c r="BA35" i="1"/>
  <c r="BA34" i="1" s="1"/>
  <c r="BB35" i="1"/>
  <c r="BB34" i="1" s="1"/>
  <c r="BC35" i="1"/>
  <c r="BC34" i="1" s="1"/>
  <c r="BD35" i="1"/>
  <c r="BD34" i="1" s="1"/>
  <c r="AZ36" i="1"/>
  <c r="BA36" i="1"/>
  <c r="BB36" i="1"/>
  <c r="BC36" i="1"/>
  <c r="BD36" i="1"/>
  <c r="AZ38" i="1"/>
  <c r="AZ37" i="1" s="1"/>
  <c r="BA38" i="1"/>
  <c r="BA37" i="1" s="1"/>
  <c r="BB38" i="1"/>
  <c r="BB37" i="1" s="1"/>
  <c r="BC38" i="1"/>
  <c r="BC37" i="1" s="1"/>
  <c r="BD38" i="1"/>
  <c r="BD37" i="1" s="1"/>
  <c r="AZ39" i="1"/>
  <c r="BA39" i="1"/>
  <c r="BB39" i="1"/>
  <c r="BC39" i="1"/>
  <c r="BD39" i="1"/>
  <c r="BA41" i="1"/>
  <c r="BA40" i="1" s="1"/>
  <c r="BB41" i="1"/>
  <c r="BB40" i="1" s="1"/>
  <c r="BC41" i="1"/>
  <c r="BC40" i="1" s="1"/>
  <c r="BD41" i="1"/>
  <c r="BD40" i="1" s="1"/>
  <c r="BB42" i="1"/>
  <c r="BC42" i="1"/>
  <c r="BD42" i="1"/>
  <c r="BA44" i="1"/>
  <c r="BA43" i="1" s="1"/>
  <c r="BB44" i="1"/>
  <c r="BB43" i="1" s="1"/>
  <c r="BC44" i="1"/>
  <c r="BC43" i="1" s="1"/>
  <c r="BD44" i="1"/>
  <c r="BD43" i="1" s="1"/>
  <c r="BA45" i="1"/>
  <c r="BB45" i="1"/>
  <c r="BC45" i="1"/>
  <c r="BD45" i="1"/>
  <c r="BA47" i="1"/>
  <c r="BA46" i="1" s="1"/>
  <c r="BB47" i="1"/>
  <c r="BB46" i="1" s="1"/>
  <c r="BC47" i="1"/>
  <c r="BC46" i="1" s="1"/>
  <c r="BD47" i="1"/>
  <c r="BD46" i="1" s="1"/>
  <c r="BA48" i="1"/>
  <c r="BB48" i="1"/>
  <c r="BC48" i="1"/>
  <c r="BD48" i="1"/>
  <c r="BA50" i="1"/>
  <c r="BA49" i="1" s="1"/>
  <c r="BB50" i="1"/>
  <c r="BB49" i="1" s="1"/>
  <c r="BC50" i="1"/>
  <c r="BC49" i="1" s="1"/>
  <c r="BD50" i="1"/>
  <c r="BD49" i="1" s="1"/>
  <c r="BA51" i="1"/>
  <c r="BB51" i="1"/>
  <c r="BC51" i="1"/>
  <c r="BD51" i="1"/>
  <c r="BA53" i="1"/>
  <c r="BA52" i="1" s="1"/>
  <c r="BB53" i="1"/>
  <c r="BB52" i="1" s="1"/>
  <c r="BC53" i="1"/>
  <c r="BC52" i="1" s="1"/>
  <c r="BD53" i="1"/>
  <c r="BD52" i="1" s="1"/>
  <c r="BA54" i="1"/>
  <c r="BB54" i="1"/>
  <c r="BC54" i="1"/>
  <c r="BD54" i="1"/>
  <c r="BB56" i="1"/>
  <c r="BB55" i="1" s="1"/>
  <c r="BC56" i="1"/>
  <c r="BC55" i="1" s="1"/>
  <c r="BD56" i="1"/>
  <c r="BD55" i="1" s="1"/>
  <c r="BC57" i="1"/>
  <c r="BD57" i="1"/>
  <c r="BB59" i="1"/>
  <c r="BB58" i="1" s="1"/>
  <c r="BC59" i="1"/>
  <c r="BC58" i="1" s="1"/>
  <c r="BD59" i="1"/>
  <c r="BD58" i="1" s="1"/>
  <c r="BB60" i="1"/>
  <c r="BC60" i="1"/>
  <c r="BD60" i="1"/>
  <c r="BB62" i="1"/>
  <c r="BB61" i="1" s="1"/>
  <c r="BC62" i="1"/>
  <c r="BC61" i="1" s="1"/>
  <c r="BD62" i="1"/>
  <c r="BD61" i="1" s="1"/>
  <c r="BB63" i="1"/>
  <c r="BC63" i="1"/>
  <c r="BD63" i="1"/>
  <c r="BB65" i="1"/>
  <c r="BB64" i="1" s="1"/>
  <c r="BC65" i="1"/>
  <c r="BC64" i="1" s="1"/>
  <c r="BD65" i="1"/>
  <c r="BD64" i="1" s="1"/>
  <c r="BB66" i="1"/>
  <c r="BC66" i="1"/>
  <c r="BD66" i="1"/>
  <c r="BB68" i="1"/>
  <c r="BB67" i="1" s="1"/>
  <c r="BC68" i="1"/>
  <c r="BC67" i="1" s="1"/>
  <c r="BD68" i="1"/>
  <c r="BD67" i="1" s="1"/>
  <c r="BB69" i="1"/>
  <c r="BC69" i="1"/>
  <c r="BD69" i="1"/>
  <c r="AZ11" i="1"/>
  <c r="AZ10" i="1" s="1"/>
  <c r="Q63" i="1"/>
  <c r="M63" i="1"/>
  <c r="BG25" i="1" l="1"/>
  <c r="BE25" i="1"/>
  <c r="BF25" i="1" s="1"/>
  <c r="BG52" i="1"/>
  <c r="BE16" i="1"/>
  <c r="BF16" i="1" s="1"/>
  <c r="BG16" i="1"/>
  <c r="BE28" i="1"/>
  <c r="BF28" i="1" s="1"/>
  <c r="BE64" i="1"/>
  <c r="BF64" i="1" s="1"/>
  <c r="BE22" i="1"/>
  <c r="BF22" i="1" s="1"/>
  <c r="BG22" i="1"/>
  <c r="BE19" i="1"/>
  <c r="BF19" i="1" s="1"/>
  <c r="BG19" i="1"/>
  <c r="BE13" i="1"/>
  <c r="BF13" i="1" s="1"/>
  <c r="BG13" i="1"/>
  <c r="BE37" i="1"/>
  <c r="BF37" i="1" s="1"/>
  <c r="BE58" i="1"/>
  <c r="BF58" i="1" s="1"/>
  <c r="BG58" i="1"/>
  <c r="BE46" i="1"/>
  <c r="BF46" i="1" s="1"/>
  <c r="BG46" i="1"/>
  <c r="BG61" i="1"/>
  <c r="BE61" i="1"/>
  <c r="BF61" i="1" s="1"/>
  <c r="BG31" i="1"/>
  <c r="BE31" i="1"/>
  <c r="BF31" i="1" s="1"/>
  <c r="BE34" i="1"/>
  <c r="BF34" i="1" s="1"/>
  <c r="BG34" i="1"/>
  <c r="BG37" i="1"/>
  <c r="BG67" i="1"/>
  <c r="BE67" i="1"/>
  <c r="BF67" i="1" s="1"/>
  <c r="BE40" i="1"/>
  <c r="BF40" i="1" s="1"/>
  <c r="BG49" i="1"/>
  <c r="BE49" i="1"/>
  <c r="BF49" i="1" s="1"/>
  <c r="BG28" i="1"/>
  <c r="BG43" i="1"/>
  <c r="BG40" i="1"/>
  <c r="BE43" i="1"/>
  <c r="BF43" i="1" s="1"/>
  <c r="BG64" i="1"/>
  <c r="BE52" i="1"/>
  <c r="BF52" i="1" s="1"/>
  <c r="BE55" i="1"/>
  <c r="BF55" i="1" s="1"/>
  <c r="BG55" i="1"/>
  <c r="BA11" i="1"/>
  <c r="BA10" i="1" s="1"/>
  <c r="BB11" i="1"/>
  <c r="BB10" i="1" s="1"/>
  <c r="BC11" i="1"/>
  <c r="BC10" i="1" s="1"/>
  <c r="BD11" i="1"/>
  <c r="BD10" i="1" s="1"/>
  <c r="AZ9" i="1"/>
  <c r="BA9" i="1"/>
  <c r="BB9" i="1"/>
  <c r="BC9" i="1"/>
  <c r="BD9" i="1"/>
  <c r="AZ12" i="1"/>
  <c r="BA12" i="1"/>
  <c r="BB12" i="1"/>
  <c r="BC12" i="1"/>
  <c r="BD12" i="1"/>
  <c r="BG10" i="1" l="1"/>
  <c r="L101" i="1" s="1"/>
  <c r="BE10" i="1"/>
  <c r="BF10" i="1" s="1"/>
  <c r="BH48" i="1"/>
  <c r="L104" i="1"/>
  <c r="BH60" i="1"/>
  <c r="L103" i="1"/>
  <c r="L102" i="1"/>
  <c r="BH36" i="1"/>
  <c r="BJ39" i="1"/>
  <c r="BJ24" i="1"/>
  <c r="M36" i="1"/>
  <c r="BH14" i="1" l="1"/>
  <c r="M91" i="1"/>
  <c r="N91" i="1"/>
  <c r="O91" i="1"/>
  <c r="P91" i="1"/>
  <c r="Q91" i="1"/>
  <c r="R91" i="1"/>
  <c r="S91" i="1"/>
  <c r="M92" i="1"/>
  <c r="N92" i="1"/>
  <c r="O92" i="1"/>
  <c r="P92" i="1"/>
  <c r="Q92" i="1"/>
  <c r="R92" i="1"/>
  <c r="S92" i="1"/>
  <c r="M93" i="1"/>
  <c r="N93" i="1"/>
  <c r="O93" i="1"/>
  <c r="P93" i="1"/>
  <c r="Q93" i="1"/>
  <c r="R93" i="1"/>
  <c r="S93" i="1"/>
  <c r="T92" i="1"/>
  <c r="T93" i="1"/>
  <c r="T91" i="1"/>
  <c r="N68" i="1"/>
  <c r="N66" i="1"/>
  <c r="S63" i="1"/>
  <c r="R71" i="1"/>
  <c r="R70" i="1"/>
  <c r="R69" i="1"/>
  <c r="R68" i="1"/>
  <c r="R67" i="1"/>
  <c r="R66" i="1"/>
  <c r="R65" i="1"/>
  <c r="R64" i="1"/>
  <c r="R63" i="1"/>
  <c r="Q71" i="1"/>
  <c r="Q70" i="1"/>
  <c r="Q69" i="1"/>
  <c r="Q68" i="1"/>
  <c r="Q67" i="1"/>
  <c r="Q66" i="1"/>
  <c r="Q65" i="1"/>
  <c r="Q64" i="1"/>
  <c r="P71" i="1"/>
  <c r="P70" i="1"/>
  <c r="P69" i="1"/>
  <c r="P68" i="1"/>
  <c r="P67" i="1"/>
  <c r="P66" i="1"/>
  <c r="P65" i="1"/>
  <c r="P64" i="1"/>
  <c r="P63" i="1"/>
  <c r="T71" i="1"/>
  <c r="T70" i="1"/>
  <c r="T69" i="1"/>
  <c r="T68" i="1"/>
  <c r="T67" i="1"/>
  <c r="T66" i="1"/>
  <c r="T65" i="1"/>
  <c r="T64" i="1"/>
  <c r="T63" i="1"/>
  <c r="S71" i="1"/>
  <c r="S70" i="1"/>
  <c r="S69" i="1"/>
  <c r="S68" i="1"/>
  <c r="S67" i="1"/>
  <c r="S66" i="1"/>
  <c r="S65" i="1"/>
  <c r="S64" i="1"/>
  <c r="O71" i="1"/>
  <c r="O70" i="1"/>
  <c r="O69" i="1"/>
  <c r="O68" i="1"/>
  <c r="O67" i="1"/>
  <c r="O66" i="1"/>
  <c r="O65" i="1"/>
  <c r="O64" i="1"/>
  <c r="O63" i="1"/>
  <c r="N71" i="1"/>
  <c r="N70" i="1"/>
  <c r="N69" i="1"/>
  <c r="N67" i="1"/>
  <c r="N65" i="1"/>
  <c r="N64" i="1"/>
  <c r="N63" i="1"/>
  <c r="M71" i="1"/>
  <c r="M70" i="1"/>
  <c r="M69" i="1"/>
  <c r="M68" i="1"/>
  <c r="M67" i="1"/>
  <c r="M66" i="1"/>
  <c r="M65" i="1"/>
  <c r="M64" i="1"/>
  <c r="AL178" i="1"/>
  <c r="AE178" i="1"/>
  <c r="AL154" i="1"/>
  <c r="AE154" i="1"/>
  <c r="AL130" i="1"/>
  <c r="AE130" i="1"/>
  <c r="AL104" i="1"/>
  <c r="AE104" i="1"/>
  <c r="U98" i="1"/>
  <c r="V98" i="1"/>
  <c r="W98" i="1"/>
  <c r="X98" i="1"/>
  <c r="Y98" i="1"/>
  <c r="Z98" i="1"/>
  <c r="AA98" i="1"/>
  <c r="AB98" i="1"/>
  <c r="U99" i="1"/>
  <c r="V99" i="1"/>
  <c r="W99" i="1"/>
  <c r="X99" i="1"/>
  <c r="Y99" i="1"/>
  <c r="Z99" i="1"/>
  <c r="AA99" i="1"/>
  <c r="AB99" i="1"/>
  <c r="V97" i="1"/>
  <c r="W97" i="1"/>
  <c r="X97" i="1"/>
  <c r="Y97" i="1"/>
  <c r="Z97" i="1"/>
  <c r="AA97" i="1"/>
  <c r="AB97" i="1"/>
  <c r="U97" i="1"/>
  <c r="K97" i="1"/>
  <c r="T258" i="1" s="1"/>
  <c r="K94" i="1"/>
  <c r="T219" i="1" s="1"/>
  <c r="K91" i="1"/>
  <c r="T180" i="1" s="1"/>
  <c r="K88" i="1"/>
  <c r="T141" i="1" s="1"/>
  <c r="M98" i="1"/>
  <c r="N98" i="1"/>
  <c r="O98" i="1"/>
  <c r="P98" i="1"/>
  <c r="Q98" i="1"/>
  <c r="R98" i="1"/>
  <c r="S98" i="1"/>
  <c r="T98" i="1"/>
  <c r="M99" i="1"/>
  <c r="N99" i="1"/>
  <c r="O99" i="1"/>
  <c r="P99" i="1"/>
  <c r="Q99" i="1"/>
  <c r="R99" i="1"/>
  <c r="S99" i="1"/>
  <c r="T99" i="1"/>
  <c r="N97" i="1"/>
  <c r="O97" i="1"/>
  <c r="P97" i="1"/>
  <c r="Q97" i="1"/>
  <c r="R97" i="1"/>
  <c r="S97" i="1"/>
  <c r="T97" i="1"/>
  <c r="M97" i="1"/>
  <c r="U95" i="1"/>
  <c r="V95" i="1"/>
  <c r="W95" i="1"/>
  <c r="X95" i="1"/>
  <c r="Y95" i="1"/>
  <c r="Z95" i="1"/>
  <c r="AA95" i="1"/>
  <c r="AB95" i="1"/>
  <c r="U96" i="1"/>
  <c r="V96" i="1"/>
  <c r="W96" i="1"/>
  <c r="X96" i="1"/>
  <c r="Y96" i="1"/>
  <c r="Z96" i="1"/>
  <c r="AA96" i="1"/>
  <c r="AB96" i="1"/>
  <c r="V94" i="1"/>
  <c r="W94" i="1"/>
  <c r="X94" i="1"/>
  <c r="Y94" i="1"/>
  <c r="Z94" i="1"/>
  <c r="AA94" i="1"/>
  <c r="AB94" i="1"/>
  <c r="U94" i="1"/>
  <c r="T96" i="1"/>
  <c r="S96" i="1"/>
  <c r="R96" i="1"/>
  <c r="Q96" i="1"/>
  <c r="P96" i="1"/>
  <c r="O96" i="1"/>
  <c r="N96" i="1"/>
  <c r="M96" i="1"/>
  <c r="T95" i="1"/>
  <c r="S95" i="1"/>
  <c r="R95" i="1"/>
  <c r="Q95" i="1"/>
  <c r="P95" i="1"/>
  <c r="O95" i="1"/>
  <c r="N95" i="1"/>
  <c r="M95" i="1"/>
  <c r="N94" i="1"/>
  <c r="O94" i="1"/>
  <c r="P94" i="1"/>
  <c r="Q94" i="1"/>
  <c r="R94" i="1"/>
  <c r="S94" i="1"/>
  <c r="T94" i="1"/>
  <c r="M94" i="1"/>
  <c r="U92" i="1"/>
  <c r="V92" i="1"/>
  <c r="W92" i="1"/>
  <c r="X92" i="1"/>
  <c r="Y92" i="1"/>
  <c r="Z92" i="1"/>
  <c r="AA92" i="1"/>
  <c r="AB92" i="1"/>
  <c r="U93" i="1"/>
  <c r="V93" i="1"/>
  <c r="W93" i="1"/>
  <c r="X93" i="1"/>
  <c r="Y93" i="1"/>
  <c r="Z93" i="1"/>
  <c r="AA93" i="1"/>
  <c r="AB93" i="1"/>
  <c r="V91" i="1"/>
  <c r="W91" i="1"/>
  <c r="X91" i="1"/>
  <c r="Y91" i="1"/>
  <c r="Z91" i="1"/>
  <c r="AA91" i="1"/>
  <c r="AB91" i="1"/>
  <c r="U91" i="1"/>
  <c r="U89" i="1"/>
  <c r="V89" i="1"/>
  <c r="W89" i="1"/>
  <c r="X89" i="1"/>
  <c r="Y89" i="1"/>
  <c r="Z89" i="1"/>
  <c r="AA89" i="1"/>
  <c r="AB89" i="1"/>
  <c r="U90" i="1"/>
  <c r="V90" i="1"/>
  <c r="W90" i="1"/>
  <c r="X90" i="1"/>
  <c r="Y90" i="1"/>
  <c r="Z90" i="1"/>
  <c r="AA90" i="1"/>
  <c r="AB90" i="1"/>
  <c r="V88" i="1"/>
  <c r="W88" i="1"/>
  <c r="X88" i="1"/>
  <c r="Y88" i="1"/>
  <c r="Z88" i="1"/>
  <c r="AA88" i="1"/>
  <c r="AB88" i="1"/>
  <c r="U88" i="1"/>
  <c r="M89" i="1"/>
  <c r="N89" i="1"/>
  <c r="O89" i="1"/>
  <c r="P89" i="1"/>
  <c r="Q89" i="1"/>
  <c r="R89" i="1"/>
  <c r="S89" i="1"/>
  <c r="T89" i="1"/>
  <c r="M90" i="1"/>
  <c r="N90" i="1"/>
  <c r="O90" i="1"/>
  <c r="P90" i="1"/>
  <c r="Q90" i="1"/>
  <c r="R90" i="1"/>
  <c r="S90" i="1"/>
  <c r="T90" i="1"/>
  <c r="N88" i="1"/>
  <c r="O88" i="1"/>
  <c r="P88" i="1"/>
  <c r="Q88" i="1"/>
  <c r="R88" i="1"/>
  <c r="S88" i="1"/>
  <c r="T88" i="1"/>
  <c r="M88" i="1"/>
  <c r="AB87" i="1"/>
  <c r="AA87" i="1"/>
  <c r="Z87" i="1"/>
  <c r="Y87" i="1"/>
  <c r="X87" i="1"/>
  <c r="W87" i="1"/>
  <c r="V87" i="1"/>
  <c r="U87" i="1"/>
  <c r="T87" i="1"/>
  <c r="S87" i="1"/>
  <c r="R87" i="1"/>
  <c r="Q87" i="1"/>
  <c r="P87" i="1"/>
  <c r="O87" i="1"/>
  <c r="N87" i="1"/>
  <c r="M87" i="1"/>
  <c r="AC257" i="1"/>
  <c r="AB257" i="1"/>
  <c r="AA257" i="1"/>
  <c r="Z257" i="1"/>
  <c r="Y257" i="1"/>
  <c r="X257" i="1"/>
  <c r="W257" i="1"/>
  <c r="V257" i="1"/>
  <c r="S257" i="1"/>
  <c r="R257" i="1"/>
  <c r="Q257" i="1"/>
  <c r="P257" i="1"/>
  <c r="O257" i="1"/>
  <c r="N257" i="1"/>
  <c r="M257" i="1"/>
  <c r="L257" i="1"/>
  <c r="AC218" i="1"/>
  <c r="AB218" i="1"/>
  <c r="AA218" i="1"/>
  <c r="Z218" i="1"/>
  <c r="Y218" i="1"/>
  <c r="X218" i="1"/>
  <c r="W218" i="1"/>
  <c r="V218" i="1"/>
  <c r="S218" i="1"/>
  <c r="R218" i="1"/>
  <c r="Q218" i="1"/>
  <c r="P218" i="1"/>
  <c r="O218" i="1"/>
  <c r="N218" i="1"/>
  <c r="M218" i="1"/>
  <c r="L218" i="1"/>
  <c r="AC179" i="1"/>
  <c r="AB179" i="1"/>
  <c r="AA179" i="1"/>
  <c r="Z179" i="1"/>
  <c r="Y179" i="1"/>
  <c r="X179" i="1"/>
  <c r="W179" i="1"/>
  <c r="V179" i="1"/>
  <c r="S179" i="1"/>
  <c r="R179" i="1"/>
  <c r="Q179" i="1"/>
  <c r="P179" i="1"/>
  <c r="O179" i="1"/>
  <c r="N179" i="1"/>
  <c r="M179" i="1"/>
  <c r="L179" i="1"/>
  <c r="AC140" i="1"/>
  <c r="AB140" i="1"/>
  <c r="AA140" i="1"/>
  <c r="Z140" i="1"/>
  <c r="Y140" i="1"/>
  <c r="X140" i="1"/>
  <c r="V140" i="1"/>
  <c r="W140" i="1"/>
  <c r="O140" i="1"/>
  <c r="N140" i="1"/>
  <c r="L140" i="1"/>
  <c r="M140" i="1"/>
  <c r="S140" i="1"/>
  <c r="R140" i="1"/>
  <c r="Q140" i="1"/>
  <c r="P140" i="1"/>
  <c r="BJ20" i="1"/>
  <c r="BJ21" i="1" s="1"/>
  <c r="BJ22" i="1" s="1"/>
  <c r="BK20" i="1"/>
  <c r="BK21" i="1" s="1"/>
  <c r="BK22" i="1" s="1"/>
  <c r="BJ35" i="1"/>
  <c r="BJ36" i="1" s="1"/>
  <c r="BJ37" i="1" s="1"/>
  <c r="BK35" i="1"/>
  <c r="BK36" i="1" s="1"/>
  <c r="BK37" i="1" s="1"/>
  <c r="R75" i="1" l="1"/>
  <c r="R80" i="1"/>
  <c r="Q79" i="1"/>
  <c r="Q75" i="1"/>
  <c r="T80" i="1"/>
  <c r="S77" i="1"/>
  <c r="T79" i="1"/>
  <c r="Q78" i="1"/>
  <c r="S78" i="1"/>
  <c r="R76" i="1"/>
  <c r="R77" i="1"/>
  <c r="S79" i="1"/>
  <c r="T75" i="1"/>
  <c r="Q80" i="1"/>
  <c r="Q76" i="1"/>
  <c r="T76" i="1"/>
  <c r="R78" i="1"/>
  <c r="S75" i="1"/>
  <c r="S76" i="1"/>
  <c r="Q77" i="1"/>
  <c r="T77" i="1"/>
  <c r="R79" i="1"/>
  <c r="S80" i="1"/>
  <c r="T78" i="1"/>
  <c r="J180" i="1"/>
  <c r="J219" i="1"/>
  <c r="J258" i="1"/>
  <c r="J141" i="1"/>
  <c r="L54" i="1"/>
  <c r="N54" i="1" s="1"/>
  <c r="B87" i="1"/>
  <c r="B85" i="1"/>
  <c r="B15" i="1"/>
  <c r="D15" i="1" s="1"/>
  <c r="B16" i="1"/>
  <c r="B89" i="1"/>
  <c r="B88" i="1" s="1"/>
  <c r="B86" i="1"/>
  <c r="D86" i="1" s="1"/>
  <c r="B84" i="1"/>
  <c r="W78" i="1" l="1"/>
  <c r="W75" i="1"/>
  <c r="W76" i="1"/>
  <c r="V78" i="1"/>
  <c r="V75" i="1"/>
  <c r="W77" i="1"/>
  <c r="V76" i="1"/>
  <c r="V77" i="1"/>
  <c r="M54" i="1"/>
  <c r="D89" i="1"/>
  <c r="B90" i="1"/>
  <c r="B91" i="1" l="1"/>
  <c r="D90" i="1"/>
  <c r="B75" i="1" l="1"/>
  <c r="D75" i="1" s="1"/>
  <c r="B76" i="1"/>
  <c r="D76" i="1" s="1"/>
  <c r="B74" i="1"/>
  <c r="L53" i="1"/>
  <c r="M53" i="1" s="1"/>
  <c r="L51" i="1"/>
  <c r="M41" i="1"/>
  <c r="G13" i="1" s="1"/>
  <c r="N53" i="1" l="1"/>
  <c r="B100" i="1" l="1"/>
  <c r="L25" i="1" l="1"/>
  <c r="O74" i="1" l="1"/>
  <c r="BN35" i="1"/>
  <c r="BQ35" i="1"/>
  <c r="BR35" i="1"/>
  <c r="BS35" i="1"/>
  <c r="BT35" i="1"/>
  <c r="BU35" i="1"/>
  <c r="BV35" i="1"/>
  <c r="BL35" i="1"/>
  <c r="BM35" i="1"/>
  <c r="BO35" i="1"/>
  <c r="BV20" i="1"/>
  <c r="BO20" i="1"/>
  <c r="BL20" i="1"/>
  <c r="BM20" i="1"/>
  <c r="BW35" i="1"/>
  <c r="BW36" i="1" s="1"/>
  <c r="BW37" i="1" s="1"/>
  <c r="BU20" i="1"/>
  <c r="BW20" i="1"/>
  <c r="BP35" i="1"/>
  <c r="BN20" i="1"/>
  <c r="BP20" i="1"/>
  <c r="T62" i="1"/>
  <c r="L82" i="1" s="1"/>
  <c r="S62" i="1"/>
  <c r="L81" i="1" s="1"/>
  <c r="R62" i="1"/>
  <c r="L80" i="1" s="1"/>
  <c r="Q62" i="1"/>
  <c r="L79" i="1" s="1"/>
  <c r="P62" i="1"/>
  <c r="L78" i="1" s="1"/>
  <c r="O62" i="1"/>
  <c r="L77" i="1" s="1"/>
  <c r="N62" i="1"/>
  <c r="L76" i="1" s="1"/>
  <c r="M62" i="1"/>
  <c r="L75" i="1" s="1"/>
  <c r="BP21" i="1" l="1"/>
  <c r="BP22" i="1" s="1"/>
  <c r="BW21" i="1"/>
  <c r="BW22" i="1" s="1"/>
  <c r="BU21" i="1"/>
  <c r="BU22" i="1" s="1"/>
  <c r="BN36" i="1"/>
  <c r="BN37" i="1" s="1"/>
  <c r="BV21" i="1"/>
  <c r="BV22" i="1" s="1"/>
  <c r="BM36" i="1"/>
  <c r="BM37" i="1" s="1"/>
  <c r="BN21" i="1"/>
  <c r="BN22" i="1" s="1"/>
  <c r="BM21" i="1"/>
  <c r="BM22" i="1" s="1"/>
  <c r="BV36" i="1"/>
  <c r="BV37" i="1" s="1"/>
  <c r="BT36" i="1"/>
  <c r="BT37" i="1" s="1"/>
  <c r="BR36" i="1"/>
  <c r="BR37" i="1" s="1"/>
  <c r="BQ36" i="1"/>
  <c r="BQ37" i="1" s="1"/>
  <c r="BS36" i="1"/>
  <c r="BS37" i="1" s="1"/>
  <c r="BL36" i="1"/>
  <c r="BL37" i="1" s="1"/>
  <c r="BU36" i="1"/>
  <c r="BU37" i="1" s="1"/>
  <c r="BO36" i="1"/>
  <c r="BO37" i="1" s="1"/>
  <c r="BO21" i="1"/>
  <c r="BO22" i="1" s="1"/>
  <c r="BL21" i="1"/>
  <c r="BL22" i="1" s="1"/>
  <c r="BP36" i="1"/>
  <c r="BP37" i="1" s="1"/>
  <c r="M153" i="1" l="1"/>
  <c r="N153" i="1" l="1"/>
  <c r="M31" i="1" l="1"/>
  <c r="S25" i="1" l="1"/>
  <c r="S26" i="1" s="1"/>
  <c r="AA25" i="1"/>
  <c r="AA26" i="1" s="1"/>
  <c r="M38" i="1"/>
  <c r="R25" i="1"/>
  <c r="M39" i="1"/>
  <c r="M37" i="1" l="1"/>
  <c r="L30" i="1"/>
  <c r="D87" i="1"/>
  <c r="D16" i="1"/>
  <c r="D13" i="1"/>
  <c r="M48" i="1" s="1"/>
  <c r="U63" i="1" l="1"/>
  <c r="U64" i="1"/>
  <c r="U66" i="1"/>
  <c r="V67" i="1"/>
  <c r="U67" i="1"/>
  <c r="U68" i="1"/>
  <c r="V70" i="1"/>
  <c r="U70" i="1"/>
  <c r="V71" i="1"/>
  <c r="V69" i="1"/>
  <c r="U71" i="1"/>
  <c r="U69" i="1"/>
  <c r="V68" i="1"/>
  <c r="V66" i="1"/>
  <c r="U62" i="1"/>
  <c r="V62" i="1"/>
  <c r="V64" i="1"/>
  <c r="V65" i="1"/>
  <c r="V63" i="1"/>
  <c r="U65" i="1"/>
  <c r="P79" i="1" l="1"/>
  <c r="P80" i="1"/>
  <c r="P75" i="1"/>
  <c r="P77" i="1"/>
  <c r="P76" i="1"/>
  <c r="P78" i="1"/>
  <c r="M47" i="1" l="1"/>
  <c r="M46" i="1"/>
  <c r="BQ20" i="1"/>
  <c r="BS20" i="1"/>
  <c r="BT20" i="1"/>
  <c r="BR20" i="1"/>
  <c r="AA27" i="1" l="1"/>
  <c r="AA28" i="1" s="1"/>
  <c r="G21" i="1" s="1"/>
  <c r="S27" i="1"/>
  <c r="S28" i="1" s="1"/>
  <c r="S29" i="1" s="1"/>
  <c r="V27" i="1" s="1"/>
  <c r="BS21" i="1"/>
  <c r="BS22" i="1" s="1"/>
  <c r="BR21" i="1"/>
  <c r="BR22" i="1" s="1"/>
  <c r="BT21" i="1"/>
  <c r="BT22" i="1" s="1"/>
  <c r="BQ21" i="1"/>
  <c r="BQ22" i="1" s="1"/>
  <c r="U25" i="1" l="1"/>
  <c r="V25" i="1"/>
  <c r="V26" i="1" s="1"/>
  <c r="V28" i="1" l="1"/>
  <c r="V29" i="1" s="1"/>
  <c r="Y27" i="1" l="1"/>
  <c r="M50" i="1" s="1"/>
  <c r="X25" i="1"/>
  <c r="Y25" i="1"/>
  <c r="Y26" i="1" l="1"/>
  <c r="Y28" i="1" s="1"/>
  <c r="Y29" i="1" s="1"/>
  <c r="G10" i="1"/>
  <c r="G12" i="1"/>
  <c r="M56" i="1" l="1"/>
  <c r="M49" i="1"/>
  <c r="G8" i="1" s="1"/>
  <c r="I18" i="1" s="1"/>
  <c r="G14" i="1" l="1"/>
  <c r="G18" i="1" s="1"/>
  <c r="G19" i="1" s="1"/>
</calcChain>
</file>

<file path=xl/sharedStrings.xml><?xml version="1.0" encoding="utf-8"?>
<sst xmlns="http://schemas.openxmlformats.org/spreadsheetml/2006/main" count="436" uniqueCount="205">
  <si>
    <t>Electrical Parameters</t>
  </si>
  <si>
    <t>Unit</t>
  </si>
  <si>
    <t>Value</t>
  </si>
  <si>
    <t>V</t>
  </si>
  <si>
    <t>Total Losses</t>
  </si>
  <si>
    <t>W</t>
  </si>
  <si>
    <t>A</t>
  </si>
  <si>
    <t>C</t>
  </si>
  <si>
    <t>PWM Modulation</t>
  </si>
  <si>
    <t>kHz</t>
  </si>
  <si>
    <t>mA</t>
  </si>
  <si>
    <t>PCB Specification</t>
  </si>
  <si>
    <t>PCB Layers</t>
  </si>
  <si>
    <t>#</t>
  </si>
  <si>
    <t>Top/Bottom Layers Cu Thickness (if PCB more than 2 layers, internal layers assume 1 oz Cu thickness)</t>
  </si>
  <si>
    <r>
      <t>cm</t>
    </r>
    <r>
      <rPr>
        <sz val="11"/>
        <color theme="1"/>
        <rFont val="Calibri"/>
        <family val="2"/>
      </rPr>
      <t>²</t>
    </r>
  </si>
  <si>
    <t>DRV7308</t>
  </si>
  <si>
    <t>Device name</t>
  </si>
  <si>
    <t>Recommended device minimum motor input operating voltage</t>
  </si>
  <si>
    <t>Recommended device maximum motor input operating voltage</t>
  </si>
  <si>
    <t>Recommended max motor RMS current</t>
  </si>
  <si>
    <t>Slew rate options</t>
  </si>
  <si>
    <t>Slew rate unit</t>
  </si>
  <si>
    <t>V/ns</t>
  </si>
  <si>
    <t>Maximum recommended device PWM switching frequency</t>
  </si>
  <si>
    <t>No</t>
  </si>
  <si>
    <t>AVDD</t>
  </si>
  <si>
    <t>Parameter Name</t>
  </si>
  <si>
    <t>Modulation Index</t>
  </si>
  <si>
    <t>Rdson @ 25C per FET</t>
  </si>
  <si>
    <t>mohms</t>
  </si>
  <si>
    <t>C/W</t>
  </si>
  <si>
    <t xml:space="preserve"> Peak Voltage (FOC)</t>
  </si>
  <si>
    <t>RMS Voltage (FOC) per phase</t>
  </si>
  <si>
    <t xml:space="preserve">Peak Current per phase </t>
  </si>
  <si>
    <t>Rise/Fall Time</t>
  </si>
  <si>
    <t>Standby Power</t>
  </si>
  <si>
    <t>Total Standby Power</t>
  </si>
  <si>
    <t>FET Conduction Losses</t>
  </si>
  <si>
    <t>FET Switching Losses</t>
  </si>
  <si>
    <t>Max allowable device junction temp (TJ)</t>
  </si>
  <si>
    <t>ns</t>
  </si>
  <si>
    <t>Iteration 1</t>
  </si>
  <si>
    <t>Iteration 2</t>
  </si>
  <si>
    <t>Iteration 3</t>
  </si>
  <si>
    <t>Pcond @ ITR1</t>
  </si>
  <si>
    <t>Pcond @ ITR2</t>
  </si>
  <si>
    <t>Pcond @ ITR3</t>
  </si>
  <si>
    <t>Ploss @ITR1</t>
  </si>
  <si>
    <t>Ploss @ITR2</t>
  </si>
  <si>
    <t>Ploss @ITR3</t>
  </si>
  <si>
    <t>TJ1 @ ITR1</t>
  </si>
  <si>
    <t>TJ2 @ ITR2</t>
  </si>
  <si>
    <t>TJ3 @ ITR3</t>
  </si>
  <si>
    <t>Rdson scaling factor per C</t>
  </si>
  <si>
    <t>Maximum recommended ambient temperature</t>
  </si>
  <si>
    <t>mohm</t>
  </si>
  <si>
    <t>Pswitch @ ITR1</t>
  </si>
  <si>
    <t>Information only, not used</t>
  </si>
  <si>
    <t>Notes</t>
  </si>
  <si>
    <t>Information only (maybe incorrect), not used</t>
  </si>
  <si>
    <t>Yes</t>
  </si>
  <si>
    <t>Use switching energy to calculate switching losses?</t>
  </si>
  <si>
    <t>Use peak current for conduction loss calculation? (Select "no" to use RMS current. For internal evaluation purposes only.)</t>
  </si>
  <si>
    <t>PWM Modulation options</t>
  </si>
  <si>
    <t>2-Phase FOC</t>
  </si>
  <si>
    <t>3-Phase FOC</t>
  </si>
  <si>
    <t>Trapezoidal</t>
  </si>
  <si>
    <t>temp change - negligable</t>
  </si>
  <si>
    <t>Current - slope can be calculated</t>
  </si>
  <si>
    <t>Eoff (uJ)</t>
  </si>
  <si>
    <t>Eon (uJ)</t>
  </si>
  <si>
    <t>&lt;-- Current</t>
  </si>
  <si>
    <t>Eon (per FET)</t>
  </si>
  <si>
    <t>uJ</t>
  </si>
  <si>
    <t>m</t>
  </si>
  <si>
    <t>Eon</t>
  </si>
  <si>
    <t>Eoff</t>
  </si>
  <si>
    <t>E = E0+V*I*0.5*slew</t>
  </si>
  <si>
    <t>(E-E0)/(V*I*0.5)</t>
  </si>
  <si>
    <t>Current (A)</t>
  </si>
  <si>
    <t>a</t>
  </si>
  <si>
    <t>b1</t>
  </si>
  <si>
    <t>b2</t>
  </si>
  <si>
    <t>Y  = b2x^2 + b1x + a</t>
  </si>
  <si>
    <t>a_eoff</t>
  </si>
  <si>
    <t>b1_eoff</t>
  </si>
  <si>
    <t>b2_eoff</t>
  </si>
  <si>
    <t>a_eon</t>
  </si>
  <si>
    <t>b1_eon</t>
  </si>
  <si>
    <t>b2_eon</t>
  </si>
  <si>
    <t>GaN</t>
  </si>
  <si>
    <t>Device MOSFET Technology</t>
  </si>
  <si>
    <t>Device deadtime selectable?</t>
  </si>
  <si>
    <t xml:space="preserve">dynamic RDSON scaling </t>
  </si>
  <si>
    <t>PCB Theta JA</t>
  </si>
  <si>
    <r>
      <t>°</t>
    </r>
    <r>
      <rPr>
        <sz val="9.35"/>
        <color theme="1"/>
        <rFont val="Calibri"/>
        <family val="2"/>
      </rPr>
      <t>C</t>
    </r>
  </si>
  <si>
    <t xml:space="preserve">Device datasheet Theta JA </t>
  </si>
  <si>
    <t>Theta JA used for calculations</t>
  </si>
  <si>
    <t>°C/W</t>
  </si>
  <si>
    <t>Other Losses</t>
  </si>
  <si>
    <t>Estimated Junction Temperature</t>
  </si>
  <si>
    <t>Driver supply current, driver enabled</t>
  </si>
  <si>
    <t>Voltage of driver supply for supply current</t>
  </si>
  <si>
    <t>GVDD</t>
  </si>
  <si>
    <t xml:space="preserve">Device has internal LDO/s for external use? </t>
  </si>
  <si>
    <t>Information only, not used.</t>
  </si>
  <si>
    <t>LDO Losses</t>
  </si>
  <si>
    <t>b</t>
  </si>
  <si>
    <t xml:space="preserve">MCU PWM Input Deadtime </t>
  </si>
  <si>
    <t>°C</t>
  </si>
  <si>
    <t>Total Conduction Losses</t>
  </si>
  <si>
    <t>Disclaimer: All information in this file and in any related correspondence is provided “AS IS” and is subject to TI’s Important Notice (http://www.ti.com/corp/docs/legal/important-notice.html). DRV7308 is in preproduction phase, and the data are ADVANCE INFORMATION and subject to change without notice.</t>
  </si>
  <si>
    <t>Slew Rate</t>
  </si>
  <si>
    <t>Voltage</t>
  </si>
  <si>
    <t>Temperature</t>
  </si>
  <si>
    <t>Slew rate</t>
  </si>
  <si>
    <t>5V/ns</t>
  </si>
  <si>
    <t>10V/ns</t>
  </si>
  <si>
    <t>20V/ns</t>
  </si>
  <si>
    <t>40V/ns</t>
  </si>
  <si>
    <t>Poly. (b2)</t>
  </si>
  <si>
    <t>Poly. (b1)</t>
  </si>
  <si>
    <t>Poly. (a)</t>
  </si>
  <si>
    <t>Eoff (per FET)</t>
  </si>
  <si>
    <t>FET Losses</t>
  </si>
  <si>
    <t>Estimated Case Temperature</t>
  </si>
  <si>
    <t>max</t>
  </si>
  <si>
    <t>min</t>
  </si>
  <si>
    <t>median</t>
  </si>
  <si>
    <t>Temp scaling factor</t>
  </si>
  <si>
    <t>uJ/C</t>
  </si>
  <si>
    <t>Eoff temp scaling factor from 25C</t>
  </si>
  <si>
    <t>Nominal Value</t>
  </si>
  <si>
    <t>Worst case</t>
  </si>
  <si>
    <t>Typical or Worst case analysis</t>
  </si>
  <si>
    <t>Nominal or worse case selection</t>
  </si>
  <si>
    <t>Nominal Estimated Power Dissipation</t>
  </si>
  <si>
    <t>Worse Case Estimated Power Dissipation</t>
  </si>
  <si>
    <t>Eon/Eoff scaling worst case</t>
  </si>
  <si>
    <t>Eon/Eoff scaling nominal</t>
  </si>
  <si>
    <t>Switching Slew Rate (SR)</t>
  </si>
  <si>
    <t>PCB specifications</t>
  </si>
  <si>
    <t>Number of Layers</t>
  </si>
  <si>
    <t>Top/Bottom copper thickness (Oz)</t>
  </si>
  <si>
    <t>PCB Area (cm^2)</t>
  </si>
  <si>
    <t>Estimated PCB Theta JA based on PCB layers, Cu Thickness, and PCB Area</t>
  </si>
  <si>
    <t># of PCB Layers, Top/bottom Cu thickness (oz), PCB area (cm2)</t>
  </si>
  <si>
    <t>Theta-JA (*C/W)</t>
  </si>
  <si>
    <t>Copper thickness</t>
  </si>
  <si>
    <t>Estimate based on PCB parameters</t>
  </si>
  <si>
    <t xml:space="preserve"> </t>
  </si>
  <si>
    <t>Maximum recommended junction temperature</t>
  </si>
  <si>
    <t>Split supply device?</t>
  </si>
  <si>
    <t>Figure 1</t>
  </si>
  <si>
    <t>Figure 2</t>
  </si>
  <si>
    <t>PCB copper area for device heat dissipation (See figure 2 for assumed copper area distribution)</t>
  </si>
  <si>
    <t>Figure 3</t>
  </si>
  <si>
    <t>Power Losses</t>
  </si>
  <si>
    <t>Estimated device temperature</t>
  </si>
  <si>
    <t>Estimated Total Losses</t>
  </si>
  <si>
    <t>Results</t>
  </si>
  <si>
    <t>Parameter</t>
  </si>
  <si>
    <t>Thermal Parameters</t>
  </si>
  <si>
    <t>Selection</t>
  </si>
  <si>
    <t>Optional: Max desired device junction temperature (Tj).</t>
  </si>
  <si>
    <t>Assumed copper area distribution is 50% PGND, 16.6% OUTA, 16.6% OUTB, and 16.6% OUTC. OUTx pours are assumed to be on all layers. PGND pour is assumed to be on bottom layer and 1 inner layer (for 4 layer PCB)</t>
  </si>
  <si>
    <t>capacitance switching engery = V*I</t>
  </si>
  <si>
    <t>capacitance</t>
  </si>
  <si>
    <t xml:space="preserve">Switching current </t>
  </si>
  <si>
    <t>C = Q/V</t>
  </si>
  <si>
    <t>Q= C*V</t>
  </si>
  <si>
    <t>I = Q/t</t>
  </si>
  <si>
    <t>t = voltage/slew rate (ns)</t>
  </si>
  <si>
    <t>pF</t>
  </si>
  <si>
    <t>switching time</t>
  </si>
  <si>
    <t>Q</t>
  </si>
  <si>
    <t>current</t>
  </si>
  <si>
    <t xml:space="preserve">PCB capacitance switching loss = </t>
  </si>
  <si>
    <t>Manually enter PCB Theta JA? Or estimate based on PCB parameters?</t>
  </si>
  <si>
    <t>Output Capacitance Switching Losses</t>
  </si>
  <si>
    <t>Output Capacitance energy (minus 50pF since included in simulation results)</t>
  </si>
  <si>
    <t>Pswitch @ ITR2</t>
  </si>
  <si>
    <t>Pswitch @ ITR3</t>
  </si>
  <si>
    <t>Output capacitance energy without subtracting 50pF</t>
  </si>
  <si>
    <t>Total switching losses</t>
  </si>
  <si>
    <t>PCB parasitic output capacitance on OUTx per phase. Include phase to phase and phase to GND capacitance. Motor capacitance should be considered as well.</t>
  </si>
  <si>
    <t>shunt resistance</t>
  </si>
  <si>
    <t>nF</t>
  </si>
  <si>
    <t>P = V*I = V*Q*pwm frequency = V^2*C*pwm frequency/2</t>
  </si>
  <si>
    <t>oz</t>
  </si>
  <si>
    <t>For any support needs, please post your question on e2e.ti.com</t>
  </si>
  <si>
    <t>DRV7308 product page and ordering</t>
  </si>
  <si>
    <r>
      <t xml:space="preserve">Directions - Fill in all </t>
    </r>
    <r>
      <rPr>
        <b/>
        <sz val="11"/>
        <color rgb="FFFFFF00"/>
        <rFont val="Calibri"/>
        <family val="2"/>
        <scheme val="minor"/>
      </rPr>
      <t>yellow</t>
    </r>
    <r>
      <rPr>
        <b/>
        <sz val="11"/>
        <color theme="1"/>
        <rFont val="Calibri"/>
        <family val="2"/>
        <scheme val="minor"/>
      </rPr>
      <t xml:space="preserve"> boxes with known motor system parameters for the DRV7308</t>
    </r>
  </si>
  <si>
    <t>0.2.0</t>
  </si>
  <si>
    <t>Revision History</t>
  </si>
  <si>
    <t>Date</t>
  </si>
  <si>
    <t>Version number</t>
  </si>
  <si>
    <t>Description</t>
  </si>
  <si>
    <t>0.1.0</t>
  </si>
  <si>
    <t>Initial DRV7308 thermal calculator draft</t>
  </si>
  <si>
    <t>Improved accuracy, added impact of parasitic output capacitance, added PCB parameters to estimate Theta JA, added case temperature estimate.</t>
  </si>
  <si>
    <t>1.0.0</t>
  </si>
  <si>
    <t>Minor formatting changes, first published to TI.com</t>
  </si>
  <si>
    <t>Note: Revision 1.0.0.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</si>
</sst>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"/>
    <numFmt numFmtId="166" formatCode="0.0000"/>
  </numFmts>
  <fonts count="13" x14ac:knownFonts="1"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9.35"/>
      <color theme="1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1"/>
      <color rgb="FFFFFF0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97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7F7F7F"/>
      </left>
      <right style="thin">
        <color rgb="FF7F7F7F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medium">
        <color indexed="64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thin">
        <color rgb="FF7F7F7F"/>
      </right>
      <top style="thin">
        <color rgb="FF7F7F7F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medium">
        <color indexed="64"/>
      </bottom>
      <diagonal/>
    </border>
    <border>
      <left style="thin">
        <color rgb="FF7F7F7F"/>
      </left>
      <right style="medium">
        <color indexed="64"/>
      </right>
      <top style="thin">
        <color rgb="FF7F7F7F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7F7F7F"/>
      </right>
      <top style="medium">
        <color indexed="64"/>
      </top>
      <bottom style="thin">
        <color rgb="FF7F7F7F"/>
      </bottom>
      <diagonal/>
    </border>
    <border>
      <left style="thin">
        <color rgb="FF7F7F7F"/>
      </left>
      <right style="thin">
        <color rgb="FF7F7F7F"/>
      </right>
      <top style="medium">
        <color indexed="64"/>
      </top>
      <bottom style="thin">
        <color rgb="FF7F7F7F"/>
      </bottom>
      <diagonal/>
    </border>
    <border>
      <left style="thin">
        <color rgb="FF7F7F7F"/>
      </left>
      <right style="medium">
        <color indexed="64"/>
      </right>
      <top style="medium">
        <color indexed="64"/>
      </top>
      <bottom style="thin">
        <color rgb="FF7F7F7F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medium">
        <color indexed="64"/>
      </right>
      <top style="thin">
        <color rgb="FF7F7F7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rgb="FF7F7F7F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/>
      <bottom style="thin">
        <color rgb="FF7F7F7F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</borders>
  <cellStyleXfs count="5">
    <xf numFmtId="0" fontId="0" fillId="0" borderId="0"/>
    <xf numFmtId="0" fontId="1" fillId="2" borderId="1" applyNumberFormat="0" applyAlignment="0" applyProtection="0"/>
    <xf numFmtId="0" fontId="8" fillId="0" borderId="0" applyNumberFormat="0" applyFill="0" applyBorder="0" applyAlignment="0" applyProtection="0"/>
    <xf numFmtId="0" fontId="9" fillId="10" borderId="0" applyNumberFormat="0" applyBorder="0" applyAlignment="0" applyProtection="0"/>
    <xf numFmtId="0" fontId="9" fillId="11" borderId="0" applyFont="0" applyFill="0" applyBorder="0" applyAlignment="0"/>
  </cellStyleXfs>
  <cellXfs count="282">
    <xf numFmtId="0" fontId="0" fillId="0" borderId="0" xfId="0"/>
    <xf numFmtId="0" fontId="2" fillId="6" borderId="0" xfId="0" applyFont="1" applyFill="1" applyAlignment="1">
      <alignment horizontal="left" vertical="center" wrapText="1"/>
    </xf>
    <xf numFmtId="0" fontId="2" fillId="6" borderId="0" xfId="0" applyFont="1" applyFill="1" applyAlignment="1">
      <alignment horizontal="center" vertical="center" wrapText="1"/>
    </xf>
    <xf numFmtId="0" fontId="2" fillId="6" borderId="0" xfId="0" applyFont="1" applyFill="1" applyAlignment="1">
      <alignment horizontal="center"/>
    </xf>
    <xf numFmtId="0" fontId="0" fillId="6" borderId="0" xfId="0" applyFill="1" applyAlignment="1">
      <alignment horizontal="center" vertical="center" wrapText="1"/>
    </xf>
    <xf numFmtId="0" fontId="0" fillId="6" borderId="0" xfId="0" applyFill="1" applyAlignment="1">
      <alignment horizontal="center"/>
    </xf>
    <xf numFmtId="0" fontId="0" fillId="6" borderId="0" xfId="0" applyFill="1"/>
    <xf numFmtId="0" fontId="0" fillId="6" borderId="0" xfId="0" applyFill="1" applyAlignment="1">
      <alignment horizontal="left" indent="1"/>
    </xf>
    <xf numFmtId="0" fontId="0" fillId="6" borderId="11" xfId="0" applyFill="1" applyBorder="1"/>
    <xf numFmtId="0" fontId="0" fillId="6" borderId="8" xfId="0" applyFill="1" applyBorder="1"/>
    <xf numFmtId="0" fontId="0" fillId="6" borderId="19" xfId="0" applyFill="1" applyBorder="1"/>
    <xf numFmtId="11" fontId="0" fillId="6" borderId="0" xfId="0" applyNumberFormat="1" applyFill="1"/>
    <xf numFmtId="11" fontId="0" fillId="6" borderId="20" xfId="0" applyNumberFormat="1" applyFill="1" applyBorder="1"/>
    <xf numFmtId="11" fontId="0" fillId="6" borderId="0" xfId="0" applyNumberFormat="1" applyFill="1" applyBorder="1"/>
    <xf numFmtId="11" fontId="0" fillId="6" borderId="21" xfId="0" applyNumberFormat="1" applyFill="1" applyBorder="1"/>
    <xf numFmtId="11" fontId="0" fillId="6" borderId="22" xfId="0" applyNumberFormat="1" applyFill="1" applyBorder="1"/>
    <xf numFmtId="11" fontId="0" fillId="6" borderId="2" xfId="0" applyNumberFormat="1" applyFill="1" applyBorder="1"/>
    <xf numFmtId="11" fontId="0" fillId="6" borderId="23" xfId="0" applyNumberFormat="1" applyFill="1" applyBorder="1"/>
    <xf numFmtId="0" fontId="0" fillId="6" borderId="0" xfId="0" applyFill="1" applyAlignment="1">
      <alignment horizontal="left" vertical="center" wrapText="1"/>
    </xf>
    <xf numFmtId="0" fontId="1" fillId="6" borderId="1" xfId="1" applyFill="1" applyAlignment="1">
      <alignment horizontal="center" vertical="center" wrapText="1"/>
    </xf>
    <xf numFmtId="0" fontId="1" fillId="6" borderId="1" xfId="1" applyFill="1" applyAlignment="1">
      <alignment horizontal="center"/>
    </xf>
    <xf numFmtId="0" fontId="0" fillId="6" borderId="4" xfId="0" applyFill="1" applyBorder="1" applyAlignment="1">
      <alignment horizontal="center"/>
    </xf>
    <xf numFmtId="1" fontId="0" fillId="6" borderId="4" xfId="0" applyNumberFormat="1" applyFill="1" applyBorder="1"/>
    <xf numFmtId="165" fontId="0" fillId="6" borderId="4" xfId="0" applyNumberFormat="1" applyFill="1" applyBorder="1"/>
    <xf numFmtId="0" fontId="0" fillId="6" borderId="4" xfId="0" applyFill="1" applyBorder="1"/>
    <xf numFmtId="0" fontId="0" fillId="6" borderId="13" xfId="0" applyFill="1" applyBorder="1"/>
    <xf numFmtId="0" fontId="0" fillId="6" borderId="0" xfId="0" applyFill="1" applyAlignment="1">
      <alignment horizontal="left" wrapText="1"/>
    </xf>
    <xf numFmtId="0" fontId="1" fillId="6" borderId="1" xfId="1" applyFill="1" applyAlignment="1">
      <alignment horizontal="center" wrapText="1"/>
    </xf>
    <xf numFmtId="0" fontId="0" fillId="6" borderId="0" xfId="0" applyFill="1" applyAlignment="1">
      <alignment horizontal="center" wrapText="1"/>
    </xf>
    <xf numFmtId="164" fontId="0" fillId="6" borderId="4" xfId="0" applyNumberFormat="1" applyFill="1" applyBorder="1"/>
    <xf numFmtId="164" fontId="0" fillId="6" borderId="13" xfId="0" applyNumberFormat="1" applyFill="1" applyBorder="1"/>
    <xf numFmtId="0" fontId="0" fillId="6" borderId="15" xfId="0" applyFill="1" applyBorder="1"/>
    <xf numFmtId="2" fontId="0" fillId="6" borderId="4" xfId="0" applyNumberFormat="1" applyFill="1" applyBorder="1"/>
    <xf numFmtId="2" fontId="0" fillId="6" borderId="13" xfId="0" applyNumberFormat="1" applyFill="1" applyBorder="1"/>
    <xf numFmtId="0" fontId="0" fillId="6" borderId="16" xfId="0" applyFill="1" applyBorder="1"/>
    <xf numFmtId="0" fontId="0" fillId="6" borderId="0" xfId="0" applyFill="1" applyBorder="1" applyAlignment="1">
      <alignment horizontal="left" vertical="center" wrapText="1"/>
    </xf>
    <xf numFmtId="0" fontId="0" fillId="6" borderId="0" xfId="0" applyFill="1" applyAlignment="1">
      <alignment horizontal="center" vertical="center"/>
    </xf>
    <xf numFmtId="0" fontId="0" fillId="6" borderId="0" xfId="0" applyFill="1" applyBorder="1" applyAlignment="1">
      <alignment horizontal="center" vertical="center" wrapText="1"/>
    </xf>
    <xf numFmtId="165" fontId="0" fillId="6" borderId="0" xfId="0" applyNumberFormat="1" applyFill="1" applyAlignment="1">
      <alignment horizontal="center" vertical="center" wrapText="1"/>
    </xf>
    <xf numFmtId="2" fontId="0" fillId="6" borderId="0" xfId="0" applyNumberFormat="1" applyFill="1" applyAlignment="1">
      <alignment horizontal="center" vertical="center" wrapText="1"/>
    </xf>
    <xf numFmtId="0" fontId="0" fillId="6" borderId="0" xfId="0" applyFont="1" applyFill="1" applyAlignment="1">
      <alignment horizontal="left" vertical="center" wrapText="1"/>
    </xf>
    <xf numFmtId="2" fontId="0" fillId="6" borderId="0" xfId="0" applyNumberFormat="1" applyFont="1" applyFill="1" applyAlignment="1">
      <alignment horizontal="center" vertical="center" wrapText="1"/>
    </xf>
    <xf numFmtId="0" fontId="0" fillId="6" borderId="0" xfId="0" applyFont="1" applyFill="1" applyAlignment="1">
      <alignment horizontal="center" vertical="center" wrapText="1"/>
    </xf>
    <xf numFmtId="164" fontId="0" fillId="6" borderId="0" xfId="0" applyNumberFormat="1" applyFill="1" applyAlignment="1">
      <alignment horizontal="center" vertical="center" wrapText="1"/>
    </xf>
    <xf numFmtId="0" fontId="0" fillId="6" borderId="0" xfId="0" applyFill="1" applyAlignment="1">
      <alignment horizontal="left" vertical="center"/>
    </xf>
    <xf numFmtId="164" fontId="0" fillId="6" borderId="0" xfId="0" applyNumberFormat="1" applyFill="1" applyAlignment="1">
      <alignment horizontal="center" vertical="center"/>
    </xf>
    <xf numFmtId="0" fontId="0" fillId="6" borderId="24" xfId="0" applyFill="1" applyBorder="1"/>
    <xf numFmtId="0" fontId="0" fillId="6" borderId="14" xfId="0" applyFill="1" applyBorder="1"/>
    <xf numFmtId="0" fontId="0" fillId="6" borderId="3" xfId="0" applyFill="1" applyBorder="1"/>
    <xf numFmtId="0" fontId="0" fillId="6" borderId="20" xfId="0" applyFill="1" applyBorder="1"/>
    <xf numFmtId="11" fontId="1" fillId="6" borderId="25" xfId="1" applyNumberFormat="1" applyFill="1" applyBorder="1"/>
    <xf numFmtId="11" fontId="1" fillId="6" borderId="1" xfId="1" applyNumberFormat="1" applyFill="1" applyBorder="1"/>
    <xf numFmtId="0" fontId="1" fillId="6" borderId="1" xfId="1" applyFill="1" applyBorder="1"/>
    <xf numFmtId="0" fontId="1" fillId="6" borderId="26" xfId="1" applyFill="1" applyBorder="1"/>
    <xf numFmtId="11" fontId="0" fillId="6" borderId="15" xfId="0" applyNumberFormat="1" applyFill="1" applyBorder="1"/>
    <xf numFmtId="0" fontId="0" fillId="6" borderId="22" xfId="0" applyFill="1" applyBorder="1"/>
    <xf numFmtId="11" fontId="1" fillId="6" borderId="27" xfId="1" applyNumberFormat="1" applyFill="1" applyBorder="1"/>
    <xf numFmtId="11" fontId="1" fillId="6" borderId="28" xfId="1" applyNumberFormat="1" applyFill="1" applyBorder="1"/>
    <xf numFmtId="0" fontId="1" fillId="6" borderId="28" xfId="1" applyFill="1" applyBorder="1"/>
    <xf numFmtId="0" fontId="1" fillId="6" borderId="29" xfId="1" applyFill="1" applyBorder="1"/>
    <xf numFmtId="11" fontId="0" fillId="6" borderId="16" xfId="0" applyNumberFormat="1" applyFill="1" applyBorder="1"/>
    <xf numFmtId="11" fontId="0" fillId="6" borderId="24" xfId="0" applyNumberFormat="1" applyFill="1" applyBorder="1"/>
    <xf numFmtId="0" fontId="0" fillId="6" borderId="0" xfId="0" applyFill="1" applyBorder="1"/>
    <xf numFmtId="0" fontId="0" fillId="6" borderId="2" xfId="0" applyFill="1" applyBorder="1"/>
    <xf numFmtId="11" fontId="1" fillId="6" borderId="5" xfId="1" applyNumberFormat="1" applyFill="1" applyBorder="1"/>
    <xf numFmtId="11" fontId="1" fillId="6" borderId="30" xfId="1" applyNumberFormat="1" applyFill="1" applyBorder="1"/>
    <xf numFmtId="11" fontId="1" fillId="6" borderId="9" xfId="1" applyNumberFormat="1" applyFill="1" applyBorder="1"/>
    <xf numFmtId="11" fontId="1" fillId="6" borderId="6" xfId="1" applyNumberFormat="1" applyFill="1" applyBorder="1"/>
    <xf numFmtId="0" fontId="1" fillId="6" borderId="10" xfId="1" applyFill="1" applyBorder="1"/>
    <xf numFmtId="11" fontId="1" fillId="6" borderId="18" xfId="1" applyNumberFormat="1" applyFill="1" applyBorder="1"/>
    <xf numFmtId="11" fontId="1" fillId="6" borderId="10" xfId="1" applyNumberFormat="1" applyFill="1" applyBorder="1"/>
    <xf numFmtId="0" fontId="1" fillId="6" borderId="25" xfId="1" applyFill="1" applyBorder="1"/>
    <xf numFmtId="0" fontId="1" fillId="6" borderId="27" xfId="1" applyFill="1" applyBorder="1"/>
    <xf numFmtId="0" fontId="0" fillId="0" borderId="0" xfId="0" applyFill="1"/>
    <xf numFmtId="0" fontId="1" fillId="6" borderId="48" xfId="1" applyFill="1" applyBorder="1"/>
    <xf numFmtId="0" fontId="1" fillId="6" borderId="49" xfId="1" applyFill="1" applyBorder="1"/>
    <xf numFmtId="0" fontId="1" fillId="6" borderId="50" xfId="1" applyFill="1" applyBorder="1"/>
    <xf numFmtId="11" fontId="1" fillId="6" borderId="48" xfId="1" applyNumberFormat="1" applyFill="1" applyBorder="1"/>
    <xf numFmtId="11" fontId="1" fillId="6" borderId="49" xfId="1" applyNumberFormat="1" applyFill="1" applyBorder="1"/>
    <xf numFmtId="0" fontId="0" fillId="0" borderId="0" xfId="0" applyFill="1" applyProtection="1"/>
    <xf numFmtId="0" fontId="0" fillId="0" borderId="0" xfId="0" applyProtection="1"/>
    <xf numFmtId="0" fontId="0" fillId="0" borderId="37" xfId="0" applyBorder="1" applyAlignment="1" applyProtection="1">
      <alignment horizontal="left" wrapText="1"/>
    </xf>
    <xf numFmtId="0" fontId="0" fillId="0" borderId="45" xfId="0" applyBorder="1" applyAlignment="1" applyProtection="1">
      <alignment horizontal="center" wrapText="1"/>
    </xf>
    <xf numFmtId="0" fontId="0" fillId="0" borderId="43" xfId="0" applyBorder="1" applyAlignment="1" applyProtection="1">
      <alignment horizontal="left" wrapText="1"/>
    </xf>
    <xf numFmtId="0" fontId="0" fillId="0" borderId="39" xfId="0" applyBorder="1" applyAlignment="1" applyProtection="1">
      <alignment horizontal="left" wrapText="1"/>
    </xf>
    <xf numFmtId="0" fontId="0" fillId="0" borderId="40" xfId="0" applyBorder="1" applyAlignment="1" applyProtection="1">
      <alignment horizontal="center" wrapText="1"/>
    </xf>
    <xf numFmtId="0" fontId="0" fillId="0" borderId="43" xfId="0" applyBorder="1" applyAlignment="1" applyProtection="1">
      <alignment horizontal="left" vertical="center" wrapText="1"/>
    </xf>
    <xf numFmtId="0" fontId="0" fillId="0" borderId="45" xfId="0" applyBorder="1" applyAlignment="1" applyProtection="1">
      <alignment horizontal="center" vertical="center" wrapText="1"/>
    </xf>
    <xf numFmtId="0" fontId="0" fillId="0" borderId="38" xfId="0" applyBorder="1" applyAlignment="1" applyProtection="1">
      <alignment horizontal="left" wrapText="1"/>
    </xf>
    <xf numFmtId="0" fontId="0" fillId="0" borderId="0" xfId="0" applyAlignment="1" applyProtection="1">
      <alignment horizontal="center"/>
    </xf>
    <xf numFmtId="0" fontId="0" fillId="0" borderId="46" xfId="0" applyBorder="1" applyAlignment="1" applyProtection="1">
      <alignment horizontal="center" wrapText="1"/>
    </xf>
    <xf numFmtId="0" fontId="0" fillId="0" borderId="47" xfId="0" applyBorder="1" applyAlignment="1" applyProtection="1">
      <alignment horizontal="center" wrapText="1"/>
    </xf>
    <xf numFmtId="0" fontId="0" fillId="0" borderId="39" xfId="0" applyBorder="1" applyProtection="1"/>
    <xf numFmtId="0" fontId="0" fillId="0" borderId="41" xfId="0" applyFill="1" applyBorder="1" applyAlignment="1" applyProtection="1">
      <alignment horizontal="left" wrapText="1"/>
    </xf>
    <xf numFmtId="0" fontId="0" fillId="0" borderId="42" xfId="0" applyFill="1" applyBorder="1" applyAlignment="1" applyProtection="1">
      <alignment horizontal="center" wrapText="1"/>
    </xf>
    <xf numFmtId="0" fontId="1" fillId="2" borderId="1" xfId="1" applyProtection="1"/>
    <xf numFmtId="0" fontId="0" fillId="0" borderId="0" xfId="0" applyAlignment="1" applyProtection="1">
      <alignment wrapText="1"/>
    </xf>
    <xf numFmtId="0" fontId="1" fillId="2" borderId="17" xfId="1" applyBorder="1" applyProtection="1"/>
    <xf numFmtId="0" fontId="0" fillId="6" borderId="0" xfId="0" applyFill="1" applyProtection="1"/>
    <xf numFmtId="0" fontId="0" fillId="6" borderId="0" xfId="0" applyFill="1" applyAlignment="1" applyProtection="1">
      <alignment horizontal="center"/>
    </xf>
    <xf numFmtId="0" fontId="0" fillId="4" borderId="32" xfId="0" applyFill="1" applyBorder="1" applyAlignment="1" applyProtection="1">
      <alignment horizontal="center" wrapText="1"/>
      <protection locked="0"/>
    </xf>
    <xf numFmtId="0" fontId="0" fillId="4" borderId="4" xfId="0" applyFill="1" applyBorder="1" applyAlignment="1" applyProtection="1">
      <alignment horizontal="center"/>
      <protection locked="0"/>
    </xf>
    <xf numFmtId="0" fontId="0" fillId="0" borderId="22" xfId="0" applyBorder="1"/>
    <xf numFmtId="0" fontId="0" fillId="0" borderId="2" xfId="0" applyBorder="1"/>
    <xf numFmtId="0" fontId="0" fillId="0" borderId="11" xfId="0" applyBorder="1"/>
    <xf numFmtId="0" fontId="0" fillId="0" borderId="8" xfId="0" applyBorder="1"/>
    <xf numFmtId="0" fontId="0" fillId="0" borderId="20" xfId="0" applyBorder="1"/>
    <xf numFmtId="0" fontId="0" fillId="0" borderId="19" xfId="0" applyBorder="1"/>
    <xf numFmtId="0" fontId="0" fillId="0" borderId="0" xfId="0" applyBorder="1"/>
    <xf numFmtId="0" fontId="0" fillId="0" borderId="21" xfId="0" applyBorder="1"/>
    <xf numFmtId="0" fontId="0" fillId="0" borderId="23" xfId="0" applyBorder="1"/>
    <xf numFmtId="0" fontId="0" fillId="0" borderId="13" xfId="0" applyBorder="1"/>
    <xf numFmtId="0" fontId="0" fillId="0" borderId="14" xfId="0" applyBorder="1"/>
    <xf numFmtId="0" fontId="0" fillId="0" borderId="3" xfId="0" applyBorder="1"/>
    <xf numFmtId="11" fontId="1" fillId="6" borderId="31" xfId="1" applyNumberFormat="1" applyFill="1" applyBorder="1"/>
    <xf numFmtId="11" fontId="1" fillId="6" borderId="7" xfId="1" applyNumberFormat="1" applyFill="1" applyBorder="1"/>
    <xf numFmtId="11" fontId="1" fillId="6" borderId="12" xfId="1" applyNumberFormat="1" applyFill="1" applyBorder="1"/>
    <xf numFmtId="11" fontId="1" fillId="6" borderId="52" xfId="1" applyNumberFormat="1" applyFill="1" applyBorder="1"/>
    <xf numFmtId="11" fontId="1" fillId="6" borderId="53" xfId="1" applyNumberFormat="1" applyFill="1" applyBorder="1"/>
    <xf numFmtId="11" fontId="1" fillId="6" borderId="54" xfId="1" applyNumberFormat="1" applyFill="1" applyBorder="1"/>
    <xf numFmtId="11" fontId="1" fillId="6" borderId="26" xfId="1" applyNumberFormat="1" applyFill="1" applyBorder="1"/>
    <xf numFmtId="11" fontId="1" fillId="6" borderId="29" xfId="1" applyNumberFormat="1" applyFill="1" applyBorder="1"/>
    <xf numFmtId="0" fontId="0" fillId="6" borderId="0" xfId="0" applyFill="1" applyAlignment="1">
      <alignment horizontal="right"/>
    </xf>
    <xf numFmtId="2" fontId="0" fillId="6" borderId="0" xfId="0" applyNumberFormat="1" applyFill="1"/>
    <xf numFmtId="0" fontId="0" fillId="6" borderId="0" xfId="0" applyFill="1" applyBorder="1" applyAlignment="1">
      <alignment horizontal="center"/>
    </xf>
    <xf numFmtId="0" fontId="0" fillId="9" borderId="0" xfId="0" applyFill="1" applyBorder="1"/>
    <xf numFmtId="166" fontId="0" fillId="6" borderId="0" xfId="0" applyNumberFormat="1" applyFill="1" applyAlignment="1">
      <alignment horizontal="center"/>
    </xf>
    <xf numFmtId="0" fontId="0" fillId="0" borderId="0" xfId="0" applyFill="1" applyBorder="1" applyProtection="1"/>
    <xf numFmtId="0" fontId="0" fillId="5" borderId="15" xfId="0" applyFill="1" applyBorder="1" applyAlignment="1" applyProtection="1">
      <alignment horizontal="center"/>
    </xf>
    <xf numFmtId="0" fontId="0" fillId="6" borderId="9" xfId="0" applyFill="1" applyBorder="1" applyProtection="1"/>
    <xf numFmtId="0" fontId="0" fillId="6" borderId="7" xfId="0" applyFill="1" applyBorder="1" applyProtection="1"/>
    <xf numFmtId="0" fontId="0" fillId="6" borderId="10" xfId="0" applyFill="1" applyBorder="1" applyProtection="1"/>
    <xf numFmtId="0" fontId="0" fillId="6" borderId="12" xfId="0" applyFill="1" applyBorder="1" applyProtection="1"/>
    <xf numFmtId="0" fontId="0" fillId="6" borderId="5" xfId="0" applyFill="1" applyBorder="1" applyProtection="1"/>
    <xf numFmtId="0" fontId="0" fillId="6" borderId="31" xfId="0" applyFill="1" applyBorder="1" applyProtection="1"/>
    <xf numFmtId="0" fontId="0" fillId="6" borderId="55" xfId="0" applyFill="1" applyBorder="1" applyProtection="1"/>
    <xf numFmtId="0" fontId="0" fillId="6" borderId="56" xfId="0" applyFill="1" applyBorder="1" applyProtection="1"/>
    <xf numFmtId="0" fontId="2" fillId="0" borderId="24" xfId="0" applyFont="1" applyBorder="1" applyAlignment="1" applyProtection="1">
      <alignment horizontal="center" wrapText="1"/>
    </xf>
    <xf numFmtId="0" fontId="10" fillId="0" borderId="4" xfId="0" applyFont="1" applyBorder="1" applyAlignment="1" applyProtection="1">
      <alignment horizontal="center" vertical="center"/>
    </xf>
    <xf numFmtId="0" fontId="0" fillId="0" borderId="40" xfId="0" applyFont="1" applyBorder="1" applyAlignment="1" applyProtection="1">
      <alignment horizontal="center" wrapText="1"/>
    </xf>
    <xf numFmtId="0" fontId="0" fillId="0" borderId="61" xfId="0" applyBorder="1" applyAlignment="1" applyProtection="1">
      <alignment horizontal="center"/>
    </xf>
    <xf numFmtId="0" fontId="0" fillId="0" borderId="62" xfId="0" applyBorder="1" applyAlignment="1" applyProtection="1">
      <alignment horizontal="left" wrapText="1"/>
    </xf>
    <xf numFmtId="0" fontId="0" fillId="4" borderId="63" xfId="0" applyFill="1" applyBorder="1" applyAlignment="1" applyProtection="1">
      <alignment horizontal="center" vertical="center" wrapText="1"/>
      <protection locked="0"/>
    </xf>
    <xf numFmtId="0" fontId="3" fillId="0" borderId="46" xfId="0" applyFont="1" applyBorder="1" applyAlignment="1" applyProtection="1">
      <alignment horizontal="center" wrapText="1"/>
    </xf>
    <xf numFmtId="0" fontId="3" fillId="0" borderId="40" xfId="0" applyFont="1" applyBorder="1" applyAlignment="1" applyProtection="1">
      <alignment horizontal="center" wrapText="1"/>
    </xf>
    <xf numFmtId="0" fontId="0" fillId="0" borderId="71" xfId="0" applyFont="1" applyBorder="1" applyAlignment="1" applyProtection="1">
      <alignment horizontal="left" wrapText="1"/>
    </xf>
    <xf numFmtId="0" fontId="0" fillId="5" borderId="72" xfId="0" applyFont="1" applyFill="1" applyBorder="1" applyAlignment="1" applyProtection="1">
      <alignment horizontal="center" wrapText="1"/>
    </xf>
    <xf numFmtId="0" fontId="0" fillId="0" borderId="73" xfId="0" applyFont="1" applyBorder="1" applyAlignment="1" applyProtection="1">
      <alignment horizontal="center" wrapText="1"/>
    </xf>
    <xf numFmtId="0" fontId="0" fillId="0" borderId="58" xfId="0" applyBorder="1" applyProtection="1"/>
    <xf numFmtId="0" fontId="0" fillId="5" borderId="74" xfId="0" applyFont="1" applyFill="1" applyBorder="1" applyAlignment="1" applyProtection="1">
      <alignment horizontal="center" wrapText="1"/>
    </xf>
    <xf numFmtId="0" fontId="0" fillId="0" borderId="64" xfId="0" applyFont="1" applyBorder="1" applyAlignment="1" applyProtection="1">
      <alignment horizontal="center" wrapText="1"/>
    </xf>
    <xf numFmtId="0" fontId="0" fillId="0" borderId="75" xfId="0" applyFont="1" applyBorder="1" applyAlignment="1" applyProtection="1">
      <alignment horizontal="left" wrapText="1"/>
    </xf>
    <xf numFmtId="0" fontId="0" fillId="0" borderId="76" xfId="0" applyFont="1" applyBorder="1" applyAlignment="1" applyProtection="1">
      <alignment horizontal="left" wrapText="1"/>
    </xf>
    <xf numFmtId="0" fontId="0" fillId="0" borderId="45" xfId="0" applyFont="1" applyBorder="1" applyAlignment="1" applyProtection="1">
      <alignment horizontal="center" wrapText="1"/>
    </xf>
    <xf numFmtId="0" fontId="0" fillId="0" borderId="71" xfId="0" applyBorder="1" applyProtection="1"/>
    <xf numFmtId="0" fontId="0" fillId="7" borderId="72" xfId="0" applyFill="1" applyBorder="1" applyAlignment="1" applyProtection="1">
      <alignment horizontal="center" wrapText="1"/>
    </xf>
    <xf numFmtId="0" fontId="0" fillId="0" borderId="73" xfId="0" applyBorder="1" applyAlignment="1" applyProtection="1">
      <alignment horizontal="center" wrapText="1"/>
    </xf>
    <xf numFmtId="0" fontId="0" fillId="0" borderId="62" xfId="0" applyBorder="1" applyAlignment="1" applyProtection="1">
      <alignment horizontal="left" vertical="center" wrapText="1"/>
    </xf>
    <xf numFmtId="0" fontId="0" fillId="0" borderId="46" xfId="0" applyBorder="1" applyAlignment="1" applyProtection="1">
      <alignment horizontal="center" vertical="center" wrapText="1"/>
    </xf>
    <xf numFmtId="0" fontId="0" fillId="4" borderId="15" xfId="0" applyFill="1" applyBorder="1" applyAlignment="1" applyProtection="1">
      <alignment horizontal="center" vertical="center" wrapText="1"/>
      <protection locked="0"/>
    </xf>
    <xf numFmtId="0" fontId="1" fillId="2" borderId="78" xfId="1" applyBorder="1" applyProtection="1"/>
    <xf numFmtId="0" fontId="0" fillId="0" borderId="59" xfId="0" applyBorder="1" applyAlignment="1" applyProtection="1">
      <alignment horizontal="left"/>
    </xf>
    <xf numFmtId="165" fontId="0" fillId="7" borderId="60" xfId="0" applyNumberFormat="1" applyFill="1" applyBorder="1" applyAlignment="1" applyProtection="1">
      <alignment horizontal="center" wrapText="1"/>
    </xf>
    <xf numFmtId="0" fontId="2" fillId="0" borderId="65" xfId="0" applyFont="1" applyBorder="1" applyAlignment="1" applyProtection="1">
      <alignment horizontal="center" wrapText="1"/>
    </xf>
    <xf numFmtId="0" fontId="2" fillId="0" borderId="79" xfId="0" applyFont="1" applyBorder="1" applyAlignment="1" applyProtection="1">
      <alignment horizontal="center" wrapText="1"/>
    </xf>
    <xf numFmtId="0" fontId="0" fillId="0" borderId="37" xfId="0" applyBorder="1" applyAlignment="1" applyProtection="1">
      <alignment horizontal="left" vertical="center" wrapText="1"/>
    </xf>
    <xf numFmtId="0" fontId="0" fillId="4" borderId="57" xfId="0" applyFill="1" applyBorder="1" applyAlignment="1" applyProtection="1">
      <alignment horizontal="center" wrapText="1"/>
      <protection locked="0"/>
    </xf>
    <xf numFmtId="0" fontId="2" fillId="0" borderId="66" xfId="0" applyFont="1" applyBorder="1" applyAlignment="1" applyProtection="1">
      <alignment horizontal="center" wrapText="1"/>
    </xf>
    <xf numFmtId="0" fontId="2" fillId="0" borderId="83" xfId="0" applyFont="1" applyBorder="1" applyAlignment="1" applyProtection="1">
      <alignment horizontal="center" wrapText="1"/>
    </xf>
    <xf numFmtId="0" fontId="2" fillId="0" borderId="68" xfId="0" applyFont="1" applyBorder="1" applyAlignment="1" applyProtection="1">
      <alignment horizontal="center" wrapText="1"/>
    </xf>
    <xf numFmtId="0" fontId="11" fillId="0" borderId="68" xfId="0" applyFont="1" applyBorder="1" applyAlignment="1" applyProtection="1">
      <alignment horizontal="center" wrapText="1"/>
    </xf>
    <xf numFmtId="0" fontId="0" fillId="0" borderId="68" xfId="0" applyBorder="1" applyAlignment="1" applyProtection="1">
      <alignment wrapText="1"/>
    </xf>
    <xf numFmtId="0" fontId="0" fillId="11" borderId="0" xfId="4" applyFont="1" applyFill="1"/>
    <xf numFmtId="0" fontId="2" fillId="11" borderId="0" xfId="4" applyFont="1" applyFill="1" applyBorder="1" applyAlignment="1">
      <alignment vertical="center" wrapText="1"/>
    </xf>
    <xf numFmtId="0" fontId="0" fillId="11" borderId="0" xfId="4" applyFont="1" applyFill="1" applyBorder="1" applyAlignment="1">
      <alignment horizontal="center" wrapText="1"/>
    </xf>
    <xf numFmtId="0" fontId="0" fillId="11" borderId="0" xfId="4" applyFont="1" applyFill="1" applyBorder="1" applyAlignment="1">
      <alignment horizontal="center" vertical="center" wrapText="1"/>
    </xf>
    <xf numFmtId="0" fontId="3" fillId="11" borderId="0" xfId="4" applyFont="1" applyFill="1" applyBorder="1" applyAlignment="1">
      <alignment horizontal="center" wrapText="1"/>
    </xf>
    <xf numFmtId="0" fontId="2" fillId="11" borderId="0" xfId="4" applyFont="1" applyFill="1" applyBorder="1" applyAlignment="1">
      <alignment horizontal="center" wrapText="1"/>
    </xf>
    <xf numFmtId="0" fontId="5" fillId="11" borderId="0" xfId="4" applyFont="1" applyFill="1" applyBorder="1" applyAlignment="1">
      <alignment horizontal="center" vertical="center" wrapText="1"/>
    </xf>
    <xf numFmtId="0" fontId="0" fillId="11" borderId="0" xfId="4" applyFont="1" applyFill="1" applyAlignment="1">
      <alignment horizontal="center"/>
    </xf>
    <xf numFmtId="0" fontId="0" fillId="11" borderId="0" xfId="0" applyFill="1"/>
    <xf numFmtId="0" fontId="0" fillId="11" borderId="0" xfId="0" applyFill="1" applyProtection="1"/>
    <xf numFmtId="0" fontId="0" fillId="11" borderId="0" xfId="0" applyFill="1" applyAlignment="1" applyProtection="1"/>
    <xf numFmtId="0" fontId="0" fillId="11" borderId="0" xfId="0" applyFill="1" applyAlignment="1" applyProtection="1">
      <alignment horizontal="center"/>
    </xf>
    <xf numFmtId="0" fontId="0" fillId="11" borderId="20" xfId="0" applyFill="1" applyBorder="1" applyProtection="1"/>
    <xf numFmtId="0" fontId="0" fillId="11" borderId="0" xfId="0" applyFill="1" applyBorder="1" applyProtection="1"/>
    <xf numFmtId="0" fontId="0" fillId="11" borderId="21" xfId="0" applyFill="1" applyBorder="1" applyProtection="1"/>
    <xf numFmtId="0" fontId="0" fillId="11" borderId="0" xfId="0" applyFill="1" applyBorder="1" applyAlignment="1" applyProtection="1">
      <alignment horizontal="center"/>
    </xf>
    <xf numFmtId="0" fontId="0" fillId="11" borderId="20" xfId="0" applyFill="1" applyBorder="1" applyAlignment="1" applyProtection="1"/>
    <xf numFmtId="0" fontId="0" fillId="11" borderId="22" xfId="0" applyFill="1" applyBorder="1" applyAlignment="1" applyProtection="1"/>
    <xf numFmtId="0" fontId="0" fillId="11" borderId="2" xfId="0" applyFill="1" applyBorder="1" applyAlignment="1" applyProtection="1">
      <alignment horizontal="center"/>
    </xf>
    <xf numFmtId="0" fontId="0" fillId="11" borderId="2" xfId="0" applyFill="1" applyBorder="1" applyProtection="1"/>
    <xf numFmtId="0" fontId="0" fillId="11" borderId="23" xfId="0" applyFill="1" applyBorder="1" applyProtection="1"/>
    <xf numFmtId="0" fontId="0" fillId="0" borderId="39" xfId="0" applyFont="1" applyBorder="1" applyAlignment="1" applyProtection="1">
      <alignment horizontal="left" wrapText="1"/>
    </xf>
    <xf numFmtId="0" fontId="2" fillId="6" borderId="0" xfId="0" applyFont="1" applyFill="1"/>
    <xf numFmtId="11" fontId="0" fillId="6" borderId="0" xfId="0" applyNumberFormat="1" applyFill="1" applyProtection="1"/>
    <xf numFmtId="2" fontId="0" fillId="5" borderId="77" xfId="0" applyNumberFormat="1" applyFont="1" applyFill="1" applyBorder="1" applyAlignment="1" applyProtection="1">
      <alignment horizontal="center" wrapText="1"/>
    </xf>
    <xf numFmtId="2" fontId="6" fillId="8" borderId="21" xfId="0" applyNumberFormat="1" applyFont="1" applyFill="1" applyBorder="1" applyAlignment="1" applyProtection="1">
      <alignment horizontal="center" wrapText="1"/>
    </xf>
    <xf numFmtId="0" fontId="0" fillId="4" borderId="57" xfId="0" applyFont="1" applyFill="1" applyBorder="1" applyAlignment="1" applyProtection="1">
      <alignment horizontal="center" wrapText="1"/>
      <protection locked="0"/>
    </xf>
    <xf numFmtId="0" fontId="0" fillId="4" borderId="33" xfId="0" applyFill="1" applyBorder="1" applyAlignment="1" applyProtection="1">
      <alignment horizontal="center" wrapText="1"/>
      <protection locked="0"/>
    </xf>
    <xf numFmtId="0" fontId="2" fillId="0" borderId="84" xfId="0" applyFont="1" applyBorder="1" applyAlignment="1" applyProtection="1">
      <alignment horizontal="center" wrapText="1"/>
    </xf>
    <xf numFmtId="0" fontId="0" fillId="11" borderId="0" xfId="0" applyFill="1" applyAlignment="1">
      <alignment wrapText="1"/>
    </xf>
    <xf numFmtId="0" fontId="0" fillId="0" borderId="34" xfId="0" applyBorder="1" applyAlignment="1" applyProtection="1">
      <alignment horizontal="center" wrapText="1"/>
    </xf>
    <xf numFmtId="0" fontId="0" fillId="0" borderId="69" xfId="0" applyBorder="1" applyAlignment="1" applyProtection="1">
      <alignment horizontal="center" wrapText="1"/>
    </xf>
    <xf numFmtId="165" fontId="0" fillId="5" borderId="85" xfId="0" applyNumberFormat="1" applyFill="1" applyBorder="1" applyAlignment="1" applyProtection="1">
      <alignment horizontal="center"/>
    </xf>
    <xf numFmtId="165" fontId="0" fillId="5" borderId="86" xfId="0" applyNumberFormat="1" applyFill="1" applyBorder="1" applyAlignment="1" applyProtection="1">
      <alignment horizontal="center"/>
    </xf>
    <xf numFmtId="0" fontId="0" fillId="0" borderId="36" xfId="0" applyBorder="1" applyAlignment="1" applyProtection="1">
      <alignment horizontal="center"/>
    </xf>
    <xf numFmtId="0" fontId="0" fillId="0" borderId="61" xfId="0" applyBorder="1" applyAlignment="1" applyProtection="1">
      <alignment horizontal="center"/>
    </xf>
    <xf numFmtId="0" fontId="0" fillId="6" borderId="24" xfId="0" applyFill="1" applyBorder="1" applyAlignment="1">
      <alignment horizontal="center"/>
    </xf>
    <xf numFmtId="0" fontId="0" fillId="6" borderId="15" xfId="0" applyFill="1" applyBorder="1" applyAlignment="1">
      <alignment horizontal="center"/>
    </xf>
    <xf numFmtId="0" fontId="0" fillId="6" borderId="16" xfId="0" applyFill="1" applyBorder="1" applyAlignment="1">
      <alignment horizontal="center"/>
    </xf>
    <xf numFmtId="0" fontId="0" fillId="6" borderId="11" xfId="0" applyFill="1" applyBorder="1" applyAlignment="1">
      <alignment horizontal="center"/>
    </xf>
    <xf numFmtId="0" fontId="0" fillId="6" borderId="8" xfId="0" applyFill="1" applyBorder="1" applyAlignment="1">
      <alignment horizontal="center"/>
    </xf>
    <xf numFmtId="0" fontId="0" fillId="6" borderId="19" xfId="0" applyFill="1" applyBorder="1" applyAlignment="1">
      <alignment horizontal="center"/>
    </xf>
    <xf numFmtId="0" fontId="5" fillId="12" borderId="51" xfId="0" applyFont="1" applyFill="1" applyBorder="1" applyAlignment="1" applyProtection="1">
      <alignment horizontal="center" vertical="center" wrapText="1"/>
    </xf>
    <xf numFmtId="0" fontId="5" fillId="12" borderId="8" xfId="0" applyFont="1" applyFill="1" applyBorder="1" applyAlignment="1" applyProtection="1">
      <alignment horizontal="center" vertical="center" wrapText="1"/>
    </xf>
    <xf numFmtId="0" fontId="5" fillId="12" borderId="44" xfId="0" applyFont="1" applyFill="1" applyBorder="1" applyAlignment="1" applyProtection="1">
      <alignment horizontal="center" vertical="center" wrapText="1"/>
    </xf>
    <xf numFmtId="0" fontId="2" fillId="6" borderId="13" xfId="0" applyFont="1" applyFill="1" applyBorder="1" applyAlignment="1">
      <alignment horizontal="center"/>
    </xf>
    <xf numFmtId="0" fontId="2" fillId="6" borderId="14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0" fillId="6" borderId="13" xfId="0" applyFill="1" applyBorder="1" applyAlignment="1">
      <alignment horizontal="center"/>
    </xf>
    <xf numFmtId="0" fontId="0" fillId="6" borderId="3" xfId="0" applyFill="1" applyBorder="1" applyAlignment="1">
      <alignment horizontal="center"/>
    </xf>
    <xf numFmtId="0" fontId="3" fillId="0" borderId="40" xfId="0" applyFont="1" applyFill="1" applyBorder="1" applyAlignment="1" applyProtection="1">
      <alignment horizontal="center" wrapText="1"/>
    </xf>
    <xf numFmtId="0" fontId="2" fillId="0" borderId="66" xfId="0" applyFont="1" applyBorder="1" applyAlignment="1">
      <alignment horizontal="center" vertical="center"/>
    </xf>
    <xf numFmtId="0" fontId="2" fillId="0" borderId="67" xfId="0" applyFont="1" applyBorder="1" applyAlignment="1">
      <alignment horizontal="center" vertical="center"/>
    </xf>
    <xf numFmtId="0" fontId="2" fillId="0" borderId="68" xfId="0" applyFont="1" applyBorder="1" applyAlignment="1">
      <alignment horizontal="center" vertical="center"/>
    </xf>
    <xf numFmtId="0" fontId="2" fillId="0" borderId="34" xfId="0" applyFont="1" applyBorder="1" applyAlignment="1" applyProtection="1">
      <alignment horizontal="center" vertical="center"/>
    </xf>
    <xf numFmtId="0" fontId="2" fillId="0" borderId="35" xfId="0" applyFont="1" applyBorder="1" applyAlignment="1" applyProtection="1">
      <alignment horizontal="center" vertical="center"/>
    </xf>
    <xf numFmtId="0" fontId="2" fillId="0" borderId="36" xfId="0" applyFont="1" applyBorder="1" applyAlignment="1" applyProtection="1">
      <alignment horizontal="center" vertical="center"/>
    </xf>
    <xf numFmtId="0" fontId="10" fillId="0" borderId="13" xfId="0" applyFont="1" applyBorder="1" applyAlignment="1" applyProtection="1">
      <alignment horizontal="center" vertical="center"/>
    </xf>
    <xf numFmtId="0" fontId="10" fillId="0" borderId="14" xfId="0" applyFont="1" applyBorder="1" applyAlignment="1" applyProtection="1">
      <alignment horizontal="center" vertical="center"/>
    </xf>
    <xf numFmtId="0" fontId="10" fillId="0" borderId="3" xfId="0" applyFont="1" applyBorder="1" applyAlignment="1" applyProtection="1">
      <alignment horizontal="center" vertical="center"/>
    </xf>
    <xf numFmtId="0" fontId="0" fillId="6" borderId="24" xfId="0" applyFill="1" applyBorder="1" applyAlignment="1">
      <alignment horizontal="center" vertical="center"/>
    </xf>
    <xf numFmtId="0" fontId="0" fillId="6" borderId="15" xfId="0" applyFill="1" applyBorder="1" applyAlignment="1">
      <alignment horizontal="center" vertical="center"/>
    </xf>
    <xf numFmtId="0" fontId="0" fillId="6" borderId="16" xfId="0" applyFill="1" applyBorder="1" applyAlignment="1">
      <alignment horizontal="center" vertical="center"/>
    </xf>
    <xf numFmtId="0" fontId="0" fillId="6" borderId="14" xfId="0" applyFill="1" applyBorder="1" applyAlignment="1">
      <alignment horizontal="center"/>
    </xf>
    <xf numFmtId="0" fontId="7" fillId="10" borderId="34" xfId="3" applyFont="1" applyBorder="1" applyAlignment="1" applyProtection="1">
      <alignment horizontal="center"/>
    </xf>
    <xf numFmtId="0" fontId="7" fillId="10" borderId="35" xfId="3" applyFont="1" applyBorder="1" applyAlignment="1" applyProtection="1">
      <alignment horizontal="center"/>
    </xf>
    <xf numFmtId="0" fontId="7" fillId="10" borderId="36" xfId="3" applyFont="1" applyBorder="1" applyAlignment="1" applyProtection="1">
      <alignment horizontal="center"/>
    </xf>
    <xf numFmtId="0" fontId="2" fillId="0" borderId="66" xfId="0" applyFont="1" applyFill="1" applyBorder="1" applyAlignment="1" applyProtection="1">
      <alignment horizontal="center" vertical="center"/>
    </xf>
    <xf numFmtId="0" fontId="2" fillId="0" borderId="67" xfId="0" applyFont="1" applyFill="1" applyBorder="1" applyAlignment="1" applyProtection="1">
      <alignment horizontal="center" vertical="center"/>
    </xf>
    <xf numFmtId="0" fontId="2" fillId="0" borderId="68" xfId="0" applyFont="1" applyFill="1" applyBorder="1" applyAlignment="1" applyProtection="1">
      <alignment horizontal="center" vertical="center"/>
    </xf>
    <xf numFmtId="0" fontId="8" fillId="0" borderId="34" xfId="2" applyFill="1" applyBorder="1" applyAlignment="1" applyProtection="1">
      <alignment horizontal="center" wrapText="1"/>
      <protection locked="0"/>
    </xf>
    <xf numFmtId="0" fontId="8" fillId="0" borderId="35" xfId="2" applyFill="1" applyBorder="1" applyAlignment="1" applyProtection="1">
      <alignment horizontal="center" wrapText="1"/>
      <protection locked="0"/>
    </xf>
    <xf numFmtId="0" fontId="8" fillId="0" borderId="36" xfId="2" applyFill="1" applyBorder="1" applyAlignment="1" applyProtection="1">
      <alignment horizontal="center" wrapText="1"/>
      <protection locked="0"/>
    </xf>
    <xf numFmtId="0" fontId="8" fillId="0" borderId="69" xfId="2" applyFill="1" applyBorder="1" applyAlignment="1" applyProtection="1">
      <alignment horizontal="center" wrapText="1"/>
      <protection locked="0"/>
    </xf>
    <xf numFmtId="0" fontId="8" fillId="0" borderId="70" xfId="2" applyFill="1" applyBorder="1" applyAlignment="1" applyProtection="1">
      <alignment horizontal="center" wrapText="1"/>
      <protection locked="0"/>
    </xf>
    <xf numFmtId="0" fontId="8" fillId="0" borderId="61" xfId="2" applyFill="1" applyBorder="1" applyAlignment="1" applyProtection="1">
      <alignment horizontal="center" wrapText="1"/>
      <protection locked="0"/>
    </xf>
    <xf numFmtId="0" fontId="0" fillId="0" borderId="24" xfId="0" applyBorder="1" applyAlignment="1" applyProtection="1">
      <alignment horizontal="center" wrapText="1"/>
    </xf>
    <xf numFmtId="0" fontId="0" fillId="0" borderId="15" xfId="0" applyBorder="1" applyAlignment="1" applyProtection="1">
      <alignment horizontal="center" wrapText="1"/>
    </xf>
    <xf numFmtId="0" fontId="0" fillId="0" borderId="16" xfId="0" applyBorder="1" applyAlignment="1" applyProtection="1">
      <alignment horizontal="center" wrapText="1"/>
    </xf>
    <xf numFmtId="0" fontId="0" fillId="0" borderId="39" xfId="0" applyFill="1" applyBorder="1" applyAlignment="1" applyProtection="1">
      <alignment horizontal="left" wrapText="1"/>
    </xf>
    <xf numFmtId="0" fontId="0" fillId="4" borderId="15" xfId="0" applyFill="1" applyBorder="1" applyAlignment="1" applyProtection="1">
      <alignment horizontal="center" vertical="center" wrapText="1"/>
      <protection locked="0"/>
    </xf>
    <xf numFmtId="0" fontId="2" fillId="12" borderId="80" xfId="0" applyFont="1" applyFill="1" applyBorder="1" applyAlignment="1" applyProtection="1">
      <alignment horizontal="center" vertical="center" wrapText="1"/>
    </xf>
    <xf numFmtId="0" fontId="2" fillId="12" borderId="81" xfId="0" applyFont="1" applyFill="1" applyBorder="1" applyAlignment="1" applyProtection="1">
      <alignment horizontal="center" vertical="center" wrapText="1"/>
    </xf>
    <xf numFmtId="0" fontId="2" fillId="12" borderId="82" xfId="0" applyFont="1" applyFill="1" applyBorder="1" applyAlignment="1" applyProtection="1">
      <alignment horizontal="center" vertical="center" wrapText="1"/>
    </xf>
    <xf numFmtId="0" fontId="7" fillId="3" borderId="34" xfId="0" applyFont="1" applyFill="1" applyBorder="1" applyAlignment="1" applyProtection="1">
      <alignment horizontal="center" vertical="center" wrapText="1"/>
    </xf>
    <xf numFmtId="0" fontId="7" fillId="3" borderId="35" xfId="0" applyFont="1" applyFill="1" applyBorder="1" applyAlignment="1" applyProtection="1">
      <alignment horizontal="center" vertical="center" wrapText="1"/>
    </xf>
    <xf numFmtId="0" fontId="7" fillId="3" borderId="36" xfId="0" applyFont="1" applyFill="1" applyBorder="1" applyAlignment="1" applyProtection="1">
      <alignment horizontal="center" vertical="center" wrapText="1"/>
    </xf>
    <xf numFmtId="0" fontId="10" fillId="0" borderId="13" xfId="0" applyFont="1" applyFill="1" applyBorder="1" applyAlignment="1" applyProtection="1">
      <alignment horizontal="center" vertical="center"/>
    </xf>
    <xf numFmtId="0" fontId="10" fillId="0" borderId="14" xfId="0" applyFont="1" applyFill="1" applyBorder="1" applyAlignment="1" applyProtection="1">
      <alignment horizontal="center" vertical="center"/>
    </xf>
    <xf numFmtId="0" fontId="10" fillId="0" borderId="3" xfId="0" applyFont="1" applyFill="1" applyBorder="1" applyAlignment="1" applyProtection="1">
      <alignment horizontal="center" vertical="center"/>
    </xf>
    <xf numFmtId="0" fontId="2" fillId="0" borderId="87" xfId="0" applyFont="1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6" xfId="0" applyBorder="1" applyAlignment="1">
      <alignment horizontal="center"/>
    </xf>
    <xf numFmtId="0" fontId="2" fillId="3" borderId="34" xfId="0" applyFont="1" applyFill="1" applyBorder="1" applyAlignment="1">
      <alignment horizontal="center"/>
    </xf>
    <xf numFmtId="0" fontId="2" fillId="3" borderId="35" xfId="0" applyFont="1" applyFill="1" applyBorder="1" applyAlignment="1">
      <alignment horizontal="center"/>
    </xf>
    <xf numFmtId="0" fontId="2" fillId="3" borderId="36" xfId="0" applyFont="1" applyFill="1" applyBorder="1" applyAlignment="1">
      <alignment horizontal="center"/>
    </xf>
    <xf numFmtId="0" fontId="2" fillId="0" borderId="88" xfId="0" applyFont="1" applyBorder="1" applyAlignment="1">
      <alignment horizontal="center"/>
    </xf>
    <xf numFmtId="0" fontId="2" fillId="0" borderId="89" xfId="0" applyFont="1" applyBorder="1" applyAlignment="1">
      <alignment horizontal="center"/>
    </xf>
    <xf numFmtId="14" fontId="0" fillId="0" borderId="90" xfId="0" applyNumberFormat="1" applyBorder="1" applyAlignment="1">
      <alignment horizontal="center"/>
    </xf>
    <xf numFmtId="0" fontId="0" fillId="0" borderId="91" xfId="0" applyBorder="1" applyAlignment="1">
      <alignment horizontal="center"/>
    </xf>
    <xf numFmtId="14" fontId="0" fillId="0" borderId="92" xfId="0" applyNumberFormat="1" applyBorder="1" applyAlignment="1">
      <alignment horizontal="center"/>
    </xf>
    <xf numFmtId="0" fontId="0" fillId="0" borderId="93" xfId="0" applyBorder="1" applyAlignment="1">
      <alignment horizontal="center" wrapText="1"/>
    </xf>
    <xf numFmtId="0" fontId="0" fillId="0" borderId="92" xfId="0" applyBorder="1" applyAlignment="1">
      <alignment horizontal="center"/>
    </xf>
    <xf numFmtId="0" fontId="0" fillId="0" borderId="93" xfId="0" applyBorder="1" applyAlignment="1">
      <alignment horizontal="center"/>
    </xf>
    <xf numFmtId="0" fontId="0" fillId="0" borderId="94" xfId="0" applyBorder="1" applyAlignment="1">
      <alignment horizontal="center"/>
    </xf>
    <xf numFmtId="0" fontId="0" fillId="0" borderId="95" xfId="0" applyBorder="1" applyAlignment="1">
      <alignment horizontal="center"/>
    </xf>
    <xf numFmtId="0" fontId="0" fillId="0" borderId="96" xfId="0" applyBorder="1" applyAlignment="1">
      <alignment horizontal="center"/>
    </xf>
    <xf numFmtId="0" fontId="8" fillId="11" borderId="0" xfId="2" applyFill="1" applyAlignment="1" applyProtection="1">
      <alignment horizontal="center"/>
      <protection locked="0"/>
    </xf>
    <xf numFmtId="0" fontId="0" fillId="11" borderId="15" xfId="0" applyFill="1" applyBorder="1" applyProtection="1"/>
    <xf numFmtId="0" fontId="0" fillId="11" borderId="16" xfId="0" applyFill="1" applyBorder="1" applyProtection="1"/>
  </cellXfs>
  <cellStyles count="5">
    <cellStyle name="20% - Accent5" xfId="3" builtinId="46"/>
    <cellStyle name="Hyperlink" xfId="2" builtinId="8"/>
    <cellStyle name="Input" xfId="1" builtinId="20"/>
    <cellStyle name="Normal" xfId="0" builtinId="0"/>
    <cellStyle name="Style 1" xfId="4" xr:uid="{1266A063-3CC8-45D7-B537-8F68B3DBEDD3}"/>
  </cellStyles>
  <dxfs count="14">
    <dxf>
      <font>
        <color theme="0"/>
      </font>
      <fill>
        <patternFill>
          <bgColor theme="0"/>
        </patternFill>
      </fill>
    </dxf>
    <dxf>
      <font>
        <color theme="0"/>
      </font>
      <fill>
        <patternFill patternType="solid">
          <bgColor theme="0"/>
        </patternFill>
      </fill>
      <border>
        <left/>
        <right/>
        <bottom/>
      </border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</border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</border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92D050"/>
        </patternFill>
      </fill>
    </dxf>
  </dxfs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Eon (5V/ns)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2986563537679451E-2"/>
          <c:y val="9.7132822473699726E-2"/>
          <c:w val="0.87768603364118514"/>
          <c:h val="0.45223720890721891"/>
        </c:manualLayout>
      </c:layout>
      <c:scatterChart>
        <c:scatterStyle val="lineMarker"/>
        <c:varyColors val="0"/>
        <c:ser>
          <c:idx val="0"/>
          <c:order val="0"/>
          <c:tx>
            <c:strRef>
              <c:f>'DRV7308 Thermal Calculator'!$AP$9</c:f>
              <c:strCache>
                <c:ptCount val="1"/>
                <c:pt idx="0">
                  <c:v>0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poly"/>
            <c:order val="2"/>
            <c:dispRSqr val="0"/>
            <c:dispEq val="1"/>
            <c:trendlineLbl>
              <c:layout>
                <c:manualLayout>
                  <c:x val="-0.43265768177143438"/>
                  <c:y val="0.28673394221973447"/>
                </c:manualLayout>
              </c:layout>
              <c:numFmt formatCode="0.00E+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'DRV7308 Thermal Calculator'!$AF$10:$AF$24</c:f>
              <c:numCache>
                <c:formatCode>General</c:formatCode>
                <c:ptCount val="15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150</c:v>
                </c:pt>
                <c:pt idx="4">
                  <c:v>150</c:v>
                </c:pt>
                <c:pt idx="5">
                  <c:v>150</c:v>
                </c:pt>
                <c:pt idx="6">
                  <c:v>200</c:v>
                </c:pt>
                <c:pt idx="7">
                  <c:v>200</c:v>
                </c:pt>
                <c:pt idx="8">
                  <c:v>200</c:v>
                </c:pt>
                <c:pt idx="9">
                  <c:v>300</c:v>
                </c:pt>
                <c:pt idx="10">
                  <c:v>300</c:v>
                </c:pt>
                <c:pt idx="11">
                  <c:v>300</c:v>
                </c:pt>
                <c:pt idx="12">
                  <c:v>450</c:v>
                </c:pt>
                <c:pt idx="13">
                  <c:v>450</c:v>
                </c:pt>
                <c:pt idx="14">
                  <c:v>450</c:v>
                </c:pt>
              </c:numCache>
            </c:numRef>
          </c:xVal>
          <c:yVal>
            <c:numRef>
              <c:f>'DRV7308 Thermal Calculator'!$AP$10:$AP$24</c:f>
              <c:numCache>
                <c:formatCode>General</c:formatCode>
                <c:ptCount val="15"/>
                <c:pt idx="0">
                  <c:v>0.7</c:v>
                </c:pt>
                <c:pt idx="1">
                  <c:v>0.7</c:v>
                </c:pt>
                <c:pt idx="2">
                  <c:v>0.7</c:v>
                </c:pt>
                <c:pt idx="3">
                  <c:v>1.4</c:v>
                </c:pt>
                <c:pt idx="4">
                  <c:v>1.4</c:v>
                </c:pt>
                <c:pt idx="5">
                  <c:v>1.4</c:v>
                </c:pt>
                <c:pt idx="6">
                  <c:v>2.2999999999999998</c:v>
                </c:pt>
                <c:pt idx="7">
                  <c:v>2.2999999999999998</c:v>
                </c:pt>
                <c:pt idx="8">
                  <c:v>2.2999999999999998</c:v>
                </c:pt>
                <c:pt idx="9">
                  <c:v>4.7</c:v>
                </c:pt>
                <c:pt idx="10">
                  <c:v>4.7</c:v>
                </c:pt>
                <c:pt idx="11">
                  <c:v>4.7</c:v>
                </c:pt>
                <c:pt idx="12">
                  <c:v>9.5</c:v>
                </c:pt>
                <c:pt idx="13">
                  <c:v>9.5</c:v>
                </c:pt>
                <c:pt idx="14">
                  <c:v>9.5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1BE-490A-9525-7C3060F2CCD4}"/>
            </c:ext>
          </c:extLst>
        </c:ser>
        <c:ser>
          <c:idx val="1"/>
          <c:order val="1"/>
          <c:tx>
            <c:strRef>
              <c:f>'DRV7308 Thermal Calculator'!$AQ$9</c:f>
              <c:strCache>
                <c:ptCount val="1"/>
                <c:pt idx="0">
                  <c:v>0.1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poly"/>
            <c:order val="2"/>
            <c:dispRSqr val="0"/>
            <c:dispEq val="1"/>
            <c:trendlineLbl>
              <c:layout>
                <c:manualLayout>
                  <c:x val="-0.43276182072188463"/>
                  <c:y val="0.32276238193991452"/>
                </c:manualLayout>
              </c:layout>
              <c:numFmt formatCode="0.00E+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'DRV7308 Thermal Calculator'!$AF$10:$AF$24</c:f>
              <c:numCache>
                <c:formatCode>General</c:formatCode>
                <c:ptCount val="15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150</c:v>
                </c:pt>
                <c:pt idx="4">
                  <c:v>150</c:v>
                </c:pt>
                <c:pt idx="5">
                  <c:v>150</c:v>
                </c:pt>
                <c:pt idx="6">
                  <c:v>200</c:v>
                </c:pt>
                <c:pt idx="7">
                  <c:v>200</c:v>
                </c:pt>
                <c:pt idx="8">
                  <c:v>200</c:v>
                </c:pt>
                <c:pt idx="9">
                  <c:v>300</c:v>
                </c:pt>
                <c:pt idx="10">
                  <c:v>300</c:v>
                </c:pt>
                <c:pt idx="11">
                  <c:v>300</c:v>
                </c:pt>
                <c:pt idx="12">
                  <c:v>450</c:v>
                </c:pt>
                <c:pt idx="13">
                  <c:v>450</c:v>
                </c:pt>
                <c:pt idx="14">
                  <c:v>450</c:v>
                </c:pt>
              </c:numCache>
            </c:numRef>
          </c:xVal>
          <c:yVal>
            <c:numRef>
              <c:f>'DRV7308 Thermal Calculator'!$AQ$10:$AQ$24</c:f>
              <c:numCache>
                <c:formatCode>General</c:formatCode>
                <c:ptCount val="15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1.8</c:v>
                </c:pt>
                <c:pt idx="4">
                  <c:v>1.8</c:v>
                </c:pt>
                <c:pt idx="5">
                  <c:v>1.8</c:v>
                </c:pt>
                <c:pt idx="6">
                  <c:v>2.9</c:v>
                </c:pt>
                <c:pt idx="7">
                  <c:v>2.9</c:v>
                </c:pt>
                <c:pt idx="8">
                  <c:v>2.9</c:v>
                </c:pt>
                <c:pt idx="9">
                  <c:v>5.8</c:v>
                </c:pt>
                <c:pt idx="10">
                  <c:v>5.8</c:v>
                </c:pt>
                <c:pt idx="11">
                  <c:v>5.8</c:v>
                </c:pt>
                <c:pt idx="12">
                  <c:v>12</c:v>
                </c:pt>
                <c:pt idx="13">
                  <c:v>12</c:v>
                </c:pt>
                <c:pt idx="14">
                  <c:v>12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1BE-490A-9525-7C3060F2CCD4}"/>
            </c:ext>
          </c:extLst>
        </c:ser>
        <c:ser>
          <c:idx val="2"/>
          <c:order val="2"/>
          <c:tx>
            <c:strRef>
              <c:f>'DRV7308 Thermal Calculator'!$AR$9</c:f>
              <c:strCache>
                <c:ptCount val="1"/>
                <c:pt idx="0">
                  <c:v>0.25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poly"/>
            <c:order val="2"/>
            <c:dispRSqr val="0"/>
            <c:dispEq val="1"/>
            <c:trendlineLbl>
              <c:layout>
                <c:manualLayout>
                  <c:x val="-0.43112627829874739"/>
                  <c:y val="0.35747849609434362"/>
                </c:manualLayout>
              </c:layout>
              <c:numFmt formatCode="0.00E+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'DRV7308 Thermal Calculator'!$AF$10:$AF$24</c:f>
              <c:numCache>
                <c:formatCode>General</c:formatCode>
                <c:ptCount val="15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150</c:v>
                </c:pt>
                <c:pt idx="4">
                  <c:v>150</c:v>
                </c:pt>
                <c:pt idx="5">
                  <c:v>150</c:v>
                </c:pt>
                <c:pt idx="6">
                  <c:v>200</c:v>
                </c:pt>
                <c:pt idx="7">
                  <c:v>200</c:v>
                </c:pt>
                <c:pt idx="8">
                  <c:v>200</c:v>
                </c:pt>
                <c:pt idx="9">
                  <c:v>300</c:v>
                </c:pt>
                <c:pt idx="10">
                  <c:v>300</c:v>
                </c:pt>
                <c:pt idx="11">
                  <c:v>300</c:v>
                </c:pt>
                <c:pt idx="12">
                  <c:v>450</c:v>
                </c:pt>
                <c:pt idx="13">
                  <c:v>450</c:v>
                </c:pt>
                <c:pt idx="14">
                  <c:v>450</c:v>
                </c:pt>
              </c:numCache>
            </c:numRef>
          </c:xVal>
          <c:yVal>
            <c:numRef>
              <c:f>'DRV7308 Thermal Calculator'!$AR$10:$AR$24</c:f>
              <c:numCache>
                <c:formatCode>General</c:formatCode>
                <c:ptCount val="15"/>
                <c:pt idx="0">
                  <c:v>1.2</c:v>
                </c:pt>
                <c:pt idx="1">
                  <c:v>1.2</c:v>
                </c:pt>
                <c:pt idx="2">
                  <c:v>1.2</c:v>
                </c:pt>
                <c:pt idx="3">
                  <c:v>2.2999999999999998</c:v>
                </c:pt>
                <c:pt idx="4">
                  <c:v>2.2999999999999998</c:v>
                </c:pt>
                <c:pt idx="5">
                  <c:v>2.2999999999999998</c:v>
                </c:pt>
                <c:pt idx="6">
                  <c:v>3.7</c:v>
                </c:pt>
                <c:pt idx="7">
                  <c:v>3.7</c:v>
                </c:pt>
                <c:pt idx="8">
                  <c:v>3.7</c:v>
                </c:pt>
                <c:pt idx="9">
                  <c:v>7.4</c:v>
                </c:pt>
                <c:pt idx="10">
                  <c:v>7.4</c:v>
                </c:pt>
                <c:pt idx="11">
                  <c:v>7.4</c:v>
                </c:pt>
                <c:pt idx="12">
                  <c:v>15.4</c:v>
                </c:pt>
                <c:pt idx="13">
                  <c:v>15.4</c:v>
                </c:pt>
                <c:pt idx="14">
                  <c:v>15.4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1BE-490A-9525-7C3060F2CCD4}"/>
            </c:ext>
          </c:extLst>
        </c:ser>
        <c:ser>
          <c:idx val="3"/>
          <c:order val="3"/>
          <c:tx>
            <c:strRef>
              <c:f>'DRV7308 Thermal Calculator'!$AS$9</c:f>
              <c:strCache>
                <c:ptCount val="1"/>
                <c:pt idx="0">
                  <c:v>0.5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4"/>
                </a:solidFill>
                <a:prstDash val="sysDot"/>
              </a:ln>
              <a:effectLst/>
            </c:spPr>
            <c:trendlineType val="poly"/>
            <c:order val="2"/>
            <c:dispRSqr val="0"/>
            <c:dispEq val="1"/>
            <c:trendlineLbl>
              <c:layout>
                <c:manualLayout>
                  <c:x val="-0.43112627829874739"/>
                  <c:y val="0.40193057805896321"/>
                </c:manualLayout>
              </c:layout>
              <c:numFmt formatCode="0.00E+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'DRV7308 Thermal Calculator'!$AF$10:$AF$24</c:f>
              <c:numCache>
                <c:formatCode>General</c:formatCode>
                <c:ptCount val="15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150</c:v>
                </c:pt>
                <c:pt idx="4">
                  <c:v>150</c:v>
                </c:pt>
                <c:pt idx="5">
                  <c:v>150</c:v>
                </c:pt>
                <c:pt idx="6">
                  <c:v>200</c:v>
                </c:pt>
                <c:pt idx="7">
                  <c:v>200</c:v>
                </c:pt>
                <c:pt idx="8">
                  <c:v>200</c:v>
                </c:pt>
                <c:pt idx="9">
                  <c:v>300</c:v>
                </c:pt>
                <c:pt idx="10">
                  <c:v>300</c:v>
                </c:pt>
                <c:pt idx="11">
                  <c:v>300</c:v>
                </c:pt>
                <c:pt idx="12">
                  <c:v>450</c:v>
                </c:pt>
                <c:pt idx="13">
                  <c:v>450</c:v>
                </c:pt>
                <c:pt idx="14">
                  <c:v>450</c:v>
                </c:pt>
              </c:numCache>
            </c:numRef>
          </c:xVal>
          <c:yVal>
            <c:numRef>
              <c:f>'DRV7308 Thermal Calculator'!$AS$10:$AS$24</c:f>
              <c:numCache>
                <c:formatCode>General</c:formatCode>
                <c:ptCount val="15"/>
                <c:pt idx="0">
                  <c:v>1.7</c:v>
                </c:pt>
                <c:pt idx="1">
                  <c:v>1.7</c:v>
                </c:pt>
                <c:pt idx="2">
                  <c:v>1.7</c:v>
                </c:pt>
                <c:pt idx="3">
                  <c:v>3.1</c:v>
                </c:pt>
                <c:pt idx="4">
                  <c:v>3.1</c:v>
                </c:pt>
                <c:pt idx="5">
                  <c:v>3.1</c:v>
                </c:pt>
                <c:pt idx="6">
                  <c:v>5</c:v>
                </c:pt>
                <c:pt idx="7">
                  <c:v>5</c:v>
                </c:pt>
                <c:pt idx="8">
                  <c:v>5</c:v>
                </c:pt>
                <c:pt idx="9">
                  <c:v>10</c:v>
                </c:pt>
                <c:pt idx="10">
                  <c:v>10</c:v>
                </c:pt>
                <c:pt idx="11">
                  <c:v>10</c:v>
                </c:pt>
                <c:pt idx="12">
                  <c:v>21.2</c:v>
                </c:pt>
                <c:pt idx="13">
                  <c:v>21.2</c:v>
                </c:pt>
                <c:pt idx="14">
                  <c:v>21.2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1BE-490A-9525-7C3060F2CCD4}"/>
            </c:ext>
          </c:extLst>
        </c:ser>
        <c:ser>
          <c:idx val="4"/>
          <c:order val="4"/>
          <c:tx>
            <c:strRef>
              <c:f>'DRV7308 Thermal Calculator'!$AT$9</c:f>
              <c:strCache>
                <c:ptCount val="1"/>
                <c:pt idx="0">
                  <c:v>0.7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5"/>
                </a:solidFill>
                <a:prstDash val="sysDot"/>
              </a:ln>
              <a:effectLst/>
            </c:spPr>
            <c:trendlineType val="poly"/>
            <c:order val="2"/>
            <c:dispRSqr val="0"/>
            <c:dispEq val="1"/>
            <c:trendlineLbl>
              <c:layout>
                <c:manualLayout>
                  <c:x val="-0.43112627829874739"/>
                  <c:y val="0.44085574516868398"/>
                </c:manualLayout>
              </c:layout>
              <c:numFmt formatCode="0.00E+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'DRV7308 Thermal Calculator'!$AF$10:$AF$24</c:f>
              <c:numCache>
                <c:formatCode>General</c:formatCode>
                <c:ptCount val="15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150</c:v>
                </c:pt>
                <c:pt idx="4">
                  <c:v>150</c:v>
                </c:pt>
                <c:pt idx="5">
                  <c:v>150</c:v>
                </c:pt>
                <c:pt idx="6">
                  <c:v>200</c:v>
                </c:pt>
                <c:pt idx="7">
                  <c:v>200</c:v>
                </c:pt>
                <c:pt idx="8">
                  <c:v>200</c:v>
                </c:pt>
                <c:pt idx="9">
                  <c:v>300</c:v>
                </c:pt>
                <c:pt idx="10">
                  <c:v>300</c:v>
                </c:pt>
                <c:pt idx="11">
                  <c:v>300</c:v>
                </c:pt>
                <c:pt idx="12">
                  <c:v>450</c:v>
                </c:pt>
                <c:pt idx="13">
                  <c:v>450</c:v>
                </c:pt>
                <c:pt idx="14">
                  <c:v>450</c:v>
                </c:pt>
              </c:numCache>
            </c:numRef>
          </c:xVal>
          <c:yVal>
            <c:numRef>
              <c:f>'DRV7308 Thermal Calculator'!$AT$10:$AT$24</c:f>
              <c:numCache>
                <c:formatCode>General</c:formatCode>
                <c:ptCount val="15"/>
                <c:pt idx="0">
                  <c:v>2.1</c:v>
                </c:pt>
                <c:pt idx="1">
                  <c:v>2.1</c:v>
                </c:pt>
                <c:pt idx="2">
                  <c:v>2.1</c:v>
                </c:pt>
                <c:pt idx="3">
                  <c:v>3.8</c:v>
                </c:pt>
                <c:pt idx="4">
                  <c:v>3.8</c:v>
                </c:pt>
                <c:pt idx="5">
                  <c:v>3.8</c:v>
                </c:pt>
                <c:pt idx="6">
                  <c:v>6</c:v>
                </c:pt>
                <c:pt idx="7">
                  <c:v>6</c:v>
                </c:pt>
                <c:pt idx="8">
                  <c:v>6</c:v>
                </c:pt>
                <c:pt idx="9">
                  <c:v>12.1</c:v>
                </c:pt>
                <c:pt idx="10">
                  <c:v>12.1</c:v>
                </c:pt>
                <c:pt idx="11">
                  <c:v>12.1</c:v>
                </c:pt>
                <c:pt idx="12">
                  <c:v>25.9</c:v>
                </c:pt>
                <c:pt idx="13">
                  <c:v>25.9</c:v>
                </c:pt>
                <c:pt idx="14">
                  <c:v>25.9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F1BE-490A-9525-7C3060F2CCD4}"/>
            </c:ext>
          </c:extLst>
        </c:ser>
        <c:ser>
          <c:idx val="5"/>
          <c:order val="5"/>
          <c:tx>
            <c:strRef>
              <c:f>'DRV7308 Thermal Calculator'!$AU$9</c:f>
              <c:strCache>
                <c:ptCount val="1"/>
                <c:pt idx="0">
                  <c:v>1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6"/>
                </a:solidFill>
                <a:prstDash val="sysDot"/>
              </a:ln>
              <a:effectLst/>
            </c:spPr>
            <c:trendlineType val="poly"/>
            <c:order val="2"/>
            <c:dispRSqr val="0"/>
            <c:dispEq val="1"/>
            <c:trendlineLbl>
              <c:layout>
                <c:manualLayout>
                  <c:x val="-0.43276182072188463"/>
                  <c:y val="0.48987755808217193"/>
                </c:manualLayout>
              </c:layout>
              <c:numFmt formatCode="0.00E+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'DRV7308 Thermal Calculator'!$AF$10:$AF$24</c:f>
              <c:numCache>
                <c:formatCode>General</c:formatCode>
                <c:ptCount val="15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150</c:v>
                </c:pt>
                <c:pt idx="4">
                  <c:v>150</c:v>
                </c:pt>
                <c:pt idx="5">
                  <c:v>150</c:v>
                </c:pt>
                <c:pt idx="6">
                  <c:v>200</c:v>
                </c:pt>
                <c:pt idx="7">
                  <c:v>200</c:v>
                </c:pt>
                <c:pt idx="8">
                  <c:v>200</c:v>
                </c:pt>
                <c:pt idx="9">
                  <c:v>300</c:v>
                </c:pt>
                <c:pt idx="10">
                  <c:v>300</c:v>
                </c:pt>
                <c:pt idx="11">
                  <c:v>300</c:v>
                </c:pt>
                <c:pt idx="12">
                  <c:v>450</c:v>
                </c:pt>
                <c:pt idx="13">
                  <c:v>450</c:v>
                </c:pt>
                <c:pt idx="14">
                  <c:v>450</c:v>
                </c:pt>
              </c:numCache>
            </c:numRef>
          </c:xVal>
          <c:yVal>
            <c:numRef>
              <c:f>'DRV7308 Thermal Calculator'!$AU$10:$AU$24</c:f>
              <c:numCache>
                <c:formatCode>General</c:formatCode>
                <c:ptCount val="15"/>
                <c:pt idx="0">
                  <c:v>2.7</c:v>
                </c:pt>
                <c:pt idx="1">
                  <c:v>2.7</c:v>
                </c:pt>
                <c:pt idx="2">
                  <c:v>2.7</c:v>
                </c:pt>
                <c:pt idx="3">
                  <c:v>4.8</c:v>
                </c:pt>
                <c:pt idx="4">
                  <c:v>4.8</c:v>
                </c:pt>
                <c:pt idx="5">
                  <c:v>4.8</c:v>
                </c:pt>
                <c:pt idx="6">
                  <c:v>7.6</c:v>
                </c:pt>
                <c:pt idx="7">
                  <c:v>7.6</c:v>
                </c:pt>
                <c:pt idx="8">
                  <c:v>7.6</c:v>
                </c:pt>
                <c:pt idx="9">
                  <c:v>15.5</c:v>
                </c:pt>
                <c:pt idx="10">
                  <c:v>15.5</c:v>
                </c:pt>
                <c:pt idx="11">
                  <c:v>15.5</c:v>
                </c:pt>
                <c:pt idx="12">
                  <c:v>33.1</c:v>
                </c:pt>
                <c:pt idx="13">
                  <c:v>33.1</c:v>
                </c:pt>
                <c:pt idx="14">
                  <c:v>33.1</c:v>
                </c:pt>
              </c:numCache>
            </c:numRef>
          </c:y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5-F1BE-490A-9525-7C3060F2CCD4}"/>
            </c:ext>
          </c:extLst>
        </c:ser>
        <c:ser>
          <c:idx val="6"/>
          <c:order val="6"/>
          <c:tx>
            <c:strRef>
              <c:f>'DRV7308 Thermal Calculator'!$AV$9</c:f>
              <c:strCache>
                <c:ptCount val="1"/>
                <c:pt idx="0">
                  <c:v>2.5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>
                    <a:lumMod val="60000"/>
                  </a:schemeClr>
                </a:solidFill>
                <a:prstDash val="sysDot"/>
              </a:ln>
              <a:effectLst/>
            </c:spPr>
            <c:trendlineType val="poly"/>
            <c:order val="2"/>
            <c:dispRSqr val="0"/>
            <c:dispEq val="1"/>
            <c:trendlineLbl>
              <c:layout>
                <c:manualLayout>
                  <c:x val="-0.43321153049681338"/>
                  <c:y val="0.6521807847785781"/>
                </c:manualLayout>
              </c:layout>
              <c:numFmt formatCode="0.00E+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'DRV7308 Thermal Calculator'!$AF$10:$AF$24</c:f>
              <c:numCache>
                <c:formatCode>General</c:formatCode>
                <c:ptCount val="15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150</c:v>
                </c:pt>
                <c:pt idx="4">
                  <c:v>150</c:v>
                </c:pt>
                <c:pt idx="5">
                  <c:v>150</c:v>
                </c:pt>
                <c:pt idx="6">
                  <c:v>200</c:v>
                </c:pt>
                <c:pt idx="7">
                  <c:v>200</c:v>
                </c:pt>
                <c:pt idx="8">
                  <c:v>200</c:v>
                </c:pt>
                <c:pt idx="9">
                  <c:v>300</c:v>
                </c:pt>
                <c:pt idx="10">
                  <c:v>300</c:v>
                </c:pt>
                <c:pt idx="11">
                  <c:v>300</c:v>
                </c:pt>
                <c:pt idx="12">
                  <c:v>450</c:v>
                </c:pt>
                <c:pt idx="13">
                  <c:v>450</c:v>
                </c:pt>
                <c:pt idx="14">
                  <c:v>450</c:v>
                </c:pt>
              </c:numCache>
            </c:numRef>
          </c:xVal>
          <c:yVal>
            <c:numRef>
              <c:f>'DRV7308 Thermal Calculator'!$AV$10:$AV$24</c:f>
              <c:numCache>
                <c:formatCode>General</c:formatCode>
                <c:ptCount val="15"/>
                <c:pt idx="0">
                  <c:v>6.6</c:v>
                </c:pt>
                <c:pt idx="1">
                  <c:v>6.6</c:v>
                </c:pt>
                <c:pt idx="2">
                  <c:v>6.6</c:v>
                </c:pt>
                <c:pt idx="3">
                  <c:v>11.6</c:v>
                </c:pt>
                <c:pt idx="4">
                  <c:v>11.6</c:v>
                </c:pt>
                <c:pt idx="5">
                  <c:v>11.6</c:v>
                </c:pt>
                <c:pt idx="6">
                  <c:v>18</c:v>
                </c:pt>
                <c:pt idx="7">
                  <c:v>18</c:v>
                </c:pt>
                <c:pt idx="8">
                  <c:v>18</c:v>
                </c:pt>
                <c:pt idx="9">
                  <c:v>35.799999999999997</c:v>
                </c:pt>
                <c:pt idx="10">
                  <c:v>35.799999999999997</c:v>
                </c:pt>
                <c:pt idx="11">
                  <c:v>35.799999999999997</c:v>
                </c:pt>
                <c:pt idx="12">
                  <c:v>75.400000000000006</c:v>
                </c:pt>
                <c:pt idx="13">
                  <c:v>75.400000000000006</c:v>
                </c:pt>
                <c:pt idx="14">
                  <c:v>75.400000000000006</c:v>
                </c:pt>
              </c:numCache>
            </c:numRef>
          </c:y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6-F1BE-490A-9525-7C3060F2CCD4}"/>
            </c:ext>
          </c:extLst>
        </c:ser>
        <c:ser>
          <c:idx val="7"/>
          <c:order val="7"/>
          <c:tx>
            <c:strRef>
              <c:f>'DRV7308 Thermal Calculator'!$AW$9</c:f>
              <c:strCache>
                <c:ptCount val="1"/>
                <c:pt idx="0">
                  <c:v>4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>
                    <a:lumMod val="60000"/>
                  </a:schemeClr>
                </a:solidFill>
                <a:prstDash val="sysDot"/>
              </a:ln>
              <a:effectLst/>
            </c:spPr>
            <c:trendlineType val="poly"/>
            <c:order val="2"/>
            <c:dispRSqr val="0"/>
            <c:dispEq val="1"/>
            <c:trendlineLbl>
              <c:layout>
                <c:manualLayout>
                  <c:x val="-0.43157598807367614"/>
                  <c:y val="0.85551900456614594"/>
                </c:manualLayout>
              </c:layout>
              <c:numFmt formatCode="0.00E+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'DRV7308 Thermal Calculator'!$AF$10:$AF$24</c:f>
              <c:numCache>
                <c:formatCode>General</c:formatCode>
                <c:ptCount val="15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150</c:v>
                </c:pt>
                <c:pt idx="4">
                  <c:v>150</c:v>
                </c:pt>
                <c:pt idx="5">
                  <c:v>150</c:v>
                </c:pt>
                <c:pt idx="6">
                  <c:v>200</c:v>
                </c:pt>
                <c:pt idx="7">
                  <c:v>200</c:v>
                </c:pt>
                <c:pt idx="8">
                  <c:v>200</c:v>
                </c:pt>
                <c:pt idx="9">
                  <c:v>300</c:v>
                </c:pt>
                <c:pt idx="10">
                  <c:v>300</c:v>
                </c:pt>
                <c:pt idx="11">
                  <c:v>300</c:v>
                </c:pt>
                <c:pt idx="12">
                  <c:v>450</c:v>
                </c:pt>
                <c:pt idx="13">
                  <c:v>450</c:v>
                </c:pt>
                <c:pt idx="14">
                  <c:v>450</c:v>
                </c:pt>
              </c:numCache>
            </c:numRef>
          </c:xVal>
          <c:yVal>
            <c:numRef>
              <c:f>'DRV7308 Thermal Calculator'!$AW$10:$AW$24</c:f>
              <c:numCache>
                <c:formatCode>General</c:formatCode>
                <c:ptCount val="15"/>
                <c:pt idx="0">
                  <c:v>13</c:v>
                </c:pt>
                <c:pt idx="1">
                  <c:v>13</c:v>
                </c:pt>
                <c:pt idx="2">
                  <c:v>13</c:v>
                </c:pt>
                <c:pt idx="3">
                  <c:v>22.3</c:v>
                </c:pt>
                <c:pt idx="4">
                  <c:v>22.3</c:v>
                </c:pt>
                <c:pt idx="5">
                  <c:v>22.3</c:v>
                </c:pt>
                <c:pt idx="6">
                  <c:v>33.799999999999997</c:v>
                </c:pt>
                <c:pt idx="7">
                  <c:v>33.799999999999997</c:v>
                </c:pt>
                <c:pt idx="8">
                  <c:v>33.799999999999997</c:v>
                </c:pt>
                <c:pt idx="9">
                  <c:v>64.7</c:v>
                </c:pt>
                <c:pt idx="10">
                  <c:v>64.7</c:v>
                </c:pt>
                <c:pt idx="11">
                  <c:v>64.7</c:v>
                </c:pt>
                <c:pt idx="12">
                  <c:v>131</c:v>
                </c:pt>
                <c:pt idx="13">
                  <c:v>131</c:v>
                </c:pt>
                <c:pt idx="14">
                  <c:v>131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B89-4712-AB5D-DFB0632041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82122239"/>
        <c:axId val="1986862255"/>
        <c:extLst/>
      </c:scatterChart>
      <c:valAx>
        <c:axId val="58212223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VM</a:t>
                </a:r>
                <a:r>
                  <a:rPr lang="en-US" baseline="0"/>
                  <a:t> Voltage (V)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6862255"/>
        <c:crosses val="autoZero"/>
        <c:crossBetween val="midCat"/>
      </c:valAx>
      <c:valAx>
        <c:axId val="19868622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Switching Energy (uJ)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2122239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5113200785346109E-2"/>
          <c:y val="0.58651089242864562"/>
          <c:w val="0.16746949906555147"/>
          <c:h val="0.4134889517035955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0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Eon (40V/ns)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2986563537679451E-2"/>
          <c:y val="9.7132822473699726E-2"/>
          <c:w val="0.87768603364118514"/>
          <c:h val="0.45223720890721891"/>
        </c:manualLayout>
      </c:layout>
      <c:scatterChart>
        <c:scatterStyle val="lineMarker"/>
        <c:varyColors val="0"/>
        <c:ser>
          <c:idx val="0"/>
          <c:order val="0"/>
          <c:tx>
            <c:strRef>
              <c:f>'DRV7308 Thermal Calculator'!$AP$9</c:f>
              <c:strCache>
                <c:ptCount val="1"/>
                <c:pt idx="0">
                  <c:v>0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poly"/>
            <c:order val="2"/>
            <c:dispRSqr val="0"/>
            <c:dispEq val="1"/>
            <c:trendlineLbl>
              <c:layout>
                <c:manualLayout>
                  <c:x val="-0.42705747922241316"/>
                  <c:y val="0.37392772186227613"/>
                </c:manualLayout>
              </c:layout>
              <c:numFmt formatCode="0.00E+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'DRV7308 Thermal Calculator'!$AF$55:$AF$69</c:f>
              <c:numCache>
                <c:formatCode>General</c:formatCode>
                <c:ptCount val="15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150</c:v>
                </c:pt>
                <c:pt idx="4">
                  <c:v>150</c:v>
                </c:pt>
                <c:pt idx="5">
                  <c:v>150</c:v>
                </c:pt>
                <c:pt idx="6">
                  <c:v>200</c:v>
                </c:pt>
                <c:pt idx="7">
                  <c:v>200</c:v>
                </c:pt>
                <c:pt idx="8">
                  <c:v>200</c:v>
                </c:pt>
                <c:pt idx="9">
                  <c:v>300</c:v>
                </c:pt>
                <c:pt idx="10">
                  <c:v>300</c:v>
                </c:pt>
                <c:pt idx="11">
                  <c:v>300</c:v>
                </c:pt>
                <c:pt idx="12">
                  <c:v>450</c:v>
                </c:pt>
                <c:pt idx="13">
                  <c:v>450</c:v>
                </c:pt>
                <c:pt idx="14">
                  <c:v>450</c:v>
                </c:pt>
              </c:numCache>
            </c:numRef>
          </c:xVal>
          <c:yVal>
            <c:numRef>
              <c:f>'DRV7308 Thermal Calculator'!$AP$55:$AP$69</c:f>
              <c:numCache>
                <c:formatCode>General</c:formatCode>
                <c:ptCount val="15"/>
                <c:pt idx="0">
                  <c:v>0.7</c:v>
                </c:pt>
                <c:pt idx="1">
                  <c:v>0.7</c:v>
                </c:pt>
                <c:pt idx="2">
                  <c:v>0.7</c:v>
                </c:pt>
                <c:pt idx="3">
                  <c:v>1.4</c:v>
                </c:pt>
                <c:pt idx="4">
                  <c:v>1.4</c:v>
                </c:pt>
                <c:pt idx="5">
                  <c:v>1.4</c:v>
                </c:pt>
                <c:pt idx="6">
                  <c:v>2.2999999999999998</c:v>
                </c:pt>
                <c:pt idx="7">
                  <c:v>2.2999999999999998</c:v>
                </c:pt>
                <c:pt idx="8">
                  <c:v>2.2999999999999998</c:v>
                </c:pt>
                <c:pt idx="9">
                  <c:v>4.5999999999999996</c:v>
                </c:pt>
                <c:pt idx="10">
                  <c:v>4.5999999999999996</c:v>
                </c:pt>
                <c:pt idx="11">
                  <c:v>4.5999999999999996</c:v>
                </c:pt>
                <c:pt idx="12">
                  <c:v>9.4</c:v>
                </c:pt>
                <c:pt idx="13">
                  <c:v>9.4</c:v>
                </c:pt>
                <c:pt idx="14">
                  <c:v>9.4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9B3-4F69-AB28-0FDB28B60F4D}"/>
            </c:ext>
          </c:extLst>
        </c:ser>
        <c:ser>
          <c:idx val="1"/>
          <c:order val="1"/>
          <c:tx>
            <c:strRef>
              <c:f>'DRV7308 Thermal Calculator'!$AQ$9</c:f>
              <c:strCache>
                <c:ptCount val="1"/>
                <c:pt idx="0">
                  <c:v>0.1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poly"/>
            <c:order val="2"/>
            <c:dispRSqr val="0"/>
            <c:dispEq val="1"/>
            <c:trendlineLbl>
              <c:layout>
                <c:manualLayout>
                  <c:x val="-0.42869427079131267"/>
                  <c:y val="0.40945541109263323"/>
                </c:manualLayout>
              </c:layout>
              <c:numFmt formatCode="0.00E+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'DRV7308 Thermal Calculator'!$AF$55:$AF$69</c:f>
              <c:numCache>
                <c:formatCode>General</c:formatCode>
                <c:ptCount val="15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150</c:v>
                </c:pt>
                <c:pt idx="4">
                  <c:v>150</c:v>
                </c:pt>
                <c:pt idx="5">
                  <c:v>150</c:v>
                </c:pt>
                <c:pt idx="6">
                  <c:v>200</c:v>
                </c:pt>
                <c:pt idx="7">
                  <c:v>200</c:v>
                </c:pt>
                <c:pt idx="8">
                  <c:v>200</c:v>
                </c:pt>
                <c:pt idx="9">
                  <c:v>300</c:v>
                </c:pt>
                <c:pt idx="10">
                  <c:v>300</c:v>
                </c:pt>
                <c:pt idx="11">
                  <c:v>300</c:v>
                </c:pt>
                <c:pt idx="12">
                  <c:v>450</c:v>
                </c:pt>
                <c:pt idx="13">
                  <c:v>450</c:v>
                </c:pt>
                <c:pt idx="14">
                  <c:v>450</c:v>
                </c:pt>
              </c:numCache>
            </c:numRef>
          </c:xVal>
          <c:yVal>
            <c:numRef>
              <c:f>'DRV7308 Thermal Calculator'!$AQ$55:$AQ$69</c:f>
              <c:numCache>
                <c:formatCode>General</c:formatCode>
                <c:ptCount val="15"/>
                <c:pt idx="0">
                  <c:v>0.8</c:v>
                </c:pt>
                <c:pt idx="1">
                  <c:v>0.8</c:v>
                </c:pt>
                <c:pt idx="2">
                  <c:v>0.8</c:v>
                </c:pt>
                <c:pt idx="3">
                  <c:v>1.5</c:v>
                </c:pt>
                <c:pt idx="4">
                  <c:v>1.5</c:v>
                </c:pt>
                <c:pt idx="5">
                  <c:v>1.5</c:v>
                </c:pt>
                <c:pt idx="6">
                  <c:v>2.5</c:v>
                </c:pt>
                <c:pt idx="7">
                  <c:v>2.5</c:v>
                </c:pt>
                <c:pt idx="8">
                  <c:v>2.5</c:v>
                </c:pt>
                <c:pt idx="9">
                  <c:v>4.9000000000000004</c:v>
                </c:pt>
                <c:pt idx="10">
                  <c:v>4.9000000000000004</c:v>
                </c:pt>
                <c:pt idx="11">
                  <c:v>4.9000000000000004</c:v>
                </c:pt>
                <c:pt idx="12">
                  <c:v>10</c:v>
                </c:pt>
                <c:pt idx="13">
                  <c:v>10</c:v>
                </c:pt>
                <c:pt idx="14">
                  <c:v>10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49B3-4F69-AB28-0FDB28B60F4D}"/>
            </c:ext>
          </c:extLst>
        </c:ser>
        <c:ser>
          <c:idx val="2"/>
          <c:order val="2"/>
          <c:tx>
            <c:strRef>
              <c:f>'DRV7308 Thermal Calculator'!$AR$9</c:f>
              <c:strCache>
                <c:ptCount val="1"/>
                <c:pt idx="0">
                  <c:v>0.25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poly"/>
            <c:order val="2"/>
            <c:dispRSqr val="0"/>
            <c:dispEq val="1"/>
            <c:trendlineLbl>
              <c:layout>
                <c:manualLayout>
                  <c:x val="-0.42705747922241316"/>
                  <c:y val="0.44495903271990639"/>
                </c:manualLayout>
              </c:layout>
              <c:numFmt formatCode="0.00E+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'DRV7308 Thermal Calculator'!$AF$55:$AF$69</c:f>
              <c:numCache>
                <c:formatCode>General</c:formatCode>
                <c:ptCount val="15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150</c:v>
                </c:pt>
                <c:pt idx="4">
                  <c:v>150</c:v>
                </c:pt>
                <c:pt idx="5">
                  <c:v>150</c:v>
                </c:pt>
                <c:pt idx="6">
                  <c:v>200</c:v>
                </c:pt>
                <c:pt idx="7">
                  <c:v>200</c:v>
                </c:pt>
                <c:pt idx="8">
                  <c:v>200</c:v>
                </c:pt>
                <c:pt idx="9">
                  <c:v>300</c:v>
                </c:pt>
                <c:pt idx="10">
                  <c:v>300</c:v>
                </c:pt>
                <c:pt idx="11">
                  <c:v>300</c:v>
                </c:pt>
                <c:pt idx="12">
                  <c:v>450</c:v>
                </c:pt>
                <c:pt idx="13">
                  <c:v>450</c:v>
                </c:pt>
                <c:pt idx="14">
                  <c:v>450</c:v>
                </c:pt>
              </c:numCache>
            </c:numRef>
          </c:xVal>
          <c:yVal>
            <c:numRef>
              <c:f>'DRV7308 Thermal Calculator'!$AR$55:$AR$69</c:f>
              <c:numCache>
                <c:formatCode>General</c:formatCode>
                <c:ptCount val="15"/>
                <c:pt idx="0">
                  <c:v>0.8</c:v>
                </c:pt>
                <c:pt idx="1">
                  <c:v>0.8</c:v>
                </c:pt>
                <c:pt idx="2">
                  <c:v>0.8</c:v>
                </c:pt>
                <c:pt idx="3">
                  <c:v>1.7</c:v>
                </c:pt>
                <c:pt idx="4">
                  <c:v>1.7</c:v>
                </c:pt>
                <c:pt idx="5">
                  <c:v>1.7</c:v>
                </c:pt>
                <c:pt idx="6">
                  <c:v>2.7</c:v>
                </c:pt>
                <c:pt idx="7">
                  <c:v>2.7</c:v>
                </c:pt>
                <c:pt idx="8">
                  <c:v>2.7</c:v>
                </c:pt>
                <c:pt idx="9">
                  <c:v>5.3</c:v>
                </c:pt>
                <c:pt idx="10">
                  <c:v>5.3</c:v>
                </c:pt>
                <c:pt idx="11">
                  <c:v>5.3</c:v>
                </c:pt>
                <c:pt idx="12">
                  <c:v>10.6</c:v>
                </c:pt>
                <c:pt idx="13">
                  <c:v>10.6</c:v>
                </c:pt>
                <c:pt idx="14">
                  <c:v>10.6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49B3-4F69-AB28-0FDB28B60F4D}"/>
            </c:ext>
          </c:extLst>
        </c:ser>
        <c:ser>
          <c:idx val="3"/>
          <c:order val="3"/>
          <c:tx>
            <c:strRef>
              <c:f>'DRV7308 Thermal Calculator'!$AS$9</c:f>
              <c:strCache>
                <c:ptCount val="1"/>
                <c:pt idx="0">
                  <c:v>0.5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4"/>
                </a:solidFill>
                <a:prstDash val="sysDot"/>
              </a:ln>
              <a:effectLst/>
            </c:spPr>
            <c:trendlineType val="poly"/>
            <c:order val="2"/>
            <c:dispRSqr val="0"/>
            <c:dispEq val="1"/>
            <c:trendlineLbl>
              <c:layout>
                <c:manualLayout>
                  <c:x val="-0.42869427079131267"/>
                  <c:y val="0.48436629454088936"/>
                </c:manualLayout>
              </c:layout>
              <c:numFmt formatCode="0.00E+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'DRV7308 Thermal Calculator'!$AF$55:$AF$69</c:f>
              <c:numCache>
                <c:formatCode>General</c:formatCode>
                <c:ptCount val="15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150</c:v>
                </c:pt>
                <c:pt idx="4">
                  <c:v>150</c:v>
                </c:pt>
                <c:pt idx="5">
                  <c:v>150</c:v>
                </c:pt>
                <c:pt idx="6">
                  <c:v>200</c:v>
                </c:pt>
                <c:pt idx="7">
                  <c:v>200</c:v>
                </c:pt>
                <c:pt idx="8">
                  <c:v>200</c:v>
                </c:pt>
                <c:pt idx="9">
                  <c:v>300</c:v>
                </c:pt>
                <c:pt idx="10">
                  <c:v>300</c:v>
                </c:pt>
                <c:pt idx="11">
                  <c:v>300</c:v>
                </c:pt>
                <c:pt idx="12">
                  <c:v>450</c:v>
                </c:pt>
                <c:pt idx="13">
                  <c:v>450</c:v>
                </c:pt>
                <c:pt idx="14">
                  <c:v>450</c:v>
                </c:pt>
              </c:numCache>
            </c:numRef>
          </c:xVal>
          <c:yVal>
            <c:numRef>
              <c:f>'DRV7308 Thermal Calculator'!$AS$55:$AS$69</c:f>
              <c:numCache>
                <c:formatCode>General</c:formatCode>
                <c:ptCount val="15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1.9</c:v>
                </c:pt>
                <c:pt idx="4">
                  <c:v>1.9</c:v>
                </c:pt>
                <c:pt idx="5">
                  <c:v>1.9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5.9</c:v>
                </c:pt>
                <c:pt idx="10">
                  <c:v>5.9</c:v>
                </c:pt>
                <c:pt idx="11">
                  <c:v>5.9</c:v>
                </c:pt>
                <c:pt idx="12">
                  <c:v>11.8</c:v>
                </c:pt>
                <c:pt idx="13">
                  <c:v>11.8</c:v>
                </c:pt>
                <c:pt idx="14">
                  <c:v>11.8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49B3-4F69-AB28-0FDB28B60F4D}"/>
            </c:ext>
          </c:extLst>
        </c:ser>
        <c:ser>
          <c:idx val="4"/>
          <c:order val="4"/>
          <c:tx>
            <c:strRef>
              <c:f>'DRV7308 Thermal Calculator'!$AT$9</c:f>
              <c:strCache>
                <c:ptCount val="1"/>
                <c:pt idx="0">
                  <c:v>0.7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5"/>
                </a:solidFill>
                <a:prstDash val="sysDot"/>
              </a:ln>
              <a:effectLst/>
            </c:spPr>
            <c:trendlineType val="poly"/>
            <c:order val="2"/>
            <c:dispRSqr val="0"/>
            <c:dispEq val="1"/>
            <c:trendlineLbl>
              <c:layout>
                <c:manualLayout>
                  <c:x val="-0.43033106236021218"/>
                  <c:y val="0.51713511755539421"/>
                </c:manualLayout>
              </c:layout>
              <c:numFmt formatCode="0.00E+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'DRV7308 Thermal Calculator'!$AF$55:$AF$69</c:f>
              <c:numCache>
                <c:formatCode>General</c:formatCode>
                <c:ptCount val="15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150</c:v>
                </c:pt>
                <c:pt idx="4">
                  <c:v>150</c:v>
                </c:pt>
                <c:pt idx="5">
                  <c:v>150</c:v>
                </c:pt>
                <c:pt idx="6">
                  <c:v>200</c:v>
                </c:pt>
                <c:pt idx="7">
                  <c:v>200</c:v>
                </c:pt>
                <c:pt idx="8">
                  <c:v>200</c:v>
                </c:pt>
                <c:pt idx="9">
                  <c:v>300</c:v>
                </c:pt>
                <c:pt idx="10">
                  <c:v>300</c:v>
                </c:pt>
                <c:pt idx="11">
                  <c:v>300</c:v>
                </c:pt>
                <c:pt idx="12">
                  <c:v>450</c:v>
                </c:pt>
                <c:pt idx="13">
                  <c:v>450</c:v>
                </c:pt>
                <c:pt idx="14">
                  <c:v>450</c:v>
                </c:pt>
              </c:numCache>
            </c:numRef>
          </c:xVal>
          <c:yVal>
            <c:numRef>
              <c:f>'DRV7308 Thermal Calculator'!$AT$55:$AT$69</c:f>
              <c:numCache>
                <c:formatCode>General</c:formatCode>
                <c:ptCount val="15"/>
                <c:pt idx="0">
                  <c:v>1.1000000000000001</c:v>
                </c:pt>
                <c:pt idx="1">
                  <c:v>1.1000000000000001</c:v>
                </c:pt>
                <c:pt idx="2">
                  <c:v>1.1000000000000001</c:v>
                </c:pt>
                <c:pt idx="3">
                  <c:v>2.1</c:v>
                </c:pt>
                <c:pt idx="4">
                  <c:v>2.1</c:v>
                </c:pt>
                <c:pt idx="5">
                  <c:v>2.1</c:v>
                </c:pt>
                <c:pt idx="6">
                  <c:v>3.3</c:v>
                </c:pt>
                <c:pt idx="7">
                  <c:v>3.3</c:v>
                </c:pt>
                <c:pt idx="8">
                  <c:v>3.3</c:v>
                </c:pt>
                <c:pt idx="9">
                  <c:v>6.3</c:v>
                </c:pt>
                <c:pt idx="10">
                  <c:v>6.3</c:v>
                </c:pt>
                <c:pt idx="11">
                  <c:v>6.3</c:v>
                </c:pt>
                <c:pt idx="12">
                  <c:v>12.5</c:v>
                </c:pt>
                <c:pt idx="13">
                  <c:v>12.5</c:v>
                </c:pt>
                <c:pt idx="14">
                  <c:v>12.5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49B3-4F69-AB28-0FDB28B60F4D}"/>
            </c:ext>
          </c:extLst>
        </c:ser>
        <c:ser>
          <c:idx val="5"/>
          <c:order val="5"/>
          <c:tx>
            <c:strRef>
              <c:f>'DRV7308 Thermal Calculator'!$AU$9</c:f>
              <c:strCache>
                <c:ptCount val="1"/>
                <c:pt idx="0">
                  <c:v>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6"/>
                </a:solidFill>
                <a:prstDash val="sysDot"/>
              </a:ln>
              <a:effectLst/>
            </c:spPr>
            <c:trendlineType val="poly"/>
            <c:order val="2"/>
            <c:dispRSqr val="0"/>
            <c:dispEq val="1"/>
            <c:trendlineLbl>
              <c:layout>
                <c:manualLayout>
                  <c:x val="-0.43033106236021218"/>
                  <c:y val="0.5630931433430495"/>
                </c:manualLayout>
              </c:layout>
              <c:numFmt formatCode="0.00E+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'DRV7308 Thermal Calculator'!$AF$55:$AF$69</c:f>
              <c:numCache>
                <c:formatCode>General</c:formatCode>
                <c:ptCount val="15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150</c:v>
                </c:pt>
                <c:pt idx="4">
                  <c:v>150</c:v>
                </c:pt>
                <c:pt idx="5">
                  <c:v>150</c:v>
                </c:pt>
                <c:pt idx="6">
                  <c:v>200</c:v>
                </c:pt>
                <c:pt idx="7">
                  <c:v>200</c:v>
                </c:pt>
                <c:pt idx="8">
                  <c:v>200</c:v>
                </c:pt>
                <c:pt idx="9">
                  <c:v>300</c:v>
                </c:pt>
                <c:pt idx="10">
                  <c:v>300</c:v>
                </c:pt>
                <c:pt idx="11">
                  <c:v>300</c:v>
                </c:pt>
                <c:pt idx="12">
                  <c:v>450</c:v>
                </c:pt>
                <c:pt idx="13">
                  <c:v>450</c:v>
                </c:pt>
                <c:pt idx="14">
                  <c:v>450</c:v>
                </c:pt>
              </c:numCache>
            </c:numRef>
          </c:xVal>
          <c:yVal>
            <c:numRef>
              <c:f>'DRV7308 Thermal Calculator'!$AU$55:$AU$69</c:f>
              <c:numCache>
                <c:formatCode>General</c:formatCode>
                <c:ptCount val="15"/>
                <c:pt idx="0">
                  <c:v>1.2</c:v>
                </c:pt>
                <c:pt idx="1">
                  <c:v>1.2</c:v>
                </c:pt>
                <c:pt idx="2">
                  <c:v>1.2</c:v>
                </c:pt>
                <c:pt idx="3">
                  <c:v>2.2999999999999998</c:v>
                </c:pt>
                <c:pt idx="4">
                  <c:v>2.2999999999999998</c:v>
                </c:pt>
                <c:pt idx="5">
                  <c:v>2.2999999999999998</c:v>
                </c:pt>
                <c:pt idx="6">
                  <c:v>3.7</c:v>
                </c:pt>
                <c:pt idx="7">
                  <c:v>3.7</c:v>
                </c:pt>
                <c:pt idx="8">
                  <c:v>3.7</c:v>
                </c:pt>
                <c:pt idx="9">
                  <c:v>7.1</c:v>
                </c:pt>
                <c:pt idx="10">
                  <c:v>7.1</c:v>
                </c:pt>
                <c:pt idx="11">
                  <c:v>7.1</c:v>
                </c:pt>
                <c:pt idx="12">
                  <c:v>13.9</c:v>
                </c:pt>
                <c:pt idx="13">
                  <c:v>13.9</c:v>
                </c:pt>
                <c:pt idx="14">
                  <c:v>13.9</c:v>
                </c:pt>
              </c:numCache>
            </c:numRef>
          </c:y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B-49B3-4F69-AB28-0FDB28B60F4D}"/>
            </c:ext>
          </c:extLst>
        </c:ser>
        <c:ser>
          <c:idx val="6"/>
          <c:order val="6"/>
          <c:tx>
            <c:strRef>
              <c:f>'DRV7308 Thermal Calculator'!$AV$9</c:f>
              <c:strCache>
                <c:ptCount val="1"/>
                <c:pt idx="0">
                  <c:v>2.5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>
                    <a:lumMod val="60000"/>
                  </a:schemeClr>
                </a:solidFill>
                <a:prstDash val="sysDot"/>
              </a:ln>
              <a:effectLst/>
            </c:spPr>
            <c:trendlineType val="poly"/>
            <c:order val="2"/>
            <c:dispRSqr val="0"/>
            <c:dispEq val="1"/>
            <c:trendlineLbl>
              <c:layout>
                <c:manualLayout>
                  <c:x val="-0.42843392560684329"/>
                  <c:y val="0.68534822028357822"/>
                </c:manualLayout>
              </c:layout>
              <c:numFmt formatCode="0.00E+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'DRV7308 Thermal Calculator'!$AF$55:$AF$69</c:f>
              <c:numCache>
                <c:formatCode>General</c:formatCode>
                <c:ptCount val="15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150</c:v>
                </c:pt>
                <c:pt idx="4">
                  <c:v>150</c:v>
                </c:pt>
                <c:pt idx="5">
                  <c:v>150</c:v>
                </c:pt>
                <c:pt idx="6">
                  <c:v>200</c:v>
                </c:pt>
                <c:pt idx="7">
                  <c:v>200</c:v>
                </c:pt>
                <c:pt idx="8">
                  <c:v>200</c:v>
                </c:pt>
                <c:pt idx="9">
                  <c:v>300</c:v>
                </c:pt>
                <c:pt idx="10">
                  <c:v>300</c:v>
                </c:pt>
                <c:pt idx="11">
                  <c:v>300</c:v>
                </c:pt>
                <c:pt idx="12">
                  <c:v>450</c:v>
                </c:pt>
                <c:pt idx="13">
                  <c:v>450</c:v>
                </c:pt>
                <c:pt idx="14">
                  <c:v>450</c:v>
                </c:pt>
              </c:numCache>
            </c:numRef>
          </c:xVal>
          <c:yVal>
            <c:numRef>
              <c:f>'DRV7308 Thermal Calculator'!$AV$55:$AV$69</c:f>
              <c:numCache>
                <c:formatCode>General</c:formatCode>
                <c:ptCount val="15"/>
                <c:pt idx="0">
                  <c:v>2.2000000000000002</c:v>
                </c:pt>
                <c:pt idx="1">
                  <c:v>2.2000000000000002</c:v>
                </c:pt>
                <c:pt idx="2">
                  <c:v>2.2000000000000002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6.1</c:v>
                </c:pt>
                <c:pt idx="7">
                  <c:v>6.1</c:v>
                </c:pt>
                <c:pt idx="8">
                  <c:v>6.1</c:v>
                </c:pt>
                <c:pt idx="9">
                  <c:v>11.2</c:v>
                </c:pt>
                <c:pt idx="10">
                  <c:v>11.2</c:v>
                </c:pt>
                <c:pt idx="11">
                  <c:v>11.2</c:v>
                </c:pt>
                <c:pt idx="12">
                  <c:v>21.2</c:v>
                </c:pt>
                <c:pt idx="13">
                  <c:v>21.2</c:v>
                </c:pt>
                <c:pt idx="14">
                  <c:v>21.2</c:v>
                </c:pt>
              </c:numCache>
            </c:numRef>
          </c:y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D-49B3-4F69-AB28-0FDB28B60F4D}"/>
            </c:ext>
          </c:extLst>
        </c:ser>
        <c:ser>
          <c:idx val="7"/>
          <c:order val="7"/>
          <c:tx>
            <c:strRef>
              <c:f>'DRV7308 Thermal Calculator'!$AW$9</c:f>
              <c:strCache>
                <c:ptCount val="1"/>
                <c:pt idx="0">
                  <c:v>4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>
                    <a:lumMod val="60000"/>
                  </a:schemeClr>
                </a:solidFill>
                <a:prstDash val="sysDot"/>
              </a:ln>
              <a:effectLst/>
            </c:spPr>
            <c:trendlineType val="poly"/>
            <c:order val="2"/>
            <c:dispRSqr val="0"/>
            <c:dispEq val="1"/>
            <c:trendlineLbl>
              <c:layout>
                <c:manualLayout>
                  <c:x val="-0.43078273902863529"/>
                  <c:y val="0.85968283998441175"/>
                </c:manualLayout>
              </c:layout>
              <c:numFmt formatCode="0.00E+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'DRV7308 Thermal Calculator'!$AF$55:$AF$69</c:f>
              <c:numCache>
                <c:formatCode>General</c:formatCode>
                <c:ptCount val="15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150</c:v>
                </c:pt>
                <c:pt idx="4">
                  <c:v>150</c:v>
                </c:pt>
                <c:pt idx="5">
                  <c:v>150</c:v>
                </c:pt>
                <c:pt idx="6">
                  <c:v>200</c:v>
                </c:pt>
                <c:pt idx="7">
                  <c:v>200</c:v>
                </c:pt>
                <c:pt idx="8">
                  <c:v>200</c:v>
                </c:pt>
                <c:pt idx="9">
                  <c:v>300</c:v>
                </c:pt>
                <c:pt idx="10">
                  <c:v>300</c:v>
                </c:pt>
                <c:pt idx="11">
                  <c:v>300</c:v>
                </c:pt>
                <c:pt idx="12">
                  <c:v>450</c:v>
                </c:pt>
                <c:pt idx="13">
                  <c:v>450</c:v>
                </c:pt>
                <c:pt idx="14">
                  <c:v>450</c:v>
                </c:pt>
              </c:numCache>
            </c:numRef>
          </c:xVal>
          <c:yVal>
            <c:numRef>
              <c:f>'DRV7308 Thermal Calculator'!$AW$55:$AW$69</c:f>
              <c:numCache>
                <c:formatCode>General</c:formatCode>
                <c:ptCount val="15"/>
                <c:pt idx="0">
                  <c:v>3.5</c:v>
                </c:pt>
                <c:pt idx="1">
                  <c:v>3.5</c:v>
                </c:pt>
                <c:pt idx="2">
                  <c:v>3.5</c:v>
                </c:pt>
                <c:pt idx="3">
                  <c:v>6.1</c:v>
                </c:pt>
                <c:pt idx="4">
                  <c:v>6.1</c:v>
                </c:pt>
                <c:pt idx="5">
                  <c:v>6.1</c:v>
                </c:pt>
                <c:pt idx="6">
                  <c:v>9.1999999999999993</c:v>
                </c:pt>
                <c:pt idx="7">
                  <c:v>9.1999999999999993</c:v>
                </c:pt>
                <c:pt idx="8">
                  <c:v>9.1999999999999993</c:v>
                </c:pt>
                <c:pt idx="9">
                  <c:v>16.399999999999999</c:v>
                </c:pt>
                <c:pt idx="10">
                  <c:v>16.399999999999999</c:v>
                </c:pt>
                <c:pt idx="11">
                  <c:v>16.399999999999999</c:v>
                </c:pt>
                <c:pt idx="12">
                  <c:v>30.1</c:v>
                </c:pt>
                <c:pt idx="13">
                  <c:v>30.1</c:v>
                </c:pt>
                <c:pt idx="14">
                  <c:v>30.1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49B3-4F69-AB28-0FDB28B60F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82122239"/>
        <c:axId val="1986862255"/>
        <c:extLst/>
      </c:scatterChart>
      <c:valAx>
        <c:axId val="58212223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VM</a:t>
                </a:r>
                <a:r>
                  <a:rPr lang="en-US" baseline="0"/>
                  <a:t> Voltage (V)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6862255"/>
        <c:crosses val="autoZero"/>
        <c:crossBetween val="midCat"/>
      </c:valAx>
      <c:valAx>
        <c:axId val="19868622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Switching Energy (uJ)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2122239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5113200785346109E-2"/>
          <c:y val="0.58651089242864562"/>
          <c:w val="0.16746949906555147"/>
          <c:h val="0.4134889517035955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0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Eoff (10V/ns)</a:t>
            </a:r>
            <a:r>
              <a:rPr lang="en-US" baseline="0"/>
              <a:t> 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0944750913945887"/>
          <c:y val="0.13841906940921023"/>
          <c:w val="0.74413071902452876"/>
          <c:h val="0.5634887354500604"/>
        </c:manualLayout>
      </c:layout>
      <c:scatterChart>
        <c:scatterStyle val="lineMarker"/>
        <c:varyColors val="0"/>
        <c:ser>
          <c:idx val="0"/>
          <c:order val="0"/>
          <c:tx>
            <c:strRef>
              <c:f>'DRV7308 Thermal Calculator'!$L$91</c:f>
              <c:strCache>
                <c:ptCount val="1"/>
                <c:pt idx="0">
                  <c:v>a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poly"/>
            <c:order val="2"/>
            <c:dispRSqr val="0"/>
            <c:dispEq val="1"/>
            <c:trendlineLbl>
              <c:layout>
                <c:manualLayout>
                  <c:x val="-8.6684251219307215E-2"/>
                  <c:y val="0.6484822190373053"/>
                </c:manualLayout>
              </c:layout>
              <c:numFmt formatCode="0.00E+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'DRV7308 Thermal Calculator'!$M$87:$T$87</c:f>
              <c:numCache>
                <c:formatCode>General</c:formatCode>
                <c:ptCount val="8"/>
                <c:pt idx="0">
                  <c:v>0</c:v>
                </c:pt>
                <c:pt idx="1">
                  <c:v>0.1</c:v>
                </c:pt>
                <c:pt idx="2">
                  <c:v>0.25</c:v>
                </c:pt>
                <c:pt idx="3">
                  <c:v>0.5</c:v>
                </c:pt>
                <c:pt idx="4">
                  <c:v>0.7</c:v>
                </c:pt>
                <c:pt idx="5">
                  <c:v>1</c:v>
                </c:pt>
                <c:pt idx="6">
                  <c:v>2.5</c:v>
                </c:pt>
                <c:pt idx="7">
                  <c:v>4</c:v>
                </c:pt>
              </c:numCache>
            </c:numRef>
          </c:xVal>
          <c:yVal>
            <c:numRef>
              <c:f>'DRV7308 Thermal Calculator'!$M$91:$T$91</c:f>
              <c:numCache>
                <c:formatCode>0.00E+00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2.47E-2</c:v>
                </c:pt>
                <c:pt idx="4">
                  <c:v>-7.5300000000000006E-2</c:v>
                </c:pt>
                <c:pt idx="5">
                  <c:v>0.17799999999999999</c:v>
                </c:pt>
                <c:pt idx="6">
                  <c:v>0.61399999999999999</c:v>
                </c:pt>
                <c:pt idx="7">
                  <c:v>0.94599999999999995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4FB-4124-BFB5-2C065753D1FB}"/>
            </c:ext>
          </c:extLst>
        </c:ser>
        <c:ser>
          <c:idx val="1"/>
          <c:order val="1"/>
          <c:tx>
            <c:strRef>
              <c:f>'DRV7308 Thermal Calculator'!$L$92</c:f>
              <c:strCache>
                <c:ptCount val="1"/>
                <c:pt idx="0">
                  <c:v>b1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poly"/>
            <c:order val="2"/>
            <c:dispRSqr val="0"/>
            <c:dispEq val="1"/>
            <c:trendlineLbl>
              <c:layout>
                <c:manualLayout>
                  <c:x val="-8.6684251219307215E-2"/>
                  <c:y val="0.30780550727793948"/>
                </c:manualLayout>
              </c:layout>
              <c:numFmt formatCode="0.00E+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'DRV7308 Thermal Calculator'!$M$87:$T$87</c:f>
              <c:numCache>
                <c:formatCode>General</c:formatCode>
                <c:ptCount val="8"/>
                <c:pt idx="0">
                  <c:v>0</c:v>
                </c:pt>
                <c:pt idx="1">
                  <c:v>0.1</c:v>
                </c:pt>
                <c:pt idx="2">
                  <c:v>0.25</c:v>
                </c:pt>
                <c:pt idx="3">
                  <c:v>0.5</c:v>
                </c:pt>
                <c:pt idx="4">
                  <c:v>0.7</c:v>
                </c:pt>
                <c:pt idx="5">
                  <c:v>1</c:v>
                </c:pt>
                <c:pt idx="6">
                  <c:v>2.5</c:v>
                </c:pt>
                <c:pt idx="7">
                  <c:v>4</c:v>
                </c:pt>
              </c:numCache>
            </c:numRef>
          </c:xVal>
          <c:yVal>
            <c:numRef>
              <c:f>'DRV7308 Thermal Calculator'!$M$92:$T$92</c:f>
              <c:numCache>
                <c:formatCode>0.00E+00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6.3599999999999996E-4</c:v>
                </c:pt>
                <c:pt idx="4">
                  <c:v>2.64E-3</c:v>
                </c:pt>
                <c:pt idx="5">
                  <c:v>1.8200000000000001E-4</c:v>
                </c:pt>
                <c:pt idx="6">
                  <c:v>5.2700000000000004E-3</c:v>
                </c:pt>
                <c:pt idx="7">
                  <c:v>2.1600000000000001E-2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C4FB-4124-BFB5-2C065753D1FB}"/>
            </c:ext>
          </c:extLst>
        </c:ser>
        <c:ser>
          <c:idx val="2"/>
          <c:order val="2"/>
          <c:tx>
            <c:strRef>
              <c:f>'DRV7308 Thermal Calculator'!$L$93</c:f>
              <c:strCache>
                <c:ptCount val="1"/>
                <c:pt idx="0">
                  <c:v>b2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poly"/>
            <c:order val="2"/>
            <c:dispRSqr val="0"/>
            <c:dispEq val="1"/>
            <c:trendlineLbl>
              <c:layout>
                <c:manualLayout>
                  <c:x val="-8.5800983893594696E-2"/>
                  <c:y val="0.34289685488584432"/>
                </c:manualLayout>
              </c:layout>
              <c:numFmt formatCode="0.00E+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'DRV7308 Thermal Calculator'!$M$87:$T$87</c:f>
              <c:numCache>
                <c:formatCode>General</c:formatCode>
                <c:ptCount val="8"/>
                <c:pt idx="0">
                  <c:v>0</c:v>
                </c:pt>
                <c:pt idx="1">
                  <c:v>0.1</c:v>
                </c:pt>
                <c:pt idx="2">
                  <c:v>0.25</c:v>
                </c:pt>
                <c:pt idx="3">
                  <c:v>0.5</c:v>
                </c:pt>
                <c:pt idx="4">
                  <c:v>0.7</c:v>
                </c:pt>
                <c:pt idx="5">
                  <c:v>1</c:v>
                </c:pt>
                <c:pt idx="6">
                  <c:v>2.5</c:v>
                </c:pt>
                <c:pt idx="7">
                  <c:v>4</c:v>
                </c:pt>
              </c:numCache>
            </c:numRef>
          </c:xVal>
          <c:yVal>
            <c:numRef>
              <c:f>'DRV7308 Thermal Calculator'!$M$93:$T$93</c:f>
              <c:numCache>
                <c:formatCode>0.00E+00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-5.13E-7</c:v>
                </c:pt>
                <c:pt idx="4">
                  <c:v>-5.13E-7</c:v>
                </c:pt>
                <c:pt idx="5">
                  <c:v>1.2E-5</c:v>
                </c:pt>
                <c:pt idx="6">
                  <c:v>7.5599999999999994E-5</c:v>
                </c:pt>
                <c:pt idx="7">
                  <c:v>1.3799999999999999E-4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C4FB-4124-BFB5-2C065753D1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10107232"/>
        <c:axId val="2027572335"/>
      </c:scatterChart>
      <c:valAx>
        <c:axId val="11101072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Current (A)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27572335"/>
        <c:crosses val="autoZero"/>
        <c:crossBetween val="midCat"/>
      </c:valAx>
      <c:valAx>
        <c:axId val="20275723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coefficient value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1010723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2200538556913547E-2"/>
          <c:y val="0.72803165187637686"/>
          <c:w val="0.29338565496144298"/>
          <c:h val="0.249576479251817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0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Eon (10V/ns)</a:t>
            </a:r>
            <a:r>
              <a:rPr lang="en-US" baseline="0"/>
              <a:t> 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0944750913945887"/>
          <c:y val="0.13841906940921023"/>
          <c:w val="0.74413071902452876"/>
          <c:h val="0.5634887354500604"/>
        </c:manualLayout>
      </c:layout>
      <c:scatterChart>
        <c:scatterStyle val="lineMarker"/>
        <c:varyColors val="0"/>
        <c:ser>
          <c:idx val="0"/>
          <c:order val="0"/>
          <c:tx>
            <c:strRef>
              <c:f>'DRV7308 Thermal Calculator'!$L$91</c:f>
              <c:strCache>
                <c:ptCount val="1"/>
                <c:pt idx="0">
                  <c:v>a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poly"/>
            <c:order val="2"/>
            <c:dispRSqr val="0"/>
            <c:dispEq val="1"/>
            <c:trendlineLbl>
              <c:layout>
                <c:manualLayout>
                  <c:x val="-7.8211590074397166E-2"/>
                  <c:y val="0.65492341673687537"/>
                </c:manualLayout>
              </c:layout>
              <c:numFmt formatCode="0.00E+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'DRV7308 Thermal Calculator'!$U$87:$AB$87</c:f>
              <c:numCache>
                <c:formatCode>General</c:formatCode>
                <c:ptCount val="8"/>
                <c:pt idx="0">
                  <c:v>0</c:v>
                </c:pt>
                <c:pt idx="1">
                  <c:v>0.1</c:v>
                </c:pt>
                <c:pt idx="2">
                  <c:v>0.25</c:v>
                </c:pt>
                <c:pt idx="3">
                  <c:v>0.5</c:v>
                </c:pt>
                <c:pt idx="4">
                  <c:v>0.7</c:v>
                </c:pt>
                <c:pt idx="5">
                  <c:v>1</c:v>
                </c:pt>
                <c:pt idx="6">
                  <c:v>2.5</c:v>
                </c:pt>
                <c:pt idx="7">
                  <c:v>4</c:v>
                </c:pt>
              </c:numCache>
            </c:numRef>
          </c:xVal>
          <c:yVal>
            <c:numRef>
              <c:f>'DRV7308 Thermal Calculator'!$U$91:$AB$91</c:f>
              <c:numCache>
                <c:formatCode>0.00E+00</c:formatCode>
                <c:ptCount val="8"/>
                <c:pt idx="0">
                  <c:v>-0.26100000000000001</c:v>
                </c:pt>
                <c:pt idx="1">
                  <c:v>-0.249</c:v>
                </c:pt>
                <c:pt idx="2">
                  <c:v>-0.129</c:v>
                </c:pt>
                <c:pt idx="3">
                  <c:v>-5.0599999999999999E-2</c:v>
                </c:pt>
                <c:pt idx="4">
                  <c:v>-7.5300000000000006E-2</c:v>
                </c:pt>
                <c:pt idx="5">
                  <c:v>3.9199999999999999E-2</c:v>
                </c:pt>
                <c:pt idx="6">
                  <c:v>0.23499999999999999</c:v>
                </c:pt>
                <c:pt idx="7">
                  <c:v>1.19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5D2-4149-AFED-FADE33CD4C51}"/>
            </c:ext>
          </c:extLst>
        </c:ser>
        <c:ser>
          <c:idx val="1"/>
          <c:order val="1"/>
          <c:tx>
            <c:strRef>
              <c:f>'DRV7308 Thermal Calculator'!$L$92</c:f>
              <c:strCache>
                <c:ptCount val="1"/>
                <c:pt idx="0">
                  <c:v>b1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poly"/>
            <c:order val="2"/>
            <c:dispRSqr val="0"/>
            <c:dispEq val="1"/>
            <c:trendlineLbl>
              <c:layout>
                <c:manualLayout>
                  <c:x val="-7.6440932871747108E-2"/>
                  <c:y val="0.34970618193651348"/>
                </c:manualLayout>
              </c:layout>
              <c:numFmt formatCode="0.00E+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'DRV7308 Thermal Calculator'!$U$87:$AB$87</c:f>
              <c:numCache>
                <c:formatCode>General</c:formatCode>
                <c:ptCount val="8"/>
                <c:pt idx="0">
                  <c:v>0</c:v>
                </c:pt>
                <c:pt idx="1">
                  <c:v>0.1</c:v>
                </c:pt>
                <c:pt idx="2">
                  <c:v>0.25</c:v>
                </c:pt>
                <c:pt idx="3">
                  <c:v>0.5</c:v>
                </c:pt>
                <c:pt idx="4">
                  <c:v>0.7</c:v>
                </c:pt>
                <c:pt idx="5">
                  <c:v>1</c:v>
                </c:pt>
                <c:pt idx="6">
                  <c:v>2.5</c:v>
                </c:pt>
                <c:pt idx="7">
                  <c:v>4</c:v>
                </c:pt>
              </c:numCache>
            </c:numRef>
          </c:xVal>
          <c:yVal>
            <c:numRef>
              <c:f>'DRV7308 Thermal Calculator'!$U$92:$AB$92</c:f>
              <c:numCache>
                <c:formatCode>0.00E+00</c:formatCode>
                <c:ptCount val="8"/>
                <c:pt idx="0">
                  <c:v>5.9100000000000003E-3</c:v>
                </c:pt>
                <c:pt idx="1">
                  <c:v>7.3600000000000002E-3</c:v>
                </c:pt>
                <c:pt idx="2">
                  <c:v>7.45E-3</c:v>
                </c:pt>
                <c:pt idx="3">
                  <c:v>9.6399999999999993E-3</c:v>
                </c:pt>
                <c:pt idx="4">
                  <c:v>1.18E-2</c:v>
                </c:pt>
                <c:pt idx="5">
                  <c:v>1.41E-2</c:v>
                </c:pt>
                <c:pt idx="6">
                  <c:v>3.5200000000000002E-2</c:v>
                </c:pt>
                <c:pt idx="7">
                  <c:v>5.3999999999999999E-2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05D2-4149-AFED-FADE33CD4C51}"/>
            </c:ext>
          </c:extLst>
        </c:ser>
        <c:ser>
          <c:idx val="2"/>
          <c:order val="2"/>
          <c:tx>
            <c:strRef>
              <c:f>'DRV7308 Thermal Calculator'!$L$93</c:f>
              <c:strCache>
                <c:ptCount val="1"/>
                <c:pt idx="0">
                  <c:v>b2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poly"/>
            <c:order val="2"/>
            <c:dispRSqr val="0"/>
            <c:dispEq val="1"/>
            <c:trendlineLbl>
              <c:layout>
                <c:manualLayout>
                  <c:x val="-7.9052407162166619E-2"/>
                  <c:y val="0.37129635127718341"/>
                </c:manualLayout>
              </c:layout>
              <c:numFmt formatCode="0.00E+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'DRV7308 Thermal Calculator'!$U$87:$AB$87</c:f>
              <c:numCache>
                <c:formatCode>General</c:formatCode>
                <c:ptCount val="8"/>
                <c:pt idx="0">
                  <c:v>0</c:v>
                </c:pt>
                <c:pt idx="1">
                  <c:v>0.1</c:v>
                </c:pt>
                <c:pt idx="2">
                  <c:v>0.25</c:v>
                </c:pt>
                <c:pt idx="3">
                  <c:v>0.5</c:v>
                </c:pt>
                <c:pt idx="4">
                  <c:v>0.7</c:v>
                </c:pt>
                <c:pt idx="5">
                  <c:v>1</c:v>
                </c:pt>
                <c:pt idx="6">
                  <c:v>2.5</c:v>
                </c:pt>
                <c:pt idx="7">
                  <c:v>4</c:v>
                </c:pt>
              </c:numCache>
            </c:numRef>
          </c:xVal>
          <c:yVal>
            <c:numRef>
              <c:f>'DRV7308 Thermal Calculator'!$U$93:$AB$93</c:f>
              <c:numCache>
                <c:formatCode>0.00E+00</c:formatCode>
                <c:ptCount val="8"/>
                <c:pt idx="0">
                  <c:v>3.5099999999999999E-5</c:v>
                </c:pt>
                <c:pt idx="1">
                  <c:v>3.9199999999999997E-5</c:v>
                </c:pt>
                <c:pt idx="2">
                  <c:v>4.88E-5</c:v>
                </c:pt>
                <c:pt idx="3">
                  <c:v>6.0800000000000001E-5</c:v>
                </c:pt>
                <c:pt idx="4">
                  <c:v>7.0400000000000004E-5</c:v>
                </c:pt>
                <c:pt idx="5">
                  <c:v>8.6000000000000003E-5</c:v>
                </c:pt>
                <c:pt idx="6">
                  <c:v>1.54E-4</c:v>
                </c:pt>
                <c:pt idx="7">
                  <c:v>2.5000000000000001E-4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05D2-4149-AFED-FADE33CD4C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10107232"/>
        <c:axId val="2027572335"/>
      </c:scatterChart>
      <c:valAx>
        <c:axId val="11101072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Current (A)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27572335"/>
        <c:crosses val="autoZero"/>
        <c:crossBetween val="midCat"/>
      </c:valAx>
      <c:valAx>
        <c:axId val="20275723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coefficient value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1010723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4805718223164392E-2"/>
          <c:y val="0.72803168614144553"/>
          <c:w val="0.29338565496144298"/>
          <c:h val="0.249576479251817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0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Eoff (20V/ns)</a:t>
            </a:r>
            <a:r>
              <a:rPr lang="en-US" baseline="0"/>
              <a:t> 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0944750913945887"/>
          <c:y val="0.13841906940921023"/>
          <c:w val="0.74413071902452876"/>
          <c:h val="0.5634887354500604"/>
        </c:manualLayout>
      </c:layout>
      <c:scatterChart>
        <c:scatterStyle val="lineMarker"/>
        <c:varyColors val="0"/>
        <c:ser>
          <c:idx val="0"/>
          <c:order val="0"/>
          <c:tx>
            <c:strRef>
              <c:f>'DRV7308 Thermal Calculator'!$L$94</c:f>
              <c:strCache>
                <c:ptCount val="1"/>
                <c:pt idx="0">
                  <c:v>a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poly"/>
            <c:order val="2"/>
            <c:dispRSqr val="0"/>
            <c:dispEq val="1"/>
            <c:trendlineLbl>
              <c:layout>
                <c:manualLayout>
                  <c:x val="-8.5449075912606781E-2"/>
                  <c:y val="0.52191845000434112"/>
                </c:manualLayout>
              </c:layout>
              <c:numFmt formatCode="0.00E+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'DRV7308 Thermal Calculator'!$M$87:$T$87</c:f>
              <c:numCache>
                <c:formatCode>General</c:formatCode>
                <c:ptCount val="8"/>
                <c:pt idx="0">
                  <c:v>0</c:v>
                </c:pt>
                <c:pt idx="1">
                  <c:v>0.1</c:v>
                </c:pt>
                <c:pt idx="2">
                  <c:v>0.25</c:v>
                </c:pt>
                <c:pt idx="3">
                  <c:v>0.5</c:v>
                </c:pt>
                <c:pt idx="4">
                  <c:v>0.7</c:v>
                </c:pt>
                <c:pt idx="5">
                  <c:v>1</c:v>
                </c:pt>
                <c:pt idx="6">
                  <c:v>2.5</c:v>
                </c:pt>
                <c:pt idx="7">
                  <c:v>4</c:v>
                </c:pt>
              </c:numCache>
            </c:numRef>
          </c:xVal>
          <c:yVal>
            <c:numRef>
              <c:f>'DRV7308 Thermal Calculator'!$M$94:$T$94</c:f>
              <c:numCache>
                <c:formatCode>0.00E+00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0.1</c:v>
                </c:pt>
                <c:pt idx="5">
                  <c:v>0.215</c:v>
                </c:pt>
                <c:pt idx="6">
                  <c:v>0.183</c:v>
                </c:pt>
                <c:pt idx="7">
                  <c:v>0.152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310-41C9-95CD-D49279268B59}"/>
            </c:ext>
          </c:extLst>
        </c:ser>
        <c:ser>
          <c:idx val="1"/>
          <c:order val="1"/>
          <c:tx>
            <c:strRef>
              <c:f>'DRV7308 Thermal Calculator'!$L$95</c:f>
              <c:strCache>
                <c:ptCount val="1"/>
                <c:pt idx="0">
                  <c:v>b1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poly"/>
            <c:order val="2"/>
            <c:dispRSqr val="0"/>
            <c:dispEq val="1"/>
            <c:trendlineLbl>
              <c:layout>
                <c:manualLayout>
                  <c:x val="-7.7030230380404671E-2"/>
                  <c:y val="0.32317331685585327"/>
                </c:manualLayout>
              </c:layout>
              <c:numFmt formatCode="0.00E+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'DRV7308 Thermal Calculator'!$M$87:$T$87</c:f>
              <c:numCache>
                <c:formatCode>General</c:formatCode>
                <c:ptCount val="8"/>
                <c:pt idx="0">
                  <c:v>0</c:v>
                </c:pt>
                <c:pt idx="1">
                  <c:v>0.1</c:v>
                </c:pt>
                <c:pt idx="2">
                  <c:v>0.25</c:v>
                </c:pt>
                <c:pt idx="3">
                  <c:v>0.5</c:v>
                </c:pt>
                <c:pt idx="4">
                  <c:v>0.7</c:v>
                </c:pt>
                <c:pt idx="5">
                  <c:v>1</c:v>
                </c:pt>
                <c:pt idx="6">
                  <c:v>2.5</c:v>
                </c:pt>
                <c:pt idx="7">
                  <c:v>4</c:v>
                </c:pt>
              </c:numCache>
            </c:numRef>
          </c:xVal>
          <c:yVal>
            <c:numRef>
              <c:f>'DRV7308 Thermal Calculator'!$M$95:$T$95</c:f>
              <c:numCache>
                <c:formatCode>0.00E+00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-1.0599999999999999E-18</c:v>
                </c:pt>
                <c:pt idx="5">
                  <c:v>4.55E-4</c:v>
                </c:pt>
                <c:pt idx="6">
                  <c:v>2.9099999999999998E-3</c:v>
                </c:pt>
                <c:pt idx="7">
                  <c:v>9.8200000000000006E-3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C310-41C9-95CD-D49279268B59}"/>
            </c:ext>
          </c:extLst>
        </c:ser>
        <c:ser>
          <c:idx val="2"/>
          <c:order val="2"/>
          <c:tx>
            <c:strRef>
              <c:f>'DRV7308 Thermal Calculator'!$L$96</c:f>
              <c:strCache>
                <c:ptCount val="1"/>
                <c:pt idx="0">
                  <c:v>b2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poly"/>
            <c:order val="2"/>
            <c:dispRSqr val="0"/>
            <c:dispEq val="1"/>
            <c:trendlineLbl>
              <c:layout>
                <c:manualLayout>
                  <c:x val="-8.9288749323828534E-2"/>
                  <c:y val="0.3514898513531341"/>
                </c:manualLayout>
              </c:layout>
              <c:numFmt formatCode="0.00E+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'DRV7308 Thermal Calculator'!$M$87:$T$87</c:f>
              <c:numCache>
                <c:formatCode>General</c:formatCode>
                <c:ptCount val="8"/>
                <c:pt idx="0">
                  <c:v>0</c:v>
                </c:pt>
                <c:pt idx="1">
                  <c:v>0.1</c:v>
                </c:pt>
                <c:pt idx="2">
                  <c:v>0.25</c:v>
                </c:pt>
                <c:pt idx="3">
                  <c:v>0.5</c:v>
                </c:pt>
                <c:pt idx="4">
                  <c:v>0.7</c:v>
                </c:pt>
                <c:pt idx="5">
                  <c:v>1</c:v>
                </c:pt>
                <c:pt idx="6">
                  <c:v>2.5</c:v>
                </c:pt>
                <c:pt idx="7">
                  <c:v>4</c:v>
                </c:pt>
              </c:numCache>
            </c:numRef>
          </c:xVal>
          <c:yVal>
            <c:numRef>
              <c:f>'DRV7308 Thermal Calculator'!$M$96:$T$96</c:f>
              <c:numCache>
                <c:formatCode>0.00E+00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-3.3900000000000001E-21</c:v>
                </c:pt>
                <c:pt idx="5">
                  <c:v>-6.06E-7</c:v>
                </c:pt>
                <c:pt idx="6">
                  <c:v>1.29E-5</c:v>
                </c:pt>
                <c:pt idx="7">
                  <c:v>3.4100000000000002E-5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C310-41C9-95CD-D49279268B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10107232"/>
        <c:axId val="2027572335"/>
      </c:scatterChart>
      <c:valAx>
        <c:axId val="11101072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Current (A)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27572335"/>
        <c:crosses val="autoZero"/>
        <c:crossBetween val="midCat"/>
      </c:valAx>
      <c:valAx>
        <c:axId val="20275723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coefficient value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1010723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2200538556913547E-2"/>
          <c:y val="0.72803165187637686"/>
          <c:w val="0.29338565496144298"/>
          <c:h val="0.249576479251817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0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Eon (20V/ns)</a:t>
            </a:r>
            <a:r>
              <a:rPr lang="en-US" baseline="0"/>
              <a:t> 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0944750913945887"/>
          <c:y val="0.13841906940921023"/>
          <c:w val="0.74413071902452876"/>
          <c:h val="0.5634887354500604"/>
        </c:manualLayout>
      </c:layout>
      <c:scatterChart>
        <c:scatterStyle val="lineMarker"/>
        <c:varyColors val="0"/>
        <c:ser>
          <c:idx val="0"/>
          <c:order val="0"/>
          <c:tx>
            <c:strRef>
              <c:f>'DRV7308 Thermal Calculator'!$L$94</c:f>
              <c:strCache>
                <c:ptCount val="1"/>
                <c:pt idx="0">
                  <c:v>a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poly"/>
            <c:order val="2"/>
            <c:dispRSqr val="0"/>
            <c:dispEq val="1"/>
            <c:trendlineLbl>
              <c:layout>
                <c:manualLayout>
                  <c:x val="-9.3548683698282564E-2"/>
                  <c:y val="0.23593596304423969"/>
                </c:manualLayout>
              </c:layout>
              <c:numFmt formatCode="0.00E+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'DRV7308 Thermal Calculator'!$U$87:$AB$87</c:f>
              <c:numCache>
                <c:formatCode>General</c:formatCode>
                <c:ptCount val="8"/>
                <c:pt idx="0">
                  <c:v>0</c:v>
                </c:pt>
                <c:pt idx="1">
                  <c:v>0.1</c:v>
                </c:pt>
                <c:pt idx="2">
                  <c:v>0.25</c:v>
                </c:pt>
                <c:pt idx="3">
                  <c:v>0.5</c:v>
                </c:pt>
                <c:pt idx="4">
                  <c:v>0.7</c:v>
                </c:pt>
                <c:pt idx="5">
                  <c:v>1</c:v>
                </c:pt>
                <c:pt idx="6">
                  <c:v>2.5</c:v>
                </c:pt>
                <c:pt idx="7">
                  <c:v>4</c:v>
                </c:pt>
              </c:numCache>
            </c:numRef>
          </c:xVal>
          <c:yVal>
            <c:numRef>
              <c:f>'DRV7308 Thermal Calculator'!$U$94:$AB$94</c:f>
              <c:numCache>
                <c:formatCode>0.00E+00</c:formatCode>
                <c:ptCount val="8"/>
                <c:pt idx="0">
                  <c:v>-0.26100000000000001</c:v>
                </c:pt>
                <c:pt idx="1">
                  <c:v>-0.23200000000000001</c:v>
                </c:pt>
                <c:pt idx="2">
                  <c:v>-0.17100000000000001</c:v>
                </c:pt>
                <c:pt idx="3">
                  <c:v>-0.18099999999999999</c:v>
                </c:pt>
                <c:pt idx="4">
                  <c:v>-0.22500000000000001</c:v>
                </c:pt>
                <c:pt idx="5">
                  <c:v>-0.186</c:v>
                </c:pt>
                <c:pt idx="6">
                  <c:v>-0.19</c:v>
                </c:pt>
                <c:pt idx="7">
                  <c:v>-0.35099999999999998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102-4E88-B0BB-2D118F7F5757}"/>
            </c:ext>
          </c:extLst>
        </c:ser>
        <c:ser>
          <c:idx val="1"/>
          <c:order val="1"/>
          <c:tx>
            <c:strRef>
              <c:f>'DRV7308 Thermal Calculator'!$L$95</c:f>
              <c:strCache>
                <c:ptCount val="1"/>
                <c:pt idx="0">
                  <c:v>b1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poly"/>
            <c:order val="2"/>
            <c:dispRSqr val="0"/>
            <c:dispEq val="1"/>
            <c:trendlineLbl>
              <c:layout>
                <c:manualLayout>
                  <c:x val="-9.1747315456592468E-2"/>
                  <c:y val="0.72750861954165635"/>
                </c:manualLayout>
              </c:layout>
              <c:numFmt formatCode="0.00E+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'DRV7308 Thermal Calculator'!$U$87:$AB$87</c:f>
              <c:numCache>
                <c:formatCode>General</c:formatCode>
                <c:ptCount val="8"/>
                <c:pt idx="0">
                  <c:v>0</c:v>
                </c:pt>
                <c:pt idx="1">
                  <c:v>0.1</c:v>
                </c:pt>
                <c:pt idx="2">
                  <c:v>0.25</c:v>
                </c:pt>
                <c:pt idx="3">
                  <c:v>0.5</c:v>
                </c:pt>
                <c:pt idx="4">
                  <c:v>0.7</c:v>
                </c:pt>
                <c:pt idx="5">
                  <c:v>1</c:v>
                </c:pt>
                <c:pt idx="6">
                  <c:v>2.5</c:v>
                </c:pt>
                <c:pt idx="7">
                  <c:v>4</c:v>
                </c:pt>
              </c:numCache>
            </c:numRef>
          </c:xVal>
          <c:yVal>
            <c:numRef>
              <c:f>'DRV7308 Thermal Calculator'!$U$95:$AB$95</c:f>
              <c:numCache>
                <c:formatCode>0.00E+00</c:formatCode>
                <c:ptCount val="8"/>
                <c:pt idx="0">
                  <c:v>5.9100000000000003E-3</c:v>
                </c:pt>
                <c:pt idx="1">
                  <c:v>6.6400000000000001E-3</c:v>
                </c:pt>
                <c:pt idx="2">
                  <c:v>7.3600000000000002E-3</c:v>
                </c:pt>
                <c:pt idx="3">
                  <c:v>8.8199999999999997E-3</c:v>
                </c:pt>
                <c:pt idx="4">
                  <c:v>1.0200000000000001E-2</c:v>
                </c:pt>
                <c:pt idx="5">
                  <c:v>1.23E-2</c:v>
                </c:pt>
                <c:pt idx="6">
                  <c:v>2.5399999999999999E-2</c:v>
                </c:pt>
                <c:pt idx="7">
                  <c:v>4.2500000000000003E-2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8102-4E88-B0BB-2D118F7F5757}"/>
            </c:ext>
          </c:extLst>
        </c:ser>
        <c:ser>
          <c:idx val="2"/>
          <c:order val="2"/>
          <c:tx>
            <c:strRef>
              <c:f>'DRV7308 Thermal Calculator'!$L$96</c:f>
              <c:strCache>
                <c:ptCount val="1"/>
                <c:pt idx="0">
                  <c:v>b2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poly"/>
            <c:order val="2"/>
            <c:dispRSqr val="0"/>
            <c:dispEq val="1"/>
            <c:trendlineLbl>
              <c:layout>
                <c:manualLayout>
                  <c:x val="-8.9262804523766212E-2"/>
                  <c:y val="0.75839433130149758"/>
                </c:manualLayout>
              </c:layout>
              <c:numFmt formatCode="0.00E+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'DRV7308 Thermal Calculator'!$U$87:$AB$87</c:f>
              <c:numCache>
                <c:formatCode>General</c:formatCode>
                <c:ptCount val="8"/>
                <c:pt idx="0">
                  <c:v>0</c:v>
                </c:pt>
                <c:pt idx="1">
                  <c:v>0.1</c:v>
                </c:pt>
                <c:pt idx="2">
                  <c:v>0.25</c:v>
                </c:pt>
                <c:pt idx="3">
                  <c:v>0.5</c:v>
                </c:pt>
                <c:pt idx="4">
                  <c:v>0.7</c:v>
                </c:pt>
                <c:pt idx="5">
                  <c:v>1</c:v>
                </c:pt>
                <c:pt idx="6">
                  <c:v>2.5</c:v>
                </c:pt>
                <c:pt idx="7">
                  <c:v>4</c:v>
                </c:pt>
              </c:numCache>
            </c:numRef>
          </c:xVal>
          <c:yVal>
            <c:numRef>
              <c:f>'DRV7308 Thermal Calculator'!$U$96:$AB$96</c:f>
              <c:numCache>
                <c:formatCode>0.00E+00</c:formatCode>
                <c:ptCount val="8"/>
                <c:pt idx="0">
                  <c:v>3.5099999999999999E-5</c:v>
                </c:pt>
                <c:pt idx="1">
                  <c:v>3.7200000000000003E-5</c:v>
                </c:pt>
                <c:pt idx="2">
                  <c:v>4.0299999999999997E-5</c:v>
                </c:pt>
                <c:pt idx="3">
                  <c:v>4.5500000000000001E-5</c:v>
                </c:pt>
                <c:pt idx="4">
                  <c:v>4.9599999999999999E-5</c:v>
                </c:pt>
                <c:pt idx="5">
                  <c:v>5.5600000000000003E-5</c:v>
                </c:pt>
                <c:pt idx="6">
                  <c:v>8.3900000000000006E-5</c:v>
                </c:pt>
                <c:pt idx="7">
                  <c:v>1.1E-4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8102-4E88-B0BB-2D118F7F57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10107232"/>
        <c:axId val="2027572335"/>
      </c:scatterChart>
      <c:valAx>
        <c:axId val="11101072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Current (A)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27572335"/>
        <c:crosses val="autoZero"/>
        <c:crossBetween val="midCat"/>
      </c:valAx>
      <c:valAx>
        <c:axId val="20275723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coefficient value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1010723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4805718223164392E-2"/>
          <c:y val="0.72803168614144553"/>
          <c:w val="0.29338565496144298"/>
          <c:h val="0.249576479251817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0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Eoff (40V/ns)</a:t>
            </a:r>
            <a:r>
              <a:rPr lang="en-US" baseline="0"/>
              <a:t> 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0944750913945887"/>
          <c:y val="0.13841906940921023"/>
          <c:w val="0.74413071902452876"/>
          <c:h val="0.5634887354500604"/>
        </c:manualLayout>
      </c:layout>
      <c:scatterChart>
        <c:scatterStyle val="lineMarker"/>
        <c:varyColors val="0"/>
        <c:ser>
          <c:idx val="0"/>
          <c:order val="0"/>
          <c:tx>
            <c:strRef>
              <c:f>'DRV7308 Thermal Calculator'!$L$97</c:f>
              <c:strCache>
                <c:ptCount val="1"/>
                <c:pt idx="0">
                  <c:v>a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poly"/>
            <c:order val="2"/>
            <c:dispRSqr val="0"/>
            <c:dispEq val="1"/>
            <c:trendlineLbl>
              <c:layout>
                <c:manualLayout>
                  <c:x val="-7.7665954133103232E-2"/>
                  <c:y val="0.67762789485179631"/>
                </c:manualLayout>
              </c:layout>
              <c:numFmt formatCode="0.00E+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'DRV7308 Thermal Calculator'!$M$87:$T$87</c:f>
              <c:numCache>
                <c:formatCode>General</c:formatCode>
                <c:ptCount val="8"/>
                <c:pt idx="0">
                  <c:v>0</c:v>
                </c:pt>
                <c:pt idx="1">
                  <c:v>0.1</c:v>
                </c:pt>
                <c:pt idx="2">
                  <c:v>0.25</c:v>
                </c:pt>
                <c:pt idx="3">
                  <c:v>0.5</c:v>
                </c:pt>
                <c:pt idx="4">
                  <c:v>0.7</c:v>
                </c:pt>
                <c:pt idx="5">
                  <c:v>1</c:v>
                </c:pt>
                <c:pt idx="6">
                  <c:v>2.5</c:v>
                </c:pt>
                <c:pt idx="7">
                  <c:v>4</c:v>
                </c:pt>
              </c:numCache>
            </c:numRef>
          </c:xVal>
          <c:yVal>
            <c:numRef>
              <c:f>'DRV7308 Thermal Calculator'!$M$97:$T$97</c:f>
              <c:numCache>
                <c:formatCode>0.00E+00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0.1</c:v>
                </c:pt>
                <c:pt idx="6">
                  <c:v>0.14299999999999999</c:v>
                </c:pt>
                <c:pt idx="7">
                  <c:v>0.22700000000000001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33F-4BF5-A36E-5D61D11EBFD7}"/>
            </c:ext>
          </c:extLst>
        </c:ser>
        <c:ser>
          <c:idx val="1"/>
          <c:order val="1"/>
          <c:tx>
            <c:strRef>
              <c:f>'DRV7308 Thermal Calculator'!$L$98</c:f>
              <c:strCache>
                <c:ptCount val="1"/>
                <c:pt idx="0">
                  <c:v>b1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poly"/>
            <c:order val="2"/>
            <c:dispRSqr val="0"/>
            <c:dispEq val="1"/>
            <c:trendlineLbl>
              <c:layout>
                <c:manualLayout>
                  <c:x val="-7.962460430690585E-2"/>
                  <c:y val="0.30617629444878924"/>
                </c:manualLayout>
              </c:layout>
              <c:numFmt formatCode="0.00E+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'DRV7308 Thermal Calculator'!$M$87:$T$87</c:f>
              <c:numCache>
                <c:formatCode>General</c:formatCode>
                <c:ptCount val="8"/>
                <c:pt idx="0">
                  <c:v>0</c:v>
                </c:pt>
                <c:pt idx="1">
                  <c:v>0.1</c:v>
                </c:pt>
                <c:pt idx="2">
                  <c:v>0.25</c:v>
                </c:pt>
                <c:pt idx="3">
                  <c:v>0.5</c:v>
                </c:pt>
                <c:pt idx="4">
                  <c:v>0.7</c:v>
                </c:pt>
                <c:pt idx="5">
                  <c:v>1</c:v>
                </c:pt>
                <c:pt idx="6">
                  <c:v>2.5</c:v>
                </c:pt>
                <c:pt idx="7">
                  <c:v>4</c:v>
                </c:pt>
              </c:numCache>
            </c:numRef>
          </c:xVal>
          <c:yVal>
            <c:numRef>
              <c:f>'DRV7308 Thermal Calculator'!$M$98:$T$98</c:f>
              <c:numCache>
                <c:formatCode>0.00E+00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-1.0599999999999999E-18</c:v>
                </c:pt>
                <c:pt idx="6">
                  <c:v>2E-3</c:v>
                </c:pt>
                <c:pt idx="7">
                  <c:v>2.5500000000000002E-3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533F-4BF5-A36E-5D61D11EBFD7}"/>
            </c:ext>
          </c:extLst>
        </c:ser>
        <c:ser>
          <c:idx val="2"/>
          <c:order val="2"/>
          <c:tx>
            <c:strRef>
              <c:f>'DRV7308 Thermal Calculator'!$L$99</c:f>
              <c:strCache>
                <c:ptCount val="1"/>
                <c:pt idx="0">
                  <c:v>b2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poly"/>
            <c:order val="2"/>
            <c:dispRSqr val="0"/>
            <c:dispEq val="1"/>
            <c:trendlineLbl>
              <c:layout>
                <c:manualLayout>
                  <c:x val="-8.7407726086409399E-2"/>
                  <c:y val="0.34403753883874788"/>
                </c:manualLayout>
              </c:layout>
              <c:numFmt formatCode="0.00E+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'DRV7308 Thermal Calculator'!$M$87:$T$87</c:f>
              <c:numCache>
                <c:formatCode>General</c:formatCode>
                <c:ptCount val="8"/>
                <c:pt idx="0">
                  <c:v>0</c:v>
                </c:pt>
                <c:pt idx="1">
                  <c:v>0.1</c:v>
                </c:pt>
                <c:pt idx="2">
                  <c:v>0.25</c:v>
                </c:pt>
                <c:pt idx="3">
                  <c:v>0.5</c:v>
                </c:pt>
                <c:pt idx="4">
                  <c:v>0.7</c:v>
                </c:pt>
                <c:pt idx="5">
                  <c:v>1</c:v>
                </c:pt>
                <c:pt idx="6">
                  <c:v>2.5</c:v>
                </c:pt>
                <c:pt idx="7">
                  <c:v>4</c:v>
                </c:pt>
              </c:numCache>
            </c:numRef>
          </c:xVal>
          <c:yVal>
            <c:numRef>
              <c:f>'DRV7308 Thermal Calculator'!$M$99:$T$99</c:f>
              <c:numCache>
                <c:formatCode>0.00E+00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-3.3900000000000001E-21</c:v>
                </c:pt>
                <c:pt idx="6">
                  <c:v>-2.2400000000000002E-6</c:v>
                </c:pt>
                <c:pt idx="7">
                  <c:v>1.68E-6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533F-4BF5-A36E-5D61D11EBF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10107232"/>
        <c:axId val="2027572335"/>
      </c:scatterChart>
      <c:valAx>
        <c:axId val="11101072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Current (A)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27572335"/>
        <c:crosses val="autoZero"/>
        <c:crossBetween val="midCat"/>
      </c:valAx>
      <c:valAx>
        <c:axId val="20275723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coefficient value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1010723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2200538556913547E-2"/>
          <c:y val="0.72803165187637686"/>
          <c:w val="0.29338565496144298"/>
          <c:h val="0.249576479251817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0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Eon (40V/ns)</a:t>
            </a:r>
            <a:r>
              <a:rPr lang="en-US" baseline="0"/>
              <a:t> 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0944750913945887"/>
          <c:y val="0.13841906940921023"/>
          <c:w val="0.74413071902452876"/>
          <c:h val="0.5634887354500604"/>
        </c:manualLayout>
      </c:layout>
      <c:scatterChart>
        <c:scatterStyle val="lineMarker"/>
        <c:varyColors val="0"/>
        <c:ser>
          <c:idx val="0"/>
          <c:order val="0"/>
          <c:tx>
            <c:strRef>
              <c:f>'DRV7308 Thermal Calculator'!$L$97</c:f>
              <c:strCache>
                <c:ptCount val="1"/>
                <c:pt idx="0">
                  <c:v>a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poly"/>
            <c:order val="2"/>
            <c:dispRSqr val="0"/>
            <c:dispEq val="1"/>
            <c:trendlineLbl>
              <c:layout>
                <c:manualLayout>
                  <c:x val="-0.10167678632634521"/>
                  <c:y val="0.24665602240896359"/>
                </c:manualLayout>
              </c:layout>
              <c:numFmt formatCode="0.00E+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'DRV7308 Thermal Calculator'!$U$87:$AB$87</c:f>
              <c:numCache>
                <c:formatCode>General</c:formatCode>
                <c:ptCount val="8"/>
                <c:pt idx="0">
                  <c:v>0</c:v>
                </c:pt>
                <c:pt idx="1">
                  <c:v>0.1</c:v>
                </c:pt>
                <c:pt idx="2">
                  <c:v>0.25</c:v>
                </c:pt>
                <c:pt idx="3">
                  <c:v>0.5</c:v>
                </c:pt>
                <c:pt idx="4">
                  <c:v>0.7</c:v>
                </c:pt>
                <c:pt idx="5">
                  <c:v>1</c:v>
                </c:pt>
                <c:pt idx="6">
                  <c:v>2.5</c:v>
                </c:pt>
                <c:pt idx="7">
                  <c:v>4</c:v>
                </c:pt>
              </c:numCache>
            </c:numRef>
          </c:xVal>
          <c:yVal>
            <c:numRef>
              <c:f>'DRV7308 Thermal Calculator'!$U$97:$AB$97</c:f>
              <c:numCache>
                <c:formatCode>0.00E+00</c:formatCode>
                <c:ptCount val="8"/>
                <c:pt idx="0">
                  <c:v>-0.186</c:v>
                </c:pt>
                <c:pt idx="1">
                  <c:v>-0.128</c:v>
                </c:pt>
                <c:pt idx="2">
                  <c:v>-0.33600000000000002</c:v>
                </c:pt>
                <c:pt idx="3">
                  <c:v>-0.16800000000000001</c:v>
                </c:pt>
                <c:pt idx="4">
                  <c:v>-0.193</c:v>
                </c:pt>
                <c:pt idx="5">
                  <c:v>-0.41</c:v>
                </c:pt>
                <c:pt idx="6">
                  <c:v>-0.44600000000000001</c:v>
                </c:pt>
                <c:pt idx="7">
                  <c:v>-0.68100000000000005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BAB-4A19-9BAD-86B007A1B66C}"/>
            </c:ext>
          </c:extLst>
        </c:ser>
        <c:ser>
          <c:idx val="1"/>
          <c:order val="1"/>
          <c:tx>
            <c:strRef>
              <c:f>'DRV7308 Thermal Calculator'!$L$98</c:f>
              <c:strCache>
                <c:ptCount val="1"/>
                <c:pt idx="0">
                  <c:v>b1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poly"/>
            <c:order val="2"/>
            <c:dispRSqr val="0"/>
            <c:dispEq val="1"/>
            <c:trendlineLbl>
              <c:layout>
                <c:manualLayout>
                  <c:x val="-9.286699627615827E-2"/>
                  <c:y val="0.72725603210777257"/>
                </c:manualLayout>
              </c:layout>
              <c:numFmt formatCode="0.00E+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'DRV7308 Thermal Calculator'!$U$87:$AB$87</c:f>
              <c:numCache>
                <c:formatCode>General</c:formatCode>
                <c:ptCount val="8"/>
                <c:pt idx="0">
                  <c:v>0</c:v>
                </c:pt>
                <c:pt idx="1">
                  <c:v>0.1</c:v>
                </c:pt>
                <c:pt idx="2">
                  <c:v>0.25</c:v>
                </c:pt>
                <c:pt idx="3">
                  <c:v>0.5</c:v>
                </c:pt>
                <c:pt idx="4">
                  <c:v>0.7</c:v>
                </c:pt>
                <c:pt idx="5">
                  <c:v>1</c:v>
                </c:pt>
                <c:pt idx="6">
                  <c:v>2.5</c:v>
                </c:pt>
                <c:pt idx="7">
                  <c:v>4</c:v>
                </c:pt>
              </c:numCache>
            </c:numRef>
          </c:xVal>
          <c:yVal>
            <c:numRef>
              <c:f>'DRV7308 Thermal Calculator'!$U$98:$AB$98</c:f>
              <c:numCache>
                <c:formatCode>0.00E+00</c:formatCode>
                <c:ptCount val="8"/>
                <c:pt idx="0">
                  <c:v>5.2700000000000004E-3</c:v>
                </c:pt>
                <c:pt idx="1">
                  <c:v>5.3600000000000002E-3</c:v>
                </c:pt>
                <c:pt idx="2">
                  <c:v>7.9100000000000004E-3</c:v>
                </c:pt>
                <c:pt idx="3">
                  <c:v>7.3600000000000002E-3</c:v>
                </c:pt>
                <c:pt idx="4">
                  <c:v>8.7299999999999999E-3</c:v>
                </c:pt>
                <c:pt idx="5">
                  <c:v>1.15E-2</c:v>
                </c:pt>
                <c:pt idx="6">
                  <c:v>2.0400000000000001E-2</c:v>
                </c:pt>
                <c:pt idx="7">
                  <c:v>3.4000000000000002E-2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1BAB-4A19-9BAD-86B007A1B66C}"/>
            </c:ext>
          </c:extLst>
        </c:ser>
        <c:ser>
          <c:idx val="2"/>
          <c:order val="2"/>
          <c:tx>
            <c:strRef>
              <c:f>'DRV7308 Thermal Calculator'!$L$99</c:f>
              <c:strCache>
                <c:ptCount val="1"/>
                <c:pt idx="0">
                  <c:v>b2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poly"/>
            <c:order val="2"/>
            <c:dispRSqr val="0"/>
            <c:dispEq val="1"/>
            <c:trendlineLbl>
              <c:layout>
                <c:manualLayout>
                  <c:x val="-9.3211320365381989E-2"/>
                  <c:y val="0.75240280112044822"/>
                </c:manualLayout>
              </c:layout>
              <c:numFmt formatCode="0.00E+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'DRV7308 Thermal Calculator'!$U$87:$AB$87</c:f>
              <c:numCache>
                <c:formatCode>General</c:formatCode>
                <c:ptCount val="8"/>
                <c:pt idx="0">
                  <c:v>0</c:v>
                </c:pt>
                <c:pt idx="1">
                  <c:v>0.1</c:v>
                </c:pt>
                <c:pt idx="2">
                  <c:v>0.25</c:v>
                </c:pt>
                <c:pt idx="3">
                  <c:v>0.5</c:v>
                </c:pt>
                <c:pt idx="4">
                  <c:v>0.7</c:v>
                </c:pt>
                <c:pt idx="5">
                  <c:v>1</c:v>
                </c:pt>
                <c:pt idx="6">
                  <c:v>2.5</c:v>
                </c:pt>
                <c:pt idx="7">
                  <c:v>4</c:v>
                </c:pt>
              </c:numCache>
            </c:numRef>
          </c:xVal>
          <c:yVal>
            <c:numRef>
              <c:f>'DRV7308 Thermal Calculator'!$U$99:$AB$99</c:f>
              <c:numCache>
                <c:formatCode>0.00E+00</c:formatCode>
                <c:ptCount val="8"/>
                <c:pt idx="0">
                  <c:v>3.5599999999999998E-5</c:v>
                </c:pt>
                <c:pt idx="1">
                  <c:v>3.8099999999999998E-5</c:v>
                </c:pt>
                <c:pt idx="2">
                  <c:v>3.6399999999999997E-5</c:v>
                </c:pt>
                <c:pt idx="3">
                  <c:v>4.2799999999999997E-5</c:v>
                </c:pt>
                <c:pt idx="4">
                  <c:v>4.3300000000000002E-5</c:v>
                </c:pt>
                <c:pt idx="5">
                  <c:v>4.5200000000000001E-5</c:v>
                </c:pt>
                <c:pt idx="6">
                  <c:v>6.1600000000000007E-5</c:v>
                </c:pt>
                <c:pt idx="7">
                  <c:v>7.6500000000000003E-5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1BAB-4A19-9BAD-86B007A1B6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10107232"/>
        <c:axId val="2027572335"/>
      </c:scatterChart>
      <c:valAx>
        <c:axId val="11101072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Current (A)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27572335"/>
        <c:crosses val="autoZero"/>
        <c:crossBetween val="midCat"/>
      </c:valAx>
      <c:valAx>
        <c:axId val="20275723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coefficient value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1010723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4805718223164392E-2"/>
          <c:y val="0.72803168614144553"/>
          <c:w val="0.29338565496144298"/>
          <c:h val="0.249576479251817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0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Eon (5V/ns)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2986563537679451E-2"/>
          <c:y val="9.7132822473699726E-2"/>
          <c:w val="0.87768603364118514"/>
          <c:h val="0.45223720890721891"/>
        </c:manualLayout>
      </c:layout>
      <c:scatterChart>
        <c:scatterStyle val="lineMarker"/>
        <c:varyColors val="0"/>
        <c:ser>
          <c:idx val="0"/>
          <c:order val="0"/>
          <c:tx>
            <c:strRef>
              <c:f>'DRV7308 Thermal Calculator'!$AP$9</c:f>
              <c:strCache>
                <c:ptCount val="1"/>
                <c:pt idx="0">
                  <c:v>0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poly"/>
            <c:order val="2"/>
            <c:dispRSqr val="0"/>
            <c:dispEq val="1"/>
            <c:trendlineLbl>
              <c:layout>
                <c:manualLayout>
                  <c:x val="-0.43265768177143438"/>
                  <c:y val="0.28673394221973447"/>
                </c:manualLayout>
              </c:layout>
              <c:numFmt formatCode="0.00E+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'DRV7308 Thermal Calculator'!$AF$10:$AF$24</c:f>
              <c:numCache>
                <c:formatCode>General</c:formatCode>
                <c:ptCount val="15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150</c:v>
                </c:pt>
                <c:pt idx="4">
                  <c:v>150</c:v>
                </c:pt>
                <c:pt idx="5">
                  <c:v>150</c:v>
                </c:pt>
                <c:pt idx="6">
                  <c:v>200</c:v>
                </c:pt>
                <c:pt idx="7">
                  <c:v>200</c:v>
                </c:pt>
                <c:pt idx="8">
                  <c:v>200</c:v>
                </c:pt>
                <c:pt idx="9">
                  <c:v>300</c:v>
                </c:pt>
                <c:pt idx="10">
                  <c:v>300</c:v>
                </c:pt>
                <c:pt idx="11">
                  <c:v>300</c:v>
                </c:pt>
                <c:pt idx="12">
                  <c:v>450</c:v>
                </c:pt>
                <c:pt idx="13">
                  <c:v>450</c:v>
                </c:pt>
                <c:pt idx="14">
                  <c:v>450</c:v>
                </c:pt>
              </c:numCache>
            </c:numRef>
          </c:xVal>
          <c:yVal>
            <c:numRef>
              <c:f>'DRV7308 Thermal Calculator'!$AP$10:$AP$24</c:f>
              <c:numCache>
                <c:formatCode>General</c:formatCode>
                <c:ptCount val="15"/>
                <c:pt idx="0">
                  <c:v>0.7</c:v>
                </c:pt>
                <c:pt idx="1">
                  <c:v>0.7</c:v>
                </c:pt>
                <c:pt idx="2">
                  <c:v>0.7</c:v>
                </c:pt>
                <c:pt idx="3">
                  <c:v>1.4</c:v>
                </c:pt>
                <c:pt idx="4">
                  <c:v>1.4</c:v>
                </c:pt>
                <c:pt idx="5">
                  <c:v>1.4</c:v>
                </c:pt>
                <c:pt idx="6">
                  <c:v>2.2999999999999998</c:v>
                </c:pt>
                <c:pt idx="7">
                  <c:v>2.2999999999999998</c:v>
                </c:pt>
                <c:pt idx="8">
                  <c:v>2.2999999999999998</c:v>
                </c:pt>
                <c:pt idx="9">
                  <c:v>4.7</c:v>
                </c:pt>
                <c:pt idx="10">
                  <c:v>4.7</c:v>
                </c:pt>
                <c:pt idx="11">
                  <c:v>4.7</c:v>
                </c:pt>
                <c:pt idx="12">
                  <c:v>9.5</c:v>
                </c:pt>
                <c:pt idx="13">
                  <c:v>9.5</c:v>
                </c:pt>
                <c:pt idx="14">
                  <c:v>9.5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518-4316-B78F-F389552BC920}"/>
            </c:ext>
          </c:extLst>
        </c:ser>
        <c:ser>
          <c:idx val="1"/>
          <c:order val="1"/>
          <c:tx>
            <c:strRef>
              <c:f>'DRV7308 Thermal Calculator'!$AQ$9</c:f>
              <c:strCache>
                <c:ptCount val="1"/>
                <c:pt idx="0">
                  <c:v>0.1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poly"/>
            <c:order val="2"/>
            <c:dispRSqr val="0"/>
            <c:dispEq val="1"/>
            <c:trendlineLbl>
              <c:layout>
                <c:manualLayout>
                  <c:x val="-0.43276182072188463"/>
                  <c:y val="0.32276238193991452"/>
                </c:manualLayout>
              </c:layout>
              <c:numFmt formatCode="0.00E+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'DRV7308 Thermal Calculator'!$AF$10:$AF$24</c:f>
              <c:numCache>
                <c:formatCode>General</c:formatCode>
                <c:ptCount val="15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150</c:v>
                </c:pt>
                <c:pt idx="4">
                  <c:v>150</c:v>
                </c:pt>
                <c:pt idx="5">
                  <c:v>150</c:v>
                </c:pt>
                <c:pt idx="6">
                  <c:v>200</c:v>
                </c:pt>
                <c:pt idx="7">
                  <c:v>200</c:v>
                </c:pt>
                <c:pt idx="8">
                  <c:v>200</c:v>
                </c:pt>
                <c:pt idx="9">
                  <c:v>300</c:v>
                </c:pt>
                <c:pt idx="10">
                  <c:v>300</c:v>
                </c:pt>
                <c:pt idx="11">
                  <c:v>300</c:v>
                </c:pt>
                <c:pt idx="12">
                  <c:v>450</c:v>
                </c:pt>
                <c:pt idx="13">
                  <c:v>450</c:v>
                </c:pt>
                <c:pt idx="14">
                  <c:v>450</c:v>
                </c:pt>
              </c:numCache>
            </c:numRef>
          </c:xVal>
          <c:yVal>
            <c:numRef>
              <c:f>'DRV7308 Thermal Calculator'!$AQ$10:$AQ$24</c:f>
              <c:numCache>
                <c:formatCode>General</c:formatCode>
                <c:ptCount val="15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1.8</c:v>
                </c:pt>
                <c:pt idx="4">
                  <c:v>1.8</c:v>
                </c:pt>
                <c:pt idx="5">
                  <c:v>1.8</c:v>
                </c:pt>
                <c:pt idx="6">
                  <c:v>2.9</c:v>
                </c:pt>
                <c:pt idx="7">
                  <c:v>2.9</c:v>
                </c:pt>
                <c:pt idx="8">
                  <c:v>2.9</c:v>
                </c:pt>
                <c:pt idx="9">
                  <c:v>5.8</c:v>
                </c:pt>
                <c:pt idx="10">
                  <c:v>5.8</c:v>
                </c:pt>
                <c:pt idx="11">
                  <c:v>5.8</c:v>
                </c:pt>
                <c:pt idx="12">
                  <c:v>12</c:v>
                </c:pt>
                <c:pt idx="13">
                  <c:v>12</c:v>
                </c:pt>
                <c:pt idx="14">
                  <c:v>12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518-4316-B78F-F389552BC920}"/>
            </c:ext>
          </c:extLst>
        </c:ser>
        <c:ser>
          <c:idx val="2"/>
          <c:order val="2"/>
          <c:tx>
            <c:strRef>
              <c:f>'DRV7308 Thermal Calculator'!$AR$9</c:f>
              <c:strCache>
                <c:ptCount val="1"/>
                <c:pt idx="0">
                  <c:v>0.25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poly"/>
            <c:order val="2"/>
            <c:dispRSqr val="0"/>
            <c:dispEq val="1"/>
            <c:trendlineLbl>
              <c:layout>
                <c:manualLayout>
                  <c:x val="-0.43112627829874739"/>
                  <c:y val="0.35747849609434362"/>
                </c:manualLayout>
              </c:layout>
              <c:numFmt formatCode="0.00E+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'DRV7308 Thermal Calculator'!$AF$10:$AF$24</c:f>
              <c:numCache>
                <c:formatCode>General</c:formatCode>
                <c:ptCount val="15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150</c:v>
                </c:pt>
                <c:pt idx="4">
                  <c:v>150</c:v>
                </c:pt>
                <c:pt idx="5">
                  <c:v>150</c:v>
                </c:pt>
                <c:pt idx="6">
                  <c:v>200</c:v>
                </c:pt>
                <c:pt idx="7">
                  <c:v>200</c:v>
                </c:pt>
                <c:pt idx="8">
                  <c:v>200</c:v>
                </c:pt>
                <c:pt idx="9">
                  <c:v>300</c:v>
                </c:pt>
                <c:pt idx="10">
                  <c:v>300</c:v>
                </c:pt>
                <c:pt idx="11">
                  <c:v>300</c:v>
                </c:pt>
                <c:pt idx="12">
                  <c:v>450</c:v>
                </c:pt>
                <c:pt idx="13">
                  <c:v>450</c:v>
                </c:pt>
                <c:pt idx="14">
                  <c:v>450</c:v>
                </c:pt>
              </c:numCache>
            </c:numRef>
          </c:xVal>
          <c:yVal>
            <c:numRef>
              <c:f>'DRV7308 Thermal Calculator'!$AR$10:$AR$24</c:f>
              <c:numCache>
                <c:formatCode>General</c:formatCode>
                <c:ptCount val="15"/>
                <c:pt idx="0">
                  <c:v>1.2</c:v>
                </c:pt>
                <c:pt idx="1">
                  <c:v>1.2</c:v>
                </c:pt>
                <c:pt idx="2">
                  <c:v>1.2</c:v>
                </c:pt>
                <c:pt idx="3">
                  <c:v>2.2999999999999998</c:v>
                </c:pt>
                <c:pt idx="4">
                  <c:v>2.2999999999999998</c:v>
                </c:pt>
                <c:pt idx="5">
                  <c:v>2.2999999999999998</c:v>
                </c:pt>
                <c:pt idx="6">
                  <c:v>3.7</c:v>
                </c:pt>
                <c:pt idx="7">
                  <c:v>3.7</c:v>
                </c:pt>
                <c:pt idx="8">
                  <c:v>3.7</c:v>
                </c:pt>
                <c:pt idx="9">
                  <c:v>7.4</c:v>
                </c:pt>
                <c:pt idx="10">
                  <c:v>7.4</c:v>
                </c:pt>
                <c:pt idx="11">
                  <c:v>7.4</c:v>
                </c:pt>
                <c:pt idx="12">
                  <c:v>15.4</c:v>
                </c:pt>
                <c:pt idx="13">
                  <c:v>15.4</c:v>
                </c:pt>
                <c:pt idx="14">
                  <c:v>15.4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E518-4316-B78F-F389552BC920}"/>
            </c:ext>
          </c:extLst>
        </c:ser>
        <c:ser>
          <c:idx val="3"/>
          <c:order val="3"/>
          <c:tx>
            <c:strRef>
              <c:f>'DRV7308 Thermal Calculator'!$AS$9</c:f>
              <c:strCache>
                <c:ptCount val="1"/>
                <c:pt idx="0">
                  <c:v>0.5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4"/>
                </a:solidFill>
                <a:prstDash val="sysDot"/>
              </a:ln>
              <a:effectLst/>
            </c:spPr>
            <c:trendlineType val="poly"/>
            <c:order val="2"/>
            <c:dispRSqr val="0"/>
            <c:dispEq val="1"/>
            <c:trendlineLbl>
              <c:layout>
                <c:manualLayout>
                  <c:x val="-0.43112627829874739"/>
                  <c:y val="0.40193057805896321"/>
                </c:manualLayout>
              </c:layout>
              <c:numFmt formatCode="0.00E+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'DRV7308 Thermal Calculator'!$AF$10:$AF$24</c:f>
              <c:numCache>
                <c:formatCode>General</c:formatCode>
                <c:ptCount val="15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150</c:v>
                </c:pt>
                <c:pt idx="4">
                  <c:v>150</c:v>
                </c:pt>
                <c:pt idx="5">
                  <c:v>150</c:v>
                </c:pt>
                <c:pt idx="6">
                  <c:v>200</c:v>
                </c:pt>
                <c:pt idx="7">
                  <c:v>200</c:v>
                </c:pt>
                <c:pt idx="8">
                  <c:v>200</c:v>
                </c:pt>
                <c:pt idx="9">
                  <c:v>300</c:v>
                </c:pt>
                <c:pt idx="10">
                  <c:v>300</c:v>
                </c:pt>
                <c:pt idx="11">
                  <c:v>300</c:v>
                </c:pt>
                <c:pt idx="12">
                  <c:v>450</c:v>
                </c:pt>
                <c:pt idx="13">
                  <c:v>450</c:v>
                </c:pt>
                <c:pt idx="14">
                  <c:v>450</c:v>
                </c:pt>
              </c:numCache>
            </c:numRef>
          </c:xVal>
          <c:yVal>
            <c:numRef>
              <c:f>'DRV7308 Thermal Calculator'!$AS$10:$AS$24</c:f>
              <c:numCache>
                <c:formatCode>General</c:formatCode>
                <c:ptCount val="15"/>
                <c:pt idx="0">
                  <c:v>1.7</c:v>
                </c:pt>
                <c:pt idx="1">
                  <c:v>1.7</c:v>
                </c:pt>
                <c:pt idx="2">
                  <c:v>1.7</c:v>
                </c:pt>
                <c:pt idx="3">
                  <c:v>3.1</c:v>
                </c:pt>
                <c:pt idx="4">
                  <c:v>3.1</c:v>
                </c:pt>
                <c:pt idx="5">
                  <c:v>3.1</c:v>
                </c:pt>
                <c:pt idx="6">
                  <c:v>5</c:v>
                </c:pt>
                <c:pt idx="7">
                  <c:v>5</c:v>
                </c:pt>
                <c:pt idx="8">
                  <c:v>5</c:v>
                </c:pt>
                <c:pt idx="9">
                  <c:v>10</c:v>
                </c:pt>
                <c:pt idx="10">
                  <c:v>10</c:v>
                </c:pt>
                <c:pt idx="11">
                  <c:v>10</c:v>
                </c:pt>
                <c:pt idx="12">
                  <c:v>21.2</c:v>
                </c:pt>
                <c:pt idx="13">
                  <c:v>21.2</c:v>
                </c:pt>
                <c:pt idx="14">
                  <c:v>21.2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E518-4316-B78F-F389552BC920}"/>
            </c:ext>
          </c:extLst>
        </c:ser>
        <c:ser>
          <c:idx val="4"/>
          <c:order val="4"/>
          <c:tx>
            <c:strRef>
              <c:f>'DRV7308 Thermal Calculator'!$AT$9</c:f>
              <c:strCache>
                <c:ptCount val="1"/>
                <c:pt idx="0">
                  <c:v>0.7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5"/>
                </a:solidFill>
                <a:prstDash val="sysDot"/>
              </a:ln>
              <a:effectLst/>
            </c:spPr>
            <c:trendlineType val="poly"/>
            <c:order val="2"/>
            <c:dispRSqr val="0"/>
            <c:dispEq val="1"/>
            <c:trendlineLbl>
              <c:layout>
                <c:manualLayout>
                  <c:x val="-0.43112627829874739"/>
                  <c:y val="0.44085574516868398"/>
                </c:manualLayout>
              </c:layout>
              <c:numFmt formatCode="0.00E+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'DRV7308 Thermal Calculator'!$AF$10:$AF$24</c:f>
              <c:numCache>
                <c:formatCode>General</c:formatCode>
                <c:ptCount val="15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150</c:v>
                </c:pt>
                <c:pt idx="4">
                  <c:v>150</c:v>
                </c:pt>
                <c:pt idx="5">
                  <c:v>150</c:v>
                </c:pt>
                <c:pt idx="6">
                  <c:v>200</c:v>
                </c:pt>
                <c:pt idx="7">
                  <c:v>200</c:v>
                </c:pt>
                <c:pt idx="8">
                  <c:v>200</c:v>
                </c:pt>
                <c:pt idx="9">
                  <c:v>300</c:v>
                </c:pt>
                <c:pt idx="10">
                  <c:v>300</c:v>
                </c:pt>
                <c:pt idx="11">
                  <c:v>300</c:v>
                </c:pt>
                <c:pt idx="12">
                  <c:v>450</c:v>
                </c:pt>
                <c:pt idx="13">
                  <c:v>450</c:v>
                </c:pt>
                <c:pt idx="14">
                  <c:v>450</c:v>
                </c:pt>
              </c:numCache>
            </c:numRef>
          </c:xVal>
          <c:yVal>
            <c:numRef>
              <c:f>'DRV7308 Thermal Calculator'!$AT$10:$AT$24</c:f>
              <c:numCache>
                <c:formatCode>General</c:formatCode>
                <c:ptCount val="15"/>
                <c:pt idx="0">
                  <c:v>2.1</c:v>
                </c:pt>
                <c:pt idx="1">
                  <c:v>2.1</c:v>
                </c:pt>
                <c:pt idx="2">
                  <c:v>2.1</c:v>
                </c:pt>
                <c:pt idx="3">
                  <c:v>3.8</c:v>
                </c:pt>
                <c:pt idx="4">
                  <c:v>3.8</c:v>
                </c:pt>
                <c:pt idx="5">
                  <c:v>3.8</c:v>
                </c:pt>
                <c:pt idx="6">
                  <c:v>6</c:v>
                </c:pt>
                <c:pt idx="7">
                  <c:v>6</c:v>
                </c:pt>
                <c:pt idx="8">
                  <c:v>6</c:v>
                </c:pt>
                <c:pt idx="9">
                  <c:v>12.1</c:v>
                </c:pt>
                <c:pt idx="10">
                  <c:v>12.1</c:v>
                </c:pt>
                <c:pt idx="11">
                  <c:v>12.1</c:v>
                </c:pt>
                <c:pt idx="12">
                  <c:v>25.9</c:v>
                </c:pt>
                <c:pt idx="13">
                  <c:v>25.9</c:v>
                </c:pt>
                <c:pt idx="14">
                  <c:v>25.9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E518-4316-B78F-F389552BC920}"/>
            </c:ext>
          </c:extLst>
        </c:ser>
        <c:ser>
          <c:idx val="5"/>
          <c:order val="5"/>
          <c:tx>
            <c:strRef>
              <c:f>'DRV7308 Thermal Calculator'!$AU$9</c:f>
              <c:strCache>
                <c:ptCount val="1"/>
                <c:pt idx="0">
                  <c:v>1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6"/>
                </a:solidFill>
                <a:prstDash val="sysDot"/>
              </a:ln>
              <a:effectLst/>
            </c:spPr>
            <c:trendlineType val="poly"/>
            <c:order val="2"/>
            <c:dispRSqr val="0"/>
            <c:dispEq val="1"/>
            <c:trendlineLbl>
              <c:layout>
                <c:manualLayout>
                  <c:x val="-0.43276182072188463"/>
                  <c:y val="0.48987755808217193"/>
                </c:manualLayout>
              </c:layout>
              <c:numFmt formatCode="0.00E+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'DRV7308 Thermal Calculator'!$AF$10:$AF$24</c:f>
              <c:numCache>
                <c:formatCode>General</c:formatCode>
                <c:ptCount val="15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150</c:v>
                </c:pt>
                <c:pt idx="4">
                  <c:v>150</c:v>
                </c:pt>
                <c:pt idx="5">
                  <c:v>150</c:v>
                </c:pt>
                <c:pt idx="6">
                  <c:v>200</c:v>
                </c:pt>
                <c:pt idx="7">
                  <c:v>200</c:v>
                </c:pt>
                <c:pt idx="8">
                  <c:v>200</c:v>
                </c:pt>
                <c:pt idx="9">
                  <c:v>300</c:v>
                </c:pt>
                <c:pt idx="10">
                  <c:v>300</c:v>
                </c:pt>
                <c:pt idx="11">
                  <c:v>300</c:v>
                </c:pt>
                <c:pt idx="12">
                  <c:v>450</c:v>
                </c:pt>
                <c:pt idx="13">
                  <c:v>450</c:v>
                </c:pt>
                <c:pt idx="14">
                  <c:v>450</c:v>
                </c:pt>
              </c:numCache>
            </c:numRef>
          </c:xVal>
          <c:yVal>
            <c:numRef>
              <c:f>'DRV7308 Thermal Calculator'!$AU$10:$AU$24</c:f>
              <c:numCache>
                <c:formatCode>General</c:formatCode>
                <c:ptCount val="15"/>
                <c:pt idx="0">
                  <c:v>2.7</c:v>
                </c:pt>
                <c:pt idx="1">
                  <c:v>2.7</c:v>
                </c:pt>
                <c:pt idx="2">
                  <c:v>2.7</c:v>
                </c:pt>
                <c:pt idx="3">
                  <c:v>4.8</c:v>
                </c:pt>
                <c:pt idx="4">
                  <c:v>4.8</c:v>
                </c:pt>
                <c:pt idx="5">
                  <c:v>4.8</c:v>
                </c:pt>
                <c:pt idx="6">
                  <c:v>7.6</c:v>
                </c:pt>
                <c:pt idx="7">
                  <c:v>7.6</c:v>
                </c:pt>
                <c:pt idx="8">
                  <c:v>7.6</c:v>
                </c:pt>
                <c:pt idx="9">
                  <c:v>15.5</c:v>
                </c:pt>
                <c:pt idx="10">
                  <c:v>15.5</c:v>
                </c:pt>
                <c:pt idx="11">
                  <c:v>15.5</c:v>
                </c:pt>
                <c:pt idx="12">
                  <c:v>33.1</c:v>
                </c:pt>
                <c:pt idx="13">
                  <c:v>33.1</c:v>
                </c:pt>
                <c:pt idx="14">
                  <c:v>33.1</c:v>
                </c:pt>
              </c:numCache>
            </c:numRef>
          </c:y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B-E518-4316-B78F-F389552BC920}"/>
            </c:ext>
          </c:extLst>
        </c:ser>
        <c:ser>
          <c:idx val="8"/>
          <c:order val="8"/>
          <c:tx>
            <c:v>Calculated Eon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'DRV7308 Thermal Calculator'!$C$8</c:f>
              <c:numCache>
                <c:formatCode>General</c:formatCode>
                <c:ptCount val="1"/>
                <c:pt idx="0">
                  <c:v>310</c:v>
                </c:pt>
              </c:numCache>
            </c:numRef>
          </c:xVal>
          <c:yVal>
            <c:numRef>
              <c:f>'DRV7308 Thermal Calculator'!$W$75</c:f>
              <c:numCache>
                <c:formatCode>0.00</c:formatCode>
                <c:ptCount val="1"/>
                <c:pt idx="0">
                  <c:v>14.499688876799999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E518-4316-B78F-F389552BC9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82122239"/>
        <c:axId val="1986862255"/>
        <c:extLst>
          <c:ext xmlns:c15="http://schemas.microsoft.com/office/drawing/2012/chart" uri="{02D57815-91ED-43cb-92C2-25804820EDAC}">
            <c15:filteredScatterSeries>
              <c15:ser>
                <c:idx val="6"/>
                <c:order val="6"/>
                <c:tx>
                  <c:strRef>
                    <c:extLst>
                      <c:ext uri="{02D57815-91ED-43cb-92C2-25804820EDAC}">
                        <c15:formulaRef>
                          <c15:sqref>'DRV7308 Thermal Calculator'!$AV$9</c15:sqref>
                        </c15:formulaRef>
                      </c:ext>
                    </c:extLst>
                    <c:strCache>
                      <c:ptCount val="1"/>
                      <c:pt idx="0">
                        <c:v>2.5</c:v>
                      </c:pt>
                    </c:strCache>
                  </c:strRef>
                </c:tx>
                <c:spPr>
                  <a:ln w="1905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>
                        <a:lumMod val="60000"/>
                      </a:schemeClr>
                    </a:solidFill>
                    <a:ln w="9525">
                      <a:solidFill>
                        <a:schemeClr val="accent1">
                          <a:lumMod val="60000"/>
                        </a:schemeClr>
                      </a:solidFill>
                    </a:ln>
                    <a:effectLst/>
                  </c:spPr>
                </c:marker>
                <c:trendline>
                  <c:spPr>
                    <a:ln w="19050" cap="rnd">
                      <a:solidFill>
                        <a:schemeClr val="accent1">
                          <a:lumMod val="60000"/>
                        </a:schemeClr>
                      </a:solidFill>
                      <a:prstDash val="sysDot"/>
                    </a:ln>
                    <a:effectLst/>
                  </c:spPr>
                  <c:trendlineType val="poly"/>
                  <c:order val="2"/>
                  <c:dispRSqr val="0"/>
                  <c:dispEq val="1"/>
                  <c:trendlineLbl>
                    <c:layout>
                      <c:manualLayout>
                        <c:x val="-0.43321153049681338"/>
                        <c:y val="0.6521807847785781"/>
                      </c:manualLayout>
                    </c:layout>
                    <c:numFmt formatCode="0.00E+00" sourceLinked="0"/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anchor="ctr" anchorCtr="1"/>
                      <a:lstStyle/>
                      <a:p>
                        <a:pPr>
                          <a:defRPr sz="900" b="0" i="0" u="none" strike="noStrike" kern="1200" baseline="0">
                            <a:solidFill>
                              <a:schemeClr val="tx1">
                                <a:lumMod val="65000"/>
                                <a:lumOff val="35000"/>
                              </a:schemeClr>
                            </a:solidFill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en-US"/>
                      </a:p>
                    </c:txPr>
                  </c:trendlineLbl>
                </c:trendline>
                <c:xVal>
                  <c:numRef>
                    <c:extLst>
                      <c:ext uri="{02D57815-91ED-43cb-92C2-25804820EDAC}">
                        <c15:formulaRef>
                          <c15:sqref>'DRV7308 Thermal Calculator'!$AF$10:$AF$24</c15:sqref>
                        </c15:formulaRef>
                      </c:ext>
                    </c:extLst>
                    <c:numCache>
                      <c:formatCode>General</c:formatCode>
                      <c:ptCount val="15"/>
                      <c:pt idx="0">
                        <c:v>100</c:v>
                      </c:pt>
                      <c:pt idx="1">
                        <c:v>100</c:v>
                      </c:pt>
                      <c:pt idx="2">
                        <c:v>100</c:v>
                      </c:pt>
                      <c:pt idx="3">
                        <c:v>150</c:v>
                      </c:pt>
                      <c:pt idx="4">
                        <c:v>150</c:v>
                      </c:pt>
                      <c:pt idx="5">
                        <c:v>150</c:v>
                      </c:pt>
                      <c:pt idx="6">
                        <c:v>200</c:v>
                      </c:pt>
                      <c:pt idx="7">
                        <c:v>200</c:v>
                      </c:pt>
                      <c:pt idx="8">
                        <c:v>200</c:v>
                      </c:pt>
                      <c:pt idx="9">
                        <c:v>300</c:v>
                      </c:pt>
                      <c:pt idx="10">
                        <c:v>300</c:v>
                      </c:pt>
                      <c:pt idx="11">
                        <c:v>300</c:v>
                      </c:pt>
                      <c:pt idx="12">
                        <c:v>450</c:v>
                      </c:pt>
                      <c:pt idx="13">
                        <c:v>450</c:v>
                      </c:pt>
                      <c:pt idx="14">
                        <c:v>450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'DRV7308 Thermal Calculator'!$AV$10:$AV$24</c15:sqref>
                        </c15:formulaRef>
                      </c:ext>
                    </c:extLst>
                    <c:numCache>
                      <c:formatCode>General</c:formatCode>
                      <c:ptCount val="15"/>
                      <c:pt idx="0">
                        <c:v>6.6</c:v>
                      </c:pt>
                      <c:pt idx="1">
                        <c:v>6.6</c:v>
                      </c:pt>
                      <c:pt idx="2">
                        <c:v>6.6</c:v>
                      </c:pt>
                      <c:pt idx="3">
                        <c:v>11.6</c:v>
                      </c:pt>
                      <c:pt idx="4">
                        <c:v>11.6</c:v>
                      </c:pt>
                      <c:pt idx="5">
                        <c:v>11.6</c:v>
                      </c:pt>
                      <c:pt idx="6">
                        <c:v>18</c:v>
                      </c:pt>
                      <c:pt idx="7">
                        <c:v>18</c:v>
                      </c:pt>
                      <c:pt idx="8">
                        <c:v>18</c:v>
                      </c:pt>
                      <c:pt idx="9">
                        <c:v>35.799999999999997</c:v>
                      </c:pt>
                      <c:pt idx="10">
                        <c:v>35.799999999999997</c:v>
                      </c:pt>
                      <c:pt idx="11">
                        <c:v>35.799999999999997</c:v>
                      </c:pt>
                      <c:pt idx="12">
                        <c:v>75.400000000000006</c:v>
                      </c:pt>
                      <c:pt idx="13">
                        <c:v>75.400000000000006</c:v>
                      </c:pt>
                      <c:pt idx="14">
                        <c:v>75.400000000000006</c:v>
                      </c:pt>
                    </c:numCache>
                  </c:numRef>
                </c:yVal>
                <c:smooth val="0"/>
                <c:extLst>
                  <c:ext xmlns:c16="http://schemas.microsoft.com/office/drawing/2014/chart" uri="{C3380CC4-5D6E-409C-BE32-E72D297353CC}">
                    <c16:uniqueId val="{0000000D-E518-4316-B78F-F389552BC920}"/>
                  </c:ext>
                </c:extLst>
              </c15:ser>
            </c15:filteredScatterSeries>
            <c15:filteredScatte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'DRV7308 Thermal Calculator'!$AW$9</c15:sqref>
                        </c15:formulaRef>
                      </c:ext>
                    </c:extLst>
                    <c:strCache>
                      <c:ptCount val="1"/>
                      <c:pt idx="0">
                        <c:v>4</c:v>
                      </c:pt>
                    </c:strCache>
                  </c:strRef>
                </c:tx>
                <c:spPr>
                  <a:ln w="1905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2">
                        <a:lumMod val="60000"/>
                      </a:schemeClr>
                    </a:solidFill>
                    <a:ln w="9525">
                      <a:solidFill>
                        <a:schemeClr val="accent2">
                          <a:lumMod val="60000"/>
                        </a:schemeClr>
                      </a:solidFill>
                    </a:ln>
                    <a:effectLst/>
                  </c:spPr>
                </c:marker>
                <c:trendline>
                  <c:spPr>
                    <a:ln w="19050" cap="rnd">
                      <a:solidFill>
                        <a:schemeClr val="accent2">
                          <a:lumMod val="60000"/>
                        </a:schemeClr>
                      </a:solidFill>
                      <a:prstDash val="sysDot"/>
                    </a:ln>
                    <a:effectLst/>
                  </c:spPr>
                  <c:trendlineType val="poly"/>
                  <c:order val="2"/>
                  <c:dispRSqr val="0"/>
                  <c:dispEq val="1"/>
                  <c:trendlineLbl>
                    <c:layout>
                      <c:manualLayout>
                        <c:x val="-0.43157598807367614"/>
                        <c:y val="0.85551900456614594"/>
                      </c:manualLayout>
                    </c:layout>
                    <c:numFmt formatCode="0.00E+00" sourceLinked="0"/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anchor="ctr" anchorCtr="1"/>
                      <a:lstStyle/>
                      <a:p>
                        <a:pPr>
                          <a:defRPr sz="900" b="0" i="0" u="none" strike="noStrike" kern="1200" baseline="0">
                            <a:solidFill>
                              <a:schemeClr val="tx1">
                                <a:lumMod val="65000"/>
                                <a:lumOff val="35000"/>
                              </a:schemeClr>
                            </a:solidFill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en-US"/>
                      </a:p>
                    </c:txPr>
                  </c:trendlineLbl>
                </c:trendline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'DRV7308 Thermal Calculator'!$AF$10:$AF$24</c15:sqref>
                        </c15:formulaRef>
                      </c:ext>
                    </c:extLst>
                    <c:numCache>
                      <c:formatCode>General</c:formatCode>
                      <c:ptCount val="15"/>
                      <c:pt idx="0">
                        <c:v>100</c:v>
                      </c:pt>
                      <c:pt idx="1">
                        <c:v>100</c:v>
                      </c:pt>
                      <c:pt idx="2">
                        <c:v>100</c:v>
                      </c:pt>
                      <c:pt idx="3">
                        <c:v>150</c:v>
                      </c:pt>
                      <c:pt idx="4">
                        <c:v>150</c:v>
                      </c:pt>
                      <c:pt idx="5">
                        <c:v>150</c:v>
                      </c:pt>
                      <c:pt idx="6">
                        <c:v>200</c:v>
                      </c:pt>
                      <c:pt idx="7">
                        <c:v>200</c:v>
                      </c:pt>
                      <c:pt idx="8">
                        <c:v>200</c:v>
                      </c:pt>
                      <c:pt idx="9">
                        <c:v>300</c:v>
                      </c:pt>
                      <c:pt idx="10">
                        <c:v>300</c:v>
                      </c:pt>
                      <c:pt idx="11">
                        <c:v>300</c:v>
                      </c:pt>
                      <c:pt idx="12">
                        <c:v>450</c:v>
                      </c:pt>
                      <c:pt idx="13">
                        <c:v>450</c:v>
                      </c:pt>
                      <c:pt idx="14">
                        <c:v>450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'DRV7308 Thermal Calculator'!$AW$10:$AW$24</c15:sqref>
                        </c15:formulaRef>
                      </c:ext>
                    </c:extLst>
                    <c:numCache>
                      <c:formatCode>General</c:formatCode>
                      <c:ptCount val="15"/>
                      <c:pt idx="0">
                        <c:v>13</c:v>
                      </c:pt>
                      <c:pt idx="1">
                        <c:v>13</c:v>
                      </c:pt>
                      <c:pt idx="2">
                        <c:v>13</c:v>
                      </c:pt>
                      <c:pt idx="3">
                        <c:v>22.3</c:v>
                      </c:pt>
                      <c:pt idx="4">
                        <c:v>22.3</c:v>
                      </c:pt>
                      <c:pt idx="5">
                        <c:v>22.3</c:v>
                      </c:pt>
                      <c:pt idx="6">
                        <c:v>33.799999999999997</c:v>
                      </c:pt>
                      <c:pt idx="7">
                        <c:v>33.799999999999997</c:v>
                      </c:pt>
                      <c:pt idx="8">
                        <c:v>33.799999999999997</c:v>
                      </c:pt>
                      <c:pt idx="9">
                        <c:v>64.7</c:v>
                      </c:pt>
                      <c:pt idx="10">
                        <c:v>64.7</c:v>
                      </c:pt>
                      <c:pt idx="11">
                        <c:v>64.7</c:v>
                      </c:pt>
                      <c:pt idx="12">
                        <c:v>131</c:v>
                      </c:pt>
                      <c:pt idx="13">
                        <c:v>131</c:v>
                      </c:pt>
                      <c:pt idx="14">
                        <c:v>131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F-E518-4316-B78F-F389552BC920}"/>
                  </c:ext>
                </c:extLst>
              </c15:ser>
            </c15:filteredScatterSeries>
          </c:ext>
        </c:extLst>
      </c:scatterChart>
      <c:valAx>
        <c:axId val="58212223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VM</a:t>
                </a:r>
                <a:r>
                  <a:rPr lang="en-US" baseline="0"/>
                  <a:t> Voltage (V)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6862255"/>
        <c:crosses val="autoZero"/>
        <c:crossBetween val="midCat"/>
      </c:valAx>
      <c:valAx>
        <c:axId val="19868622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Switching Energy (uJ)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2122239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5113200785346109E-2"/>
          <c:y val="0.58651089242864562"/>
          <c:w val="0.68434747458491263"/>
          <c:h val="9.83837358671110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0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Eoff (5V/ns)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2986563537679451E-2"/>
          <c:y val="9.7132822473699726E-2"/>
          <c:w val="0.87768603364118514"/>
          <c:h val="0.45223720890721891"/>
        </c:manualLayout>
      </c:layout>
      <c:scatterChart>
        <c:scatterStyle val="lineMarker"/>
        <c:varyColors val="0"/>
        <c:ser>
          <c:idx val="0"/>
          <c:order val="0"/>
          <c:tx>
            <c:strRef>
              <c:f>'DRV7308 Thermal Calculator'!$AH$9</c:f>
              <c:strCache>
                <c:ptCount val="1"/>
                <c:pt idx="0">
                  <c:v>0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poly"/>
            <c:order val="2"/>
            <c:dispRSqr val="0"/>
            <c:dispEq val="1"/>
            <c:trendlineLbl>
              <c:layout>
                <c:manualLayout>
                  <c:x val="-0.57052972670466584"/>
                  <c:y val="0.27114729271579902"/>
                </c:manualLayout>
              </c:layout>
              <c:numFmt formatCode="0.00E+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'DRV7308 Thermal Calculator'!$AF$10:$AF$24</c:f>
              <c:numCache>
                <c:formatCode>General</c:formatCode>
                <c:ptCount val="15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150</c:v>
                </c:pt>
                <c:pt idx="4">
                  <c:v>150</c:v>
                </c:pt>
                <c:pt idx="5">
                  <c:v>150</c:v>
                </c:pt>
                <c:pt idx="6">
                  <c:v>200</c:v>
                </c:pt>
                <c:pt idx="7">
                  <c:v>200</c:v>
                </c:pt>
                <c:pt idx="8">
                  <c:v>200</c:v>
                </c:pt>
                <c:pt idx="9">
                  <c:v>300</c:v>
                </c:pt>
                <c:pt idx="10">
                  <c:v>300</c:v>
                </c:pt>
                <c:pt idx="11">
                  <c:v>300</c:v>
                </c:pt>
                <c:pt idx="12">
                  <c:v>450</c:v>
                </c:pt>
                <c:pt idx="13">
                  <c:v>450</c:v>
                </c:pt>
                <c:pt idx="14">
                  <c:v>450</c:v>
                </c:pt>
              </c:numCache>
            </c:numRef>
          </c:xVal>
          <c:yVal>
            <c:numRef>
              <c:f>'DRV7308 Thermal Calculator'!$AH$10:$AH$24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DD9-401E-A299-9D051A8D5A0A}"/>
            </c:ext>
          </c:extLst>
        </c:ser>
        <c:ser>
          <c:idx val="1"/>
          <c:order val="1"/>
          <c:tx>
            <c:strRef>
              <c:f>'DRV7308 Thermal Calculator'!$AI$9</c:f>
              <c:strCache>
                <c:ptCount val="1"/>
                <c:pt idx="0">
                  <c:v>0.1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poly"/>
            <c:order val="2"/>
            <c:dispRSqr val="0"/>
            <c:dispEq val="1"/>
            <c:trendlineLbl>
              <c:layout>
                <c:manualLayout>
                  <c:x val="-0.57052972670466584"/>
                  <c:y val="0.29691326465320655"/>
                </c:manualLayout>
              </c:layout>
              <c:numFmt formatCode="0.00E+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'DRV7308 Thermal Calculator'!$AF$10:$AF$24</c:f>
              <c:numCache>
                <c:formatCode>General</c:formatCode>
                <c:ptCount val="15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150</c:v>
                </c:pt>
                <c:pt idx="4">
                  <c:v>150</c:v>
                </c:pt>
                <c:pt idx="5">
                  <c:v>150</c:v>
                </c:pt>
                <c:pt idx="6">
                  <c:v>200</c:v>
                </c:pt>
                <c:pt idx="7">
                  <c:v>200</c:v>
                </c:pt>
                <c:pt idx="8">
                  <c:v>200</c:v>
                </c:pt>
                <c:pt idx="9">
                  <c:v>300</c:v>
                </c:pt>
                <c:pt idx="10">
                  <c:v>300</c:v>
                </c:pt>
                <c:pt idx="11">
                  <c:v>300</c:v>
                </c:pt>
                <c:pt idx="12">
                  <c:v>450</c:v>
                </c:pt>
                <c:pt idx="13">
                  <c:v>450</c:v>
                </c:pt>
                <c:pt idx="14">
                  <c:v>450</c:v>
                </c:pt>
              </c:numCache>
            </c:numRef>
          </c:xVal>
          <c:yVal>
            <c:numRef>
              <c:f>'DRV7308 Thermal Calculator'!$AI$10:$AI$24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4DD9-401E-A299-9D051A8D5A0A}"/>
            </c:ext>
          </c:extLst>
        </c:ser>
        <c:ser>
          <c:idx val="2"/>
          <c:order val="2"/>
          <c:tx>
            <c:strRef>
              <c:f>'DRV7308 Thermal Calculator'!$AJ$9</c:f>
              <c:strCache>
                <c:ptCount val="1"/>
                <c:pt idx="0">
                  <c:v>0.25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poly"/>
            <c:order val="2"/>
            <c:dispRSqr val="0"/>
            <c:dispEq val="1"/>
            <c:trendlineLbl>
              <c:layout>
                <c:manualLayout>
                  <c:x val="-0.42475943748239842"/>
                  <c:y val="0.32069723874927508"/>
                </c:manualLayout>
              </c:layout>
              <c:numFmt formatCode="0.00E+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'DRV7308 Thermal Calculator'!$AF$10:$AF$24</c:f>
              <c:numCache>
                <c:formatCode>General</c:formatCode>
                <c:ptCount val="15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150</c:v>
                </c:pt>
                <c:pt idx="4">
                  <c:v>150</c:v>
                </c:pt>
                <c:pt idx="5">
                  <c:v>150</c:v>
                </c:pt>
                <c:pt idx="6">
                  <c:v>200</c:v>
                </c:pt>
                <c:pt idx="7">
                  <c:v>200</c:v>
                </c:pt>
                <c:pt idx="8">
                  <c:v>200</c:v>
                </c:pt>
                <c:pt idx="9">
                  <c:v>300</c:v>
                </c:pt>
                <c:pt idx="10">
                  <c:v>300</c:v>
                </c:pt>
                <c:pt idx="11">
                  <c:v>300</c:v>
                </c:pt>
                <c:pt idx="12">
                  <c:v>450</c:v>
                </c:pt>
                <c:pt idx="13">
                  <c:v>450</c:v>
                </c:pt>
                <c:pt idx="14">
                  <c:v>450</c:v>
                </c:pt>
              </c:numCache>
            </c:numRef>
          </c:xVal>
          <c:yVal>
            <c:numRef>
              <c:f>'DRV7308 Thermal Calculator'!$AJ$10:$AJ$24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0.1</c:v>
                </c:pt>
                <c:pt idx="3">
                  <c:v>0</c:v>
                </c:pt>
                <c:pt idx="4">
                  <c:v>0</c:v>
                </c:pt>
                <c:pt idx="5">
                  <c:v>0.2</c:v>
                </c:pt>
                <c:pt idx="6">
                  <c:v>0</c:v>
                </c:pt>
                <c:pt idx="7">
                  <c:v>0</c:v>
                </c:pt>
                <c:pt idx="8">
                  <c:v>0.2</c:v>
                </c:pt>
                <c:pt idx="9">
                  <c:v>0</c:v>
                </c:pt>
                <c:pt idx="10">
                  <c:v>0</c:v>
                </c:pt>
                <c:pt idx="11">
                  <c:v>0.3</c:v>
                </c:pt>
                <c:pt idx="12">
                  <c:v>0</c:v>
                </c:pt>
                <c:pt idx="13">
                  <c:v>0</c:v>
                </c:pt>
                <c:pt idx="14">
                  <c:v>0.6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4DD9-401E-A299-9D051A8D5A0A}"/>
            </c:ext>
          </c:extLst>
        </c:ser>
        <c:ser>
          <c:idx val="3"/>
          <c:order val="3"/>
          <c:tx>
            <c:strRef>
              <c:f>'DRV7308 Thermal Calculator'!$AK$9</c:f>
              <c:strCache>
                <c:ptCount val="1"/>
                <c:pt idx="0">
                  <c:v>0.5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4"/>
                </a:solidFill>
                <a:prstDash val="sysDot"/>
              </a:ln>
              <a:effectLst/>
            </c:spPr>
            <c:trendlineType val="poly"/>
            <c:order val="2"/>
            <c:dispRSqr val="0"/>
            <c:dispEq val="1"/>
            <c:trendlineLbl>
              <c:layout>
                <c:manualLayout>
                  <c:x val="-0.42639859512573886"/>
                  <c:y val="0.34646321068668268"/>
                </c:manualLayout>
              </c:layout>
              <c:numFmt formatCode="0.00E+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'DRV7308 Thermal Calculator'!$AF$10:$AF$24</c:f>
              <c:numCache>
                <c:formatCode>General</c:formatCode>
                <c:ptCount val="15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150</c:v>
                </c:pt>
                <c:pt idx="4">
                  <c:v>150</c:v>
                </c:pt>
                <c:pt idx="5">
                  <c:v>150</c:v>
                </c:pt>
                <c:pt idx="6">
                  <c:v>200</c:v>
                </c:pt>
                <c:pt idx="7">
                  <c:v>200</c:v>
                </c:pt>
                <c:pt idx="8">
                  <c:v>200</c:v>
                </c:pt>
                <c:pt idx="9">
                  <c:v>300</c:v>
                </c:pt>
                <c:pt idx="10">
                  <c:v>300</c:v>
                </c:pt>
                <c:pt idx="11">
                  <c:v>300</c:v>
                </c:pt>
                <c:pt idx="12">
                  <c:v>450</c:v>
                </c:pt>
                <c:pt idx="13">
                  <c:v>450</c:v>
                </c:pt>
                <c:pt idx="14">
                  <c:v>450</c:v>
                </c:pt>
              </c:numCache>
            </c:numRef>
          </c:xVal>
          <c:yVal>
            <c:numRef>
              <c:f>'DRV7308 Thermal Calculator'!$AK$10:$AK$24</c:f>
              <c:numCache>
                <c:formatCode>General</c:formatCode>
                <c:ptCount val="15"/>
                <c:pt idx="0">
                  <c:v>0.1</c:v>
                </c:pt>
                <c:pt idx="1">
                  <c:v>0.1</c:v>
                </c:pt>
                <c:pt idx="2">
                  <c:v>0.4</c:v>
                </c:pt>
                <c:pt idx="3">
                  <c:v>0.2</c:v>
                </c:pt>
                <c:pt idx="4">
                  <c:v>0.5</c:v>
                </c:pt>
                <c:pt idx="5">
                  <c:v>0.7</c:v>
                </c:pt>
                <c:pt idx="6">
                  <c:v>0.3</c:v>
                </c:pt>
                <c:pt idx="7">
                  <c:v>0.7</c:v>
                </c:pt>
                <c:pt idx="8">
                  <c:v>1</c:v>
                </c:pt>
                <c:pt idx="9">
                  <c:v>0.6</c:v>
                </c:pt>
                <c:pt idx="10">
                  <c:v>1.4</c:v>
                </c:pt>
                <c:pt idx="11">
                  <c:v>2.2000000000000002</c:v>
                </c:pt>
                <c:pt idx="12">
                  <c:v>1.8</c:v>
                </c:pt>
                <c:pt idx="13">
                  <c:v>3.4</c:v>
                </c:pt>
                <c:pt idx="14">
                  <c:v>4.8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4DD9-401E-A299-9D051A8D5A0A}"/>
            </c:ext>
          </c:extLst>
        </c:ser>
        <c:ser>
          <c:idx val="4"/>
          <c:order val="4"/>
          <c:tx>
            <c:strRef>
              <c:f>'DRV7308 Thermal Calculator'!$AL$9</c:f>
              <c:strCache>
                <c:ptCount val="1"/>
                <c:pt idx="0">
                  <c:v>0.7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5"/>
                </a:solidFill>
                <a:prstDash val="sysDot"/>
              </a:ln>
              <a:effectLst/>
            </c:spPr>
            <c:trendlineType val="poly"/>
            <c:order val="2"/>
            <c:dispRSqr val="0"/>
            <c:dispEq val="1"/>
            <c:trendlineLbl>
              <c:layout>
                <c:manualLayout>
                  <c:x val="-0.42803775276907935"/>
                  <c:y val="0.38107388700677125"/>
                </c:manualLayout>
              </c:layout>
              <c:numFmt formatCode="0.00E+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'DRV7308 Thermal Calculator'!$AF$10:$AF$24</c:f>
              <c:numCache>
                <c:formatCode>General</c:formatCode>
                <c:ptCount val="15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150</c:v>
                </c:pt>
                <c:pt idx="4">
                  <c:v>150</c:v>
                </c:pt>
                <c:pt idx="5">
                  <c:v>150</c:v>
                </c:pt>
                <c:pt idx="6">
                  <c:v>200</c:v>
                </c:pt>
                <c:pt idx="7">
                  <c:v>200</c:v>
                </c:pt>
                <c:pt idx="8">
                  <c:v>200</c:v>
                </c:pt>
                <c:pt idx="9">
                  <c:v>300</c:v>
                </c:pt>
                <c:pt idx="10">
                  <c:v>300</c:v>
                </c:pt>
                <c:pt idx="11">
                  <c:v>300</c:v>
                </c:pt>
                <c:pt idx="12">
                  <c:v>450</c:v>
                </c:pt>
                <c:pt idx="13">
                  <c:v>450</c:v>
                </c:pt>
                <c:pt idx="14">
                  <c:v>450</c:v>
                </c:pt>
              </c:numCache>
            </c:numRef>
          </c:xVal>
          <c:yVal>
            <c:numRef>
              <c:f>'DRV7308 Thermal Calculator'!$AL$10:$AL$24</c:f>
              <c:numCache>
                <c:formatCode>General</c:formatCode>
                <c:ptCount val="15"/>
                <c:pt idx="0">
                  <c:v>0.4</c:v>
                </c:pt>
                <c:pt idx="1">
                  <c:v>0.5</c:v>
                </c:pt>
                <c:pt idx="2">
                  <c:v>0.7</c:v>
                </c:pt>
                <c:pt idx="3">
                  <c:v>0.8</c:v>
                </c:pt>
                <c:pt idx="4">
                  <c:v>0.9</c:v>
                </c:pt>
                <c:pt idx="5">
                  <c:v>1.3</c:v>
                </c:pt>
                <c:pt idx="6">
                  <c:v>1.3</c:v>
                </c:pt>
                <c:pt idx="7">
                  <c:v>1.5</c:v>
                </c:pt>
                <c:pt idx="8">
                  <c:v>2.2000000000000002</c:v>
                </c:pt>
                <c:pt idx="9">
                  <c:v>3</c:v>
                </c:pt>
                <c:pt idx="10">
                  <c:v>3.3</c:v>
                </c:pt>
                <c:pt idx="11">
                  <c:v>4.5</c:v>
                </c:pt>
                <c:pt idx="12">
                  <c:v>6.9</c:v>
                </c:pt>
                <c:pt idx="13">
                  <c:v>7.5</c:v>
                </c:pt>
                <c:pt idx="14">
                  <c:v>9.6999999999999993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4DD9-401E-A299-9D051A8D5A0A}"/>
            </c:ext>
          </c:extLst>
        </c:ser>
        <c:ser>
          <c:idx val="5"/>
          <c:order val="5"/>
          <c:tx>
            <c:strRef>
              <c:f>'DRV7308 Thermal Calculator'!$AM$9</c:f>
              <c:strCache>
                <c:ptCount val="1"/>
                <c:pt idx="0">
                  <c:v>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6"/>
                </a:solidFill>
                <a:prstDash val="sysDot"/>
              </a:ln>
              <a:effectLst/>
            </c:spPr>
            <c:trendlineType val="poly"/>
            <c:order val="2"/>
            <c:dispRSqr val="0"/>
            <c:dispEq val="1"/>
            <c:trendlineLbl>
              <c:layout>
                <c:manualLayout>
                  <c:x val="-0.43066998368220177"/>
                  <c:y val="0.42840085546937706"/>
                </c:manualLayout>
              </c:layout>
              <c:numFmt formatCode="0.00E+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'DRV7308 Thermal Calculator'!$AF$10:$AF$24</c:f>
              <c:numCache>
                <c:formatCode>General</c:formatCode>
                <c:ptCount val="15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150</c:v>
                </c:pt>
                <c:pt idx="4">
                  <c:v>150</c:v>
                </c:pt>
                <c:pt idx="5">
                  <c:v>150</c:v>
                </c:pt>
                <c:pt idx="6">
                  <c:v>200</c:v>
                </c:pt>
                <c:pt idx="7">
                  <c:v>200</c:v>
                </c:pt>
                <c:pt idx="8">
                  <c:v>200</c:v>
                </c:pt>
                <c:pt idx="9">
                  <c:v>300</c:v>
                </c:pt>
                <c:pt idx="10">
                  <c:v>300</c:v>
                </c:pt>
                <c:pt idx="11">
                  <c:v>300</c:v>
                </c:pt>
                <c:pt idx="12">
                  <c:v>450</c:v>
                </c:pt>
                <c:pt idx="13">
                  <c:v>450</c:v>
                </c:pt>
                <c:pt idx="14">
                  <c:v>450</c:v>
                </c:pt>
              </c:numCache>
            </c:numRef>
          </c:xVal>
          <c:yVal>
            <c:numRef>
              <c:f>'DRV7308 Thermal Calculator'!$AM$10:$AM$24</c:f>
              <c:numCache>
                <c:formatCode>General</c:formatCode>
                <c:ptCount val="15"/>
                <c:pt idx="0">
                  <c:v>0.9</c:v>
                </c:pt>
                <c:pt idx="1">
                  <c:v>1</c:v>
                </c:pt>
                <c:pt idx="2">
                  <c:v>1.5</c:v>
                </c:pt>
                <c:pt idx="3">
                  <c:v>1.7</c:v>
                </c:pt>
                <c:pt idx="4">
                  <c:v>1.9</c:v>
                </c:pt>
                <c:pt idx="5">
                  <c:v>2.7</c:v>
                </c:pt>
                <c:pt idx="6">
                  <c:v>2.9</c:v>
                </c:pt>
                <c:pt idx="7">
                  <c:v>3.2</c:v>
                </c:pt>
                <c:pt idx="8">
                  <c:v>4.3</c:v>
                </c:pt>
                <c:pt idx="9">
                  <c:v>6.2</c:v>
                </c:pt>
                <c:pt idx="10">
                  <c:v>6.8</c:v>
                </c:pt>
                <c:pt idx="11">
                  <c:v>8.6</c:v>
                </c:pt>
                <c:pt idx="12">
                  <c:v>13.6</c:v>
                </c:pt>
                <c:pt idx="13">
                  <c:v>14.7</c:v>
                </c:pt>
                <c:pt idx="14">
                  <c:v>18</c:v>
                </c:pt>
              </c:numCache>
            </c:numRef>
          </c:y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B-4DD9-401E-A299-9D051A8D5A0A}"/>
            </c:ext>
          </c:extLst>
        </c:ser>
        <c:ser>
          <c:idx val="8"/>
          <c:order val="8"/>
          <c:tx>
            <c:v>Calculated Eoff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'DRV7308 Thermal Calculator'!$C$8</c:f>
              <c:numCache>
                <c:formatCode>General</c:formatCode>
                <c:ptCount val="1"/>
                <c:pt idx="0">
                  <c:v>310</c:v>
                </c:pt>
              </c:numCache>
            </c:numRef>
          </c:xVal>
          <c:yVal>
            <c:numRef>
              <c:f>'DRV7308 Thermal Calculator'!$V$75</c:f>
              <c:numCache>
                <c:formatCode>0.00</c:formatCode>
                <c:ptCount val="1"/>
                <c:pt idx="0">
                  <c:v>6.2127091483999992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4DD9-401E-A299-9D051A8D5A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82122239"/>
        <c:axId val="1986862255"/>
        <c:extLst>
          <c:ext xmlns:c15="http://schemas.microsoft.com/office/drawing/2012/chart" uri="{02D57815-91ED-43cb-92C2-25804820EDAC}">
            <c15:filteredScatterSeries>
              <c15:ser>
                <c:idx val="6"/>
                <c:order val="6"/>
                <c:tx>
                  <c:strRef>
                    <c:extLst>
                      <c:ext uri="{02D57815-91ED-43cb-92C2-25804820EDAC}">
                        <c15:formulaRef>
                          <c15:sqref>'DRV7308 Thermal Calculator'!$AN$9</c15:sqref>
                        </c15:formulaRef>
                      </c:ext>
                    </c:extLst>
                    <c:strCache>
                      <c:ptCount val="1"/>
                      <c:pt idx="0">
                        <c:v>2.5</c:v>
                      </c:pt>
                    </c:strCache>
                  </c:strRef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>
                        <a:lumMod val="60000"/>
                      </a:schemeClr>
                    </a:solidFill>
                    <a:ln w="9525">
                      <a:solidFill>
                        <a:schemeClr val="accent1">
                          <a:lumMod val="60000"/>
                        </a:schemeClr>
                      </a:solidFill>
                    </a:ln>
                    <a:effectLst/>
                  </c:spPr>
                </c:marker>
                <c:trendline>
                  <c:spPr>
                    <a:ln w="19050" cap="rnd">
                      <a:solidFill>
                        <a:schemeClr val="accent1">
                          <a:lumMod val="60000"/>
                        </a:schemeClr>
                      </a:solidFill>
                      <a:prstDash val="sysDot"/>
                    </a:ln>
                    <a:effectLst/>
                  </c:spPr>
                  <c:trendlineType val="poly"/>
                  <c:order val="2"/>
                  <c:dispRSqr val="0"/>
                  <c:dispEq val="1"/>
                  <c:trendlineLbl>
                    <c:layout>
                      <c:manualLayout>
                        <c:x val="-0.43176677187391344"/>
                        <c:y val="0.58187211712951781"/>
                      </c:manualLayout>
                    </c:layout>
                    <c:numFmt formatCode="0.00E+00" sourceLinked="0"/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anchor="ctr" anchorCtr="1"/>
                      <a:lstStyle/>
                      <a:p>
                        <a:pPr>
                          <a:defRPr sz="900" b="0" i="0" u="none" strike="noStrike" kern="1200" baseline="0">
                            <a:solidFill>
                              <a:schemeClr val="tx1">
                                <a:lumMod val="65000"/>
                                <a:lumOff val="35000"/>
                              </a:schemeClr>
                            </a:solidFill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en-US"/>
                      </a:p>
                    </c:txPr>
                  </c:trendlineLbl>
                </c:trendline>
                <c:xVal>
                  <c:numRef>
                    <c:extLst>
                      <c:ext uri="{02D57815-91ED-43cb-92C2-25804820EDAC}">
                        <c15:formulaRef>
                          <c15:sqref>'DRV7308 Thermal Calculator'!$AF$10:$AF$24</c15:sqref>
                        </c15:formulaRef>
                      </c:ext>
                    </c:extLst>
                    <c:numCache>
                      <c:formatCode>General</c:formatCode>
                      <c:ptCount val="15"/>
                      <c:pt idx="0">
                        <c:v>100</c:v>
                      </c:pt>
                      <c:pt idx="1">
                        <c:v>100</c:v>
                      </c:pt>
                      <c:pt idx="2">
                        <c:v>100</c:v>
                      </c:pt>
                      <c:pt idx="3">
                        <c:v>150</c:v>
                      </c:pt>
                      <c:pt idx="4">
                        <c:v>150</c:v>
                      </c:pt>
                      <c:pt idx="5">
                        <c:v>150</c:v>
                      </c:pt>
                      <c:pt idx="6">
                        <c:v>200</c:v>
                      </c:pt>
                      <c:pt idx="7">
                        <c:v>200</c:v>
                      </c:pt>
                      <c:pt idx="8">
                        <c:v>200</c:v>
                      </c:pt>
                      <c:pt idx="9">
                        <c:v>300</c:v>
                      </c:pt>
                      <c:pt idx="10">
                        <c:v>300</c:v>
                      </c:pt>
                      <c:pt idx="11">
                        <c:v>300</c:v>
                      </c:pt>
                      <c:pt idx="12">
                        <c:v>450</c:v>
                      </c:pt>
                      <c:pt idx="13">
                        <c:v>450</c:v>
                      </c:pt>
                      <c:pt idx="14">
                        <c:v>450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'DRV7308 Thermal Calculator'!$AN$10:$AN$24</c15:sqref>
                        </c15:formulaRef>
                      </c:ext>
                    </c:extLst>
                    <c:numCache>
                      <c:formatCode>General</c:formatCode>
                      <c:ptCount val="15"/>
                      <c:pt idx="0">
                        <c:v>4.7</c:v>
                      </c:pt>
                      <c:pt idx="1">
                        <c:v>5.5</c:v>
                      </c:pt>
                      <c:pt idx="2">
                        <c:v>7.8</c:v>
                      </c:pt>
                      <c:pt idx="3">
                        <c:v>8.3000000000000007</c:v>
                      </c:pt>
                      <c:pt idx="4">
                        <c:v>9</c:v>
                      </c:pt>
                      <c:pt idx="5">
                        <c:v>13.1</c:v>
                      </c:pt>
                      <c:pt idx="6">
                        <c:v>13.2</c:v>
                      </c:pt>
                      <c:pt idx="7">
                        <c:v>14.4</c:v>
                      </c:pt>
                      <c:pt idx="8">
                        <c:v>19.600000000000001</c:v>
                      </c:pt>
                      <c:pt idx="9">
                        <c:v>25.7</c:v>
                      </c:pt>
                      <c:pt idx="10">
                        <c:v>28.6</c:v>
                      </c:pt>
                      <c:pt idx="11">
                        <c:v>36.4</c:v>
                      </c:pt>
                      <c:pt idx="12">
                        <c:v>53.5</c:v>
                      </c:pt>
                      <c:pt idx="13">
                        <c:v>58.5</c:v>
                      </c:pt>
                      <c:pt idx="14">
                        <c:v>70.5</c:v>
                      </c:pt>
                    </c:numCache>
                  </c:numRef>
                </c:yVal>
                <c:smooth val="0"/>
                <c:extLst>
                  <c:ext xmlns:c16="http://schemas.microsoft.com/office/drawing/2014/chart" uri="{C3380CC4-5D6E-409C-BE32-E72D297353CC}">
                    <c16:uniqueId val="{0000000D-4DD9-401E-A299-9D051A8D5A0A}"/>
                  </c:ext>
                </c:extLst>
              </c15:ser>
            </c15:filteredScatterSeries>
            <c15:filteredScatte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'DRV7308 Thermal Calculator'!$AO$9</c15:sqref>
                        </c15:formulaRef>
                      </c:ext>
                    </c:extLst>
                    <c:strCache>
                      <c:ptCount val="1"/>
                      <c:pt idx="0">
                        <c:v>4</c:v>
                      </c:pt>
                    </c:strCache>
                  </c:strRef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2">
                        <a:lumMod val="60000"/>
                      </a:schemeClr>
                    </a:solidFill>
                    <a:ln w="9525">
                      <a:solidFill>
                        <a:schemeClr val="accent2">
                          <a:lumMod val="60000"/>
                        </a:schemeClr>
                      </a:solidFill>
                    </a:ln>
                    <a:effectLst/>
                  </c:spPr>
                </c:marker>
                <c:trendline>
                  <c:spPr>
                    <a:ln w="19050" cap="rnd">
                      <a:solidFill>
                        <a:schemeClr val="accent2">
                          <a:lumMod val="60000"/>
                        </a:schemeClr>
                      </a:solidFill>
                      <a:prstDash val="sysDot"/>
                    </a:ln>
                    <a:effectLst/>
                  </c:spPr>
                  <c:trendlineType val="poly"/>
                  <c:order val="2"/>
                  <c:dispRSqr val="0"/>
                  <c:dispEq val="1"/>
                  <c:trendlineLbl>
                    <c:layout>
                      <c:manualLayout>
                        <c:x val="-0.43012761423057294"/>
                        <c:y val="0.75574966649374908"/>
                      </c:manualLayout>
                    </c:layout>
                    <c:numFmt formatCode="0.00E+00" sourceLinked="0"/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anchor="ctr" anchorCtr="1"/>
                      <a:lstStyle/>
                      <a:p>
                        <a:pPr>
                          <a:defRPr sz="900" b="0" i="0" u="none" strike="noStrike" kern="1200" baseline="0">
                            <a:solidFill>
                              <a:schemeClr val="tx1">
                                <a:lumMod val="65000"/>
                                <a:lumOff val="35000"/>
                              </a:schemeClr>
                            </a:solidFill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en-US"/>
                      </a:p>
                    </c:txPr>
                  </c:trendlineLbl>
                </c:trendline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'DRV7308 Thermal Calculator'!$AF$10:$AF$24</c15:sqref>
                        </c15:formulaRef>
                      </c:ext>
                    </c:extLst>
                    <c:numCache>
                      <c:formatCode>General</c:formatCode>
                      <c:ptCount val="15"/>
                      <c:pt idx="0">
                        <c:v>100</c:v>
                      </c:pt>
                      <c:pt idx="1">
                        <c:v>100</c:v>
                      </c:pt>
                      <c:pt idx="2">
                        <c:v>100</c:v>
                      </c:pt>
                      <c:pt idx="3">
                        <c:v>150</c:v>
                      </c:pt>
                      <c:pt idx="4">
                        <c:v>150</c:v>
                      </c:pt>
                      <c:pt idx="5">
                        <c:v>150</c:v>
                      </c:pt>
                      <c:pt idx="6">
                        <c:v>200</c:v>
                      </c:pt>
                      <c:pt idx="7">
                        <c:v>200</c:v>
                      </c:pt>
                      <c:pt idx="8">
                        <c:v>200</c:v>
                      </c:pt>
                      <c:pt idx="9">
                        <c:v>300</c:v>
                      </c:pt>
                      <c:pt idx="10">
                        <c:v>300</c:v>
                      </c:pt>
                      <c:pt idx="11">
                        <c:v>300</c:v>
                      </c:pt>
                      <c:pt idx="12">
                        <c:v>450</c:v>
                      </c:pt>
                      <c:pt idx="13">
                        <c:v>450</c:v>
                      </c:pt>
                      <c:pt idx="14">
                        <c:v>450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'DRV7308 Thermal Calculator'!$AO$10:$AO$24</c15:sqref>
                        </c15:formulaRef>
                      </c:ext>
                    </c:extLst>
                    <c:numCache>
                      <c:formatCode>General</c:formatCode>
                      <c:ptCount val="15"/>
                      <c:pt idx="0">
                        <c:v>10</c:v>
                      </c:pt>
                      <c:pt idx="1">
                        <c:v>11.9</c:v>
                      </c:pt>
                      <c:pt idx="2">
                        <c:v>17.7</c:v>
                      </c:pt>
                      <c:pt idx="3">
                        <c:v>17.100000000000001</c:v>
                      </c:pt>
                      <c:pt idx="4">
                        <c:v>20.100000000000001</c:v>
                      </c:pt>
                      <c:pt idx="5">
                        <c:v>28.4</c:v>
                      </c:pt>
                      <c:pt idx="6">
                        <c:v>26.1</c:v>
                      </c:pt>
                      <c:pt idx="7">
                        <c:v>30.2</c:v>
                      </c:pt>
                      <c:pt idx="8">
                        <c:v>41.5</c:v>
                      </c:pt>
                      <c:pt idx="9">
                        <c:v>49.6</c:v>
                      </c:pt>
                      <c:pt idx="10">
                        <c:v>56.1</c:v>
                      </c:pt>
                      <c:pt idx="11">
                        <c:v>73.5</c:v>
                      </c:pt>
                      <c:pt idx="12">
                        <c:v>93.8</c:v>
                      </c:pt>
                      <c:pt idx="13">
                        <c:v>109</c:v>
                      </c:pt>
                      <c:pt idx="14">
                        <c:v>136.80000000000001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F-4DD9-401E-A299-9D051A8D5A0A}"/>
                  </c:ext>
                </c:extLst>
              </c15:ser>
            </c15:filteredScatterSeries>
          </c:ext>
        </c:extLst>
      </c:scatterChart>
      <c:valAx>
        <c:axId val="58212223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VM</a:t>
                </a:r>
                <a:r>
                  <a:rPr lang="en-US" baseline="0"/>
                  <a:t> Voltage (V)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6862255"/>
        <c:crosses val="autoZero"/>
        <c:crossBetween val="midCat"/>
      </c:valAx>
      <c:valAx>
        <c:axId val="19868622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Switching Energy (uJ)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2122239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5113200785346109E-2"/>
          <c:y val="0.58651089242864562"/>
          <c:w val="0.86729161514731967"/>
          <c:h val="6.442008429166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0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Eon (10V/ns)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2986563537679451E-2"/>
          <c:y val="9.7132822473699726E-2"/>
          <c:w val="0.87768603364118514"/>
          <c:h val="0.45223720890721891"/>
        </c:manualLayout>
      </c:layout>
      <c:scatterChart>
        <c:scatterStyle val="lineMarker"/>
        <c:varyColors val="0"/>
        <c:ser>
          <c:idx val="0"/>
          <c:order val="0"/>
          <c:tx>
            <c:strRef>
              <c:f>'DRV7308 Thermal Calculator'!$AP$9</c:f>
              <c:strCache>
                <c:ptCount val="1"/>
                <c:pt idx="0">
                  <c:v>0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poly"/>
            <c:order val="2"/>
            <c:dispRSqr val="0"/>
            <c:dispEq val="1"/>
            <c:trendlineLbl>
              <c:layout>
                <c:manualLayout>
                  <c:x val="-0.43315844411248933"/>
                  <c:y val="0.30606840823776676"/>
                </c:manualLayout>
              </c:layout>
              <c:numFmt formatCode="0.00E+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'DRV7308 Thermal Calculator'!$AF$25:$AF$39</c:f>
              <c:numCache>
                <c:formatCode>General</c:formatCode>
                <c:ptCount val="15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150</c:v>
                </c:pt>
                <c:pt idx="4">
                  <c:v>150</c:v>
                </c:pt>
                <c:pt idx="5">
                  <c:v>150</c:v>
                </c:pt>
                <c:pt idx="6">
                  <c:v>200</c:v>
                </c:pt>
                <c:pt idx="7">
                  <c:v>200</c:v>
                </c:pt>
                <c:pt idx="8">
                  <c:v>200</c:v>
                </c:pt>
                <c:pt idx="9">
                  <c:v>300</c:v>
                </c:pt>
                <c:pt idx="10">
                  <c:v>300</c:v>
                </c:pt>
                <c:pt idx="11">
                  <c:v>300</c:v>
                </c:pt>
                <c:pt idx="12">
                  <c:v>450</c:v>
                </c:pt>
                <c:pt idx="13">
                  <c:v>450</c:v>
                </c:pt>
                <c:pt idx="14">
                  <c:v>450</c:v>
                </c:pt>
              </c:numCache>
            </c:numRef>
          </c:xVal>
          <c:yVal>
            <c:numRef>
              <c:f>'DRV7308 Thermal Calculator'!$AP$25:$AP$39</c:f>
              <c:numCache>
                <c:formatCode>General</c:formatCode>
                <c:ptCount val="15"/>
                <c:pt idx="0">
                  <c:v>0.7</c:v>
                </c:pt>
                <c:pt idx="1">
                  <c:v>0.7</c:v>
                </c:pt>
                <c:pt idx="2">
                  <c:v>0.7</c:v>
                </c:pt>
                <c:pt idx="3">
                  <c:v>1.4</c:v>
                </c:pt>
                <c:pt idx="4">
                  <c:v>1.4</c:v>
                </c:pt>
                <c:pt idx="5">
                  <c:v>1.4</c:v>
                </c:pt>
                <c:pt idx="6">
                  <c:v>2.2999999999999998</c:v>
                </c:pt>
                <c:pt idx="7">
                  <c:v>2.2999999999999998</c:v>
                </c:pt>
                <c:pt idx="8">
                  <c:v>2.2999999999999998</c:v>
                </c:pt>
                <c:pt idx="9">
                  <c:v>4.7</c:v>
                </c:pt>
                <c:pt idx="10">
                  <c:v>4.7</c:v>
                </c:pt>
                <c:pt idx="11">
                  <c:v>4.7</c:v>
                </c:pt>
                <c:pt idx="12">
                  <c:v>9.5</c:v>
                </c:pt>
                <c:pt idx="13">
                  <c:v>9.5</c:v>
                </c:pt>
                <c:pt idx="14">
                  <c:v>9.5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496-4612-82D7-63727BE9D09D}"/>
            </c:ext>
          </c:extLst>
        </c:ser>
        <c:ser>
          <c:idx val="1"/>
          <c:order val="1"/>
          <c:tx>
            <c:strRef>
              <c:f>'DRV7308 Thermal Calculator'!$AQ$9</c:f>
              <c:strCache>
                <c:ptCount val="1"/>
                <c:pt idx="0">
                  <c:v>0.1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poly"/>
            <c:order val="2"/>
            <c:dispRSqr val="0"/>
            <c:dispEq val="1"/>
            <c:trendlineLbl>
              <c:layout>
                <c:manualLayout>
                  <c:x val="-0.43315844411248933"/>
                  <c:y val="0.34071600108299005"/>
                </c:manualLayout>
              </c:layout>
              <c:numFmt formatCode="0.00E+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'DRV7308 Thermal Calculator'!$AF$25:$AF$39</c:f>
              <c:numCache>
                <c:formatCode>General</c:formatCode>
                <c:ptCount val="15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150</c:v>
                </c:pt>
                <c:pt idx="4">
                  <c:v>150</c:v>
                </c:pt>
                <c:pt idx="5">
                  <c:v>150</c:v>
                </c:pt>
                <c:pt idx="6">
                  <c:v>200</c:v>
                </c:pt>
                <c:pt idx="7">
                  <c:v>200</c:v>
                </c:pt>
                <c:pt idx="8">
                  <c:v>200</c:v>
                </c:pt>
                <c:pt idx="9">
                  <c:v>300</c:v>
                </c:pt>
                <c:pt idx="10">
                  <c:v>300</c:v>
                </c:pt>
                <c:pt idx="11">
                  <c:v>300</c:v>
                </c:pt>
                <c:pt idx="12">
                  <c:v>450</c:v>
                </c:pt>
                <c:pt idx="13">
                  <c:v>450</c:v>
                </c:pt>
                <c:pt idx="14">
                  <c:v>450</c:v>
                </c:pt>
              </c:numCache>
            </c:numRef>
          </c:xVal>
          <c:yVal>
            <c:numRef>
              <c:f>'DRV7308 Thermal Calculator'!$AQ$25:$AQ$39</c:f>
              <c:numCache>
                <c:formatCode>General</c:formatCode>
                <c:ptCount val="15"/>
                <c:pt idx="0">
                  <c:v>0.9</c:v>
                </c:pt>
                <c:pt idx="1">
                  <c:v>0.9</c:v>
                </c:pt>
                <c:pt idx="2">
                  <c:v>0.9</c:v>
                </c:pt>
                <c:pt idx="3">
                  <c:v>1.7</c:v>
                </c:pt>
                <c:pt idx="4">
                  <c:v>1.7</c:v>
                </c:pt>
                <c:pt idx="5">
                  <c:v>1.7</c:v>
                </c:pt>
                <c:pt idx="6">
                  <c:v>2.8</c:v>
                </c:pt>
                <c:pt idx="7">
                  <c:v>2.8</c:v>
                </c:pt>
                <c:pt idx="8">
                  <c:v>2.8</c:v>
                </c:pt>
                <c:pt idx="9">
                  <c:v>5.5</c:v>
                </c:pt>
                <c:pt idx="10">
                  <c:v>5.5</c:v>
                </c:pt>
                <c:pt idx="11">
                  <c:v>5.5</c:v>
                </c:pt>
                <c:pt idx="12">
                  <c:v>11</c:v>
                </c:pt>
                <c:pt idx="13">
                  <c:v>11</c:v>
                </c:pt>
                <c:pt idx="14">
                  <c:v>11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B496-4612-82D7-63727BE9D09D}"/>
            </c:ext>
          </c:extLst>
        </c:ser>
        <c:ser>
          <c:idx val="2"/>
          <c:order val="2"/>
          <c:tx>
            <c:strRef>
              <c:f>'DRV7308 Thermal Calculator'!$AR$9</c:f>
              <c:strCache>
                <c:ptCount val="1"/>
                <c:pt idx="0">
                  <c:v>0.25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poly"/>
            <c:order val="2"/>
            <c:dispRSqr val="0"/>
            <c:dispEq val="1"/>
            <c:trendlineLbl>
              <c:layout>
                <c:manualLayout>
                  <c:x val="-0.43152002681327967"/>
                  <c:y val="0.3807696620668139"/>
                </c:manualLayout>
              </c:layout>
              <c:numFmt formatCode="0.00E+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'DRV7308 Thermal Calculator'!$AF$25:$AF$39</c:f>
              <c:numCache>
                <c:formatCode>General</c:formatCode>
                <c:ptCount val="15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150</c:v>
                </c:pt>
                <c:pt idx="4">
                  <c:v>150</c:v>
                </c:pt>
                <c:pt idx="5">
                  <c:v>150</c:v>
                </c:pt>
                <c:pt idx="6">
                  <c:v>200</c:v>
                </c:pt>
                <c:pt idx="7">
                  <c:v>200</c:v>
                </c:pt>
                <c:pt idx="8">
                  <c:v>200</c:v>
                </c:pt>
                <c:pt idx="9">
                  <c:v>300</c:v>
                </c:pt>
                <c:pt idx="10">
                  <c:v>300</c:v>
                </c:pt>
                <c:pt idx="11">
                  <c:v>300</c:v>
                </c:pt>
                <c:pt idx="12">
                  <c:v>450</c:v>
                </c:pt>
                <c:pt idx="13">
                  <c:v>450</c:v>
                </c:pt>
                <c:pt idx="14">
                  <c:v>450</c:v>
                </c:pt>
              </c:numCache>
            </c:numRef>
          </c:xVal>
          <c:yVal>
            <c:numRef>
              <c:f>'DRV7308 Thermal Calculator'!$AR$25:$AR$39</c:f>
              <c:numCache>
                <c:formatCode>General</c:formatCode>
                <c:ptCount val="15"/>
                <c:pt idx="0">
                  <c:v>1.1000000000000001</c:v>
                </c:pt>
                <c:pt idx="1">
                  <c:v>1.1000000000000001</c:v>
                </c:pt>
                <c:pt idx="2">
                  <c:v>1.1000000000000001</c:v>
                </c:pt>
                <c:pt idx="3">
                  <c:v>2.1</c:v>
                </c:pt>
                <c:pt idx="4">
                  <c:v>2.1</c:v>
                </c:pt>
                <c:pt idx="5">
                  <c:v>2.1</c:v>
                </c:pt>
                <c:pt idx="6">
                  <c:v>3.3</c:v>
                </c:pt>
                <c:pt idx="7">
                  <c:v>3.3</c:v>
                </c:pt>
                <c:pt idx="8">
                  <c:v>3.3</c:v>
                </c:pt>
                <c:pt idx="9">
                  <c:v>6.5</c:v>
                </c:pt>
                <c:pt idx="10">
                  <c:v>6.5</c:v>
                </c:pt>
                <c:pt idx="11">
                  <c:v>6.5</c:v>
                </c:pt>
                <c:pt idx="12">
                  <c:v>13.1</c:v>
                </c:pt>
                <c:pt idx="13">
                  <c:v>13.1</c:v>
                </c:pt>
                <c:pt idx="14">
                  <c:v>13.1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B496-4612-82D7-63727BE9D09D}"/>
            </c:ext>
          </c:extLst>
        </c:ser>
        <c:ser>
          <c:idx val="3"/>
          <c:order val="3"/>
          <c:tx>
            <c:strRef>
              <c:f>'DRV7308 Thermal Calculator'!$AS$9</c:f>
              <c:strCache>
                <c:ptCount val="1"/>
                <c:pt idx="0">
                  <c:v>0.5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4"/>
                </a:solidFill>
                <a:prstDash val="sysDot"/>
              </a:ln>
              <a:effectLst/>
            </c:spPr>
            <c:trendlineType val="poly"/>
            <c:order val="2"/>
            <c:dispRSqr val="0"/>
            <c:dispEq val="1"/>
            <c:trendlineLbl>
              <c:layout>
                <c:manualLayout>
                  <c:x val="-0.43152002681327967"/>
                  <c:y val="0.42873210064701833"/>
                </c:manualLayout>
              </c:layout>
              <c:numFmt formatCode="0.00E+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'DRV7308 Thermal Calculator'!$AF$25:$AF$39</c:f>
              <c:numCache>
                <c:formatCode>General</c:formatCode>
                <c:ptCount val="15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150</c:v>
                </c:pt>
                <c:pt idx="4">
                  <c:v>150</c:v>
                </c:pt>
                <c:pt idx="5">
                  <c:v>150</c:v>
                </c:pt>
                <c:pt idx="6">
                  <c:v>200</c:v>
                </c:pt>
                <c:pt idx="7">
                  <c:v>200</c:v>
                </c:pt>
                <c:pt idx="8">
                  <c:v>200</c:v>
                </c:pt>
                <c:pt idx="9">
                  <c:v>300</c:v>
                </c:pt>
                <c:pt idx="10">
                  <c:v>300</c:v>
                </c:pt>
                <c:pt idx="11">
                  <c:v>300</c:v>
                </c:pt>
                <c:pt idx="12">
                  <c:v>450</c:v>
                </c:pt>
                <c:pt idx="13">
                  <c:v>450</c:v>
                </c:pt>
                <c:pt idx="14">
                  <c:v>450</c:v>
                </c:pt>
              </c:numCache>
            </c:numRef>
          </c:xVal>
          <c:yVal>
            <c:numRef>
              <c:f>'DRV7308 Thermal Calculator'!$AS$25:$AS$39</c:f>
              <c:numCache>
                <c:formatCode>General</c:formatCode>
                <c:ptCount val="15"/>
                <c:pt idx="0">
                  <c:v>1.5</c:v>
                </c:pt>
                <c:pt idx="1">
                  <c:v>1.5</c:v>
                </c:pt>
                <c:pt idx="2">
                  <c:v>1.5</c:v>
                </c:pt>
                <c:pt idx="3">
                  <c:v>2.8</c:v>
                </c:pt>
                <c:pt idx="4">
                  <c:v>2.8</c:v>
                </c:pt>
                <c:pt idx="5">
                  <c:v>2.8</c:v>
                </c:pt>
                <c:pt idx="6">
                  <c:v>4.3</c:v>
                </c:pt>
                <c:pt idx="7">
                  <c:v>4.3</c:v>
                </c:pt>
                <c:pt idx="8">
                  <c:v>4.3</c:v>
                </c:pt>
                <c:pt idx="9">
                  <c:v>8.3000000000000007</c:v>
                </c:pt>
                <c:pt idx="10">
                  <c:v>8.3000000000000007</c:v>
                </c:pt>
                <c:pt idx="11">
                  <c:v>8.3000000000000007</c:v>
                </c:pt>
                <c:pt idx="12">
                  <c:v>16.600000000000001</c:v>
                </c:pt>
                <c:pt idx="13">
                  <c:v>16.600000000000001</c:v>
                </c:pt>
                <c:pt idx="14">
                  <c:v>16.600000000000001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B496-4612-82D7-63727BE9D09D}"/>
            </c:ext>
          </c:extLst>
        </c:ser>
        <c:ser>
          <c:idx val="4"/>
          <c:order val="4"/>
          <c:tx>
            <c:strRef>
              <c:f>'DRV7308 Thermal Calculator'!$AT$9</c:f>
              <c:strCache>
                <c:ptCount val="1"/>
                <c:pt idx="0">
                  <c:v>0.7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5"/>
                </a:solidFill>
                <a:prstDash val="sysDot"/>
              </a:ln>
              <a:effectLst/>
            </c:spPr>
            <c:trendlineType val="poly"/>
            <c:order val="2"/>
            <c:dispRSqr val="0"/>
            <c:dispEq val="1"/>
            <c:trendlineLbl>
              <c:layout>
                <c:manualLayout>
                  <c:x val="-0.43152002681327967"/>
                  <c:y val="0.46930854066454797"/>
                </c:manualLayout>
              </c:layout>
              <c:numFmt formatCode="0.00E+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'DRV7308 Thermal Calculator'!$AF$25:$AF$39</c:f>
              <c:numCache>
                <c:formatCode>General</c:formatCode>
                <c:ptCount val="15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150</c:v>
                </c:pt>
                <c:pt idx="4">
                  <c:v>150</c:v>
                </c:pt>
                <c:pt idx="5">
                  <c:v>150</c:v>
                </c:pt>
                <c:pt idx="6">
                  <c:v>200</c:v>
                </c:pt>
                <c:pt idx="7">
                  <c:v>200</c:v>
                </c:pt>
                <c:pt idx="8">
                  <c:v>200</c:v>
                </c:pt>
                <c:pt idx="9">
                  <c:v>300</c:v>
                </c:pt>
                <c:pt idx="10">
                  <c:v>300</c:v>
                </c:pt>
                <c:pt idx="11">
                  <c:v>300</c:v>
                </c:pt>
                <c:pt idx="12">
                  <c:v>450</c:v>
                </c:pt>
                <c:pt idx="13">
                  <c:v>450</c:v>
                </c:pt>
                <c:pt idx="14">
                  <c:v>450</c:v>
                </c:pt>
              </c:numCache>
            </c:numRef>
          </c:xVal>
          <c:yVal>
            <c:numRef>
              <c:f>'DRV7308 Thermal Calculator'!$AT$25:$AT$39</c:f>
              <c:numCache>
                <c:formatCode>General</c:formatCode>
                <c:ptCount val="15"/>
                <c:pt idx="0">
                  <c:v>1.8</c:v>
                </c:pt>
                <c:pt idx="1">
                  <c:v>1.8</c:v>
                </c:pt>
                <c:pt idx="2">
                  <c:v>1.8</c:v>
                </c:pt>
                <c:pt idx="3">
                  <c:v>3.3</c:v>
                </c:pt>
                <c:pt idx="4">
                  <c:v>3.3</c:v>
                </c:pt>
                <c:pt idx="5">
                  <c:v>3.3</c:v>
                </c:pt>
                <c:pt idx="6">
                  <c:v>5.0999999999999996</c:v>
                </c:pt>
                <c:pt idx="7">
                  <c:v>5.0999999999999996</c:v>
                </c:pt>
                <c:pt idx="8">
                  <c:v>5.0999999999999996</c:v>
                </c:pt>
                <c:pt idx="9">
                  <c:v>9.8000000000000007</c:v>
                </c:pt>
                <c:pt idx="10">
                  <c:v>9.8000000000000007</c:v>
                </c:pt>
                <c:pt idx="11">
                  <c:v>9.8000000000000007</c:v>
                </c:pt>
                <c:pt idx="12">
                  <c:v>19.5</c:v>
                </c:pt>
                <c:pt idx="13">
                  <c:v>19.5</c:v>
                </c:pt>
                <c:pt idx="14">
                  <c:v>19.5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B496-4612-82D7-63727BE9D09D}"/>
            </c:ext>
          </c:extLst>
        </c:ser>
        <c:ser>
          <c:idx val="5"/>
          <c:order val="5"/>
          <c:tx>
            <c:strRef>
              <c:f>'DRV7308 Thermal Calculator'!$AU$9</c:f>
              <c:strCache>
                <c:ptCount val="1"/>
                <c:pt idx="0">
                  <c:v>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6"/>
                </a:solidFill>
                <a:prstDash val="sysDot"/>
              </a:ln>
              <a:effectLst/>
            </c:spPr>
            <c:trendlineType val="poly"/>
            <c:order val="2"/>
            <c:dispRSqr val="0"/>
            <c:dispEq val="1"/>
            <c:trendlineLbl>
              <c:layout>
                <c:manualLayout>
                  <c:x val="-0.43197052706594424"/>
                  <c:y val="0.51980144547768381"/>
                </c:manualLayout>
              </c:layout>
              <c:numFmt formatCode="0.00E+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'DRV7308 Thermal Calculator'!$AF$25:$AF$39</c:f>
              <c:numCache>
                <c:formatCode>General</c:formatCode>
                <c:ptCount val="15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150</c:v>
                </c:pt>
                <c:pt idx="4">
                  <c:v>150</c:v>
                </c:pt>
                <c:pt idx="5">
                  <c:v>150</c:v>
                </c:pt>
                <c:pt idx="6">
                  <c:v>200</c:v>
                </c:pt>
                <c:pt idx="7">
                  <c:v>200</c:v>
                </c:pt>
                <c:pt idx="8">
                  <c:v>200</c:v>
                </c:pt>
                <c:pt idx="9">
                  <c:v>300</c:v>
                </c:pt>
                <c:pt idx="10">
                  <c:v>300</c:v>
                </c:pt>
                <c:pt idx="11">
                  <c:v>300</c:v>
                </c:pt>
                <c:pt idx="12">
                  <c:v>450</c:v>
                </c:pt>
                <c:pt idx="13">
                  <c:v>450</c:v>
                </c:pt>
                <c:pt idx="14">
                  <c:v>450</c:v>
                </c:pt>
              </c:numCache>
            </c:numRef>
          </c:xVal>
          <c:yVal>
            <c:numRef>
              <c:f>'DRV7308 Thermal Calculator'!$AU$25:$AU$39</c:f>
              <c:numCache>
                <c:formatCode>General</c:formatCode>
                <c:ptCount val="15"/>
                <c:pt idx="0">
                  <c:v>2.2999999999999998</c:v>
                </c:pt>
                <c:pt idx="1">
                  <c:v>2.2999999999999998</c:v>
                </c:pt>
                <c:pt idx="2">
                  <c:v>2.2999999999999998</c:v>
                </c:pt>
                <c:pt idx="3">
                  <c:v>4.0999999999999996</c:v>
                </c:pt>
                <c:pt idx="4">
                  <c:v>4.0999999999999996</c:v>
                </c:pt>
                <c:pt idx="5">
                  <c:v>4.0999999999999996</c:v>
                </c:pt>
                <c:pt idx="6">
                  <c:v>6.3</c:v>
                </c:pt>
                <c:pt idx="7">
                  <c:v>6.3</c:v>
                </c:pt>
                <c:pt idx="8">
                  <c:v>6.3</c:v>
                </c:pt>
                <c:pt idx="9">
                  <c:v>12</c:v>
                </c:pt>
                <c:pt idx="10">
                  <c:v>12</c:v>
                </c:pt>
                <c:pt idx="11">
                  <c:v>12</c:v>
                </c:pt>
                <c:pt idx="12">
                  <c:v>23.8</c:v>
                </c:pt>
                <c:pt idx="13">
                  <c:v>23.8</c:v>
                </c:pt>
                <c:pt idx="14">
                  <c:v>23.8</c:v>
                </c:pt>
              </c:numCache>
            </c:numRef>
          </c:y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B-B496-4612-82D7-63727BE9D09D}"/>
            </c:ext>
          </c:extLst>
        </c:ser>
        <c:ser>
          <c:idx val="8"/>
          <c:order val="8"/>
          <c:tx>
            <c:v>Calculated Eon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'DRV7308 Thermal Calculator'!$C$8</c:f>
              <c:numCache>
                <c:formatCode>General</c:formatCode>
                <c:ptCount val="1"/>
                <c:pt idx="0">
                  <c:v>310</c:v>
                </c:pt>
              </c:numCache>
            </c:numRef>
          </c:xVal>
          <c:yVal>
            <c:numRef>
              <c:f>'DRV7308 Thermal Calculator'!$W$76</c:f>
              <c:numCache>
                <c:formatCode>0.00</c:formatCode>
                <c:ptCount val="1"/>
                <c:pt idx="0">
                  <c:v>11.520554316000002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B496-4612-82D7-63727BE9D0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82122239"/>
        <c:axId val="1986862255"/>
        <c:extLst>
          <c:ext xmlns:c15="http://schemas.microsoft.com/office/drawing/2012/chart" uri="{02D57815-91ED-43cb-92C2-25804820EDAC}">
            <c15:filteredScatterSeries>
              <c15:ser>
                <c:idx val="6"/>
                <c:order val="6"/>
                <c:tx>
                  <c:strRef>
                    <c:extLst>
                      <c:ext uri="{02D57815-91ED-43cb-92C2-25804820EDAC}">
                        <c15:formulaRef>
                          <c15:sqref>'DRV7308 Thermal Calculator'!$AV$9</c15:sqref>
                        </c15:formulaRef>
                      </c:ext>
                    </c:extLst>
                    <c:strCache>
                      <c:ptCount val="1"/>
                      <c:pt idx="0">
                        <c:v>2.5</c:v>
                      </c:pt>
                    </c:strCache>
                  </c:strRef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>
                        <a:lumMod val="60000"/>
                      </a:schemeClr>
                    </a:solidFill>
                    <a:ln w="9525">
                      <a:solidFill>
                        <a:schemeClr val="accent1">
                          <a:lumMod val="60000"/>
                        </a:schemeClr>
                      </a:solidFill>
                    </a:ln>
                    <a:effectLst/>
                  </c:spPr>
                </c:marker>
                <c:trendline>
                  <c:spPr>
                    <a:ln w="19050" cap="rnd">
                      <a:solidFill>
                        <a:schemeClr val="accent1">
                          <a:lumMod val="60000"/>
                        </a:schemeClr>
                      </a:solidFill>
                      <a:prstDash val="sysDot"/>
                    </a:ln>
                    <a:effectLst/>
                  </c:spPr>
                  <c:trendlineType val="poly"/>
                  <c:order val="2"/>
                  <c:dispRSqr val="0"/>
                  <c:dispEq val="1"/>
                  <c:trendlineLbl>
                    <c:layout>
                      <c:manualLayout>
                        <c:x val="-0.43033210976673453"/>
                        <c:y val="0.6748474606595295"/>
                      </c:manualLayout>
                    </c:layout>
                    <c:numFmt formatCode="0.00E+00" sourceLinked="0"/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anchor="ctr" anchorCtr="1"/>
                      <a:lstStyle/>
                      <a:p>
                        <a:pPr>
                          <a:defRPr sz="900" b="0" i="0" u="none" strike="noStrike" kern="1200" baseline="0">
                            <a:solidFill>
                              <a:schemeClr val="tx1">
                                <a:lumMod val="65000"/>
                                <a:lumOff val="35000"/>
                              </a:schemeClr>
                            </a:solidFill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en-US"/>
                      </a:p>
                    </c:txPr>
                  </c:trendlineLbl>
                </c:trendline>
                <c:xVal>
                  <c:numRef>
                    <c:extLst>
                      <c:ext uri="{02D57815-91ED-43cb-92C2-25804820EDAC}">
                        <c15:formulaRef>
                          <c15:sqref>'DRV7308 Thermal Calculator'!$AF$25:$AF$39</c15:sqref>
                        </c15:formulaRef>
                      </c:ext>
                    </c:extLst>
                    <c:numCache>
                      <c:formatCode>General</c:formatCode>
                      <c:ptCount val="15"/>
                      <c:pt idx="0">
                        <c:v>100</c:v>
                      </c:pt>
                      <c:pt idx="1">
                        <c:v>100</c:v>
                      </c:pt>
                      <c:pt idx="2">
                        <c:v>100</c:v>
                      </c:pt>
                      <c:pt idx="3">
                        <c:v>150</c:v>
                      </c:pt>
                      <c:pt idx="4">
                        <c:v>150</c:v>
                      </c:pt>
                      <c:pt idx="5">
                        <c:v>150</c:v>
                      </c:pt>
                      <c:pt idx="6">
                        <c:v>200</c:v>
                      </c:pt>
                      <c:pt idx="7">
                        <c:v>200</c:v>
                      </c:pt>
                      <c:pt idx="8">
                        <c:v>200</c:v>
                      </c:pt>
                      <c:pt idx="9">
                        <c:v>300</c:v>
                      </c:pt>
                      <c:pt idx="10">
                        <c:v>300</c:v>
                      </c:pt>
                      <c:pt idx="11">
                        <c:v>300</c:v>
                      </c:pt>
                      <c:pt idx="12">
                        <c:v>450</c:v>
                      </c:pt>
                      <c:pt idx="13">
                        <c:v>450</c:v>
                      </c:pt>
                      <c:pt idx="14">
                        <c:v>450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'DRV7308 Thermal Calculator'!$AV$25:$AV$39</c15:sqref>
                        </c15:formulaRef>
                      </c:ext>
                    </c:extLst>
                    <c:numCache>
                      <c:formatCode>General</c:formatCode>
                      <c:ptCount val="15"/>
                      <c:pt idx="0">
                        <c:v>5.3</c:v>
                      </c:pt>
                      <c:pt idx="1">
                        <c:v>5.3</c:v>
                      </c:pt>
                      <c:pt idx="2">
                        <c:v>5.3</c:v>
                      </c:pt>
                      <c:pt idx="3">
                        <c:v>9</c:v>
                      </c:pt>
                      <c:pt idx="4">
                        <c:v>9</c:v>
                      </c:pt>
                      <c:pt idx="5">
                        <c:v>9</c:v>
                      </c:pt>
                      <c:pt idx="6">
                        <c:v>13.4</c:v>
                      </c:pt>
                      <c:pt idx="7">
                        <c:v>13.4</c:v>
                      </c:pt>
                      <c:pt idx="8">
                        <c:v>13.4</c:v>
                      </c:pt>
                      <c:pt idx="9">
                        <c:v>24.7</c:v>
                      </c:pt>
                      <c:pt idx="10">
                        <c:v>24.7</c:v>
                      </c:pt>
                      <c:pt idx="11">
                        <c:v>24.7</c:v>
                      </c:pt>
                      <c:pt idx="12">
                        <c:v>47.3</c:v>
                      </c:pt>
                      <c:pt idx="13">
                        <c:v>47.3</c:v>
                      </c:pt>
                      <c:pt idx="14">
                        <c:v>47.3</c:v>
                      </c:pt>
                    </c:numCache>
                  </c:numRef>
                </c:yVal>
                <c:smooth val="0"/>
                <c:extLst>
                  <c:ext xmlns:c16="http://schemas.microsoft.com/office/drawing/2014/chart" uri="{C3380CC4-5D6E-409C-BE32-E72D297353CC}">
                    <c16:uniqueId val="{0000000D-B496-4612-82D7-63727BE9D09D}"/>
                  </c:ext>
                </c:extLst>
              </c15:ser>
            </c15:filteredScatterSeries>
            <c15:filteredScatte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'DRV7308 Thermal Calculator'!$AW$9</c15:sqref>
                        </c15:formulaRef>
                      </c:ext>
                    </c:extLst>
                    <c:strCache>
                      <c:ptCount val="1"/>
                      <c:pt idx="0">
                        <c:v>4</c:v>
                      </c:pt>
                    </c:strCache>
                  </c:strRef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2">
                        <a:lumMod val="60000"/>
                      </a:schemeClr>
                    </a:solidFill>
                    <a:ln w="9525">
                      <a:solidFill>
                        <a:schemeClr val="accent2">
                          <a:lumMod val="60000"/>
                        </a:schemeClr>
                      </a:solidFill>
                    </a:ln>
                    <a:effectLst/>
                  </c:spPr>
                </c:marker>
                <c:trendline>
                  <c:spPr>
                    <a:ln w="19050" cap="rnd">
                      <a:solidFill>
                        <a:schemeClr val="accent2">
                          <a:lumMod val="60000"/>
                        </a:schemeClr>
                      </a:solidFill>
                      <a:prstDash val="sysDot"/>
                    </a:ln>
                    <a:effectLst/>
                  </c:spPr>
                  <c:trendlineType val="poly"/>
                  <c:order val="2"/>
                  <c:dispRSqr val="0"/>
                  <c:dispEq val="1"/>
                  <c:trendlineLbl>
                    <c:layout>
                      <c:manualLayout>
                        <c:x val="-0.43078273902863529"/>
                        <c:y val="0.85968283998441175"/>
                      </c:manualLayout>
                    </c:layout>
                    <c:numFmt formatCode="0.00E+00" sourceLinked="0"/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anchor="ctr" anchorCtr="1"/>
                      <a:lstStyle/>
                      <a:p>
                        <a:pPr>
                          <a:defRPr sz="900" b="0" i="0" u="none" strike="noStrike" kern="1200" baseline="0">
                            <a:solidFill>
                              <a:schemeClr val="tx1">
                                <a:lumMod val="65000"/>
                                <a:lumOff val="35000"/>
                              </a:schemeClr>
                            </a:solidFill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en-US"/>
                      </a:p>
                    </c:txPr>
                  </c:trendlineLbl>
                </c:trendline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'DRV7308 Thermal Calculator'!$AF$25:$AF$39</c15:sqref>
                        </c15:formulaRef>
                      </c:ext>
                    </c:extLst>
                    <c:numCache>
                      <c:formatCode>General</c:formatCode>
                      <c:ptCount val="15"/>
                      <c:pt idx="0">
                        <c:v>100</c:v>
                      </c:pt>
                      <c:pt idx="1">
                        <c:v>100</c:v>
                      </c:pt>
                      <c:pt idx="2">
                        <c:v>100</c:v>
                      </c:pt>
                      <c:pt idx="3">
                        <c:v>150</c:v>
                      </c:pt>
                      <c:pt idx="4">
                        <c:v>150</c:v>
                      </c:pt>
                      <c:pt idx="5">
                        <c:v>150</c:v>
                      </c:pt>
                      <c:pt idx="6">
                        <c:v>200</c:v>
                      </c:pt>
                      <c:pt idx="7">
                        <c:v>200</c:v>
                      </c:pt>
                      <c:pt idx="8">
                        <c:v>200</c:v>
                      </c:pt>
                      <c:pt idx="9">
                        <c:v>300</c:v>
                      </c:pt>
                      <c:pt idx="10">
                        <c:v>300</c:v>
                      </c:pt>
                      <c:pt idx="11">
                        <c:v>300</c:v>
                      </c:pt>
                      <c:pt idx="12">
                        <c:v>450</c:v>
                      </c:pt>
                      <c:pt idx="13">
                        <c:v>450</c:v>
                      </c:pt>
                      <c:pt idx="14">
                        <c:v>450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'DRV7308 Thermal Calculator'!$AW$25:$AW$39</c15:sqref>
                        </c15:formulaRef>
                      </c:ext>
                    </c:extLst>
                    <c:numCache>
                      <c:formatCode>General</c:formatCode>
                      <c:ptCount val="15"/>
                      <c:pt idx="0">
                        <c:v>9.1</c:v>
                      </c:pt>
                      <c:pt idx="1">
                        <c:v>9.1</c:v>
                      </c:pt>
                      <c:pt idx="2">
                        <c:v>9.1</c:v>
                      </c:pt>
                      <c:pt idx="3">
                        <c:v>15.2</c:v>
                      </c:pt>
                      <c:pt idx="4">
                        <c:v>15.2</c:v>
                      </c:pt>
                      <c:pt idx="5">
                        <c:v>15.2</c:v>
                      </c:pt>
                      <c:pt idx="6">
                        <c:v>21.4</c:v>
                      </c:pt>
                      <c:pt idx="7">
                        <c:v>21.4</c:v>
                      </c:pt>
                      <c:pt idx="8">
                        <c:v>21.4</c:v>
                      </c:pt>
                      <c:pt idx="9">
                        <c:v>40.200000000000003</c:v>
                      </c:pt>
                      <c:pt idx="10">
                        <c:v>40.200000000000003</c:v>
                      </c:pt>
                      <c:pt idx="11">
                        <c:v>40.200000000000003</c:v>
                      </c:pt>
                      <c:pt idx="12">
                        <c:v>76</c:v>
                      </c:pt>
                      <c:pt idx="13">
                        <c:v>76</c:v>
                      </c:pt>
                      <c:pt idx="14">
                        <c:v>76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F-B496-4612-82D7-63727BE9D09D}"/>
                  </c:ext>
                </c:extLst>
              </c15:ser>
            </c15:filteredScatterSeries>
          </c:ext>
        </c:extLst>
      </c:scatterChart>
      <c:valAx>
        <c:axId val="58212223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VM</a:t>
                </a:r>
                <a:r>
                  <a:rPr lang="en-US" baseline="0"/>
                  <a:t> Voltage (V)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6862255"/>
        <c:crosses val="autoZero"/>
        <c:crossBetween val="midCat"/>
      </c:valAx>
      <c:valAx>
        <c:axId val="19868622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Switching Energy (uJ)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2122239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5113200785346109E-2"/>
          <c:y val="0.58651089242864562"/>
          <c:w val="0.68381759503734352"/>
          <c:h val="9.62001309103356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0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Eoff (5V/ns)</a:t>
            </a:r>
            <a:r>
              <a:rPr lang="en-US" baseline="0"/>
              <a:t> 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0944750913945887"/>
          <c:y val="0.13841906940921023"/>
          <c:w val="0.74413071902452876"/>
          <c:h val="0.5634887354500604"/>
        </c:manualLayout>
      </c:layout>
      <c:scatterChart>
        <c:scatterStyle val="lineMarker"/>
        <c:varyColors val="0"/>
        <c:ser>
          <c:idx val="0"/>
          <c:order val="0"/>
          <c:tx>
            <c:strRef>
              <c:f>'DRV7308 Thermal Calculator'!$L$88</c:f>
              <c:strCache>
                <c:ptCount val="1"/>
                <c:pt idx="0">
                  <c:v>a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poly"/>
            <c:order val="2"/>
            <c:dispRSqr val="0"/>
            <c:dispEq val="1"/>
            <c:trendlineLbl>
              <c:layout>
                <c:manualLayout>
                  <c:x val="-8.1143877694356298E-2"/>
                  <c:y val="0.64424547596373594"/>
                </c:manualLayout>
              </c:layout>
              <c:numFmt formatCode="0.00E+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'DRV7308 Thermal Calculator'!$M$87:$T$87</c:f>
              <c:numCache>
                <c:formatCode>General</c:formatCode>
                <c:ptCount val="8"/>
                <c:pt idx="0">
                  <c:v>0</c:v>
                </c:pt>
                <c:pt idx="1">
                  <c:v>0.1</c:v>
                </c:pt>
                <c:pt idx="2">
                  <c:v>0.25</c:v>
                </c:pt>
                <c:pt idx="3">
                  <c:v>0.5</c:v>
                </c:pt>
                <c:pt idx="4">
                  <c:v>0.7</c:v>
                </c:pt>
                <c:pt idx="5">
                  <c:v>1</c:v>
                </c:pt>
                <c:pt idx="6">
                  <c:v>2.5</c:v>
                </c:pt>
                <c:pt idx="7">
                  <c:v>4</c:v>
                </c:pt>
              </c:numCache>
            </c:numRef>
          </c:xVal>
          <c:yVal>
            <c:numRef>
              <c:f>'DRV7308 Thermal Calculator'!$M$88:$T$88</c:f>
              <c:numCache>
                <c:formatCode>0.00E+00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5.9700000000000003E-2</c:v>
                </c:pt>
                <c:pt idx="4">
                  <c:v>0.3</c:v>
                </c:pt>
                <c:pt idx="5">
                  <c:v>0.122</c:v>
                </c:pt>
                <c:pt idx="6">
                  <c:v>1.05</c:v>
                </c:pt>
                <c:pt idx="7">
                  <c:v>1.0900000000000001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1F8-4CEC-B7BC-710E061B9435}"/>
            </c:ext>
          </c:extLst>
        </c:ser>
        <c:ser>
          <c:idx val="1"/>
          <c:order val="1"/>
          <c:tx>
            <c:strRef>
              <c:f>'DRV7308 Thermal Calculator'!$L$89</c:f>
              <c:strCache>
                <c:ptCount val="1"/>
                <c:pt idx="0">
                  <c:v>b1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poly"/>
            <c:order val="2"/>
            <c:dispRSqr val="0"/>
            <c:dispEq val="1"/>
            <c:trendlineLbl>
              <c:layout>
                <c:manualLayout>
                  <c:x val="-8.8308214743365296E-2"/>
                  <c:y val="0.30751862922170808"/>
                </c:manualLayout>
              </c:layout>
              <c:numFmt formatCode="0.00E+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'DRV7308 Thermal Calculator'!$M$87:$T$87</c:f>
              <c:numCache>
                <c:formatCode>General</c:formatCode>
                <c:ptCount val="8"/>
                <c:pt idx="0">
                  <c:v>0</c:v>
                </c:pt>
                <c:pt idx="1">
                  <c:v>0.1</c:v>
                </c:pt>
                <c:pt idx="2">
                  <c:v>0.25</c:v>
                </c:pt>
                <c:pt idx="3">
                  <c:v>0.5</c:v>
                </c:pt>
                <c:pt idx="4">
                  <c:v>0.7</c:v>
                </c:pt>
                <c:pt idx="5">
                  <c:v>1</c:v>
                </c:pt>
                <c:pt idx="6">
                  <c:v>2.5</c:v>
                </c:pt>
                <c:pt idx="7">
                  <c:v>4</c:v>
                </c:pt>
              </c:numCache>
            </c:numRef>
          </c:xVal>
          <c:yVal>
            <c:numRef>
              <c:f>'DRV7308 Thermal Calculator'!$M$89:$T$89</c:f>
              <c:numCache>
                <c:formatCode>0.00E+00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-4.55E-4</c:v>
                </c:pt>
                <c:pt idx="4">
                  <c:v>-2E-3</c:v>
                </c:pt>
                <c:pt idx="5">
                  <c:v>1.82E-3</c:v>
                </c:pt>
                <c:pt idx="6">
                  <c:v>1.83E-2</c:v>
                </c:pt>
                <c:pt idx="7">
                  <c:v>7.0300000000000001E-2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1F8-4CEC-B7BC-710E061B9435}"/>
            </c:ext>
          </c:extLst>
        </c:ser>
        <c:ser>
          <c:idx val="2"/>
          <c:order val="2"/>
          <c:tx>
            <c:strRef>
              <c:f>'DRV7308 Thermal Calculator'!$L$90</c:f>
              <c:strCache>
                <c:ptCount val="1"/>
                <c:pt idx="0">
                  <c:v>b2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poly"/>
            <c:order val="2"/>
            <c:dispRSqr val="0"/>
            <c:dispEq val="1"/>
            <c:trendlineLbl>
              <c:layout>
                <c:manualLayout>
                  <c:x val="-8.5707692263588958E-2"/>
                  <c:y val="0.32649479190087793"/>
                </c:manualLayout>
              </c:layout>
              <c:numFmt formatCode="0.00E+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'DRV7308 Thermal Calculator'!$M$87:$T$87</c:f>
              <c:numCache>
                <c:formatCode>General</c:formatCode>
                <c:ptCount val="8"/>
                <c:pt idx="0">
                  <c:v>0</c:v>
                </c:pt>
                <c:pt idx="1">
                  <c:v>0.1</c:v>
                </c:pt>
                <c:pt idx="2">
                  <c:v>0.25</c:v>
                </c:pt>
                <c:pt idx="3">
                  <c:v>0.5</c:v>
                </c:pt>
                <c:pt idx="4">
                  <c:v>0.7</c:v>
                </c:pt>
                <c:pt idx="5">
                  <c:v>1</c:v>
                </c:pt>
                <c:pt idx="6">
                  <c:v>2.5</c:v>
                </c:pt>
                <c:pt idx="7">
                  <c:v>4</c:v>
                </c:pt>
              </c:numCache>
            </c:numRef>
          </c:xVal>
          <c:yVal>
            <c:numRef>
              <c:f>'DRV7308 Thermal Calculator'!$M$90:$T$90</c:f>
              <c:numCache>
                <c:formatCode>0.00E+00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1.7399999999999999E-5</c:v>
                </c:pt>
                <c:pt idx="4">
                  <c:v>4.0000000000000003E-5</c:v>
                </c:pt>
                <c:pt idx="5">
                  <c:v>6.7999999999999999E-5</c:v>
                </c:pt>
                <c:pt idx="6">
                  <c:v>2.43E-4</c:v>
                </c:pt>
                <c:pt idx="7">
                  <c:v>3.77E-4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1F8-4CEC-B7BC-710E061B94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10107232"/>
        <c:axId val="2027572335"/>
      </c:scatterChart>
      <c:valAx>
        <c:axId val="11101072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Current (A)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27572335"/>
        <c:crosses val="autoZero"/>
        <c:crossBetween val="midCat"/>
      </c:valAx>
      <c:valAx>
        <c:axId val="20275723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coefficient value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1010723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2200538556913547E-2"/>
          <c:y val="0.72803165187637686"/>
          <c:w val="0.29338565496144298"/>
          <c:h val="0.249576479251817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0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Eoff (10V/ns)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2986563537679451E-2"/>
          <c:y val="9.7132822473699726E-2"/>
          <c:w val="0.87768603364118514"/>
          <c:h val="0.45223720890721891"/>
        </c:manualLayout>
      </c:layout>
      <c:scatterChart>
        <c:scatterStyle val="lineMarker"/>
        <c:varyColors val="0"/>
        <c:ser>
          <c:idx val="0"/>
          <c:order val="0"/>
          <c:tx>
            <c:strRef>
              <c:f>'DRV7308 Thermal Calculator'!$AH$9</c:f>
              <c:strCache>
                <c:ptCount val="1"/>
                <c:pt idx="0">
                  <c:v>0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poly"/>
            <c:order val="2"/>
            <c:dispRSqr val="0"/>
            <c:dispEq val="1"/>
            <c:trendlineLbl>
              <c:layout>
                <c:manualLayout>
                  <c:x val="-0.57052972670466584"/>
                  <c:y val="0.27114729271579902"/>
                </c:manualLayout>
              </c:layout>
              <c:numFmt formatCode="0.00E+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'DRV7308 Thermal Calculator'!$AF$25:$AF$39</c:f>
              <c:numCache>
                <c:formatCode>General</c:formatCode>
                <c:ptCount val="15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150</c:v>
                </c:pt>
                <c:pt idx="4">
                  <c:v>150</c:v>
                </c:pt>
                <c:pt idx="5">
                  <c:v>150</c:v>
                </c:pt>
                <c:pt idx="6">
                  <c:v>200</c:v>
                </c:pt>
                <c:pt idx="7">
                  <c:v>200</c:v>
                </c:pt>
                <c:pt idx="8">
                  <c:v>200</c:v>
                </c:pt>
                <c:pt idx="9">
                  <c:v>300</c:v>
                </c:pt>
                <c:pt idx="10">
                  <c:v>300</c:v>
                </c:pt>
                <c:pt idx="11">
                  <c:v>300</c:v>
                </c:pt>
                <c:pt idx="12">
                  <c:v>450</c:v>
                </c:pt>
                <c:pt idx="13">
                  <c:v>450</c:v>
                </c:pt>
                <c:pt idx="14">
                  <c:v>450</c:v>
                </c:pt>
              </c:numCache>
            </c:numRef>
          </c:xVal>
          <c:yVal>
            <c:numRef>
              <c:f>'DRV7308 Thermal Calculator'!$AH$25:$AH$39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B54-466E-A96C-04C6E5C51370}"/>
            </c:ext>
          </c:extLst>
        </c:ser>
        <c:ser>
          <c:idx val="1"/>
          <c:order val="1"/>
          <c:tx>
            <c:strRef>
              <c:f>'DRV7308 Thermal Calculator'!$AI$9</c:f>
              <c:strCache>
                <c:ptCount val="1"/>
                <c:pt idx="0">
                  <c:v>0.1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poly"/>
            <c:order val="2"/>
            <c:dispRSqr val="0"/>
            <c:dispEq val="1"/>
            <c:trendlineLbl>
              <c:layout>
                <c:manualLayout>
                  <c:x val="-0.57052972670466584"/>
                  <c:y val="0.29691326465320655"/>
                </c:manualLayout>
              </c:layout>
              <c:numFmt formatCode="0.00E+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'DRV7308 Thermal Calculator'!$AF$25:$AF$39</c:f>
              <c:numCache>
                <c:formatCode>General</c:formatCode>
                <c:ptCount val="15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150</c:v>
                </c:pt>
                <c:pt idx="4">
                  <c:v>150</c:v>
                </c:pt>
                <c:pt idx="5">
                  <c:v>150</c:v>
                </c:pt>
                <c:pt idx="6">
                  <c:v>200</c:v>
                </c:pt>
                <c:pt idx="7">
                  <c:v>200</c:v>
                </c:pt>
                <c:pt idx="8">
                  <c:v>200</c:v>
                </c:pt>
                <c:pt idx="9">
                  <c:v>300</c:v>
                </c:pt>
                <c:pt idx="10">
                  <c:v>300</c:v>
                </c:pt>
                <c:pt idx="11">
                  <c:v>300</c:v>
                </c:pt>
                <c:pt idx="12">
                  <c:v>450</c:v>
                </c:pt>
                <c:pt idx="13">
                  <c:v>450</c:v>
                </c:pt>
                <c:pt idx="14">
                  <c:v>450</c:v>
                </c:pt>
              </c:numCache>
            </c:numRef>
          </c:xVal>
          <c:yVal>
            <c:numRef>
              <c:f>'DRV7308 Thermal Calculator'!$AI$25:$AI$39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3B54-466E-A96C-04C6E5C51370}"/>
            </c:ext>
          </c:extLst>
        </c:ser>
        <c:ser>
          <c:idx val="2"/>
          <c:order val="2"/>
          <c:tx>
            <c:strRef>
              <c:f>'DRV7308 Thermal Calculator'!$AJ$9</c:f>
              <c:strCache>
                <c:ptCount val="1"/>
                <c:pt idx="0">
                  <c:v>0.25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poly"/>
            <c:order val="2"/>
            <c:dispRSqr val="0"/>
            <c:dispEq val="1"/>
            <c:trendlineLbl>
              <c:layout>
                <c:manualLayout>
                  <c:x val="-0.56664825233224525"/>
                  <c:y val="0.32364399805845834"/>
                </c:manualLayout>
              </c:layout>
              <c:numFmt formatCode="0.00E+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'DRV7308 Thermal Calculator'!$AF$25:$AF$39</c:f>
              <c:numCache>
                <c:formatCode>General</c:formatCode>
                <c:ptCount val="15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150</c:v>
                </c:pt>
                <c:pt idx="4">
                  <c:v>150</c:v>
                </c:pt>
                <c:pt idx="5">
                  <c:v>150</c:v>
                </c:pt>
                <c:pt idx="6">
                  <c:v>200</c:v>
                </c:pt>
                <c:pt idx="7">
                  <c:v>200</c:v>
                </c:pt>
                <c:pt idx="8">
                  <c:v>200</c:v>
                </c:pt>
                <c:pt idx="9">
                  <c:v>300</c:v>
                </c:pt>
                <c:pt idx="10">
                  <c:v>300</c:v>
                </c:pt>
                <c:pt idx="11">
                  <c:v>300</c:v>
                </c:pt>
                <c:pt idx="12">
                  <c:v>450</c:v>
                </c:pt>
                <c:pt idx="13">
                  <c:v>450</c:v>
                </c:pt>
                <c:pt idx="14">
                  <c:v>450</c:v>
                </c:pt>
              </c:numCache>
            </c:numRef>
          </c:xVal>
          <c:yVal>
            <c:numRef>
              <c:f>'DRV7308 Thermal Calculator'!$AJ$25:$AJ$39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3B54-466E-A96C-04C6E5C51370}"/>
            </c:ext>
          </c:extLst>
        </c:ser>
        <c:ser>
          <c:idx val="3"/>
          <c:order val="3"/>
          <c:tx>
            <c:strRef>
              <c:f>'DRV7308 Thermal Calculator'!$AK$9</c:f>
              <c:strCache>
                <c:ptCount val="1"/>
                <c:pt idx="0">
                  <c:v>0.5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4"/>
                </a:solidFill>
                <a:prstDash val="sysDot"/>
              </a:ln>
              <a:effectLst/>
            </c:spPr>
            <c:trendlineType val="poly"/>
            <c:order val="2"/>
            <c:dispRSqr val="0"/>
            <c:dispEq val="1"/>
            <c:trendlineLbl>
              <c:layout>
                <c:manualLayout>
                  <c:x val="-0.42639859512573886"/>
                  <c:y val="0.34646321068668268"/>
                </c:manualLayout>
              </c:layout>
              <c:numFmt formatCode="0.00E+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'DRV7308 Thermal Calculator'!$AF$25:$AF$39</c:f>
              <c:numCache>
                <c:formatCode>General</c:formatCode>
                <c:ptCount val="15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150</c:v>
                </c:pt>
                <c:pt idx="4">
                  <c:v>150</c:v>
                </c:pt>
                <c:pt idx="5">
                  <c:v>150</c:v>
                </c:pt>
                <c:pt idx="6">
                  <c:v>200</c:v>
                </c:pt>
                <c:pt idx="7">
                  <c:v>200</c:v>
                </c:pt>
                <c:pt idx="8">
                  <c:v>200</c:v>
                </c:pt>
                <c:pt idx="9">
                  <c:v>300</c:v>
                </c:pt>
                <c:pt idx="10">
                  <c:v>300</c:v>
                </c:pt>
                <c:pt idx="11">
                  <c:v>300</c:v>
                </c:pt>
                <c:pt idx="12">
                  <c:v>450</c:v>
                </c:pt>
                <c:pt idx="13">
                  <c:v>450</c:v>
                </c:pt>
                <c:pt idx="14">
                  <c:v>450</c:v>
                </c:pt>
              </c:numCache>
            </c:numRef>
          </c:xVal>
          <c:yVal>
            <c:numRef>
              <c:f>'DRV7308 Thermal Calculator'!$AK$25:$AK$39</c:f>
              <c:numCache>
                <c:formatCode>General</c:formatCode>
                <c:ptCount val="15"/>
                <c:pt idx="0">
                  <c:v>0.1</c:v>
                </c:pt>
                <c:pt idx="1">
                  <c:v>0.1</c:v>
                </c:pt>
                <c:pt idx="2">
                  <c:v>0.2</c:v>
                </c:pt>
                <c:pt idx="3">
                  <c:v>0.1</c:v>
                </c:pt>
                <c:pt idx="4">
                  <c:v>0.1</c:v>
                </c:pt>
                <c:pt idx="5">
                  <c:v>0.3</c:v>
                </c:pt>
                <c:pt idx="6">
                  <c:v>0.1</c:v>
                </c:pt>
                <c:pt idx="7">
                  <c:v>0.1</c:v>
                </c:pt>
                <c:pt idx="8">
                  <c:v>0.4</c:v>
                </c:pt>
                <c:pt idx="9">
                  <c:v>0.1</c:v>
                </c:pt>
                <c:pt idx="10">
                  <c:v>0.2</c:v>
                </c:pt>
                <c:pt idx="11">
                  <c:v>0.5</c:v>
                </c:pt>
                <c:pt idx="12">
                  <c:v>0.1</c:v>
                </c:pt>
                <c:pt idx="13">
                  <c:v>0.2</c:v>
                </c:pt>
                <c:pt idx="14">
                  <c:v>0.7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3B54-466E-A96C-04C6E5C51370}"/>
            </c:ext>
          </c:extLst>
        </c:ser>
        <c:ser>
          <c:idx val="4"/>
          <c:order val="4"/>
          <c:tx>
            <c:strRef>
              <c:f>'DRV7308 Thermal Calculator'!$AL$9</c:f>
              <c:strCache>
                <c:ptCount val="1"/>
                <c:pt idx="0">
                  <c:v>0.7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5"/>
                </a:solidFill>
                <a:prstDash val="sysDot"/>
              </a:ln>
              <a:effectLst/>
            </c:spPr>
            <c:trendlineType val="poly"/>
            <c:order val="2"/>
            <c:dispRSqr val="0"/>
            <c:dispEq val="1"/>
            <c:trendlineLbl>
              <c:layout>
                <c:manualLayout>
                  <c:x val="-0.43373775039421419"/>
                  <c:y val="0.37083553640506689"/>
                </c:manualLayout>
              </c:layout>
              <c:numFmt formatCode="0.00E+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'DRV7308 Thermal Calculator'!$AF$25:$AF$39</c:f>
              <c:numCache>
                <c:formatCode>General</c:formatCode>
                <c:ptCount val="15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150</c:v>
                </c:pt>
                <c:pt idx="4">
                  <c:v>150</c:v>
                </c:pt>
                <c:pt idx="5">
                  <c:v>150</c:v>
                </c:pt>
                <c:pt idx="6">
                  <c:v>200</c:v>
                </c:pt>
                <c:pt idx="7">
                  <c:v>200</c:v>
                </c:pt>
                <c:pt idx="8">
                  <c:v>200</c:v>
                </c:pt>
                <c:pt idx="9">
                  <c:v>300</c:v>
                </c:pt>
                <c:pt idx="10">
                  <c:v>300</c:v>
                </c:pt>
                <c:pt idx="11">
                  <c:v>300</c:v>
                </c:pt>
                <c:pt idx="12">
                  <c:v>450</c:v>
                </c:pt>
                <c:pt idx="13">
                  <c:v>450</c:v>
                </c:pt>
                <c:pt idx="14">
                  <c:v>450</c:v>
                </c:pt>
              </c:numCache>
            </c:numRef>
          </c:xVal>
          <c:yVal>
            <c:numRef>
              <c:f>'DRV7308 Thermal Calculator'!$AL$25:$AL$39</c:f>
              <c:numCache>
                <c:formatCode>General</c:formatCode>
                <c:ptCount val="15"/>
                <c:pt idx="0">
                  <c:v>0.2</c:v>
                </c:pt>
                <c:pt idx="1">
                  <c:v>0.2</c:v>
                </c:pt>
                <c:pt idx="2">
                  <c:v>0.3</c:v>
                </c:pt>
                <c:pt idx="3">
                  <c:v>0.3</c:v>
                </c:pt>
                <c:pt idx="4">
                  <c:v>0.3</c:v>
                </c:pt>
                <c:pt idx="5">
                  <c:v>0.4</c:v>
                </c:pt>
                <c:pt idx="6">
                  <c:v>0.4</c:v>
                </c:pt>
                <c:pt idx="7">
                  <c:v>0.4</c:v>
                </c:pt>
                <c:pt idx="8">
                  <c:v>0.6</c:v>
                </c:pt>
                <c:pt idx="9">
                  <c:v>0.6</c:v>
                </c:pt>
                <c:pt idx="10">
                  <c:v>0.7</c:v>
                </c:pt>
                <c:pt idx="11">
                  <c:v>1</c:v>
                </c:pt>
                <c:pt idx="12">
                  <c:v>0.9</c:v>
                </c:pt>
                <c:pt idx="13">
                  <c:v>1</c:v>
                </c:pt>
                <c:pt idx="14">
                  <c:v>1.7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3B54-466E-A96C-04C6E5C51370}"/>
            </c:ext>
          </c:extLst>
        </c:ser>
        <c:ser>
          <c:idx val="5"/>
          <c:order val="5"/>
          <c:tx>
            <c:strRef>
              <c:f>'DRV7308 Thermal Calculator'!$AM$9</c:f>
              <c:strCache>
                <c:ptCount val="1"/>
                <c:pt idx="0">
                  <c:v>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6"/>
                </a:solidFill>
                <a:prstDash val="sysDot"/>
              </a:ln>
              <a:effectLst/>
            </c:spPr>
            <c:trendlineType val="poly"/>
            <c:order val="2"/>
            <c:dispRSqr val="0"/>
            <c:dispEq val="1"/>
            <c:trendlineLbl>
              <c:layout>
                <c:manualLayout>
                  <c:x val="-0.43090473607887958"/>
                  <c:y val="0.4047474873370146"/>
                </c:manualLayout>
              </c:layout>
              <c:numFmt formatCode="0.00E+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'DRV7308 Thermal Calculator'!$AF$25:$AF$39</c:f>
              <c:numCache>
                <c:formatCode>General</c:formatCode>
                <c:ptCount val="15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150</c:v>
                </c:pt>
                <c:pt idx="4">
                  <c:v>150</c:v>
                </c:pt>
                <c:pt idx="5">
                  <c:v>150</c:v>
                </c:pt>
                <c:pt idx="6">
                  <c:v>200</c:v>
                </c:pt>
                <c:pt idx="7">
                  <c:v>200</c:v>
                </c:pt>
                <c:pt idx="8">
                  <c:v>200</c:v>
                </c:pt>
                <c:pt idx="9">
                  <c:v>300</c:v>
                </c:pt>
                <c:pt idx="10">
                  <c:v>300</c:v>
                </c:pt>
                <c:pt idx="11">
                  <c:v>300</c:v>
                </c:pt>
                <c:pt idx="12">
                  <c:v>450</c:v>
                </c:pt>
                <c:pt idx="13">
                  <c:v>450</c:v>
                </c:pt>
                <c:pt idx="14">
                  <c:v>450</c:v>
                </c:pt>
              </c:numCache>
            </c:numRef>
          </c:xVal>
          <c:yVal>
            <c:numRef>
              <c:f>'DRV7308 Thermal Calculator'!$AM$25:$AM$39</c:f>
              <c:numCache>
                <c:formatCode>General</c:formatCode>
                <c:ptCount val="15"/>
                <c:pt idx="0">
                  <c:v>0.3</c:v>
                </c:pt>
                <c:pt idx="1">
                  <c:v>0.3</c:v>
                </c:pt>
                <c:pt idx="2">
                  <c:v>0.5</c:v>
                </c:pt>
                <c:pt idx="3">
                  <c:v>0.4</c:v>
                </c:pt>
                <c:pt idx="4">
                  <c:v>0.5</c:v>
                </c:pt>
                <c:pt idx="5">
                  <c:v>0.8</c:v>
                </c:pt>
                <c:pt idx="6">
                  <c:v>0.6</c:v>
                </c:pt>
                <c:pt idx="7">
                  <c:v>0.7</c:v>
                </c:pt>
                <c:pt idx="8">
                  <c:v>1.1000000000000001</c:v>
                </c:pt>
                <c:pt idx="9">
                  <c:v>1.1000000000000001</c:v>
                </c:pt>
                <c:pt idx="10">
                  <c:v>1.3</c:v>
                </c:pt>
                <c:pt idx="11">
                  <c:v>2</c:v>
                </c:pt>
                <c:pt idx="12">
                  <c:v>2.1</c:v>
                </c:pt>
                <c:pt idx="13">
                  <c:v>2.7</c:v>
                </c:pt>
                <c:pt idx="14">
                  <c:v>4</c:v>
                </c:pt>
              </c:numCache>
            </c:numRef>
          </c:y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B-3B54-466E-A96C-04C6E5C51370}"/>
            </c:ext>
          </c:extLst>
        </c:ser>
        <c:ser>
          <c:idx val="8"/>
          <c:order val="8"/>
          <c:tx>
            <c:v>Calculated Eoff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'DRV7308 Thermal Calculator'!$C$8</c:f>
              <c:numCache>
                <c:formatCode>General</c:formatCode>
                <c:ptCount val="1"/>
                <c:pt idx="0">
                  <c:v>310</c:v>
                </c:pt>
              </c:numCache>
            </c:numRef>
          </c:xVal>
          <c:yVal>
            <c:numRef>
              <c:f>'DRV7308 Thermal Calculator'!$V$76</c:f>
              <c:numCache>
                <c:formatCode>0.00</c:formatCode>
                <c:ptCount val="1"/>
                <c:pt idx="0">
                  <c:v>1.3406308991999998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3B54-466E-A96C-04C6E5C513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82122239"/>
        <c:axId val="1986862255"/>
        <c:extLst>
          <c:ext xmlns:c15="http://schemas.microsoft.com/office/drawing/2012/chart" uri="{02D57815-91ED-43cb-92C2-25804820EDAC}">
            <c15:filteredScatterSeries>
              <c15:ser>
                <c:idx val="6"/>
                <c:order val="6"/>
                <c:tx>
                  <c:strRef>
                    <c:extLst>
                      <c:ext uri="{02D57815-91ED-43cb-92C2-25804820EDAC}">
                        <c15:formulaRef>
                          <c15:sqref>'DRV7308 Thermal Calculator'!$AN$9</c15:sqref>
                        </c15:formulaRef>
                      </c:ext>
                    </c:extLst>
                    <c:strCache>
                      <c:ptCount val="1"/>
                      <c:pt idx="0">
                        <c:v>2.5</c:v>
                      </c:pt>
                    </c:strCache>
                  </c:strRef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>
                        <a:lumMod val="60000"/>
                      </a:schemeClr>
                    </a:solidFill>
                    <a:ln w="9525">
                      <a:solidFill>
                        <a:schemeClr val="accent1">
                          <a:lumMod val="60000"/>
                        </a:schemeClr>
                      </a:solidFill>
                    </a:ln>
                    <a:effectLst/>
                  </c:spPr>
                </c:marker>
                <c:trendline>
                  <c:spPr>
                    <a:ln w="19050" cap="rnd">
                      <a:solidFill>
                        <a:schemeClr val="accent1">
                          <a:lumMod val="60000"/>
                        </a:schemeClr>
                      </a:solidFill>
                      <a:prstDash val="sysDot"/>
                    </a:ln>
                    <a:effectLst/>
                  </c:spPr>
                  <c:trendlineType val="poly"/>
                  <c:order val="2"/>
                  <c:dispRSqr val="0"/>
                  <c:dispEq val="1"/>
                  <c:trendlineLbl>
                    <c:layout>
                      <c:manualLayout>
                        <c:x val="-0.43254702573584275"/>
                        <c:y val="0.55171119645568012"/>
                      </c:manualLayout>
                    </c:layout>
                    <c:numFmt formatCode="0.00E+00" sourceLinked="0"/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anchor="ctr" anchorCtr="1"/>
                      <a:lstStyle/>
                      <a:p>
                        <a:pPr>
                          <a:defRPr sz="900" b="0" i="0" u="none" strike="noStrike" kern="1200" baseline="0">
                            <a:solidFill>
                              <a:schemeClr val="tx1">
                                <a:lumMod val="65000"/>
                                <a:lumOff val="35000"/>
                              </a:schemeClr>
                            </a:solidFill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en-US"/>
                      </a:p>
                    </c:txPr>
                  </c:trendlineLbl>
                </c:trendline>
                <c:xVal>
                  <c:numRef>
                    <c:extLst>
                      <c:ext uri="{02D57815-91ED-43cb-92C2-25804820EDAC}">
                        <c15:formulaRef>
                          <c15:sqref>'DRV7308 Thermal Calculator'!$AF$25:$AF$39</c15:sqref>
                        </c15:formulaRef>
                      </c:ext>
                    </c:extLst>
                    <c:numCache>
                      <c:formatCode>General</c:formatCode>
                      <c:ptCount val="15"/>
                      <c:pt idx="0">
                        <c:v>100</c:v>
                      </c:pt>
                      <c:pt idx="1">
                        <c:v>100</c:v>
                      </c:pt>
                      <c:pt idx="2">
                        <c:v>100</c:v>
                      </c:pt>
                      <c:pt idx="3">
                        <c:v>150</c:v>
                      </c:pt>
                      <c:pt idx="4">
                        <c:v>150</c:v>
                      </c:pt>
                      <c:pt idx="5">
                        <c:v>150</c:v>
                      </c:pt>
                      <c:pt idx="6">
                        <c:v>200</c:v>
                      </c:pt>
                      <c:pt idx="7">
                        <c:v>200</c:v>
                      </c:pt>
                      <c:pt idx="8">
                        <c:v>200</c:v>
                      </c:pt>
                      <c:pt idx="9">
                        <c:v>300</c:v>
                      </c:pt>
                      <c:pt idx="10">
                        <c:v>300</c:v>
                      </c:pt>
                      <c:pt idx="11">
                        <c:v>300</c:v>
                      </c:pt>
                      <c:pt idx="12">
                        <c:v>450</c:v>
                      </c:pt>
                      <c:pt idx="13">
                        <c:v>450</c:v>
                      </c:pt>
                      <c:pt idx="14">
                        <c:v>450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'DRV7308 Thermal Calculator'!$AN$25:$AN$39</c15:sqref>
                        </c15:formulaRef>
                      </c:ext>
                    </c:extLst>
                    <c:numCache>
                      <c:formatCode>General</c:formatCode>
                      <c:ptCount val="15"/>
                      <c:pt idx="0">
                        <c:v>1.5</c:v>
                      </c:pt>
                      <c:pt idx="1">
                        <c:v>1.9</c:v>
                      </c:pt>
                      <c:pt idx="2">
                        <c:v>2.9</c:v>
                      </c:pt>
                      <c:pt idx="3">
                        <c:v>2.6</c:v>
                      </c:pt>
                      <c:pt idx="4">
                        <c:v>3.1</c:v>
                      </c:pt>
                      <c:pt idx="5">
                        <c:v>4.5999999999999996</c:v>
                      </c:pt>
                      <c:pt idx="6">
                        <c:v>4.0999999999999996</c:v>
                      </c:pt>
                      <c:pt idx="7">
                        <c:v>4.7</c:v>
                      </c:pt>
                      <c:pt idx="8">
                        <c:v>6.7</c:v>
                      </c:pt>
                      <c:pt idx="9">
                        <c:v>8</c:v>
                      </c:pt>
                      <c:pt idx="10">
                        <c:v>9</c:v>
                      </c:pt>
                      <c:pt idx="11">
                        <c:v>12.1</c:v>
                      </c:pt>
                      <c:pt idx="12">
                        <c:v>16.399999999999999</c:v>
                      </c:pt>
                      <c:pt idx="13">
                        <c:v>18.3</c:v>
                      </c:pt>
                      <c:pt idx="14">
                        <c:v>23.2</c:v>
                      </c:pt>
                    </c:numCache>
                  </c:numRef>
                </c:yVal>
                <c:smooth val="0"/>
                <c:extLst>
                  <c:ext xmlns:c16="http://schemas.microsoft.com/office/drawing/2014/chart" uri="{C3380CC4-5D6E-409C-BE32-E72D297353CC}">
                    <c16:uniqueId val="{0000000D-3B54-466E-A96C-04C6E5C51370}"/>
                  </c:ext>
                </c:extLst>
              </c15:ser>
            </c15:filteredScatterSeries>
            <c15:filteredScatte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'DRV7308 Thermal Calculator'!$AO$9</c15:sqref>
                        </c15:formulaRef>
                      </c:ext>
                    </c:extLst>
                    <c:strCache>
                      <c:ptCount val="1"/>
                      <c:pt idx="0">
                        <c:v>4</c:v>
                      </c:pt>
                    </c:strCache>
                  </c:strRef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2">
                        <a:lumMod val="60000"/>
                      </a:schemeClr>
                    </a:solidFill>
                    <a:ln w="9525">
                      <a:solidFill>
                        <a:schemeClr val="accent2">
                          <a:lumMod val="60000"/>
                        </a:schemeClr>
                      </a:solidFill>
                    </a:ln>
                    <a:effectLst/>
                  </c:spPr>
                </c:marker>
                <c:trendline>
                  <c:spPr>
                    <a:ln w="19050" cap="rnd">
                      <a:solidFill>
                        <a:schemeClr val="accent2">
                          <a:lumMod val="60000"/>
                        </a:schemeClr>
                      </a:solidFill>
                      <a:prstDash val="sysDot"/>
                    </a:ln>
                    <a:effectLst/>
                  </c:spPr>
                  <c:trendlineType val="poly"/>
                  <c:order val="2"/>
                  <c:dispRSqr val="0"/>
                  <c:dispEq val="1"/>
                  <c:trendlineLbl>
                    <c:layout>
                      <c:manualLayout>
                        <c:x val="-0.42807185107769119"/>
                        <c:y val="0.74358520991177135"/>
                      </c:manualLayout>
                    </c:layout>
                    <c:numFmt formatCode="0.00E+00" sourceLinked="0"/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anchor="ctr" anchorCtr="1"/>
                      <a:lstStyle/>
                      <a:p>
                        <a:pPr>
                          <a:defRPr sz="900" b="0" i="0" u="none" strike="noStrike" kern="1200" baseline="0">
                            <a:solidFill>
                              <a:schemeClr val="tx1">
                                <a:lumMod val="65000"/>
                                <a:lumOff val="35000"/>
                              </a:schemeClr>
                            </a:solidFill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en-US"/>
                      </a:p>
                    </c:txPr>
                  </c:trendlineLbl>
                </c:trendline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'DRV7308 Thermal Calculator'!$AF$25:$AF$39</c15:sqref>
                        </c15:formulaRef>
                      </c:ext>
                    </c:extLst>
                    <c:numCache>
                      <c:formatCode>General</c:formatCode>
                      <c:ptCount val="15"/>
                      <c:pt idx="0">
                        <c:v>100</c:v>
                      </c:pt>
                      <c:pt idx="1">
                        <c:v>100</c:v>
                      </c:pt>
                      <c:pt idx="2">
                        <c:v>100</c:v>
                      </c:pt>
                      <c:pt idx="3">
                        <c:v>150</c:v>
                      </c:pt>
                      <c:pt idx="4">
                        <c:v>150</c:v>
                      </c:pt>
                      <c:pt idx="5">
                        <c:v>150</c:v>
                      </c:pt>
                      <c:pt idx="6">
                        <c:v>200</c:v>
                      </c:pt>
                      <c:pt idx="7">
                        <c:v>200</c:v>
                      </c:pt>
                      <c:pt idx="8">
                        <c:v>200</c:v>
                      </c:pt>
                      <c:pt idx="9">
                        <c:v>300</c:v>
                      </c:pt>
                      <c:pt idx="10">
                        <c:v>300</c:v>
                      </c:pt>
                      <c:pt idx="11">
                        <c:v>300</c:v>
                      </c:pt>
                      <c:pt idx="12">
                        <c:v>450</c:v>
                      </c:pt>
                      <c:pt idx="13">
                        <c:v>450</c:v>
                      </c:pt>
                      <c:pt idx="14">
                        <c:v>450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'DRV7308 Thermal Calculator'!$AO$25:$AO$39</c15:sqref>
                        </c15:formulaRef>
                      </c:ext>
                    </c:extLst>
                    <c:numCache>
                      <c:formatCode>General</c:formatCode>
                      <c:ptCount val="15"/>
                      <c:pt idx="0">
                        <c:v>3.7</c:v>
                      </c:pt>
                      <c:pt idx="1">
                        <c:v>4.5</c:v>
                      </c:pt>
                      <c:pt idx="2">
                        <c:v>7</c:v>
                      </c:pt>
                      <c:pt idx="3">
                        <c:v>6.1</c:v>
                      </c:pt>
                      <c:pt idx="4">
                        <c:v>7.3</c:v>
                      </c:pt>
                      <c:pt idx="5">
                        <c:v>10.9</c:v>
                      </c:pt>
                      <c:pt idx="6">
                        <c:v>9.1999999999999993</c:v>
                      </c:pt>
                      <c:pt idx="7">
                        <c:v>10.8</c:v>
                      </c:pt>
                      <c:pt idx="8">
                        <c:v>15.5</c:v>
                      </c:pt>
                      <c:pt idx="9">
                        <c:v>17.5</c:v>
                      </c:pt>
                      <c:pt idx="10">
                        <c:v>19.899999999999999</c:v>
                      </c:pt>
                      <c:pt idx="11">
                        <c:v>27</c:v>
                      </c:pt>
                      <c:pt idx="12">
                        <c:v>34.799999999999997</c:v>
                      </c:pt>
                      <c:pt idx="13">
                        <c:v>38.700000000000003</c:v>
                      </c:pt>
                      <c:pt idx="14">
                        <c:v>49.8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F-3B54-466E-A96C-04C6E5C51370}"/>
                  </c:ext>
                </c:extLst>
              </c15:ser>
            </c15:filteredScatterSeries>
          </c:ext>
        </c:extLst>
      </c:scatterChart>
      <c:valAx>
        <c:axId val="58212223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VM</a:t>
                </a:r>
                <a:r>
                  <a:rPr lang="en-US" baseline="0"/>
                  <a:t> Voltage (V)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6862255"/>
        <c:crosses val="autoZero"/>
        <c:crossBetween val="midCat"/>
      </c:valAx>
      <c:valAx>
        <c:axId val="19868622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Switching Energy (uJ)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2122239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5113200785346109E-2"/>
          <c:y val="0.58651089242864562"/>
          <c:w val="0.8672622628065616"/>
          <c:h val="6.307011183073141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0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Eoff (20V/ns)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2986563537679451E-2"/>
          <c:y val="9.7132822473699726E-2"/>
          <c:w val="0.87768603364118514"/>
          <c:h val="0.45223720890721891"/>
        </c:manualLayout>
      </c:layout>
      <c:scatterChart>
        <c:scatterStyle val="lineMarker"/>
        <c:varyColors val="0"/>
        <c:ser>
          <c:idx val="0"/>
          <c:order val="0"/>
          <c:tx>
            <c:strRef>
              <c:f>'DRV7308 Thermal Calculator'!$AH$9</c:f>
              <c:strCache>
                <c:ptCount val="1"/>
                <c:pt idx="0">
                  <c:v>0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poly"/>
            <c:order val="2"/>
            <c:dispRSqr val="0"/>
            <c:dispEq val="1"/>
            <c:trendlineLbl>
              <c:layout>
                <c:manualLayout>
                  <c:x val="-0.57052972670466584"/>
                  <c:y val="0.27114729271579902"/>
                </c:manualLayout>
              </c:layout>
              <c:numFmt formatCode="0.00E+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'DRV7308 Thermal Calculator'!$AF$40:$AF$54</c:f>
              <c:numCache>
                <c:formatCode>General</c:formatCode>
                <c:ptCount val="15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150</c:v>
                </c:pt>
                <c:pt idx="4">
                  <c:v>150</c:v>
                </c:pt>
                <c:pt idx="5">
                  <c:v>150</c:v>
                </c:pt>
                <c:pt idx="6">
                  <c:v>200</c:v>
                </c:pt>
                <c:pt idx="7">
                  <c:v>200</c:v>
                </c:pt>
                <c:pt idx="8">
                  <c:v>200</c:v>
                </c:pt>
                <c:pt idx="9">
                  <c:v>300</c:v>
                </c:pt>
                <c:pt idx="10">
                  <c:v>300</c:v>
                </c:pt>
                <c:pt idx="11">
                  <c:v>300</c:v>
                </c:pt>
                <c:pt idx="12">
                  <c:v>450</c:v>
                </c:pt>
                <c:pt idx="13">
                  <c:v>450</c:v>
                </c:pt>
                <c:pt idx="14">
                  <c:v>450</c:v>
                </c:pt>
              </c:numCache>
            </c:numRef>
          </c:xVal>
          <c:yVal>
            <c:numRef>
              <c:f>'DRV7308 Thermal Calculator'!$AH$40:$AH$54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556-4CFC-95A3-DDB659D1EB3F}"/>
            </c:ext>
          </c:extLst>
        </c:ser>
        <c:ser>
          <c:idx val="1"/>
          <c:order val="1"/>
          <c:tx>
            <c:strRef>
              <c:f>'DRV7308 Thermal Calculator'!$AI$9</c:f>
              <c:strCache>
                <c:ptCount val="1"/>
                <c:pt idx="0">
                  <c:v>0.1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poly"/>
            <c:order val="2"/>
            <c:dispRSqr val="0"/>
            <c:dispEq val="1"/>
            <c:trendlineLbl>
              <c:layout>
                <c:manualLayout>
                  <c:x val="-0.57052972670466584"/>
                  <c:y val="0.29691326465320655"/>
                </c:manualLayout>
              </c:layout>
              <c:numFmt formatCode="0.00E+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'DRV7308 Thermal Calculator'!$AF$40:$AF$54</c:f>
              <c:numCache>
                <c:formatCode>General</c:formatCode>
                <c:ptCount val="15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150</c:v>
                </c:pt>
                <c:pt idx="4">
                  <c:v>150</c:v>
                </c:pt>
                <c:pt idx="5">
                  <c:v>150</c:v>
                </c:pt>
                <c:pt idx="6">
                  <c:v>200</c:v>
                </c:pt>
                <c:pt idx="7">
                  <c:v>200</c:v>
                </c:pt>
                <c:pt idx="8">
                  <c:v>200</c:v>
                </c:pt>
                <c:pt idx="9">
                  <c:v>300</c:v>
                </c:pt>
                <c:pt idx="10">
                  <c:v>300</c:v>
                </c:pt>
                <c:pt idx="11">
                  <c:v>300</c:v>
                </c:pt>
                <c:pt idx="12">
                  <c:v>450</c:v>
                </c:pt>
                <c:pt idx="13">
                  <c:v>450</c:v>
                </c:pt>
                <c:pt idx="14">
                  <c:v>450</c:v>
                </c:pt>
              </c:numCache>
            </c:numRef>
          </c:xVal>
          <c:yVal>
            <c:numRef>
              <c:f>'DRV7308 Thermal Calculator'!$AI$40:$AI$54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1556-4CFC-95A3-DDB659D1EB3F}"/>
            </c:ext>
          </c:extLst>
        </c:ser>
        <c:ser>
          <c:idx val="2"/>
          <c:order val="2"/>
          <c:tx>
            <c:strRef>
              <c:f>'DRV7308 Thermal Calculator'!$AJ$9</c:f>
              <c:strCache>
                <c:ptCount val="1"/>
                <c:pt idx="0">
                  <c:v>0.25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poly"/>
            <c:order val="2"/>
            <c:dispRSqr val="0"/>
            <c:dispEq val="1"/>
            <c:trendlineLbl>
              <c:layout>
                <c:manualLayout>
                  <c:x val="-0.56664825233224525"/>
                  <c:y val="0.32364399805845834"/>
                </c:manualLayout>
              </c:layout>
              <c:numFmt formatCode="0.00E+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'DRV7308 Thermal Calculator'!$AF$40:$AF$54</c:f>
              <c:numCache>
                <c:formatCode>General</c:formatCode>
                <c:ptCount val="15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150</c:v>
                </c:pt>
                <c:pt idx="4">
                  <c:v>150</c:v>
                </c:pt>
                <c:pt idx="5">
                  <c:v>150</c:v>
                </c:pt>
                <c:pt idx="6">
                  <c:v>200</c:v>
                </c:pt>
                <c:pt idx="7">
                  <c:v>200</c:v>
                </c:pt>
                <c:pt idx="8">
                  <c:v>200</c:v>
                </c:pt>
                <c:pt idx="9">
                  <c:v>300</c:v>
                </c:pt>
                <c:pt idx="10">
                  <c:v>300</c:v>
                </c:pt>
                <c:pt idx="11">
                  <c:v>300</c:v>
                </c:pt>
                <c:pt idx="12">
                  <c:v>450</c:v>
                </c:pt>
                <c:pt idx="13">
                  <c:v>450</c:v>
                </c:pt>
                <c:pt idx="14">
                  <c:v>450</c:v>
                </c:pt>
              </c:numCache>
            </c:numRef>
          </c:xVal>
          <c:yVal>
            <c:numRef>
              <c:f>'DRV7308 Thermal Calculator'!$AJ$40:$AJ$54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1556-4CFC-95A3-DDB659D1EB3F}"/>
            </c:ext>
          </c:extLst>
        </c:ser>
        <c:ser>
          <c:idx val="3"/>
          <c:order val="3"/>
          <c:tx>
            <c:strRef>
              <c:f>'DRV7308 Thermal Calculator'!$AK$9</c:f>
              <c:strCache>
                <c:ptCount val="1"/>
                <c:pt idx="0">
                  <c:v>0.5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4"/>
                </a:solidFill>
                <a:prstDash val="sysDot"/>
              </a:ln>
              <a:effectLst/>
            </c:spPr>
            <c:trendlineType val="poly"/>
            <c:order val="2"/>
            <c:dispRSqr val="0"/>
            <c:dispEq val="1"/>
            <c:trendlineLbl>
              <c:layout>
                <c:manualLayout>
                  <c:x val="-0.42639859512573886"/>
                  <c:y val="0.34646321068668268"/>
                </c:manualLayout>
              </c:layout>
              <c:numFmt formatCode="0.00E+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'DRV7308 Thermal Calculator'!$AF$40:$AF$54</c:f>
              <c:numCache>
                <c:formatCode>General</c:formatCode>
                <c:ptCount val="15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150</c:v>
                </c:pt>
                <c:pt idx="4">
                  <c:v>150</c:v>
                </c:pt>
                <c:pt idx="5">
                  <c:v>150</c:v>
                </c:pt>
                <c:pt idx="6">
                  <c:v>200</c:v>
                </c:pt>
                <c:pt idx="7">
                  <c:v>200</c:v>
                </c:pt>
                <c:pt idx="8">
                  <c:v>200</c:v>
                </c:pt>
                <c:pt idx="9">
                  <c:v>300</c:v>
                </c:pt>
                <c:pt idx="10">
                  <c:v>300</c:v>
                </c:pt>
                <c:pt idx="11">
                  <c:v>300</c:v>
                </c:pt>
                <c:pt idx="12">
                  <c:v>450</c:v>
                </c:pt>
                <c:pt idx="13">
                  <c:v>450</c:v>
                </c:pt>
                <c:pt idx="14">
                  <c:v>450</c:v>
                </c:pt>
              </c:numCache>
            </c:numRef>
          </c:xVal>
          <c:yVal>
            <c:numRef>
              <c:f>'DRV7308 Thermal Calculator'!$AK$40:$AK$54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0.1</c:v>
                </c:pt>
                <c:pt idx="6">
                  <c:v>0</c:v>
                </c:pt>
                <c:pt idx="7">
                  <c:v>0</c:v>
                </c:pt>
                <c:pt idx="8">
                  <c:v>0.1</c:v>
                </c:pt>
                <c:pt idx="9">
                  <c:v>0</c:v>
                </c:pt>
                <c:pt idx="10">
                  <c:v>0</c:v>
                </c:pt>
                <c:pt idx="11">
                  <c:v>0.1</c:v>
                </c:pt>
                <c:pt idx="12">
                  <c:v>0</c:v>
                </c:pt>
                <c:pt idx="13">
                  <c:v>0</c:v>
                </c:pt>
                <c:pt idx="14">
                  <c:v>0.1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1556-4CFC-95A3-DDB659D1EB3F}"/>
            </c:ext>
          </c:extLst>
        </c:ser>
        <c:ser>
          <c:idx val="4"/>
          <c:order val="4"/>
          <c:tx>
            <c:strRef>
              <c:f>'DRV7308 Thermal Calculator'!$AL$9</c:f>
              <c:strCache>
                <c:ptCount val="1"/>
                <c:pt idx="0">
                  <c:v>0.7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5"/>
                </a:solidFill>
                <a:prstDash val="sysDot"/>
              </a:ln>
              <a:effectLst/>
            </c:spPr>
            <c:trendlineType val="poly"/>
            <c:order val="2"/>
            <c:dispRSqr val="0"/>
            <c:dispEq val="1"/>
            <c:trendlineLbl>
              <c:layout>
                <c:manualLayout>
                  <c:x val="-0.42620986207378314"/>
                  <c:y val="0.37130952831325081"/>
                </c:manualLayout>
              </c:layout>
              <c:numFmt formatCode="0.00E+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'DRV7308 Thermal Calculator'!$AF$40:$AF$54</c:f>
              <c:numCache>
                <c:formatCode>General</c:formatCode>
                <c:ptCount val="15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150</c:v>
                </c:pt>
                <c:pt idx="4">
                  <c:v>150</c:v>
                </c:pt>
                <c:pt idx="5">
                  <c:v>150</c:v>
                </c:pt>
                <c:pt idx="6">
                  <c:v>200</c:v>
                </c:pt>
                <c:pt idx="7">
                  <c:v>200</c:v>
                </c:pt>
                <c:pt idx="8">
                  <c:v>200</c:v>
                </c:pt>
                <c:pt idx="9">
                  <c:v>300</c:v>
                </c:pt>
                <c:pt idx="10">
                  <c:v>300</c:v>
                </c:pt>
                <c:pt idx="11">
                  <c:v>300</c:v>
                </c:pt>
                <c:pt idx="12">
                  <c:v>450</c:v>
                </c:pt>
                <c:pt idx="13">
                  <c:v>450</c:v>
                </c:pt>
                <c:pt idx="14">
                  <c:v>450</c:v>
                </c:pt>
              </c:numCache>
            </c:numRef>
          </c:xVal>
          <c:yVal>
            <c:numRef>
              <c:f>'DRV7308 Thermal Calculator'!$AL$40:$AL$54</c:f>
              <c:numCache>
                <c:formatCode>General</c:formatCode>
                <c:ptCount val="15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0.1</c:v>
                </c:pt>
                <c:pt idx="4">
                  <c:v>0.1</c:v>
                </c:pt>
                <c:pt idx="5">
                  <c:v>0.2</c:v>
                </c:pt>
                <c:pt idx="6">
                  <c:v>0.1</c:v>
                </c:pt>
                <c:pt idx="7">
                  <c:v>0.1</c:v>
                </c:pt>
                <c:pt idx="8">
                  <c:v>0.2</c:v>
                </c:pt>
                <c:pt idx="9">
                  <c:v>0.1</c:v>
                </c:pt>
                <c:pt idx="10">
                  <c:v>0.1</c:v>
                </c:pt>
                <c:pt idx="11">
                  <c:v>0.2</c:v>
                </c:pt>
                <c:pt idx="12">
                  <c:v>0.1</c:v>
                </c:pt>
                <c:pt idx="13">
                  <c:v>0.1</c:v>
                </c:pt>
                <c:pt idx="14">
                  <c:v>0.2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1556-4CFC-95A3-DDB659D1EB3F}"/>
            </c:ext>
          </c:extLst>
        </c:ser>
        <c:ser>
          <c:idx val="5"/>
          <c:order val="5"/>
          <c:tx>
            <c:strRef>
              <c:f>'DRV7308 Thermal Calculator'!$AM$9</c:f>
              <c:strCache>
                <c:ptCount val="1"/>
                <c:pt idx="0">
                  <c:v>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6"/>
                </a:solidFill>
                <a:prstDash val="sysDot"/>
              </a:ln>
              <a:effectLst/>
            </c:spPr>
            <c:trendlineType val="poly"/>
            <c:order val="2"/>
            <c:dispRSqr val="0"/>
            <c:dispEq val="1"/>
            <c:trendlineLbl>
              <c:layout>
                <c:manualLayout>
                  <c:x val="-0.42785276486309576"/>
                  <c:y val="0.39543292232282956"/>
                </c:manualLayout>
              </c:layout>
              <c:numFmt formatCode="0.00E+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'DRV7308 Thermal Calculator'!$AF$40:$AF$54</c:f>
              <c:numCache>
                <c:formatCode>General</c:formatCode>
                <c:ptCount val="15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150</c:v>
                </c:pt>
                <c:pt idx="4">
                  <c:v>150</c:v>
                </c:pt>
                <c:pt idx="5">
                  <c:v>150</c:v>
                </c:pt>
                <c:pt idx="6">
                  <c:v>200</c:v>
                </c:pt>
                <c:pt idx="7">
                  <c:v>200</c:v>
                </c:pt>
                <c:pt idx="8">
                  <c:v>200</c:v>
                </c:pt>
                <c:pt idx="9">
                  <c:v>300</c:v>
                </c:pt>
                <c:pt idx="10">
                  <c:v>300</c:v>
                </c:pt>
                <c:pt idx="11">
                  <c:v>300</c:v>
                </c:pt>
                <c:pt idx="12">
                  <c:v>450</c:v>
                </c:pt>
                <c:pt idx="13">
                  <c:v>450</c:v>
                </c:pt>
                <c:pt idx="14">
                  <c:v>450</c:v>
                </c:pt>
              </c:numCache>
            </c:numRef>
          </c:xVal>
          <c:yVal>
            <c:numRef>
              <c:f>'DRV7308 Thermal Calculator'!$AM$40:$AM$54</c:f>
              <c:numCache>
                <c:formatCode>General</c:formatCode>
                <c:ptCount val="15"/>
                <c:pt idx="0">
                  <c:v>0.1</c:v>
                </c:pt>
                <c:pt idx="1">
                  <c:v>0.2</c:v>
                </c:pt>
                <c:pt idx="2">
                  <c:v>0.3</c:v>
                </c:pt>
                <c:pt idx="3">
                  <c:v>0.2</c:v>
                </c:pt>
                <c:pt idx="4">
                  <c:v>0.4</c:v>
                </c:pt>
                <c:pt idx="5">
                  <c:v>0.4</c:v>
                </c:pt>
                <c:pt idx="6">
                  <c:v>0.2</c:v>
                </c:pt>
                <c:pt idx="7">
                  <c:v>0.2</c:v>
                </c:pt>
                <c:pt idx="8">
                  <c:v>0.5</c:v>
                </c:pt>
                <c:pt idx="9">
                  <c:v>0.3</c:v>
                </c:pt>
                <c:pt idx="10">
                  <c:v>0.3</c:v>
                </c:pt>
                <c:pt idx="11">
                  <c:v>0.6</c:v>
                </c:pt>
                <c:pt idx="12">
                  <c:v>0.3</c:v>
                </c:pt>
                <c:pt idx="13">
                  <c:v>0.3</c:v>
                </c:pt>
                <c:pt idx="14">
                  <c:v>0.9</c:v>
                </c:pt>
              </c:numCache>
            </c:numRef>
          </c:y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B-1556-4CFC-95A3-DDB659D1EB3F}"/>
            </c:ext>
          </c:extLst>
        </c:ser>
        <c:ser>
          <c:idx val="8"/>
          <c:order val="8"/>
          <c:tx>
            <c:v>Calculated Eoff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'DRV7308 Thermal Calculator'!$C$8</c:f>
              <c:numCache>
                <c:formatCode>General</c:formatCode>
                <c:ptCount val="1"/>
                <c:pt idx="0">
                  <c:v>310</c:v>
                </c:pt>
              </c:numCache>
            </c:numRef>
          </c:xVal>
          <c:yVal>
            <c:numRef>
              <c:f>'DRV7308 Thermal Calculator'!$V$77</c:f>
              <c:numCache>
                <c:formatCode>0.00</c:formatCode>
                <c:ptCount val="1"/>
                <c:pt idx="0">
                  <c:v>0.17574875759999997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1556-4CFC-95A3-DDB659D1EB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82122239"/>
        <c:axId val="1986862255"/>
        <c:extLst>
          <c:ext xmlns:c15="http://schemas.microsoft.com/office/drawing/2012/chart" uri="{02D57815-91ED-43cb-92C2-25804820EDAC}">
            <c15:filteredScatterSeries>
              <c15:ser>
                <c:idx val="6"/>
                <c:order val="6"/>
                <c:tx>
                  <c:strRef>
                    <c:extLst>
                      <c:ext uri="{02D57815-91ED-43cb-92C2-25804820EDAC}">
                        <c15:formulaRef>
                          <c15:sqref>'DRV7308 Thermal Calculator'!$AN$9</c15:sqref>
                        </c15:formulaRef>
                      </c:ext>
                    </c:extLst>
                    <c:strCache>
                      <c:ptCount val="1"/>
                      <c:pt idx="0">
                        <c:v>2.5</c:v>
                      </c:pt>
                    </c:strCache>
                  </c:strRef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>
                        <a:lumMod val="60000"/>
                      </a:schemeClr>
                    </a:solidFill>
                    <a:ln w="9525">
                      <a:solidFill>
                        <a:schemeClr val="accent1">
                          <a:lumMod val="60000"/>
                        </a:schemeClr>
                      </a:solidFill>
                    </a:ln>
                    <a:effectLst/>
                  </c:spPr>
                </c:marker>
                <c:trendline>
                  <c:spPr>
                    <a:ln w="19050" cap="rnd">
                      <a:solidFill>
                        <a:schemeClr val="accent1">
                          <a:lumMod val="60000"/>
                        </a:schemeClr>
                      </a:solidFill>
                      <a:prstDash val="sysDot"/>
                    </a:ln>
                    <a:effectLst/>
                  </c:spPr>
                  <c:trendlineType val="poly"/>
                  <c:order val="2"/>
                  <c:dispRSqr val="0"/>
                  <c:dispEq val="1"/>
                  <c:trendlineLbl>
                    <c:layout>
                      <c:manualLayout>
                        <c:x val="-0.42808049470012138"/>
                        <c:y val="0.52191576395179407"/>
                      </c:manualLayout>
                    </c:layout>
                    <c:numFmt formatCode="0.00E+00" sourceLinked="0"/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anchor="ctr" anchorCtr="1"/>
                      <a:lstStyle/>
                      <a:p>
                        <a:pPr>
                          <a:defRPr sz="900" b="0" i="0" u="none" strike="noStrike" kern="1200" baseline="0">
                            <a:solidFill>
                              <a:schemeClr val="tx1">
                                <a:lumMod val="65000"/>
                                <a:lumOff val="35000"/>
                              </a:schemeClr>
                            </a:solidFill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en-US"/>
                      </a:p>
                    </c:txPr>
                  </c:trendlineLbl>
                </c:trendline>
                <c:xVal>
                  <c:numRef>
                    <c:extLst>
                      <c:ext uri="{02D57815-91ED-43cb-92C2-25804820EDAC}">
                        <c15:formulaRef>
                          <c15:sqref>'DRV7308 Thermal Calculator'!$AF$40:$AF$54</c15:sqref>
                        </c15:formulaRef>
                      </c:ext>
                    </c:extLst>
                    <c:numCache>
                      <c:formatCode>General</c:formatCode>
                      <c:ptCount val="15"/>
                      <c:pt idx="0">
                        <c:v>100</c:v>
                      </c:pt>
                      <c:pt idx="1">
                        <c:v>100</c:v>
                      </c:pt>
                      <c:pt idx="2">
                        <c:v>100</c:v>
                      </c:pt>
                      <c:pt idx="3">
                        <c:v>150</c:v>
                      </c:pt>
                      <c:pt idx="4">
                        <c:v>150</c:v>
                      </c:pt>
                      <c:pt idx="5">
                        <c:v>150</c:v>
                      </c:pt>
                      <c:pt idx="6">
                        <c:v>200</c:v>
                      </c:pt>
                      <c:pt idx="7">
                        <c:v>200</c:v>
                      </c:pt>
                      <c:pt idx="8">
                        <c:v>200</c:v>
                      </c:pt>
                      <c:pt idx="9">
                        <c:v>300</c:v>
                      </c:pt>
                      <c:pt idx="10">
                        <c:v>300</c:v>
                      </c:pt>
                      <c:pt idx="11">
                        <c:v>300</c:v>
                      </c:pt>
                      <c:pt idx="12">
                        <c:v>450</c:v>
                      </c:pt>
                      <c:pt idx="13">
                        <c:v>450</c:v>
                      </c:pt>
                      <c:pt idx="14">
                        <c:v>450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'DRV7308 Thermal Calculator'!$AN$40:$AN$54</c15:sqref>
                        </c15:formulaRef>
                      </c:ext>
                    </c:extLst>
                    <c:numCache>
                      <c:formatCode>General</c:formatCode>
                      <c:ptCount val="15"/>
                      <c:pt idx="0">
                        <c:v>0.5</c:v>
                      </c:pt>
                      <c:pt idx="1">
                        <c:v>0.6</c:v>
                      </c:pt>
                      <c:pt idx="2">
                        <c:v>1.1000000000000001</c:v>
                      </c:pt>
                      <c:pt idx="3">
                        <c:v>0.8</c:v>
                      </c:pt>
                      <c:pt idx="4">
                        <c:v>0.9</c:v>
                      </c:pt>
                      <c:pt idx="5">
                        <c:v>1.6</c:v>
                      </c:pt>
                      <c:pt idx="6">
                        <c:v>1.1000000000000001</c:v>
                      </c:pt>
                      <c:pt idx="7">
                        <c:v>1.3</c:v>
                      </c:pt>
                      <c:pt idx="8">
                        <c:v>2.2000000000000002</c:v>
                      </c:pt>
                      <c:pt idx="9">
                        <c:v>1.8</c:v>
                      </c:pt>
                      <c:pt idx="10">
                        <c:v>2.2000000000000002</c:v>
                      </c:pt>
                      <c:pt idx="11">
                        <c:v>3.6</c:v>
                      </c:pt>
                      <c:pt idx="12">
                        <c:v>3.5</c:v>
                      </c:pt>
                      <c:pt idx="13">
                        <c:v>4.0999999999999996</c:v>
                      </c:pt>
                      <c:pt idx="14">
                        <c:v>6.3</c:v>
                      </c:pt>
                    </c:numCache>
                  </c:numRef>
                </c:yVal>
                <c:smooth val="0"/>
                <c:extLst>
                  <c:ext xmlns:c16="http://schemas.microsoft.com/office/drawing/2014/chart" uri="{C3380CC4-5D6E-409C-BE32-E72D297353CC}">
                    <c16:uniqueId val="{0000000D-1556-4CFC-95A3-DDB659D1EB3F}"/>
                  </c:ext>
                </c:extLst>
              </c15:ser>
            </c15:filteredScatterSeries>
            <c15:filteredScatte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'DRV7308 Thermal Calculator'!$AO$9</c15:sqref>
                        </c15:formulaRef>
                      </c:ext>
                    </c:extLst>
                    <c:strCache>
                      <c:ptCount val="1"/>
                      <c:pt idx="0">
                        <c:v>4</c:v>
                      </c:pt>
                    </c:strCache>
                  </c:strRef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2">
                        <a:lumMod val="60000"/>
                      </a:schemeClr>
                    </a:solidFill>
                    <a:ln w="9525">
                      <a:solidFill>
                        <a:schemeClr val="accent2">
                          <a:lumMod val="60000"/>
                        </a:schemeClr>
                      </a:solidFill>
                    </a:ln>
                    <a:effectLst/>
                  </c:spPr>
                </c:marker>
                <c:trendline>
                  <c:spPr>
                    <a:ln w="19050" cap="rnd">
                      <a:solidFill>
                        <a:schemeClr val="accent2">
                          <a:lumMod val="60000"/>
                        </a:schemeClr>
                      </a:solidFill>
                      <a:prstDash val="sysDot"/>
                    </a:ln>
                    <a:effectLst/>
                  </c:spPr>
                  <c:trendlineType val="poly"/>
                  <c:order val="2"/>
                  <c:dispRSqr val="0"/>
                  <c:dispEq val="1"/>
                  <c:trendlineLbl>
                    <c:layout>
                      <c:manualLayout>
                        <c:x val="-0.43136175333926197"/>
                        <c:y val="0.74955250995584721"/>
                      </c:manualLayout>
                    </c:layout>
                    <c:numFmt formatCode="0.00E+00" sourceLinked="0"/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anchor="ctr" anchorCtr="1"/>
                      <a:lstStyle/>
                      <a:p>
                        <a:pPr>
                          <a:defRPr sz="900" b="0" i="0" u="none" strike="noStrike" kern="1200" baseline="0">
                            <a:solidFill>
                              <a:schemeClr val="tx1">
                                <a:lumMod val="65000"/>
                                <a:lumOff val="35000"/>
                              </a:schemeClr>
                            </a:solidFill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en-US"/>
                      </a:p>
                    </c:txPr>
                  </c:trendlineLbl>
                </c:trendline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'DRV7308 Thermal Calculator'!$AF$40:$AF$54</c15:sqref>
                        </c15:formulaRef>
                      </c:ext>
                    </c:extLst>
                    <c:numCache>
                      <c:formatCode>General</c:formatCode>
                      <c:ptCount val="15"/>
                      <c:pt idx="0">
                        <c:v>100</c:v>
                      </c:pt>
                      <c:pt idx="1">
                        <c:v>100</c:v>
                      </c:pt>
                      <c:pt idx="2">
                        <c:v>100</c:v>
                      </c:pt>
                      <c:pt idx="3">
                        <c:v>150</c:v>
                      </c:pt>
                      <c:pt idx="4">
                        <c:v>150</c:v>
                      </c:pt>
                      <c:pt idx="5">
                        <c:v>150</c:v>
                      </c:pt>
                      <c:pt idx="6">
                        <c:v>200</c:v>
                      </c:pt>
                      <c:pt idx="7">
                        <c:v>200</c:v>
                      </c:pt>
                      <c:pt idx="8">
                        <c:v>200</c:v>
                      </c:pt>
                      <c:pt idx="9">
                        <c:v>300</c:v>
                      </c:pt>
                      <c:pt idx="10">
                        <c:v>300</c:v>
                      </c:pt>
                      <c:pt idx="11">
                        <c:v>300</c:v>
                      </c:pt>
                      <c:pt idx="12">
                        <c:v>450</c:v>
                      </c:pt>
                      <c:pt idx="13">
                        <c:v>450</c:v>
                      </c:pt>
                      <c:pt idx="14">
                        <c:v>450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'DRV7308 Thermal Calculator'!$AO$40:$AO$54</c15:sqref>
                        </c15:formulaRef>
                      </c:ext>
                    </c:extLst>
                    <c:numCache>
                      <c:formatCode>General</c:formatCode>
                      <c:ptCount val="15"/>
                      <c:pt idx="0">
                        <c:v>1.3</c:v>
                      </c:pt>
                      <c:pt idx="1">
                        <c:v>1.4</c:v>
                      </c:pt>
                      <c:pt idx="2">
                        <c:v>2.9</c:v>
                      </c:pt>
                      <c:pt idx="3">
                        <c:v>2</c:v>
                      </c:pt>
                      <c:pt idx="4">
                        <c:v>2.5</c:v>
                      </c:pt>
                      <c:pt idx="5">
                        <c:v>4.0999999999999996</c:v>
                      </c:pt>
                      <c:pt idx="6">
                        <c:v>2.8</c:v>
                      </c:pt>
                      <c:pt idx="7">
                        <c:v>3.5</c:v>
                      </c:pt>
                      <c:pt idx="8">
                        <c:v>5.6</c:v>
                      </c:pt>
                      <c:pt idx="9">
                        <c:v>5.0999999999999996</c:v>
                      </c:pt>
                      <c:pt idx="10">
                        <c:v>6.1</c:v>
                      </c:pt>
                      <c:pt idx="11">
                        <c:v>9.1999999999999993</c:v>
                      </c:pt>
                      <c:pt idx="12">
                        <c:v>9.9</c:v>
                      </c:pt>
                      <c:pt idx="13">
                        <c:v>11.5</c:v>
                      </c:pt>
                      <c:pt idx="14">
                        <c:v>16.100000000000001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F-1556-4CFC-95A3-DDB659D1EB3F}"/>
                  </c:ext>
                </c:extLst>
              </c15:ser>
            </c15:filteredScatterSeries>
          </c:ext>
        </c:extLst>
      </c:scatterChart>
      <c:valAx>
        <c:axId val="58212223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VM</a:t>
                </a:r>
                <a:r>
                  <a:rPr lang="en-US" baseline="0"/>
                  <a:t> Voltage (V)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6862255"/>
        <c:crosses val="autoZero"/>
        <c:crossBetween val="midCat"/>
      </c:valAx>
      <c:valAx>
        <c:axId val="19868622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Switching Energy (uJ)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2122239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5113200785346109E-2"/>
          <c:y val="0.58651089242864562"/>
          <c:w val="0.86663196077076388"/>
          <c:h val="6.588306222133714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0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Eon (20V/ns)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2986563537679451E-2"/>
          <c:y val="9.7132822473699726E-2"/>
          <c:w val="0.87768603364118514"/>
          <c:h val="0.45223720890721891"/>
        </c:manualLayout>
      </c:layout>
      <c:scatterChart>
        <c:scatterStyle val="lineMarker"/>
        <c:varyColors val="0"/>
        <c:ser>
          <c:idx val="0"/>
          <c:order val="0"/>
          <c:tx>
            <c:strRef>
              <c:f>'DRV7308 Thermal Calculator'!$AP$9</c:f>
              <c:strCache>
                <c:ptCount val="1"/>
                <c:pt idx="0">
                  <c:v>0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poly"/>
            <c:order val="2"/>
            <c:dispRSqr val="0"/>
            <c:dispEq val="1"/>
            <c:trendlineLbl>
              <c:layout>
                <c:manualLayout>
                  <c:x val="-0.42694027460057482"/>
                  <c:y val="0.35238490011753637"/>
                </c:manualLayout>
              </c:layout>
              <c:numFmt formatCode="0.00E+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'DRV7308 Thermal Calculator'!$AF$40:$AF$54</c:f>
              <c:numCache>
                <c:formatCode>General</c:formatCode>
                <c:ptCount val="15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150</c:v>
                </c:pt>
                <c:pt idx="4">
                  <c:v>150</c:v>
                </c:pt>
                <c:pt idx="5">
                  <c:v>150</c:v>
                </c:pt>
                <c:pt idx="6">
                  <c:v>200</c:v>
                </c:pt>
                <c:pt idx="7">
                  <c:v>200</c:v>
                </c:pt>
                <c:pt idx="8">
                  <c:v>200</c:v>
                </c:pt>
                <c:pt idx="9">
                  <c:v>300</c:v>
                </c:pt>
                <c:pt idx="10">
                  <c:v>300</c:v>
                </c:pt>
                <c:pt idx="11">
                  <c:v>300</c:v>
                </c:pt>
                <c:pt idx="12">
                  <c:v>450</c:v>
                </c:pt>
                <c:pt idx="13">
                  <c:v>450</c:v>
                </c:pt>
                <c:pt idx="14">
                  <c:v>450</c:v>
                </c:pt>
              </c:numCache>
            </c:numRef>
          </c:xVal>
          <c:yVal>
            <c:numRef>
              <c:f>'DRV7308 Thermal Calculator'!$AP$40:$AP$54</c:f>
              <c:numCache>
                <c:formatCode>General</c:formatCode>
                <c:ptCount val="15"/>
                <c:pt idx="0">
                  <c:v>0.7</c:v>
                </c:pt>
                <c:pt idx="1">
                  <c:v>0.7</c:v>
                </c:pt>
                <c:pt idx="2">
                  <c:v>0.7</c:v>
                </c:pt>
                <c:pt idx="3">
                  <c:v>1.4</c:v>
                </c:pt>
                <c:pt idx="4">
                  <c:v>1.4</c:v>
                </c:pt>
                <c:pt idx="5">
                  <c:v>1.4</c:v>
                </c:pt>
                <c:pt idx="6">
                  <c:v>2.2999999999999998</c:v>
                </c:pt>
                <c:pt idx="7">
                  <c:v>2.2999999999999998</c:v>
                </c:pt>
                <c:pt idx="8">
                  <c:v>2.2999999999999998</c:v>
                </c:pt>
                <c:pt idx="9">
                  <c:v>4.7</c:v>
                </c:pt>
                <c:pt idx="10">
                  <c:v>4.7</c:v>
                </c:pt>
                <c:pt idx="11">
                  <c:v>4.7</c:v>
                </c:pt>
                <c:pt idx="12">
                  <c:v>9.5</c:v>
                </c:pt>
                <c:pt idx="13">
                  <c:v>9.5</c:v>
                </c:pt>
                <c:pt idx="14">
                  <c:v>9.5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B3C-4BB7-AEFC-3124C8BED3D1}"/>
            </c:ext>
          </c:extLst>
        </c:ser>
        <c:ser>
          <c:idx val="1"/>
          <c:order val="1"/>
          <c:tx>
            <c:strRef>
              <c:f>'DRV7308 Thermal Calculator'!$AQ$9</c:f>
              <c:strCache>
                <c:ptCount val="1"/>
                <c:pt idx="0">
                  <c:v>0.1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poly"/>
            <c:order val="2"/>
            <c:dispRSqr val="0"/>
            <c:dispEq val="1"/>
            <c:trendlineLbl>
              <c:layout>
                <c:manualLayout>
                  <c:x val="-0.42857748754847985"/>
                  <c:y val="0.38217224793748444"/>
                </c:manualLayout>
              </c:layout>
              <c:numFmt formatCode="0.00E+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'DRV7308 Thermal Calculator'!$AF$40:$AF$54</c:f>
              <c:numCache>
                <c:formatCode>General</c:formatCode>
                <c:ptCount val="15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150</c:v>
                </c:pt>
                <c:pt idx="4">
                  <c:v>150</c:v>
                </c:pt>
                <c:pt idx="5">
                  <c:v>150</c:v>
                </c:pt>
                <c:pt idx="6">
                  <c:v>200</c:v>
                </c:pt>
                <c:pt idx="7">
                  <c:v>200</c:v>
                </c:pt>
                <c:pt idx="8">
                  <c:v>200</c:v>
                </c:pt>
                <c:pt idx="9">
                  <c:v>300</c:v>
                </c:pt>
                <c:pt idx="10">
                  <c:v>300</c:v>
                </c:pt>
                <c:pt idx="11">
                  <c:v>300</c:v>
                </c:pt>
                <c:pt idx="12">
                  <c:v>450</c:v>
                </c:pt>
                <c:pt idx="13">
                  <c:v>450</c:v>
                </c:pt>
                <c:pt idx="14">
                  <c:v>450</c:v>
                </c:pt>
              </c:numCache>
            </c:numRef>
          </c:xVal>
          <c:yVal>
            <c:numRef>
              <c:f>'DRV7308 Thermal Calculator'!$AQ$40:$AQ$54</c:f>
              <c:numCache>
                <c:formatCode>General</c:formatCode>
                <c:ptCount val="15"/>
                <c:pt idx="0">
                  <c:v>0.8</c:v>
                </c:pt>
                <c:pt idx="1">
                  <c:v>0.8</c:v>
                </c:pt>
                <c:pt idx="2">
                  <c:v>0.8</c:v>
                </c:pt>
                <c:pt idx="3">
                  <c:v>1.6</c:v>
                </c:pt>
                <c:pt idx="4">
                  <c:v>1.6</c:v>
                </c:pt>
                <c:pt idx="5">
                  <c:v>1.6</c:v>
                </c:pt>
                <c:pt idx="6">
                  <c:v>2.6</c:v>
                </c:pt>
                <c:pt idx="7">
                  <c:v>2.6</c:v>
                </c:pt>
                <c:pt idx="8">
                  <c:v>2.6</c:v>
                </c:pt>
                <c:pt idx="9">
                  <c:v>5.0999999999999996</c:v>
                </c:pt>
                <c:pt idx="10">
                  <c:v>5.0999999999999996</c:v>
                </c:pt>
                <c:pt idx="11">
                  <c:v>5.0999999999999996</c:v>
                </c:pt>
                <c:pt idx="12">
                  <c:v>10.3</c:v>
                </c:pt>
                <c:pt idx="13">
                  <c:v>10.3</c:v>
                </c:pt>
                <c:pt idx="14">
                  <c:v>10.3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B3C-4BB7-AEFC-3124C8BED3D1}"/>
            </c:ext>
          </c:extLst>
        </c:ser>
        <c:ser>
          <c:idx val="2"/>
          <c:order val="2"/>
          <c:tx>
            <c:strRef>
              <c:f>'DRV7308 Thermal Calculator'!$AR$9</c:f>
              <c:strCache>
                <c:ptCount val="1"/>
                <c:pt idx="0">
                  <c:v>0.25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poly"/>
            <c:order val="2"/>
            <c:dispRSqr val="0"/>
            <c:dispEq val="1"/>
            <c:trendlineLbl>
              <c:layout>
                <c:manualLayout>
                  <c:x val="-0.42694027460057482"/>
                  <c:y val="0.42212116800852856"/>
                </c:manualLayout>
              </c:layout>
              <c:numFmt formatCode="0.00E+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'DRV7308 Thermal Calculator'!$AF$40:$AF$54</c:f>
              <c:numCache>
                <c:formatCode>General</c:formatCode>
                <c:ptCount val="15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150</c:v>
                </c:pt>
                <c:pt idx="4">
                  <c:v>150</c:v>
                </c:pt>
                <c:pt idx="5">
                  <c:v>150</c:v>
                </c:pt>
                <c:pt idx="6">
                  <c:v>200</c:v>
                </c:pt>
                <c:pt idx="7">
                  <c:v>200</c:v>
                </c:pt>
                <c:pt idx="8">
                  <c:v>200</c:v>
                </c:pt>
                <c:pt idx="9">
                  <c:v>300</c:v>
                </c:pt>
                <c:pt idx="10">
                  <c:v>300</c:v>
                </c:pt>
                <c:pt idx="11">
                  <c:v>300</c:v>
                </c:pt>
                <c:pt idx="12">
                  <c:v>450</c:v>
                </c:pt>
                <c:pt idx="13">
                  <c:v>450</c:v>
                </c:pt>
                <c:pt idx="14">
                  <c:v>450</c:v>
                </c:pt>
              </c:numCache>
            </c:numRef>
          </c:xVal>
          <c:yVal>
            <c:numRef>
              <c:f>'DRV7308 Thermal Calculator'!$AR$40:$AR$54</c:f>
              <c:numCache>
                <c:formatCode>General</c:formatCode>
                <c:ptCount val="15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1.8</c:v>
                </c:pt>
                <c:pt idx="4">
                  <c:v>1.8</c:v>
                </c:pt>
                <c:pt idx="5">
                  <c:v>1.8</c:v>
                </c:pt>
                <c:pt idx="6">
                  <c:v>2.9</c:v>
                </c:pt>
                <c:pt idx="7">
                  <c:v>2.9</c:v>
                </c:pt>
                <c:pt idx="8">
                  <c:v>2.9</c:v>
                </c:pt>
                <c:pt idx="9">
                  <c:v>5.7</c:v>
                </c:pt>
                <c:pt idx="10">
                  <c:v>5.7</c:v>
                </c:pt>
                <c:pt idx="11">
                  <c:v>5.7</c:v>
                </c:pt>
                <c:pt idx="12">
                  <c:v>11.3</c:v>
                </c:pt>
                <c:pt idx="13">
                  <c:v>11.3</c:v>
                </c:pt>
                <c:pt idx="14">
                  <c:v>11.3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EB3C-4BB7-AEFC-3124C8BED3D1}"/>
            </c:ext>
          </c:extLst>
        </c:ser>
        <c:ser>
          <c:idx val="3"/>
          <c:order val="3"/>
          <c:tx>
            <c:strRef>
              <c:f>'DRV7308 Thermal Calculator'!$AS$9</c:f>
              <c:strCache>
                <c:ptCount val="1"/>
                <c:pt idx="0">
                  <c:v>0.5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4"/>
                </a:solidFill>
                <a:prstDash val="sysDot"/>
              </a:ln>
              <a:effectLst/>
            </c:spPr>
            <c:trendlineType val="poly"/>
            <c:order val="2"/>
            <c:dispRSqr val="0"/>
            <c:dispEq val="1"/>
            <c:trendlineLbl>
              <c:layout>
                <c:manualLayout>
                  <c:x val="-0.42857748754847985"/>
                  <c:y val="0.46305140813016471"/>
                </c:manualLayout>
              </c:layout>
              <c:numFmt formatCode="0.00E+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'DRV7308 Thermal Calculator'!$AF$40:$AF$54</c:f>
              <c:numCache>
                <c:formatCode>General</c:formatCode>
                <c:ptCount val="15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150</c:v>
                </c:pt>
                <c:pt idx="4">
                  <c:v>150</c:v>
                </c:pt>
                <c:pt idx="5">
                  <c:v>150</c:v>
                </c:pt>
                <c:pt idx="6">
                  <c:v>200</c:v>
                </c:pt>
                <c:pt idx="7">
                  <c:v>200</c:v>
                </c:pt>
                <c:pt idx="8">
                  <c:v>200</c:v>
                </c:pt>
                <c:pt idx="9">
                  <c:v>300</c:v>
                </c:pt>
                <c:pt idx="10">
                  <c:v>300</c:v>
                </c:pt>
                <c:pt idx="11">
                  <c:v>300</c:v>
                </c:pt>
                <c:pt idx="12">
                  <c:v>450</c:v>
                </c:pt>
                <c:pt idx="13">
                  <c:v>450</c:v>
                </c:pt>
                <c:pt idx="14">
                  <c:v>450</c:v>
                </c:pt>
              </c:numCache>
            </c:numRef>
          </c:xVal>
          <c:yVal>
            <c:numRef>
              <c:f>'DRV7308 Thermal Calculator'!$AS$40:$AS$54</c:f>
              <c:numCache>
                <c:formatCode>General</c:formatCode>
                <c:ptCount val="15"/>
                <c:pt idx="0">
                  <c:v>1.2</c:v>
                </c:pt>
                <c:pt idx="1">
                  <c:v>1.2</c:v>
                </c:pt>
                <c:pt idx="2">
                  <c:v>1.2</c:v>
                </c:pt>
                <c:pt idx="3">
                  <c:v>2.1</c:v>
                </c:pt>
                <c:pt idx="4">
                  <c:v>2.1</c:v>
                </c:pt>
                <c:pt idx="5">
                  <c:v>2.1</c:v>
                </c:pt>
                <c:pt idx="6">
                  <c:v>3.4</c:v>
                </c:pt>
                <c:pt idx="7">
                  <c:v>3.4</c:v>
                </c:pt>
                <c:pt idx="8">
                  <c:v>3.4</c:v>
                </c:pt>
                <c:pt idx="9">
                  <c:v>6.6</c:v>
                </c:pt>
                <c:pt idx="10">
                  <c:v>6.6</c:v>
                </c:pt>
                <c:pt idx="11">
                  <c:v>6.6</c:v>
                </c:pt>
                <c:pt idx="12">
                  <c:v>13</c:v>
                </c:pt>
                <c:pt idx="13">
                  <c:v>13</c:v>
                </c:pt>
                <c:pt idx="14">
                  <c:v>13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EB3C-4BB7-AEFC-3124C8BED3D1}"/>
            </c:ext>
          </c:extLst>
        </c:ser>
        <c:ser>
          <c:idx val="4"/>
          <c:order val="4"/>
          <c:tx>
            <c:strRef>
              <c:f>'DRV7308 Thermal Calculator'!$AT$9</c:f>
              <c:strCache>
                <c:ptCount val="1"/>
                <c:pt idx="0">
                  <c:v>0.7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5"/>
                </a:solidFill>
                <a:prstDash val="sysDot"/>
              </a:ln>
              <a:effectLst/>
            </c:spPr>
            <c:trendlineType val="poly"/>
            <c:order val="2"/>
            <c:dispRSqr val="0"/>
            <c:dispEq val="1"/>
            <c:trendlineLbl>
              <c:layout>
                <c:manualLayout>
                  <c:x val="-0.43021470049638494"/>
                  <c:y val="0.50483772334373711"/>
                </c:manualLayout>
              </c:layout>
              <c:numFmt formatCode="0.00E+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'DRV7308 Thermal Calculator'!$AF$40:$AF$54</c:f>
              <c:numCache>
                <c:formatCode>General</c:formatCode>
                <c:ptCount val="15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150</c:v>
                </c:pt>
                <c:pt idx="4">
                  <c:v>150</c:v>
                </c:pt>
                <c:pt idx="5">
                  <c:v>150</c:v>
                </c:pt>
                <c:pt idx="6">
                  <c:v>200</c:v>
                </c:pt>
                <c:pt idx="7">
                  <c:v>200</c:v>
                </c:pt>
                <c:pt idx="8">
                  <c:v>200</c:v>
                </c:pt>
                <c:pt idx="9">
                  <c:v>300</c:v>
                </c:pt>
                <c:pt idx="10">
                  <c:v>300</c:v>
                </c:pt>
                <c:pt idx="11">
                  <c:v>300</c:v>
                </c:pt>
                <c:pt idx="12">
                  <c:v>450</c:v>
                </c:pt>
                <c:pt idx="13">
                  <c:v>450</c:v>
                </c:pt>
                <c:pt idx="14">
                  <c:v>450</c:v>
                </c:pt>
              </c:numCache>
            </c:numRef>
          </c:xVal>
          <c:yVal>
            <c:numRef>
              <c:f>'DRV7308 Thermal Calculator'!$AT$40:$AT$54</c:f>
              <c:numCache>
                <c:formatCode>General</c:formatCode>
                <c:ptCount val="15"/>
                <c:pt idx="0">
                  <c:v>1.3</c:v>
                </c:pt>
                <c:pt idx="1">
                  <c:v>1.3</c:v>
                </c:pt>
                <c:pt idx="2">
                  <c:v>1.3</c:v>
                </c:pt>
                <c:pt idx="3">
                  <c:v>2.4</c:v>
                </c:pt>
                <c:pt idx="4">
                  <c:v>2.4</c:v>
                </c:pt>
                <c:pt idx="5">
                  <c:v>2.4</c:v>
                </c:pt>
                <c:pt idx="6">
                  <c:v>3.8</c:v>
                </c:pt>
                <c:pt idx="7">
                  <c:v>3.8</c:v>
                </c:pt>
                <c:pt idx="8">
                  <c:v>3.8</c:v>
                </c:pt>
                <c:pt idx="9">
                  <c:v>7.3</c:v>
                </c:pt>
                <c:pt idx="10">
                  <c:v>7.3</c:v>
                </c:pt>
                <c:pt idx="11">
                  <c:v>7.3</c:v>
                </c:pt>
                <c:pt idx="12">
                  <c:v>14.4</c:v>
                </c:pt>
                <c:pt idx="13">
                  <c:v>14.4</c:v>
                </c:pt>
                <c:pt idx="14">
                  <c:v>14.4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EB3C-4BB7-AEFC-3124C8BED3D1}"/>
            </c:ext>
          </c:extLst>
        </c:ser>
        <c:ser>
          <c:idx val="5"/>
          <c:order val="5"/>
          <c:tx>
            <c:strRef>
              <c:f>'DRV7308 Thermal Calculator'!$AU$9</c:f>
              <c:strCache>
                <c:ptCount val="1"/>
                <c:pt idx="0">
                  <c:v>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6"/>
                </a:solidFill>
                <a:prstDash val="sysDot"/>
              </a:ln>
              <a:effectLst/>
            </c:spPr>
            <c:trendlineType val="poly"/>
            <c:order val="2"/>
            <c:dispRSqr val="0"/>
            <c:dispEq val="1"/>
            <c:trendlineLbl>
              <c:layout>
                <c:manualLayout>
                  <c:x val="-0.43021470049638494"/>
                  <c:y val="0.55274118371652925"/>
                </c:manualLayout>
              </c:layout>
              <c:numFmt formatCode="0.00E+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'DRV7308 Thermal Calculator'!$AF$40:$AF$54</c:f>
              <c:numCache>
                <c:formatCode>General</c:formatCode>
                <c:ptCount val="15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150</c:v>
                </c:pt>
                <c:pt idx="4">
                  <c:v>150</c:v>
                </c:pt>
                <c:pt idx="5">
                  <c:v>150</c:v>
                </c:pt>
                <c:pt idx="6">
                  <c:v>200</c:v>
                </c:pt>
                <c:pt idx="7">
                  <c:v>200</c:v>
                </c:pt>
                <c:pt idx="8">
                  <c:v>200</c:v>
                </c:pt>
                <c:pt idx="9">
                  <c:v>300</c:v>
                </c:pt>
                <c:pt idx="10">
                  <c:v>300</c:v>
                </c:pt>
                <c:pt idx="11">
                  <c:v>300</c:v>
                </c:pt>
                <c:pt idx="12">
                  <c:v>450</c:v>
                </c:pt>
                <c:pt idx="13">
                  <c:v>450</c:v>
                </c:pt>
                <c:pt idx="14">
                  <c:v>450</c:v>
                </c:pt>
              </c:numCache>
            </c:numRef>
          </c:xVal>
          <c:yVal>
            <c:numRef>
              <c:f>'DRV7308 Thermal Calculator'!$AU$40:$AU$54</c:f>
              <c:numCache>
                <c:formatCode>General</c:formatCode>
                <c:ptCount val="15"/>
                <c:pt idx="0">
                  <c:v>1.6</c:v>
                </c:pt>
                <c:pt idx="1">
                  <c:v>1.6</c:v>
                </c:pt>
                <c:pt idx="2">
                  <c:v>1.6</c:v>
                </c:pt>
                <c:pt idx="3">
                  <c:v>2.9</c:v>
                </c:pt>
                <c:pt idx="4">
                  <c:v>2.9</c:v>
                </c:pt>
                <c:pt idx="5">
                  <c:v>2.9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8.5</c:v>
                </c:pt>
                <c:pt idx="10">
                  <c:v>8.5</c:v>
                </c:pt>
                <c:pt idx="11">
                  <c:v>8.5</c:v>
                </c:pt>
                <c:pt idx="12">
                  <c:v>16.600000000000001</c:v>
                </c:pt>
                <c:pt idx="13">
                  <c:v>16.600000000000001</c:v>
                </c:pt>
                <c:pt idx="14">
                  <c:v>16.600000000000001</c:v>
                </c:pt>
              </c:numCache>
            </c:numRef>
          </c:y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B-EB3C-4BB7-AEFC-3124C8BED3D1}"/>
            </c:ext>
          </c:extLst>
        </c:ser>
        <c:ser>
          <c:idx val="8"/>
          <c:order val="8"/>
          <c:tx>
            <c:v>Calculated Eon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'DRV7308 Thermal Calculator'!$C$8</c:f>
              <c:numCache>
                <c:formatCode>General</c:formatCode>
                <c:ptCount val="1"/>
                <c:pt idx="0">
                  <c:v>310</c:v>
                </c:pt>
              </c:numCache>
            </c:numRef>
          </c:xVal>
          <c:yVal>
            <c:numRef>
              <c:f>'DRV7308 Thermal Calculator'!$W$77</c:f>
              <c:numCache>
                <c:formatCode>0.00</c:formatCode>
                <c:ptCount val="1"/>
                <c:pt idx="0">
                  <c:v>8.3869324343999985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EB3C-4BB7-AEFC-3124C8BED3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82122239"/>
        <c:axId val="1986862255"/>
        <c:extLst>
          <c:ext xmlns:c15="http://schemas.microsoft.com/office/drawing/2012/chart" uri="{02D57815-91ED-43cb-92C2-25804820EDAC}">
            <c15:filteredScatterSeries>
              <c15:ser>
                <c:idx val="6"/>
                <c:order val="6"/>
                <c:tx>
                  <c:strRef>
                    <c:extLst>
                      <c:ext uri="{02D57815-91ED-43cb-92C2-25804820EDAC}">
                        <c15:formulaRef>
                          <c15:sqref>'DRV7308 Thermal Calculator'!$AV$9</c15:sqref>
                        </c15:formulaRef>
                      </c:ext>
                    </c:extLst>
                    <c:strCache>
                      <c:ptCount val="1"/>
                      <c:pt idx="0">
                        <c:v>2.5</c:v>
                      </c:pt>
                    </c:strCache>
                  </c:strRef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>
                        <a:lumMod val="60000"/>
                      </a:schemeClr>
                    </a:solidFill>
                    <a:ln w="9525">
                      <a:solidFill>
                        <a:schemeClr val="accent1">
                          <a:lumMod val="60000"/>
                        </a:schemeClr>
                      </a:solidFill>
                    </a:ln>
                    <a:effectLst/>
                  </c:spPr>
                </c:marker>
                <c:trendline>
                  <c:spPr>
                    <a:ln w="19050" cap="rnd">
                      <a:solidFill>
                        <a:schemeClr val="accent1">
                          <a:lumMod val="60000"/>
                        </a:schemeClr>
                      </a:solidFill>
                      <a:prstDash val="sysDot"/>
                    </a:ln>
                    <a:effectLst/>
                  </c:spPr>
                  <c:trendlineType val="poly"/>
                  <c:order val="2"/>
                  <c:dispRSqr val="0"/>
                  <c:dispEq val="1"/>
                  <c:trendlineLbl>
                    <c:layout>
                      <c:manualLayout>
                        <c:x val="-0.42857748754847985"/>
                        <c:y val="0.69719599835320856"/>
                      </c:manualLayout>
                    </c:layout>
                    <c:numFmt formatCode="0.00E+00" sourceLinked="0"/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anchor="ctr" anchorCtr="1"/>
                      <a:lstStyle/>
                      <a:p>
                        <a:pPr>
                          <a:defRPr sz="900" b="0" i="0" u="none" strike="noStrike" kern="1200" baseline="0">
                            <a:solidFill>
                              <a:schemeClr val="tx1">
                                <a:lumMod val="65000"/>
                                <a:lumOff val="35000"/>
                              </a:schemeClr>
                            </a:solidFill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en-US"/>
                      </a:p>
                    </c:txPr>
                  </c:trendlineLbl>
                </c:trendline>
                <c:xVal>
                  <c:numRef>
                    <c:extLst>
                      <c:ext uri="{02D57815-91ED-43cb-92C2-25804820EDAC}">
                        <c15:formulaRef>
                          <c15:sqref>'DRV7308 Thermal Calculator'!$AF$40:$AF$54</c15:sqref>
                        </c15:formulaRef>
                      </c:ext>
                    </c:extLst>
                    <c:numCache>
                      <c:formatCode>General</c:formatCode>
                      <c:ptCount val="15"/>
                      <c:pt idx="0">
                        <c:v>100</c:v>
                      </c:pt>
                      <c:pt idx="1">
                        <c:v>100</c:v>
                      </c:pt>
                      <c:pt idx="2">
                        <c:v>100</c:v>
                      </c:pt>
                      <c:pt idx="3">
                        <c:v>150</c:v>
                      </c:pt>
                      <c:pt idx="4">
                        <c:v>150</c:v>
                      </c:pt>
                      <c:pt idx="5">
                        <c:v>150</c:v>
                      </c:pt>
                      <c:pt idx="6">
                        <c:v>200</c:v>
                      </c:pt>
                      <c:pt idx="7">
                        <c:v>200</c:v>
                      </c:pt>
                      <c:pt idx="8">
                        <c:v>200</c:v>
                      </c:pt>
                      <c:pt idx="9">
                        <c:v>300</c:v>
                      </c:pt>
                      <c:pt idx="10">
                        <c:v>300</c:v>
                      </c:pt>
                      <c:pt idx="11">
                        <c:v>300</c:v>
                      </c:pt>
                      <c:pt idx="12">
                        <c:v>450</c:v>
                      </c:pt>
                      <c:pt idx="13">
                        <c:v>450</c:v>
                      </c:pt>
                      <c:pt idx="14">
                        <c:v>450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'DRV7308 Thermal Calculator'!$AV$40:$AV$54</c15:sqref>
                        </c15:formulaRef>
                      </c:ext>
                    </c:extLst>
                    <c:numCache>
                      <c:formatCode>General</c:formatCode>
                      <c:ptCount val="15"/>
                      <c:pt idx="0">
                        <c:v>3.2</c:v>
                      </c:pt>
                      <c:pt idx="1">
                        <c:v>3.2</c:v>
                      </c:pt>
                      <c:pt idx="2">
                        <c:v>3.2</c:v>
                      </c:pt>
                      <c:pt idx="3">
                        <c:v>5.5</c:v>
                      </c:pt>
                      <c:pt idx="4">
                        <c:v>5.5</c:v>
                      </c:pt>
                      <c:pt idx="5">
                        <c:v>5.5</c:v>
                      </c:pt>
                      <c:pt idx="6">
                        <c:v>8.1999999999999993</c:v>
                      </c:pt>
                      <c:pt idx="7">
                        <c:v>8.1999999999999993</c:v>
                      </c:pt>
                      <c:pt idx="8">
                        <c:v>8.1999999999999993</c:v>
                      </c:pt>
                      <c:pt idx="9">
                        <c:v>15</c:v>
                      </c:pt>
                      <c:pt idx="10">
                        <c:v>15</c:v>
                      </c:pt>
                      <c:pt idx="11">
                        <c:v>15</c:v>
                      </c:pt>
                      <c:pt idx="12">
                        <c:v>28.2</c:v>
                      </c:pt>
                      <c:pt idx="13">
                        <c:v>28.2</c:v>
                      </c:pt>
                      <c:pt idx="14">
                        <c:v>28.2</c:v>
                      </c:pt>
                    </c:numCache>
                  </c:numRef>
                </c:yVal>
                <c:smooth val="0"/>
                <c:extLst>
                  <c:ext xmlns:c16="http://schemas.microsoft.com/office/drawing/2014/chart" uri="{C3380CC4-5D6E-409C-BE32-E72D297353CC}">
                    <c16:uniqueId val="{0000000D-EB3C-4BB7-AEFC-3124C8BED3D1}"/>
                  </c:ext>
                </c:extLst>
              </c15:ser>
            </c15:filteredScatterSeries>
            <c15:filteredScatte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'DRV7308 Thermal Calculator'!$AW$9</c15:sqref>
                        </c15:formulaRef>
                      </c:ext>
                    </c:extLst>
                    <c:strCache>
                      <c:ptCount val="1"/>
                      <c:pt idx="0">
                        <c:v>4</c:v>
                      </c:pt>
                    </c:strCache>
                  </c:strRef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2">
                        <a:lumMod val="60000"/>
                      </a:schemeClr>
                    </a:solidFill>
                    <a:ln w="9525">
                      <a:solidFill>
                        <a:schemeClr val="accent2">
                          <a:lumMod val="60000"/>
                        </a:schemeClr>
                      </a:solidFill>
                    </a:ln>
                    <a:effectLst/>
                  </c:spPr>
                </c:marker>
                <c:trendline>
                  <c:spPr>
                    <a:ln w="19050" cap="rnd">
                      <a:solidFill>
                        <a:schemeClr val="accent2">
                          <a:lumMod val="60000"/>
                        </a:schemeClr>
                      </a:solidFill>
                      <a:prstDash val="sysDot"/>
                    </a:ln>
                    <a:effectLst/>
                  </c:spPr>
                  <c:trendlineType val="poly"/>
                  <c:order val="2"/>
                  <c:dispRSqr val="0"/>
                  <c:dispEq val="1"/>
                  <c:trendlineLbl>
                    <c:layout>
                      <c:manualLayout>
                        <c:x val="-0.43078273902863529"/>
                        <c:y val="0.85968283998441175"/>
                      </c:manualLayout>
                    </c:layout>
                    <c:numFmt formatCode="0.00E+00" sourceLinked="0"/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anchor="ctr" anchorCtr="1"/>
                      <a:lstStyle/>
                      <a:p>
                        <a:pPr>
                          <a:defRPr sz="900" b="0" i="0" u="none" strike="noStrike" kern="1200" baseline="0">
                            <a:solidFill>
                              <a:schemeClr val="tx1">
                                <a:lumMod val="65000"/>
                                <a:lumOff val="35000"/>
                              </a:schemeClr>
                            </a:solidFill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en-US"/>
                      </a:p>
                    </c:txPr>
                  </c:trendlineLbl>
                </c:trendline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'DRV7308 Thermal Calculator'!$AF$40:$AF$54</c15:sqref>
                        </c15:formulaRef>
                      </c:ext>
                    </c:extLst>
                    <c:numCache>
                      <c:formatCode>General</c:formatCode>
                      <c:ptCount val="15"/>
                      <c:pt idx="0">
                        <c:v>100</c:v>
                      </c:pt>
                      <c:pt idx="1">
                        <c:v>100</c:v>
                      </c:pt>
                      <c:pt idx="2">
                        <c:v>100</c:v>
                      </c:pt>
                      <c:pt idx="3">
                        <c:v>150</c:v>
                      </c:pt>
                      <c:pt idx="4">
                        <c:v>150</c:v>
                      </c:pt>
                      <c:pt idx="5">
                        <c:v>150</c:v>
                      </c:pt>
                      <c:pt idx="6">
                        <c:v>200</c:v>
                      </c:pt>
                      <c:pt idx="7">
                        <c:v>200</c:v>
                      </c:pt>
                      <c:pt idx="8">
                        <c:v>200</c:v>
                      </c:pt>
                      <c:pt idx="9">
                        <c:v>300</c:v>
                      </c:pt>
                      <c:pt idx="10">
                        <c:v>300</c:v>
                      </c:pt>
                      <c:pt idx="11">
                        <c:v>300</c:v>
                      </c:pt>
                      <c:pt idx="12">
                        <c:v>450</c:v>
                      </c:pt>
                      <c:pt idx="13">
                        <c:v>450</c:v>
                      </c:pt>
                      <c:pt idx="14">
                        <c:v>450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'DRV7308 Thermal Calculator'!$AW$40:$AW$54</c15:sqref>
                        </c15:formulaRef>
                      </c:ext>
                    </c:extLst>
                    <c:numCache>
                      <c:formatCode>General</c:formatCode>
                      <c:ptCount val="15"/>
                      <c:pt idx="0">
                        <c:v>5</c:v>
                      </c:pt>
                      <c:pt idx="1">
                        <c:v>5</c:v>
                      </c:pt>
                      <c:pt idx="2">
                        <c:v>5</c:v>
                      </c:pt>
                      <c:pt idx="3">
                        <c:v>8.5</c:v>
                      </c:pt>
                      <c:pt idx="4">
                        <c:v>8.5</c:v>
                      </c:pt>
                      <c:pt idx="5">
                        <c:v>8.5</c:v>
                      </c:pt>
                      <c:pt idx="6">
                        <c:v>12.5</c:v>
                      </c:pt>
                      <c:pt idx="7">
                        <c:v>12.5</c:v>
                      </c:pt>
                      <c:pt idx="8">
                        <c:v>12.5</c:v>
                      </c:pt>
                      <c:pt idx="9">
                        <c:v>22.3</c:v>
                      </c:pt>
                      <c:pt idx="10">
                        <c:v>22.3</c:v>
                      </c:pt>
                      <c:pt idx="11">
                        <c:v>22.3</c:v>
                      </c:pt>
                      <c:pt idx="12">
                        <c:v>41</c:v>
                      </c:pt>
                      <c:pt idx="13">
                        <c:v>41</c:v>
                      </c:pt>
                      <c:pt idx="14">
                        <c:v>41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F-EB3C-4BB7-AEFC-3124C8BED3D1}"/>
                  </c:ext>
                </c:extLst>
              </c15:ser>
            </c15:filteredScatterSeries>
          </c:ext>
        </c:extLst>
      </c:scatterChart>
      <c:valAx>
        <c:axId val="58212223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VM</a:t>
                </a:r>
                <a:r>
                  <a:rPr lang="en-US" baseline="0"/>
                  <a:t> Voltage (V)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6862255"/>
        <c:crosses val="autoZero"/>
        <c:crossBetween val="midCat"/>
      </c:valAx>
      <c:valAx>
        <c:axId val="19868622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Switching Energy (uJ)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2122239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5113200785346109E-2"/>
          <c:y val="0.58651089242864562"/>
          <c:w val="0.68193114010464284"/>
          <c:h val="0.1006239928802652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0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Eoff (40V/ns)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2986563537679451E-2"/>
          <c:y val="9.7132822473699726E-2"/>
          <c:w val="0.87768603364118514"/>
          <c:h val="0.45223720890721891"/>
        </c:manualLayout>
      </c:layout>
      <c:scatterChart>
        <c:scatterStyle val="lineMarker"/>
        <c:varyColors val="0"/>
        <c:ser>
          <c:idx val="0"/>
          <c:order val="0"/>
          <c:tx>
            <c:strRef>
              <c:f>'DRV7308 Thermal Calculator'!$AH$9</c:f>
              <c:strCache>
                <c:ptCount val="1"/>
                <c:pt idx="0">
                  <c:v>0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poly"/>
            <c:order val="2"/>
            <c:dispRSqr val="0"/>
            <c:dispEq val="1"/>
            <c:trendlineLbl>
              <c:layout>
                <c:manualLayout>
                  <c:x val="-0.57052972670466584"/>
                  <c:y val="0.27114729271579902"/>
                </c:manualLayout>
              </c:layout>
              <c:numFmt formatCode="0.00E+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'DRV7308 Thermal Calculator'!$AF$55:$AF$69</c:f>
              <c:numCache>
                <c:formatCode>General</c:formatCode>
                <c:ptCount val="15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150</c:v>
                </c:pt>
                <c:pt idx="4">
                  <c:v>150</c:v>
                </c:pt>
                <c:pt idx="5">
                  <c:v>150</c:v>
                </c:pt>
                <c:pt idx="6">
                  <c:v>200</c:v>
                </c:pt>
                <c:pt idx="7">
                  <c:v>200</c:v>
                </c:pt>
                <c:pt idx="8">
                  <c:v>200</c:v>
                </c:pt>
                <c:pt idx="9">
                  <c:v>300</c:v>
                </c:pt>
                <c:pt idx="10">
                  <c:v>300</c:v>
                </c:pt>
                <c:pt idx="11">
                  <c:v>300</c:v>
                </c:pt>
                <c:pt idx="12">
                  <c:v>450</c:v>
                </c:pt>
                <c:pt idx="13">
                  <c:v>450</c:v>
                </c:pt>
                <c:pt idx="14">
                  <c:v>450</c:v>
                </c:pt>
              </c:numCache>
            </c:numRef>
          </c:xVal>
          <c:yVal>
            <c:numRef>
              <c:f>'DRV7308 Thermal Calculator'!$AH$55:$AH$69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170-4E08-BB9C-D67A031AB98B}"/>
            </c:ext>
          </c:extLst>
        </c:ser>
        <c:ser>
          <c:idx val="1"/>
          <c:order val="1"/>
          <c:tx>
            <c:strRef>
              <c:f>'DRV7308 Thermal Calculator'!$AI$9</c:f>
              <c:strCache>
                <c:ptCount val="1"/>
                <c:pt idx="0">
                  <c:v>0.1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poly"/>
            <c:order val="2"/>
            <c:dispRSqr val="0"/>
            <c:dispEq val="1"/>
            <c:trendlineLbl>
              <c:layout>
                <c:manualLayout>
                  <c:x val="-0.57052972670466584"/>
                  <c:y val="0.29691326465320655"/>
                </c:manualLayout>
              </c:layout>
              <c:numFmt formatCode="0.00E+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'DRV7308 Thermal Calculator'!$AF$55:$AF$69</c:f>
              <c:numCache>
                <c:formatCode>General</c:formatCode>
                <c:ptCount val="15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150</c:v>
                </c:pt>
                <c:pt idx="4">
                  <c:v>150</c:v>
                </c:pt>
                <c:pt idx="5">
                  <c:v>150</c:v>
                </c:pt>
                <c:pt idx="6">
                  <c:v>200</c:v>
                </c:pt>
                <c:pt idx="7">
                  <c:v>200</c:v>
                </c:pt>
                <c:pt idx="8">
                  <c:v>200</c:v>
                </c:pt>
                <c:pt idx="9">
                  <c:v>300</c:v>
                </c:pt>
                <c:pt idx="10">
                  <c:v>300</c:v>
                </c:pt>
                <c:pt idx="11">
                  <c:v>300</c:v>
                </c:pt>
                <c:pt idx="12">
                  <c:v>450</c:v>
                </c:pt>
                <c:pt idx="13">
                  <c:v>450</c:v>
                </c:pt>
                <c:pt idx="14">
                  <c:v>450</c:v>
                </c:pt>
              </c:numCache>
            </c:numRef>
          </c:xVal>
          <c:yVal>
            <c:numRef>
              <c:f>'DRV7308 Thermal Calculator'!$AI$55:$AI$69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A170-4E08-BB9C-D67A031AB98B}"/>
            </c:ext>
          </c:extLst>
        </c:ser>
        <c:ser>
          <c:idx val="2"/>
          <c:order val="2"/>
          <c:tx>
            <c:strRef>
              <c:f>'DRV7308 Thermal Calculator'!$AJ$9</c:f>
              <c:strCache>
                <c:ptCount val="1"/>
                <c:pt idx="0">
                  <c:v>0.25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poly"/>
            <c:order val="2"/>
            <c:dispRSqr val="0"/>
            <c:dispEq val="1"/>
            <c:trendlineLbl>
              <c:layout>
                <c:manualLayout>
                  <c:x val="-0.56664825233224525"/>
                  <c:y val="0.32364399805845834"/>
                </c:manualLayout>
              </c:layout>
              <c:numFmt formatCode="0.00E+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'DRV7308 Thermal Calculator'!$AF$55:$AF$69</c:f>
              <c:numCache>
                <c:formatCode>General</c:formatCode>
                <c:ptCount val="15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150</c:v>
                </c:pt>
                <c:pt idx="4">
                  <c:v>150</c:v>
                </c:pt>
                <c:pt idx="5">
                  <c:v>150</c:v>
                </c:pt>
                <c:pt idx="6">
                  <c:v>200</c:v>
                </c:pt>
                <c:pt idx="7">
                  <c:v>200</c:v>
                </c:pt>
                <c:pt idx="8">
                  <c:v>200</c:v>
                </c:pt>
                <c:pt idx="9">
                  <c:v>300</c:v>
                </c:pt>
                <c:pt idx="10">
                  <c:v>300</c:v>
                </c:pt>
                <c:pt idx="11">
                  <c:v>300</c:v>
                </c:pt>
                <c:pt idx="12">
                  <c:v>450</c:v>
                </c:pt>
                <c:pt idx="13">
                  <c:v>450</c:v>
                </c:pt>
                <c:pt idx="14">
                  <c:v>450</c:v>
                </c:pt>
              </c:numCache>
            </c:numRef>
          </c:xVal>
          <c:yVal>
            <c:numRef>
              <c:f>'DRV7308 Thermal Calculator'!$AJ$55:$AJ$69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A170-4E08-BB9C-D67A031AB98B}"/>
            </c:ext>
          </c:extLst>
        </c:ser>
        <c:ser>
          <c:idx val="3"/>
          <c:order val="3"/>
          <c:tx>
            <c:strRef>
              <c:f>'DRV7308 Thermal Calculator'!$AK$9</c:f>
              <c:strCache>
                <c:ptCount val="1"/>
                <c:pt idx="0">
                  <c:v>0.5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4"/>
                </a:solidFill>
                <a:prstDash val="sysDot"/>
              </a:ln>
              <a:effectLst/>
            </c:spPr>
            <c:trendlineType val="poly"/>
            <c:order val="2"/>
            <c:dispRSqr val="0"/>
            <c:dispEq val="1"/>
            <c:trendlineLbl>
              <c:layout>
                <c:manualLayout>
                  <c:x val="-0.56674152178811477"/>
                  <c:y val="0.34635193126350067"/>
                </c:manualLayout>
              </c:layout>
              <c:numFmt formatCode="0.00E+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'DRV7308 Thermal Calculator'!$AF$55:$AF$69</c:f>
              <c:numCache>
                <c:formatCode>General</c:formatCode>
                <c:ptCount val="15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150</c:v>
                </c:pt>
                <c:pt idx="4">
                  <c:v>150</c:v>
                </c:pt>
                <c:pt idx="5">
                  <c:v>150</c:v>
                </c:pt>
                <c:pt idx="6">
                  <c:v>200</c:v>
                </c:pt>
                <c:pt idx="7">
                  <c:v>200</c:v>
                </c:pt>
                <c:pt idx="8">
                  <c:v>200</c:v>
                </c:pt>
                <c:pt idx="9">
                  <c:v>300</c:v>
                </c:pt>
                <c:pt idx="10">
                  <c:v>300</c:v>
                </c:pt>
                <c:pt idx="11">
                  <c:v>300</c:v>
                </c:pt>
                <c:pt idx="12">
                  <c:v>450</c:v>
                </c:pt>
                <c:pt idx="13">
                  <c:v>450</c:v>
                </c:pt>
                <c:pt idx="14">
                  <c:v>450</c:v>
                </c:pt>
              </c:numCache>
            </c:numRef>
          </c:xVal>
          <c:yVal>
            <c:numRef>
              <c:f>'DRV7308 Thermal Calculator'!$AK$55:$AK$69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A170-4E08-BB9C-D67A031AB98B}"/>
            </c:ext>
          </c:extLst>
        </c:ser>
        <c:ser>
          <c:idx val="4"/>
          <c:order val="4"/>
          <c:tx>
            <c:strRef>
              <c:f>'DRV7308 Thermal Calculator'!$AL$9</c:f>
              <c:strCache>
                <c:ptCount val="1"/>
                <c:pt idx="0">
                  <c:v>0.7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5"/>
                </a:solidFill>
                <a:prstDash val="sysDot"/>
              </a:ln>
              <a:effectLst/>
            </c:spPr>
            <c:trendlineType val="poly"/>
            <c:order val="2"/>
            <c:dispRSqr val="0"/>
            <c:dispEq val="1"/>
            <c:trendlineLbl>
              <c:layout>
                <c:manualLayout>
                  <c:x val="-0.42620986207378314"/>
                  <c:y val="0.37130952831325081"/>
                </c:manualLayout>
              </c:layout>
              <c:numFmt formatCode="0.00E+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'DRV7308 Thermal Calculator'!$AF$55:$AF$69</c:f>
              <c:numCache>
                <c:formatCode>General</c:formatCode>
                <c:ptCount val="15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150</c:v>
                </c:pt>
                <c:pt idx="4">
                  <c:v>150</c:v>
                </c:pt>
                <c:pt idx="5">
                  <c:v>150</c:v>
                </c:pt>
                <c:pt idx="6">
                  <c:v>200</c:v>
                </c:pt>
                <c:pt idx="7">
                  <c:v>200</c:v>
                </c:pt>
                <c:pt idx="8">
                  <c:v>200</c:v>
                </c:pt>
                <c:pt idx="9">
                  <c:v>300</c:v>
                </c:pt>
                <c:pt idx="10">
                  <c:v>300</c:v>
                </c:pt>
                <c:pt idx="11">
                  <c:v>300</c:v>
                </c:pt>
                <c:pt idx="12">
                  <c:v>450</c:v>
                </c:pt>
                <c:pt idx="13">
                  <c:v>450</c:v>
                </c:pt>
                <c:pt idx="14">
                  <c:v>450</c:v>
                </c:pt>
              </c:numCache>
            </c:numRef>
          </c:xVal>
          <c:yVal>
            <c:numRef>
              <c:f>'DRV7308 Thermal Calculator'!$AL$55:$AL$69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0.1</c:v>
                </c:pt>
                <c:pt idx="6">
                  <c:v>0</c:v>
                </c:pt>
                <c:pt idx="7">
                  <c:v>0</c:v>
                </c:pt>
                <c:pt idx="8">
                  <c:v>0.1</c:v>
                </c:pt>
                <c:pt idx="9">
                  <c:v>0</c:v>
                </c:pt>
                <c:pt idx="10">
                  <c:v>0</c:v>
                </c:pt>
                <c:pt idx="11">
                  <c:v>0.1</c:v>
                </c:pt>
                <c:pt idx="12">
                  <c:v>0</c:v>
                </c:pt>
                <c:pt idx="13">
                  <c:v>0</c:v>
                </c:pt>
                <c:pt idx="14">
                  <c:v>0.1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A170-4E08-BB9C-D67A031AB98B}"/>
            </c:ext>
          </c:extLst>
        </c:ser>
        <c:ser>
          <c:idx val="5"/>
          <c:order val="5"/>
          <c:tx>
            <c:strRef>
              <c:f>'DRV7308 Thermal Calculator'!$AM$9</c:f>
              <c:strCache>
                <c:ptCount val="1"/>
                <c:pt idx="0">
                  <c:v>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6"/>
                </a:solidFill>
                <a:prstDash val="sysDot"/>
              </a:ln>
              <a:effectLst/>
            </c:spPr>
            <c:trendlineType val="poly"/>
            <c:order val="2"/>
            <c:dispRSqr val="0"/>
            <c:dispEq val="1"/>
            <c:trendlineLbl>
              <c:layout>
                <c:manualLayout>
                  <c:x val="-0.42770529774399135"/>
                  <c:y val="0.39894511531842297"/>
                </c:manualLayout>
              </c:layout>
              <c:numFmt formatCode="0.00E+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'DRV7308 Thermal Calculator'!$AF$55:$AF$69</c:f>
              <c:numCache>
                <c:formatCode>General</c:formatCode>
                <c:ptCount val="15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150</c:v>
                </c:pt>
                <c:pt idx="4">
                  <c:v>150</c:v>
                </c:pt>
                <c:pt idx="5">
                  <c:v>150</c:v>
                </c:pt>
                <c:pt idx="6">
                  <c:v>200</c:v>
                </c:pt>
                <c:pt idx="7">
                  <c:v>200</c:v>
                </c:pt>
                <c:pt idx="8">
                  <c:v>200</c:v>
                </c:pt>
                <c:pt idx="9">
                  <c:v>300</c:v>
                </c:pt>
                <c:pt idx="10">
                  <c:v>300</c:v>
                </c:pt>
                <c:pt idx="11">
                  <c:v>300</c:v>
                </c:pt>
                <c:pt idx="12">
                  <c:v>450</c:v>
                </c:pt>
                <c:pt idx="13">
                  <c:v>450</c:v>
                </c:pt>
                <c:pt idx="14">
                  <c:v>450</c:v>
                </c:pt>
              </c:numCache>
            </c:numRef>
          </c:xVal>
          <c:yVal>
            <c:numRef>
              <c:f>'DRV7308 Thermal Calculator'!$AM$55:$AM$69</c:f>
              <c:numCache>
                <c:formatCode>General</c:formatCode>
                <c:ptCount val="15"/>
                <c:pt idx="0">
                  <c:v>0</c:v>
                </c:pt>
                <c:pt idx="1">
                  <c:v>0.1</c:v>
                </c:pt>
                <c:pt idx="2">
                  <c:v>0.1</c:v>
                </c:pt>
                <c:pt idx="3">
                  <c:v>0.1</c:v>
                </c:pt>
                <c:pt idx="4">
                  <c:v>0.1</c:v>
                </c:pt>
                <c:pt idx="5">
                  <c:v>0.1</c:v>
                </c:pt>
                <c:pt idx="6">
                  <c:v>0.1</c:v>
                </c:pt>
                <c:pt idx="7">
                  <c:v>0.1</c:v>
                </c:pt>
                <c:pt idx="8">
                  <c:v>0.2</c:v>
                </c:pt>
                <c:pt idx="9">
                  <c:v>0.1</c:v>
                </c:pt>
                <c:pt idx="10">
                  <c:v>0.1</c:v>
                </c:pt>
                <c:pt idx="11">
                  <c:v>0.2</c:v>
                </c:pt>
                <c:pt idx="12">
                  <c:v>0.1</c:v>
                </c:pt>
                <c:pt idx="13">
                  <c:v>0.1</c:v>
                </c:pt>
                <c:pt idx="14">
                  <c:v>0.2</c:v>
                </c:pt>
              </c:numCache>
            </c:numRef>
          </c:y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B-A170-4E08-BB9C-D67A031AB98B}"/>
            </c:ext>
          </c:extLst>
        </c:ser>
        <c:ser>
          <c:idx val="8"/>
          <c:order val="8"/>
          <c:tx>
            <c:v>Calculated Eoff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'DRV7308 Thermal Calculator'!$C$8</c:f>
              <c:numCache>
                <c:formatCode>General</c:formatCode>
                <c:ptCount val="1"/>
                <c:pt idx="0">
                  <c:v>310</c:v>
                </c:pt>
              </c:numCache>
            </c:numRef>
          </c:xVal>
          <c:yVal>
            <c:numRef>
              <c:f>'DRV7308 Thermal Calculator'!$V$78</c:f>
              <c:numCache>
                <c:formatCode>0.00</c:formatCode>
                <c:ptCount val="1"/>
                <c:pt idx="0">
                  <c:v>7.4237964999999989E-2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A170-4E08-BB9C-D67A031AB9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82122239"/>
        <c:axId val="1986862255"/>
        <c:extLst>
          <c:ext xmlns:c15="http://schemas.microsoft.com/office/drawing/2012/chart" uri="{02D57815-91ED-43cb-92C2-25804820EDAC}">
            <c15:filteredScatterSeries>
              <c15:ser>
                <c:idx val="6"/>
                <c:order val="6"/>
                <c:tx>
                  <c:strRef>
                    <c:extLst>
                      <c:ext uri="{02D57815-91ED-43cb-92C2-25804820EDAC}">
                        <c15:formulaRef>
                          <c15:sqref>'DRV7308 Thermal Calculator'!$AN$9</c15:sqref>
                        </c15:formulaRef>
                      </c:ext>
                    </c:extLst>
                    <c:strCache>
                      <c:ptCount val="1"/>
                      <c:pt idx="0">
                        <c:v>2.5</c:v>
                      </c:pt>
                    </c:strCache>
                  </c:strRef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>
                        <a:lumMod val="60000"/>
                      </a:schemeClr>
                    </a:solidFill>
                    <a:ln w="9525">
                      <a:solidFill>
                        <a:schemeClr val="accent1">
                          <a:lumMod val="60000"/>
                        </a:schemeClr>
                      </a:solidFill>
                    </a:ln>
                    <a:effectLst/>
                  </c:spPr>
                </c:marker>
                <c:trendline>
                  <c:spPr>
                    <a:ln w="19050" cap="rnd">
                      <a:solidFill>
                        <a:schemeClr val="accent1">
                          <a:lumMod val="60000"/>
                        </a:schemeClr>
                      </a:solidFill>
                      <a:prstDash val="sysDot"/>
                    </a:ln>
                    <a:effectLst/>
                  </c:spPr>
                  <c:trendlineType val="poly"/>
                  <c:order val="2"/>
                  <c:dispRSqr val="0"/>
                  <c:dispEq val="1"/>
                  <c:trendlineLbl>
                    <c:layout>
                      <c:manualLayout>
                        <c:x val="-0.42979853496664094"/>
                        <c:y val="0.5101232384064035"/>
                      </c:manualLayout>
                    </c:layout>
                    <c:numFmt formatCode="0.00E+00" sourceLinked="0"/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anchor="ctr" anchorCtr="1"/>
                      <a:lstStyle/>
                      <a:p>
                        <a:pPr>
                          <a:defRPr sz="900" b="0" i="0" u="none" strike="noStrike" kern="1200" baseline="0">
                            <a:solidFill>
                              <a:schemeClr val="tx1">
                                <a:lumMod val="65000"/>
                                <a:lumOff val="35000"/>
                              </a:schemeClr>
                            </a:solidFill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en-US"/>
                      </a:p>
                    </c:txPr>
                  </c:trendlineLbl>
                </c:trendline>
                <c:xVal>
                  <c:numRef>
                    <c:extLst>
                      <c:ext uri="{02D57815-91ED-43cb-92C2-25804820EDAC}">
                        <c15:formulaRef>
                          <c15:sqref>'DRV7308 Thermal Calculator'!$AF$55:$AF$69</c15:sqref>
                        </c15:formulaRef>
                      </c:ext>
                    </c:extLst>
                    <c:numCache>
                      <c:formatCode>General</c:formatCode>
                      <c:ptCount val="15"/>
                      <c:pt idx="0">
                        <c:v>100</c:v>
                      </c:pt>
                      <c:pt idx="1">
                        <c:v>100</c:v>
                      </c:pt>
                      <c:pt idx="2">
                        <c:v>100</c:v>
                      </c:pt>
                      <c:pt idx="3">
                        <c:v>150</c:v>
                      </c:pt>
                      <c:pt idx="4">
                        <c:v>150</c:v>
                      </c:pt>
                      <c:pt idx="5">
                        <c:v>150</c:v>
                      </c:pt>
                      <c:pt idx="6">
                        <c:v>200</c:v>
                      </c:pt>
                      <c:pt idx="7">
                        <c:v>200</c:v>
                      </c:pt>
                      <c:pt idx="8">
                        <c:v>200</c:v>
                      </c:pt>
                      <c:pt idx="9">
                        <c:v>300</c:v>
                      </c:pt>
                      <c:pt idx="10">
                        <c:v>300</c:v>
                      </c:pt>
                      <c:pt idx="11">
                        <c:v>300</c:v>
                      </c:pt>
                      <c:pt idx="12">
                        <c:v>450</c:v>
                      </c:pt>
                      <c:pt idx="13">
                        <c:v>450</c:v>
                      </c:pt>
                      <c:pt idx="14">
                        <c:v>450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'DRV7308 Thermal Calculator'!$AN$55:$AN$69</c15:sqref>
                        </c15:formulaRef>
                      </c:ext>
                    </c:extLst>
                    <c:numCache>
                      <c:formatCode>General</c:formatCode>
                      <c:ptCount val="15"/>
                      <c:pt idx="0">
                        <c:v>0.2</c:v>
                      </c:pt>
                      <c:pt idx="1">
                        <c:v>0.3</c:v>
                      </c:pt>
                      <c:pt idx="2">
                        <c:v>0.4</c:v>
                      </c:pt>
                      <c:pt idx="3">
                        <c:v>0.3</c:v>
                      </c:pt>
                      <c:pt idx="4">
                        <c:v>0.4</c:v>
                      </c:pt>
                      <c:pt idx="5">
                        <c:v>0.6</c:v>
                      </c:pt>
                      <c:pt idx="6">
                        <c:v>0.4</c:v>
                      </c:pt>
                      <c:pt idx="7">
                        <c:v>0.5</c:v>
                      </c:pt>
                      <c:pt idx="8">
                        <c:v>0.7</c:v>
                      </c:pt>
                      <c:pt idx="9">
                        <c:v>0.4</c:v>
                      </c:pt>
                      <c:pt idx="10">
                        <c:v>0.5</c:v>
                      </c:pt>
                      <c:pt idx="11">
                        <c:v>1</c:v>
                      </c:pt>
                      <c:pt idx="12">
                        <c:v>0.4</c:v>
                      </c:pt>
                      <c:pt idx="13">
                        <c:v>0.6</c:v>
                      </c:pt>
                      <c:pt idx="14">
                        <c:v>1.3</c:v>
                      </c:pt>
                    </c:numCache>
                  </c:numRef>
                </c:yVal>
                <c:smooth val="0"/>
                <c:extLst>
                  <c:ext xmlns:c16="http://schemas.microsoft.com/office/drawing/2014/chart" uri="{C3380CC4-5D6E-409C-BE32-E72D297353CC}">
                    <c16:uniqueId val="{0000000D-A170-4E08-BB9C-D67A031AB98B}"/>
                  </c:ext>
                </c:extLst>
              </c15:ser>
            </c15:filteredScatterSeries>
            <c15:filteredScatte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'DRV7308 Thermal Calculator'!$AO$9</c15:sqref>
                        </c15:formulaRef>
                      </c:ext>
                    </c:extLst>
                    <c:strCache>
                      <c:ptCount val="1"/>
                      <c:pt idx="0">
                        <c:v>4</c:v>
                      </c:pt>
                    </c:strCache>
                  </c:strRef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2">
                        <a:lumMod val="60000"/>
                      </a:schemeClr>
                    </a:solidFill>
                    <a:ln w="9525">
                      <a:solidFill>
                        <a:schemeClr val="accent2">
                          <a:lumMod val="60000"/>
                        </a:schemeClr>
                      </a:solidFill>
                    </a:ln>
                    <a:effectLst/>
                  </c:spPr>
                </c:marker>
                <c:trendline>
                  <c:spPr>
                    <a:ln w="19050" cap="rnd">
                      <a:solidFill>
                        <a:schemeClr val="accent2">
                          <a:lumMod val="60000"/>
                        </a:schemeClr>
                      </a:solidFill>
                      <a:prstDash val="sysDot"/>
                    </a:ln>
                    <a:effectLst/>
                  </c:spPr>
                  <c:trendlineType val="poly"/>
                  <c:order val="2"/>
                  <c:dispRSqr val="0"/>
                  <c:dispEq val="1"/>
                  <c:trendlineLbl>
                    <c:layout>
                      <c:manualLayout>
                        <c:x val="-0.43136175333926197"/>
                        <c:y val="0.74955250995584721"/>
                      </c:manualLayout>
                    </c:layout>
                    <c:numFmt formatCode="0.00E+00" sourceLinked="0"/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anchor="ctr" anchorCtr="1"/>
                      <a:lstStyle/>
                      <a:p>
                        <a:pPr>
                          <a:defRPr sz="900" b="0" i="0" u="none" strike="noStrike" kern="1200" baseline="0">
                            <a:solidFill>
                              <a:schemeClr val="tx1">
                                <a:lumMod val="65000"/>
                                <a:lumOff val="35000"/>
                              </a:schemeClr>
                            </a:solidFill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en-US"/>
                      </a:p>
                    </c:txPr>
                  </c:trendlineLbl>
                </c:trendline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'DRV7308 Thermal Calculator'!$AF$55:$AF$69</c15:sqref>
                        </c15:formulaRef>
                      </c:ext>
                    </c:extLst>
                    <c:numCache>
                      <c:formatCode>General</c:formatCode>
                      <c:ptCount val="15"/>
                      <c:pt idx="0">
                        <c:v>100</c:v>
                      </c:pt>
                      <c:pt idx="1">
                        <c:v>100</c:v>
                      </c:pt>
                      <c:pt idx="2">
                        <c:v>100</c:v>
                      </c:pt>
                      <c:pt idx="3">
                        <c:v>150</c:v>
                      </c:pt>
                      <c:pt idx="4">
                        <c:v>150</c:v>
                      </c:pt>
                      <c:pt idx="5">
                        <c:v>150</c:v>
                      </c:pt>
                      <c:pt idx="6">
                        <c:v>200</c:v>
                      </c:pt>
                      <c:pt idx="7">
                        <c:v>200</c:v>
                      </c:pt>
                      <c:pt idx="8">
                        <c:v>200</c:v>
                      </c:pt>
                      <c:pt idx="9">
                        <c:v>300</c:v>
                      </c:pt>
                      <c:pt idx="10">
                        <c:v>300</c:v>
                      </c:pt>
                      <c:pt idx="11">
                        <c:v>300</c:v>
                      </c:pt>
                      <c:pt idx="12">
                        <c:v>450</c:v>
                      </c:pt>
                      <c:pt idx="13">
                        <c:v>450</c:v>
                      </c:pt>
                      <c:pt idx="14">
                        <c:v>450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'DRV7308 Thermal Calculator'!$AO$55:$AO$69</c15:sqref>
                        </c15:formulaRef>
                      </c:ext>
                    </c:extLst>
                    <c:numCache>
                      <c:formatCode>General</c:formatCode>
                      <c:ptCount val="15"/>
                      <c:pt idx="0">
                        <c:v>0.4</c:v>
                      </c:pt>
                      <c:pt idx="1">
                        <c:v>0.5</c:v>
                      </c:pt>
                      <c:pt idx="2">
                        <c:v>0.8</c:v>
                      </c:pt>
                      <c:pt idx="3">
                        <c:v>0.6</c:v>
                      </c:pt>
                      <c:pt idx="4">
                        <c:v>0.7</c:v>
                      </c:pt>
                      <c:pt idx="5">
                        <c:v>1</c:v>
                      </c:pt>
                      <c:pt idx="6">
                        <c:v>0.6</c:v>
                      </c:pt>
                      <c:pt idx="7">
                        <c:v>0.7</c:v>
                      </c:pt>
                      <c:pt idx="8">
                        <c:v>1.3</c:v>
                      </c:pt>
                      <c:pt idx="9">
                        <c:v>0.9</c:v>
                      </c:pt>
                      <c:pt idx="10">
                        <c:v>1.2</c:v>
                      </c:pt>
                      <c:pt idx="11">
                        <c:v>1.8</c:v>
                      </c:pt>
                      <c:pt idx="12">
                        <c:v>1.2</c:v>
                      </c:pt>
                      <c:pt idx="13">
                        <c:v>1.7</c:v>
                      </c:pt>
                      <c:pt idx="14">
                        <c:v>2.9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F-A170-4E08-BB9C-D67A031AB98B}"/>
                  </c:ext>
                </c:extLst>
              </c15:ser>
            </c15:filteredScatterSeries>
          </c:ext>
        </c:extLst>
      </c:scatterChart>
      <c:valAx>
        <c:axId val="58212223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VM</a:t>
                </a:r>
                <a:r>
                  <a:rPr lang="en-US" baseline="0"/>
                  <a:t> Voltage (V)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6862255"/>
        <c:crosses val="autoZero"/>
        <c:crossBetween val="midCat"/>
      </c:valAx>
      <c:valAx>
        <c:axId val="19868622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Switching Energy (uJ)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2122239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5113200785346109E-2"/>
          <c:y val="0.58651089242864562"/>
          <c:w val="0.86857498011216261"/>
          <c:h val="6.368627104628665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0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Eon (40V/ns)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2986563537679451E-2"/>
          <c:y val="9.7132822473699726E-2"/>
          <c:w val="0.87768603364118514"/>
          <c:h val="0.45223720890721891"/>
        </c:manualLayout>
      </c:layout>
      <c:scatterChart>
        <c:scatterStyle val="lineMarker"/>
        <c:varyColors val="0"/>
        <c:ser>
          <c:idx val="0"/>
          <c:order val="0"/>
          <c:tx>
            <c:strRef>
              <c:f>'DRV7308 Thermal Calculator'!$AP$9</c:f>
              <c:strCache>
                <c:ptCount val="1"/>
                <c:pt idx="0">
                  <c:v>0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poly"/>
            <c:order val="2"/>
            <c:dispRSqr val="0"/>
            <c:dispEq val="1"/>
            <c:trendlineLbl>
              <c:layout>
                <c:manualLayout>
                  <c:x val="-0.42705747922241316"/>
                  <c:y val="0.37392772186227613"/>
                </c:manualLayout>
              </c:layout>
              <c:numFmt formatCode="0.00E+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'DRV7308 Thermal Calculator'!$AF$55:$AF$69</c:f>
              <c:numCache>
                <c:formatCode>General</c:formatCode>
                <c:ptCount val="15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150</c:v>
                </c:pt>
                <c:pt idx="4">
                  <c:v>150</c:v>
                </c:pt>
                <c:pt idx="5">
                  <c:v>150</c:v>
                </c:pt>
                <c:pt idx="6">
                  <c:v>200</c:v>
                </c:pt>
                <c:pt idx="7">
                  <c:v>200</c:v>
                </c:pt>
                <c:pt idx="8">
                  <c:v>200</c:v>
                </c:pt>
                <c:pt idx="9">
                  <c:v>300</c:v>
                </c:pt>
                <c:pt idx="10">
                  <c:v>300</c:v>
                </c:pt>
                <c:pt idx="11">
                  <c:v>300</c:v>
                </c:pt>
                <c:pt idx="12">
                  <c:v>450</c:v>
                </c:pt>
                <c:pt idx="13">
                  <c:v>450</c:v>
                </c:pt>
                <c:pt idx="14">
                  <c:v>450</c:v>
                </c:pt>
              </c:numCache>
            </c:numRef>
          </c:xVal>
          <c:yVal>
            <c:numRef>
              <c:f>'DRV7308 Thermal Calculator'!$AP$55:$AP$69</c:f>
              <c:numCache>
                <c:formatCode>General</c:formatCode>
                <c:ptCount val="15"/>
                <c:pt idx="0">
                  <c:v>0.7</c:v>
                </c:pt>
                <c:pt idx="1">
                  <c:v>0.7</c:v>
                </c:pt>
                <c:pt idx="2">
                  <c:v>0.7</c:v>
                </c:pt>
                <c:pt idx="3">
                  <c:v>1.4</c:v>
                </c:pt>
                <c:pt idx="4">
                  <c:v>1.4</c:v>
                </c:pt>
                <c:pt idx="5">
                  <c:v>1.4</c:v>
                </c:pt>
                <c:pt idx="6">
                  <c:v>2.2999999999999998</c:v>
                </c:pt>
                <c:pt idx="7">
                  <c:v>2.2999999999999998</c:v>
                </c:pt>
                <c:pt idx="8">
                  <c:v>2.2999999999999998</c:v>
                </c:pt>
                <c:pt idx="9">
                  <c:v>4.5999999999999996</c:v>
                </c:pt>
                <c:pt idx="10">
                  <c:v>4.5999999999999996</c:v>
                </c:pt>
                <c:pt idx="11">
                  <c:v>4.5999999999999996</c:v>
                </c:pt>
                <c:pt idx="12">
                  <c:v>9.4</c:v>
                </c:pt>
                <c:pt idx="13">
                  <c:v>9.4</c:v>
                </c:pt>
                <c:pt idx="14">
                  <c:v>9.4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A85-41F4-9220-96A01F482813}"/>
            </c:ext>
          </c:extLst>
        </c:ser>
        <c:ser>
          <c:idx val="1"/>
          <c:order val="1"/>
          <c:tx>
            <c:strRef>
              <c:f>'DRV7308 Thermal Calculator'!$AQ$9</c:f>
              <c:strCache>
                <c:ptCount val="1"/>
                <c:pt idx="0">
                  <c:v>0.1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poly"/>
            <c:order val="2"/>
            <c:dispRSqr val="0"/>
            <c:dispEq val="1"/>
            <c:trendlineLbl>
              <c:layout>
                <c:manualLayout>
                  <c:x val="-0.42869427079131267"/>
                  <c:y val="0.40945541109263323"/>
                </c:manualLayout>
              </c:layout>
              <c:numFmt formatCode="0.00E+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'DRV7308 Thermal Calculator'!$AF$55:$AF$69</c:f>
              <c:numCache>
                <c:formatCode>General</c:formatCode>
                <c:ptCount val="15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150</c:v>
                </c:pt>
                <c:pt idx="4">
                  <c:v>150</c:v>
                </c:pt>
                <c:pt idx="5">
                  <c:v>150</c:v>
                </c:pt>
                <c:pt idx="6">
                  <c:v>200</c:v>
                </c:pt>
                <c:pt idx="7">
                  <c:v>200</c:v>
                </c:pt>
                <c:pt idx="8">
                  <c:v>200</c:v>
                </c:pt>
                <c:pt idx="9">
                  <c:v>300</c:v>
                </c:pt>
                <c:pt idx="10">
                  <c:v>300</c:v>
                </c:pt>
                <c:pt idx="11">
                  <c:v>300</c:v>
                </c:pt>
                <c:pt idx="12">
                  <c:v>450</c:v>
                </c:pt>
                <c:pt idx="13">
                  <c:v>450</c:v>
                </c:pt>
                <c:pt idx="14">
                  <c:v>450</c:v>
                </c:pt>
              </c:numCache>
            </c:numRef>
          </c:xVal>
          <c:yVal>
            <c:numRef>
              <c:f>'DRV7308 Thermal Calculator'!$AQ$55:$AQ$69</c:f>
              <c:numCache>
                <c:formatCode>General</c:formatCode>
                <c:ptCount val="15"/>
                <c:pt idx="0">
                  <c:v>0.8</c:v>
                </c:pt>
                <c:pt idx="1">
                  <c:v>0.8</c:v>
                </c:pt>
                <c:pt idx="2">
                  <c:v>0.8</c:v>
                </c:pt>
                <c:pt idx="3">
                  <c:v>1.5</c:v>
                </c:pt>
                <c:pt idx="4">
                  <c:v>1.5</c:v>
                </c:pt>
                <c:pt idx="5">
                  <c:v>1.5</c:v>
                </c:pt>
                <c:pt idx="6">
                  <c:v>2.5</c:v>
                </c:pt>
                <c:pt idx="7">
                  <c:v>2.5</c:v>
                </c:pt>
                <c:pt idx="8">
                  <c:v>2.5</c:v>
                </c:pt>
                <c:pt idx="9">
                  <c:v>4.9000000000000004</c:v>
                </c:pt>
                <c:pt idx="10">
                  <c:v>4.9000000000000004</c:v>
                </c:pt>
                <c:pt idx="11">
                  <c:v>4.9000000000000004</c:v>
                </c:pt>
                <c:pt idx="12">
                  <c:v>10</c:v>
                </c:pt>
                <c:pt idx="13">
                  <c:v>10</c:v>
                </c:pt>
                <c:pt idx="14">
                  <c:v>10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9A85-41F4-9220-96A01F482813}"/>
            </c:ext>
          </c:extLst>
        </c:ser>
        <c:ser>
          <c:idx val="2"/>
          <c:order val="2"/>
          <c:tx>
            <c:strRef>
              <c:f>'DRV7308 Thermal Calculator'!$AR$9</c:f>
              <c:strCache>
                <c:ptCount val="1"/>
                <c:pt idx="0">
                  <c:v>0.25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poly"/>
            <c:order val="2"/>
            <c:dispRSqr val="0"/>
            <c:dispEq val="1"/>
            <c:trendlineLbl>
              <c:layout>
                <c:manualLayout>
                  <c:x val="-0.42705747922241316"/>
                  <c:y val="0.44495903271990639"/>
                </c:manualLayout>
              </c:layout>
              <c:numFmt formatCode="0.00E+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'DRV7308 Thermal Calculator'!$AF$55:$AF$69</c:f>
              <c:numCache>
                <c:formatCode>General</c:formatCode>
                <c:ptCount val="15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150</c:v>
                </c:pt>
                <c:pt idx="4">
                  <c:v>150</c:v>
                </c:pt>
                <c:pt idx="5">
                  <c:v>150</c:v>
                </c:pt>
                <c:pt idx="6">
                  <c:v>200</c:v>
                </c:pt>
                <c:pt idx="7">
                  <c:v>200</c:v>
                </c:pt>
                <c:pt idx="8">
                  <c:v>200</c:v>
                </c:pt>
                <c:pt idx="9">
                  <c:v>300</c:v>
                </c:pt>
                <c:pt idx="10">
                  <c:v>300</c:v>
                </c:pt>
                <c:pt idx="11">
                  <c:v>300</c:v>
                </c:pt>
                <c:pt idx="12">
                  <c:v>450</c:v>
                </c:pt>
                <c:pt idx="13">
                  <c:v>450</c:v>
                </c:pt>
                <c:pt idx="14">
                  <c:v>450</c:v>
                </c:pt>
              </c:numCache>
            </c:numRef>
          </c:xVal>
          <c:yVal>
            <c:numRef>
              <c:f>'DRV7308 Thermal Calculator'!$AR$55:$AR$69</c:f>
              <c:numCache>
                <c:formatCode>General</c:formatCode>
                <c:ptCount val="15"/>
                <c:pt idx="0">
                  <c:v>0.8</c:v>
                </c:pt>
                <c:pt idx="1">
                  <c:v>0.8</c:v>
                </c:pt>
                <c:pt idx="2">
                  <c:v>0.8</c:v>
                </c:pt>
                <c:pt idx="3">
                  <c:v>1.7</c:v>
                </c:pt>
                <c:pt idx="4">
                  <c:v>1.7</c:v>
                </c:pt>
                <c:pt idx="5">
                  <c:v>1.7</c:v>
                </c:pt>
                <c:pt idx="6">
                  <c:v>2.7</c:v>
                </c:pt>
                <c:pt idx="7">
                  <c:v>2.7</c:v>
                </c:pt>
                <c:pt idx="8">
                  <c:v>2.7</c:v>
                </c:pt>
                <c:pt idx="9">
                  <c:v>5.3</c:v>
                </c:pt>
                <c:pt idx="10">
                  <c:v>5.3</c:v>
                </c:pt>
                <c:pt idx="11">
                  <c:v>5.3</c:v>
                </c:pt>
                <c:pt idx="12">
                  <c:v>10.6</c:v>
                </c:pt>
                <c:pt idx="13">
                  <c:v>10.6</c:v>
                </c:pt>
                <c:pt idx="14">
                  <c:v>10.6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9A85-41F4-9220-96A01F482813}"/>
            </c:ext>
          </c:extLst>
        </c:ser>
        <c:ser>
          <c:idx val="3"/>
          <c:order val="3"/>
          <c:tx>
            <c:strRef>
              <c:f>'DRV7308 Thermal Calculator'!$AS$9</c:f>
              <c:strCache>
                <c:ptCount val="1"/>
                <c:pt idx="0">
                  <c:v>0.5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4"/>
                </a:solidFill>
                <a:prstDash val="sysDot"/>
              </a:ln>
              <a:effectLst/>
            </c:spPr>
            <c:trendlineType val="poly"/>
            <c:order val="2"/>
            <c:dispRSqr val="0"/>
            <c:dispEq val="1"/>
            <c:trendlineLbl>
              <c:layout>
                <c:manualLayout>
                  <c:x val="-0.42869427079131267"/>
                  <c:y val="0.48436629454088936"/>
                </c:manualLayout>
              </c:layout>
              <c:numFmt formatCode="0.00E+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'DRV7308 Thermal Calculator'!$AF$55:$AF$69</c:f>
              <c:numCache>
                <c:formatCode>General</c:formatCode>
                <c:ptCount val="15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150</c:v>
                </c:pt>
                <c:pt idx="4">
                  <c:v>150</c:v>
                </c:pt>
                <c:pt idx="5">
                  <c:v>150</c:v>
                </c:pt>
                <c:pt idx="6">
                  <c:v>200</c:v>
                </c:pt>
                <c:pt idx="7">
                  <c:v>200</c:v>
                </c:pt>
                <c:pt idx="8">
                  <c:v>200</c:v>
                </c:pt>
                <c:pt idx="9">
                  <c:v>300</c:v>
                </c:pt>
                <c:pt idx="10">
                  <c:v>300</c:v>
                </c:pt>
                <c:pt idx="11">
                  <c:v>300</c:v>
                </c:pt>
                <c:pt idx="12">
                  <c:v>450</c:v>
                </c:pt>
                <c:pt idx="13">
                  <c:v>450</c:v>
                </c:pt>
                <c:pt idx="14">
                  <c:v>450</c:v>
                </c:pt>
              </c:numCache>
            </c:numRef>
          </c:xVal>
          <c:yVal>
            <c:numRef>
              <c:f>'DRV7308 Thermal Calculator'!$AS$55:$AS$69</c:f>
              <c:numCache>
                <c:formatCode>General</c:formatCode>
                <c:ptCount val="15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1.9</c:v>
                </c:pt>
                <c:pt idx="4">
                  <c:v>1.9</c:v>
                </c:pt>
                <c:pt idx="5">
                  <c:v>1.9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5.9</c:v>
                </c:pt>
                <c:pt idx="10">
                  <c:v>5.9</c:v>
                </c:pt>
                <c:pt idx="11">
                  <c:v>5.9</c:v>
                </c:pt>
                <c:pt idx="12">
                  <c:v>11.8</c:v>
                </c:pt>
                <c:pt idx="13">
                  <c:v>11.8</c:v>
                </c:pt>
                <c:pt idx="14">
                  <c:v>11.8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9A85-41F4-9220-96A01F482813}"/>
            </c:ext>
          </c:extLst>
        </c:ser>
        <c:ser>
          <c:idx val="4"/>
          <c:order val="4"/>
          <c:tx>
            <c:strRef>
              <c:f>'DRV7308 Thermal Calculator'!$AT$9</c:f>
              <c:strCache>
                <c:ptCount val="1"/>
                <c:pt idx="0">
                  <c:v>0.7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5"/>
                </a:solidFill>
                <a:prstDash val="sysDot"/>
              </a:ln>
              <a:effectLst/>
            </c:spPr>
            <c:trendlineType val="poly"/>
            <c:order val="2"/>
            <c:dispRSqr val="0"/>
            <c:dispEq val="1"/>
            <c:trendlineLbl>
              <c:layout>
                <c:manualLayout>
                  <c:x val="-0.43033106236021218"/>
                  <c:y val="0.51713511755539421"/>
                </c:manualLayout>
              </c:layout>
              <c:numFmt formatCode="0.00E+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'DRV7308 Thermal Calculator'!$AF$55:$AF$69</c:f>
              <c:numCache>
                <c:formatCode>General</c:formatCode>
                <c:ptCount val="15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150</c:v>
                </c:pt>
                <c:pt idx="4">
                  <c:v>150</c:v>
                </c:pt>
                <c:pt idx="5">
                  <c:v>150</c:v>
                </c:pt>
                <c:pt idx="6">
                  <c:v>200</c:v>
                </c:pt>
                <c:pt idx="7">
                  <c:v>200</c:v>
                </c:pt>
                <c:pt idx="8">
                  <c:v>200</c:v>
                </c:pt>
                <c:pt idx="9">
                  <c:v>300</c:v>
                </c:pt>
                <c:pt idx="10">
                  <c:v>300</c:v>
                </c:pt>
                <c:pt idx="11">
                  <c:v>300</c:v>
                </c:pt>
                <c:pt idx="12">
                  <c:v>450</c:v>
                </c:pt>
                <c:pt idx="13">
                  <c:v>450</c:v>
                </c:pt>
                <c:pt idx="14">
                  <c:v>450</c:v>
                </c:pt>
              </c:numCache>
            </c:numRef>
          </c:xVal>
          <c:yVal>
            <c:numRef>
              <c:f>'DRV7308 Thermal Calculator'!$AT$55:$AT$69</c:f>
              <c:numCache>
                <c:formatCode>General</c:formatCode>
                <c:ptCount val="15"/>
                <c:pt idx="0">
                  <c:v>1.1000000000000001</c:v>
                </c:pt>
                <c:pt idx="1">
                  <c:v>1.1000000000000001</c:v>
                </c:pt>
                <c:pt idx="2">
                  <c:v>1.1000000000000001</c:v>
                </c:pt>
                <c:pt idx="3">
                  <c:v>2.1</c:v>
                </c:pt>
                <c:pt idx="4">
                  <c:v>2.1</c:v>
                </c:pt>
                <c:pt idx="5">
                  <c:v>2.1</c:v>
                </c:pt>
                <c:pt idx="6">
                  <c:v>3.3</c:v>
                </c:pt>
                <c:pt idx="7">
                  <c:v>3.3</c:v>
                </c:pt>
                <c:pt idx="8">
                  <c:v>3.3</c:v>
                </c:pt>
                <c:pt idx="9">
                  <c:v>6.3</c:v>
                </c:pt>
                <c:pt idx="10">
                  <c:v>6.3</c:v>
                </c:pt>
                <c:pt idx="11">
                  <c:v>6.3</c:v>
                </c:pt>
                <c:pt idx="12">
                  <c:v>12.5</c:v>
                </c:pt>
                <c:pt idx="13">
                  <c:v>12.5</c:v>
                </c:pt>
                <c:pt idx="14">
                  <c:v>12.5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9A85-41F4-9220-96A01F482813}"/>
            </c:ext>
          </c:extLst>
        </c:ser>
        <c:ser>
          <c:idx val="5"/>
          <c:order val="5"/>
          <c:tx>
            <c:strRef>
              <c:f>'DRV7308 Thermal Calculator'!$AU$9</c:f>
              <c:strCache>
                <c:ptCount val="1"/>
                <c:pt idx="0">
                  <c:v>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6"/>
                </a:solidFill>
                <a:prstDash val="sysDot"/>
              </a:ln>
              <a:effectLst/>
            </c:spPr>
            <c:trendlineType val="poly"/>
            <c:order val="2"/>
            <c:dispRSqr val="0"/>
            <c:dispEq val="1"/>
            <c:trendlineLbl>
              <c:layout>
                <c:manualLayout>
                  <c:x val="-0.43033106236021218"/>
                  <c:y val="0.5630931433430495"/>
                </c:manualLayout>
              </c:layout>
              <c:numFmt formatCode="0.00E+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'DRV7308 Thermal Calculator'!$AF$55:$AF$69</c:f>
              <c:numCache>
                <c:formatCode>General</c:formatCode>
                <c:ptCount val="15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150</c:v>
                </c:pt>
                <c:pt idx="4">
                  <c:v>150</c:v>
                </c:pt>
                <c:pt idx="5">
                  <c:v>150</c:v>
                </c:pt>
                <c:pt idx="6">
                  <c:v>200</c:v>
                </c:pt>
                <c:pt idx="7">
                  <c:v>200</c:v>
                </c:pt>
                <c:pt idx="8">
                  <c:v>200</c:v>
                </c:pt>
                <c:pt idx="9">
                  <c:v>300</c:v>
                </c:pt>
                <c:pt idx="10">
                  <c:v>300</c:v>
                </c:pt>
                <c:pt idx="11">
                  <c:v>300</c:v>
                </c:pt>
                <c:pt idx="12">
                  <c:v>450</c:v>
                </c:pt>
                <c:pt idx="13">
                  <c:v>450</c:v>
                </c:pt>
                <c:pt idx="14">
                  <c:v>450</c:v>
                </c:pt>
              </c:numCache>
            </c:numRef>
          </c:xVal>
          <c:yVal>
            <c:numRef>
              <c:f>'DRV7308 Thermal Calculator'!$AU$55:$AU$69</c:f>
              <c:numCache>
                <c:formatCode>General</c:formatCode>
                <c:ptCount val="15"/>
                <c:pt idx="0">
                  <c:v>1.2</c:v>
                </c:pt>
                <c:pt idx="1">
                  <c:v>1.2</c:v>
                </c:pt>
                <c:pt idx="2">
                  <c:v>1.2</c:v>
                </c:pt>
                <c:pt idx="3">
                  <c:v>2.2999999999999998</c:v>
                </c:pt>
                <c:pt idx="4">
                  <c:v>2.2999999999999998</c:v>
                </c:pt>
                <c:pt idx="5">
                  <c:v>2.2999999999999998</c:v>
                </c:pt>
                <c:pt idx="6">
                  <c:v>3.7</c:v>
                </c:pt>
                <c:pt idx="7">
                  <c:v>3.7</c:v>
                </c:pt>
                <c:pt idx="8">
                  <c:v>3.7</c:v>
                </c:pt>
                <c:pt idx="9">
                  <c:v>7.1</c:v>
                </c:pt>
                <c:pt idx="10">
                  <c:v>7.1</c:v>
                </c:pt>
                <c:pt idx="11">
                  <c:v>7.1</c:v>
                </c:pt>
                <c:pt idx="12">
                  <c:v>13.9</c:v>
                </c:pt>
                <c:pt idx="13">
                  <c:v>13.9</c:v>
                </c:pt>
                <c:pt idx="14">
                  <c:v>13.9</c:v>
                </c:pt>
              </c:numCache>
            </c:numRef>
          </c:y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B-9A85-41F4-9220-96A01F482813}"/>
            </c:ext>
          </c:extLst>
        </c:ser>
        <c:ser>
          <c:idx val="8"/>
          <c:order val="8"/>
          <c:tx>
            <c:v>Calculated Eon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'DRV7308 Thermal Calculator'!$C$8</c:f>
              <c:numCache>
                <c:formatCode>General</c:formatCode>
                <c:ptCount val="1"/>
                <c:pt idx="0">
                  <c:v>310</c:v>
                </c:pt>
              </c:numCache>
            </c:numRef>
          </c:xVal>
          <c:yVal>
            <c:numRef>
              <c:f>'DRV7308 Thermal Calculator'!$W$78</c:f>
              <c:numCache>
                <c:formatCode>0.00</c:formatCode>
                <c:ptCount val="1"/>
                <c:pt idx="0">
                  <c:v>7.0809107772039992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9A85-41F4-9220-96A01F4828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82122239"/>
        <c:axId val="1986862255"/>
        <c:extLst>
          <c:ext xmlns:c15="http://schemas.microsoft.com/office/drawing/2012/chart" uri="{02D57815-91ED-43cb-92C2-25804820EDAC}">
            <c15:filteredScatterSeries>
              <c15:ser>
                <c:idx val="6"/>
                <c:order val="6"/>
                <c:tx>
                  <c:strRef>
                    <c:extLst>
                      <c:ext uri="{02D57815-91ED-43cb-92C2-25804820EDAC}">
                        <c15:formulaRef>
                          <c15:sqref>'DRV7308 Thermal Calculator'!$AV$9</c15:sqref>
                        </c15:formulaRef>
                      </c:ext>
                    </c:extLst>
                    <c:strCache>
                      <c:ptCount val="1"/>
                      <c:pt idx="0">
                        <c:v>2.5</c:v>
                      </c:pt>
                    </c:strCache>
                  </c:strRef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>
                        <a:lumMod val="60000"/>
                      </a:schemeClr>
                    </a:solidFill>
                    <a:ln w="9525">
                      <a:solidFill>
                        <a:schemeClr val="accent1">
                          <a:lumMod val="60000"/>
                        </a:schemeClr>
                      </a:solidFill>
                    </a:ln>
                    <a:effectLst/>
                  </c:spPr>
                </c:marker>
                <c:trendline>
                  <c:spPr>
                    <a:ln w="19050" cap="rnd">
                      <a:solidFill>
                        <a:schemeClr val="accent1">
                          <a:lumMod val="60000"/>
                        </a:schemeClr>
                      </a:solidFill>
                      <a:prstDash val="sysDot"/>
                    </a:ln>
                    <a:effectLst/>
                  </c:spPr>
                  <c:trendlineType val="poly"/>
                  <c:order val="2"/>
                  <c:dispRSqr val="0"/>
                  <c:dispEq val="1"/>
                  <c:trendlineLbl>
                    <c:layout>
                      <c:manualLayout>
                        <c:x val="-0.42843392560684329"/>
                        <c:y val="0.68534822028357822"/>
                      </c:manualLayout>
                    </c:layout>
                    <c:numFmt formatCode="0.00E+00" sourceLinked="0"/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anchor="ctr" anchorCtr="1"/>
                      <a:lstStyle/>
                      <a:p>
                        <a:pPr>
                          <a:defRPr sz="900" b="0" i="0" u="none" strike="noStrike" kern="1200" baseline="0">
                            <a:solidFill>
                              <a:schemeClr val="tx1">
                                <a:lumMod val="65000"/>
                                <a:lumOff val="35000"/>
                              </a:schemeClr>
                            </a:solidFill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en-US"/>
                      </a:p>
                    </c:txPr>
                  </c:trendlineLbl>
                </c:trendline>
                <c:xVal>
                  <c:numRef>
                    <c:extLst>
                      <c:ext uri="{02D57815-91ED-43cb-92C2-25804820EDAC}">
                        <c15:formulaRef>
                          <c15:sqref>'DRV7308 Thermal Calculator'!$AF$55:$AF$69</c15:sqref>
                        </c15:formulaRef>
                      </c:ext>
                    </c:extLst>
                    <c:numCache>
                      <c:formatCode>General</c:formatCode>
                      <c:ptCount val="15"/>
                      <c:pt idx="0">
                        <c:v>100</c:v>
                      </c:pt>
                      <c:pt idx="1">
                        <c:v>100</c:v>
                      </c:pt>
                      <c:pt idx="2">
                        <c:v>100</c:v>
                      </c:pt>
                      <c:pt idx="3">
                        <c:v>150</c:v>
                      </c:pt>
                      <c:pt idx="4">
                        <c:v>150</c:v>
                      </c:pt>
                      <c:pt idx="5">
                        <c:v>150</c:v>
                      </c:pt>
                      <c:pt idx="6">
                        <c:v>200</c:v>
                      </c:pt>
                      <c:pt idx="7">
                        <c:v>200</c:v>
                      </c:pt>
                      <c:pt idx="8">
                        <c:v>200</c:v>
                      </c:pt>
                      <c:pt idx="9">
                        <c:v>300</c:v>
                      </c:pt>
                      <c:pt idx="10">
                        <c:v>300</c:v>
                      </c:pt>
                      <c:pt idx="11">
                        <c:v>300</c:v>
                      </c:pt>
                      <c:pt idx="12">
                        <c:v>450</c:v>
                      </c:pt>
                      <c:pt idx="13">
                        <c:v>450</c:v>
                      </c:pt>
                      <c:pt idx="14">
                        <c:v>450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'DRV7308 Thermal Calculator'!$AV$55:$AV$69</c15:sqref>
                        </c15:formulaRef>
                      </c:ext>
                    </c:extLst>
                    <c:numCache>
                      <c:formatCode>General</c:formatCode>
                      <c:ptCount val="15"/>
                      <c:pt idx="0">
                        <c:v>2.2000000000000002</c:v>
                      </c:pt>
                      <c:pt idx="1">
                        <c:v>2.2000000000000002</c:v>
                      </c:pt>
                      <c:pt idx="2">
                        <c:v>2.2000000000000002</c:v>
                      </c:pt>
                      <c:pt idx="3">
                        <c:v>4</c:v>
                      </c:pt>
                      <c:pt idx="4">
                        <c:v>4</c:v>
                      </c:pt>
                      <c:pt idx="5">
                        <c:v>4</c:v>
                      </c:pt>
                      <c:pt idx="6">
                        <c:v>6.1</c:v>
                      </c:pt>
                      <c:pt idx="7">
                        <c:v>6.1</c:v>
                      </c:pt>
                      <c:pt idx="8">
                        <c:v>6.1</c:v>
                      </c:pt>
                      <c:pt idx="9">
                        <c:v>11.2</c:v>
                      </c:pt>
                      <c:pt idx="10">
                        <c:v>11.2</c:v>
                      </c:pt>
                      <c:pt idx="11">
                        <c:v>11.2</c:v>
                      </c:pt>
                      <c:pt idx="12">
                        <c:v>21.2</c:v>
                      </c:pt>
                      <c:pt idx="13">
                        <c:v>21.2</c:v>
                      </c:pt>
                      <c:pt idx="14">
                        <c:v>21.2</c:v>
                      </c:pt>
                    </c:numCache>
                  </c:numRef>
                </c:yVal>
                <c:smooth val="0"/>
                <c:extLst>
                  <c:ext xmlns:c16="http://schemas.microsoft.com/office/drawing/2014/chart" uri="{C3380CC4-5D6E-409C-BE32-E72D297353CC}">
                    <c16:uniqueId val="{0000000D-9A85-41F4-9220-96A01F482813}"/>
                  </c:ext>
                </c:extLst>
              </c15:ser>
            </c15:filteredScatterSeries>
            <c15:filteredScatte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'DRV7308 Thermal Calculator'!$AW$9</c15:sqref>
                        </c15:formulaRef>
                      </c:ext>
                    </c:extLst>
                    <c:strCache>
                      <c:ptCount val="1"/>
                      <c:pt idx="0">
                        <c:v>4</c:v>
                      </c:pt>
                    </c:strCache>
                  </c:strRef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2">
                        <a:lumMod val="60000"/>
                      </a:schemeClr>
                    </a:solidFill>
                    <a:ln w="9525">
                      <a:solidFill>
                        <a:schemeClr val="accent2">
                          <a:lumMod val="60000"/>
                        </a:schemeClr>
                      </a:solidFill>
                    </a:ln>
                    <a:effectLst/>
                  </c:spPr>
                </c:marker>
                <c:trendline>
                  <c:spPr>
                    <a:ln w="19050" cap="rnd">
                      <a:solidFill>
                        <a:schemeClr val="accent2">
                          <a:lumMod val="60000"/>
                        </a:schemeClr>
                      </a:solidFill>
                      <a:prstDash val="sysDot"/>
                    </a:ln>
                    <a:effectLst/>
                  </c:spPr>
                  <c:trendlineType val="poly"/>
                  <c:order val="2"/>
                  <c:dispRSqr val="0"/>
                  <c:dispEq val="1"/>
                  <c:trendlineLbl>
                    <c:layout>
                      <c:manualLayout>
                        <c:x val="-0.43078273902863529"/>
                        <c:y val="0.85968283998441175"/>
                      </c:manualLayout>
                    </c:layout>
                    <c:numFmt formatCode="0.00E+00" sourceLinked="0"/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anchor="ctr" anchorCtr="1"/>
                      <a:lstStyle/>
                      <a:p>
                        <a:pPr>
                          <a:defRPr sz="900" b="0" i="0" u="none" strike="noStrike" kern="1200" baseline="0">
                            <a:solidFill>
                              <a:schemeClr val="tx1">
                                <a:lumMod val="65000"/>
                                <a:lumOff val="35000"/>
                              </a:schemeClr>
                            </a:solidFill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en-US"/>
                      </a:p>
                    </c:txPr>
                  </c:trendlineLbl>
                </c:trendline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'DRV7308 Thermal Calculator'!$AF$55:$AF$69</c15:sqref>
                        </c15:formulaRef>
                      </c:ext>
                    </c:extLst>
                    <c:numCache>
                      <c:formatCode>General</c:formatCode>
                      <c:ptCount val="15"/>
                      <c:pt idx="0">
                        <c:v>100</c:v>
                      </c:pt>
                      <c:pt idx="1">
                        <c:v>100</c:v>
                      </c:pt>
                      <c:pt idx="2">
                        <c:v>100</c:v>
                      </c:pt>
                      <c:pt idx="3">
                        <c:v>150</c:v>
                      </c:pt>
                      <c:pt idx="4">
                        <c:v>150</c:v>
                      </c:pt>
                      <c:pt idx="5">
                        <c:v>150</c:v>
                      </c:pt>
                      <c:pt idx="6">
                        <c:v>200</c:v>
                      </c:pt>
                      <c:pt idx="7">
                        <c:v>200</c:v>
                      </c:pt>
                      <c:pt idx="8">
                        <c:v>200</c:v>
                      </c:pt>
                      <c:pt idx="9">
                        <c:v>300</c:v>
                      </c:pt>
                      <c:pt idx="10">
                        <c:v>300</c:v>
                      </c:pt>
                      <c:pt idx="11">
                        <c:v>300</c:v>
                      </c:pt>
                      <c:pt idx="12">
                        <c:v>450</c:v>
                      </c:pt>
                      <c:pt idx="13">
                        <c:v>450</c:v>
                      </c:pt>
                      <c:pt idx="14">
                        <c:v>450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'DRV7308 Thermal Calculator'!$AW$55:$AW$69</c15:sqref>
                        </c15:formulaRef>
                      </c:ext>
                    </c:extLst>
                    <c:numCache>
                      <c:formatCode>General</c:formatCode>
                      <c:ptCount val="15"/>
                      <c:pt idx="0">
                        <c:v>3.5</c:v>
                      </c:pt>
                      <c:pt idx="1">
                        <c:v>3.5</c:v>
                      </c:pt>
                      <c:pt idx="2">
                        <c:v>3.5</c:v>
                      </c:pt>
                      <c:pt idx="3">
                        <c:v>6.1</c:v>
                      </c:pt>
                      <c:pt idx="4">
                        <c:v>6.1</c:v>
                      </c:pt>
                      <c:pt idx="5">
                        <c:v>6.1</c:v>
                      </c:pt>
                      <c:pt idx="6">
                        <c:v>9.1999999999999993</c:v>
                      </c:pt>
                      <c:pt idx="7">
                        <c:v>9.1999999999999993</c:v>
                      </c:pt>
                      <c:pt idx="8">
                        <c:v>9.1999999999999993</c:v>
                      </c:pt>
                      <c:pt idx="9">
                        <c:v>16.399999999999999</c:v>
                      </c:pt>
                      <c:pt idx="10">
                        <c:v>16.399999999999999</c:v>
                      </c:pt>
                      <c:pt idx="11">
                        <c:v>16.399999999999999</c:v>
                      </c:pt>
                      <c:pt idx="12">
                        <c:v>30.1</c:v>
                      </c:pt>
                      <c:pt idx="13">
                        <c:v>30.1</c:v>
                      </c:pt>
                      <c:pt idx="14">
                        <c:v>30.1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F-9A85-41F4-9220-96A01F482813}"/>
                  </c:ext>
                </c:extLst>
              </c15:ser>
            </c15:filteredScatterSeries>
          </c:ext>
        </c:extLst>
      </c:scatterChart>
      <c:valAx>
        <c:axId val="58212223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VM</a:t>
                </a:r>
                <a:r>
                  <a:rPr lang="en-US" baseline="0"/>
                  <a:t> Voltage (V)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6862255"/>
        <c:crosses val="autoZero"/>
        <c:crossBetween val="midCat"/>
      </c:valAx>
      <c:valAx>
        <c:axId val="19868622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Switching Energy (uJ)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2122239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5113200785346109E-2"/>
          <c:y val="0.58651089242864562"/>
          <c:w val="0.68386588040828011"/>
          <c:h val="9.755700919117962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0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PCB Theta-JA</a:t>
            </a:r>
            <a:r>
              <a:rPr lang="en-US" b="1" baseline="0"/>
              <a:t> vs Copper Area</a:t>
            </a:r>
            <a:endParaRPr lang="en-US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2 layer, 1oz copper</c:v>
          </c:tx>
          <c:spPr>
            <a:ln w="19050" cap="rnd">
              <a:solidFill>
                <a:schemeClr val="accent1">
                  <a:lumMod val="75000"/>
                  <a:alpha val="98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9525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xVal>
            <c:numRef>
              <c:f>'DRV7308 Thermal Calculator'!$E$135:$E$139</c:f>
              <c:numCache>
                <c:formatCode>General</c:formatCode>
                <c:ptCount val="5"/>
                <c:pt idx="0">
                  <c:v>8</c:v>
                </c:pt>
                <c:pt idx="1">
                  <c:v>32</c:v>
                </c:pt>
                <c:pt idx="2">
                  <c:v>64</c:v>
                </c:pt>
                <c:pt idx="3">
                  <c:v>100</c:v>
                </c:pt>
                <c:pt idx="4">
                  <c:v>128</c:v>
                </c:pt>
              </c:numCache>
            </c:numRef>
          </c:xVal>
          <c:yVal>
            <c:numRef>
              <c:f>'DRV7308 Thermal Calculator'!$C$135:$C$139</c:f>
              <c:numCache>
                <c:formatCode>General</c:formatCode>
                <c:ptCount val="5"/>
                <c:pt idx="0">
                  <c:v>37.4</c:v>
                </c:pt>
                <c:pt idx="1">
                  <c:v>25.5</c:v>
                </c:pt>
                <c:pt idx="2">
                  <c:v>23.1</c:v>
                </c:pt>
                <c:pt idx="3">
                  <c:v>22.4</c:v>
                </c:pt>
                <c:pt idx="4">
                  <c:v>22.1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FE86-45EF-836D-F095A1D6E1CE}"/>
            </c:ext>
          </c:extLst>
        </c:ser>
        <c:ser>
          <c:idx val="3"/>
          <c:order val="1"/>
          <c:tx>
            <c:v>4 layer, 1oz copper</c:v>
          </c:tx>
          <c:spPr>
            <a:ln w="19050" cap="rnd">
              <a:solidFill>
                <a:schemeClr val="accent2">
                  <a:lumMod val="7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5000"/>
                </a:schemeClr>
              </a:solidFill>
              <a:ln w="9525">
                <a:solidFill>
                  <a:schemeClr val="accent2">
                    <a:lumMod val="75000"/>
                  </a:schemeClr>
                </a:solidFill>
              </a:ln>
              <a:effectLst/>
            </c:spPr>
          </c:marker>
          <c:xVal>
            <c:numRef>
              <c:f>'DRV7308 Thermal Calculator'!$E$150:$E$154</c:f>
              <c:numCache>
                <c:formatCode>General</c:formatCode>
                <c:ptCount val="5"/>
                <c:pt idx="0">
                  <c:v>8</c:v>
                </c:pt>
                <c:pt idx="1">
                  <c:v>32</c:v>
                </c:pt>
                <c:pt idx="2">
                  <c:v>64</c:v>
                </c:pt>
                <c:pt idx="3">
                  <c:v>100</c:v>
                </c:pt>
                <c:pt idx="4">
                  <c:v>128</c:v>
                </c:pt>
              </c:numCache>
            </c:numRef>
          </c:xVal>
          <c:yVal>
            <c:numRef>
              <c:f>'DRV7308 Thermal Calculator'!$C$150:$C$154</c:f>
              <c:numCache>
                <c:formatCode>General</c:formatCode>
                <c:ptCount val="5"/>
                <c:pt idx="0">
                  <c:v>33.299999999999997</c:v>
                </c:pt>
                <c:pt idx="1">
                  <c:v>19.5</c:v>
                </c:pt>
                <c:pt idx="2">
                  <c:v>16.2</c:v>
                </c:pt>
                <c:pt idx="3">
                  <c:v>14.9</c:v>
                </c:pt>
                <c:pt idx="4">
                  <c:v>14.4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F-FE86-45EF-836D-F095A1D6E1CE}"/>
            </c:ext>
          </c:extLst>
        </c:ser>
        <c:ser>
          <c:idx val="1"/>
          <c:order val="2"/>
          <c:tx>
            <c:v>2 layer, 2oz copper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'DRV7308 Thermal Calculator'!$E$140:$E$144</c:f>
              <c:numCache>
                <c:formatCode>General</c:formatCode>
                <c:ptCount val="5"/>
                <c:pt idx="0">
                  <c:v>8</c:v>
                </c:pt>
                <c:pt idx="1">
                  <c:v>32</c:v>
                </c:pt>
                <c:pt idx="2">
                  <c:v>64</c:v>
                </c:pt>
                <c:pt idx="3">
                  <c:v>100</c:v>
                </c:pt>
                <c:pt idx="4">
                  <c:v>128</c:v>
                </c:pt>
              </c:numCache>
            </c:numRef>
          </c:xVal>
          <c:yVal>
            <c:numRef>
              <c:f>'DRV7308 Thermal Calculator'!$C$140:$C$144</c:f>
              <c:numCache>
                <c:formatCode>General</c:formatCode>
                <c:ptCount val="5"/>
                <c:pt idx="0">
                  <c:v>34.1</c:v>
                </c:pt>
                <c:pt idx="1">
                  <c:v>20.3</c:v>
                </c:pt>
                <c:pt idx="2">
                  <c:v>17.2</c:v>
                </c:pt>
                <c:pt idx="3">
                  <c:v>16.100000000000001</c:v>
                </c:pt>
                <c:pt idx="4">
                  <c:v>15.6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D-FE86-45EF-836D-F095A1D6E1CE}"/>
            </c:ext>
          </c:extLst>
        </c:ser>
        <c:ser>
          <c:idx val="4"/>
          <c:order val="3"/>
          <c:tx>
            <c:v>4 layer, 2oz copper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'DRV7308 Thermal Calculator'!$E$155:$E$159</c:f>
              <c:numCache>
                <c:formatCode>General</c:formatCode>
                <c:ptCount val="5"/>
                <c:pt idx="0">
                  <c:v>8</c:v>
                </c:pt>
                <c:pt idx="1">
                  <c:v>32</c:v>
                </c:pt>
                <c:pt idx="2">
                  <c:v>64</c:v>
                </c:pt>
                <c:pt idx="3">
                  <c:v>100</c:v>
                </c:pt>
                <c:pt idx="4">
                  <c:v>128</c:v>
                </c:pt>
              </c:numCache>
            </c:numRef>
          </c:xVal>
          <c:yVal>
            <c:numRef>
              <c:f>'DRV7308 Thermal Calculator'!$C$155:$C$159</c:f>
              <c:numCache>
                <c:formatCode>General</c:formatCode>
                <c:ptCount val="5"/>
                <c:pt idx="0">
                  <c:v>31.8</c:v>
                </c:pt>
                <c:pt idx="1">
                  <c:v>17.5</c:v>
                </c:pt>
                <c:pt idx="2">
                  <c:v>14</c:v>
                </c:pt>
                <c:pt idx="3">
                  <c:v>12.5</c:v>
                </c:pt>
                <c:pt idx="4">
                  <c:v>12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0-FE86-45EF-836D-F095A1D6E1CE}"/>
            </c:ext>
          </c:extLst>
        </c:ser>
        <c:ser>
          <c:idx val="2"/>
          <c:order val="4"/>
          <c:tx>
            <c:v>2 layer, 3oz copper</c:v>
          </c:tx>
          <c:spPr>
            <a:ln w="19050" cap="rnd">
              <a:solidFill>
                <a:schemeClr val="accent1">
                  <a:lumMod val="20000"/>
                  <a:lumOff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20000"/>
                  <a:lumOff val="80000"/>
                </a:schemeClr>
              </a:solidFill>
              <a:ln w="9525">
                <a:solidFill>
                  <a:schemeClr val="accent1">
                    <a:lumMod val="20000"/>
                    <a:lumOff val="80000"/>
                  </a:schemeClr>
                </a:solidFill>
              </a:ln>
              <a:effectLst/>
            </c:spPr>
          </c:marker>
          <c:xVal>
            <c:numRef>
              <c:f>'DRV7308 Thermal Calculator'!$E$145:$E$149</c:f>
              <c:numCache>
                <c:formatCode>General</c:formatCode>
                <c:ptCount val="5"/>
                <c:pt idx="0">
                  <c:v>8</c:v>
                </c:pt>
                <c:pt idx="1">
                  <c:v>32</c:v>
                </c:pt>
                <c:pt idx="2">
                  <c:v>64</c:v>
                </c:pt>
                <c:pt idx="3">
                  <c:v>100</c:v>
                </c:pt>
                <c:pt idx="4">
                  <c:v>128</c:v>
                </c:pt>
              </c:numCache>
            </c:numRef>
          </c:xVal>
          <c:yVal>
            <c:numRef>
              <c:f>'DRV7308 Thermal Calculator'!$C$145:$C$149</c:f>
              <c:numCache>
                <c:formatCode>General</c:formatCode>
                <c:ptCount val="5"/>
                <c:pt idx="0">
                  <c:v>32.799999999999997</c:v>
                </c:pt>
                <c:pt idx="1">
                  <c:v>18.3</c:v>
                </c:pt>
                <c:pt idx="2">
                  <c:v>14.8</c:v>
                </c:pt>
                <c:pt idx="3">
                  <c:v>13.5</c:v>
                </c:pt>
                <c:pt idx="4">
                  <c:v>13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E-FE86-45EF-836D-F095A1D6E1CE}"/>
            </c:ext>
          </c:extLst>
        </c:ser>
        <c:ser>
          <c:idx val="5"/>
          <c:order val="5"/>
          <c:tx>
            <c:v>4 layer, 3oz copper</c:v>
          </c:tx>
          <c:spPr>
            <a:ln w="19050" cap="rnd">
              <a:solidFill>
                <a:schemeClr val="accent2">
                  <a:lumMod val="20000"/>
                  <a:lumOff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20000"/>
                  <a:lumOff val="80000"/>
                </a:schemeClr>
              </a:solidFill>
              <a:ln w="9525">
                <a:solidFill>
                  <a:schemeClr val="accent2">
                    <a:lumMod val="20000"/>
                    <a:lumOff val="80000"/>
                  </a:schemeClr>
                </a:solidFill>
              </a:ln>
              <a:effectLst/>
            </c:spPr>
          </c:marker>
          <c:xVal>
            <c:numRef>
              <c:f>'DRV7308 Thermal Calculator'!$E$160:$E$164</c:f>
              <c:numCache>
                <c:formatCode>General</c:formatCode>
                <c:ptCount val="5"/>
                <c:pt idx="0">
                  <c:v>8</c:v>
                </c:pt>
                <c:pt idx="1">
                  <c:v>32</c:v>
                </c:pt>
                <c:pt idx="2">
                  <c:v>64</c:v>
                </c:pt>
                <c:pt idx="3">
                  <c:v>100</c:v>
                </c:pt>
                <c:pt idx="4">
                  <c:v>128</c:v>
                </c:pt>
              </c:numCache>
            </c:numRef>
          </c:xVal>
          <c:yVal>
            <c:numRef>
              <c:f>'DRV7308 Thermal Calculator'!$C$160:$C$164</c:f>
              <c:numCache>
                <c:formatCode>General</c:formatCode>
                <c:ptCount val="5"/>
                <c:pt idx="0">
                  <c:v>31.1</c:v>
                </c:pt>
                <c:pt idx="1">
                  <c:v>16.5</c:v>
                </c:pt>
                <c:pt idx="2">
                  <c:v>12.8</c:v>
                </c:pt>
                <c:pt idx="3">
                  <c:v>11.3</c:v>
                </c:pt>
                <c:pt idx="4">
                  <c:v>10.7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1-FE86-45EF-836D-F095A1D6E1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37576352"/>
        <c:axId val="801747360"/>
      </c:scatterChart>
      <c:valAx>
        <c:axId val="9375763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Copper</a:t>
                </a:r>
                <a:r>
                  <a:rPr lang="en-US" b="1" baseline="0"/>
                  <a:t> area (cm^2)</a:t>
                </a:r>
                <a:endParaRPr lang="en-US" b="1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01747360"/>
        <c:crosses val="autoZero"/>
        <c:crossBetween val="midCat"/>
      </c:valAx>
      <c:valAx>
        <c:axId val="801747360"/>
        <c:scaling>
          <c:orientation val="minMax"/>
          <c:min val="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Theta</a:t>
                </a:r>
                <a:r>
                  <a:rPr lang="en-US" b="1" baseline="0"/>
                  <a:t>-JA (</a:t>
                </a:r>
                <a:r>
                  <a:rPr lang="en-US" sz="1000" b="1" i="0" u="none" strike="noStrike" baseline="0">
                    <a:effectLst/>
                  </a:rPr>
                  <a:t>°</a:t>
                </a:r>
                <a:r>
                  <a:rPr lang="en-US" b="1" baseline="0"/>
                  <a:t>C/W)</a:t>
                </a:r>
                <a:endParaRPr lang="en-US" b="1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3757635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8347491039196371"/>
          <c:y val="0.90330909407023041"/>
          <c:w val="0.49217350376090485"/>
          <c:h val="7.559482908024980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0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Eon (5V/ns)</a:t>
            </a:r>
            <a:r>
              <a:rPr lang="en-US" baseline="0"/>
              <a:t> 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0944750913945887"/>
          <c:y val="0.13841906940921023"/>
          <c:w val="0.74413071902452876"/>
          <c:h val="0.5634887354500604"/>
        </c:manualLayout>
      </c:layout>
      <c:scatterChart>
        <c:scatterStyle val="lineMarker"/>
        <c:varyColors val="0"/>
        <c:ser>
          <c:idx val="0"/>
          <c:order val="0"/>
          <c:tx>
            <c:strRef>
              <c:f>'DRV7308 Thermal Calculator'!$L$88</c:f>
              <c:strCache>
                <c:ptCount val="1"/>
                <c:pt idx="0">
                  <c:v>a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poly"/>
            <c:order val="2"/>
            <c:dispRSqr val="0"/>
            <c:dispEq val="1"/>
            <c:trendlineLbl>
              <c:layout>
                <c:manualLayout>
                  <c:x val="-6.5199116860785403E-2"/>
                  <c:y val="0.64642584472336517"/>
                </c:manualLayout>
              </c:layout>
              <c:numFmt formatCode="0.00E+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'DRV7308 Thermal Calculator'!$U$87:$AB$87</c:f>
              <c:numCache>
                <c:formatCode>General</c:formatCode>
                <c:ptCount val="8"/>
                <c:pt idx="0">
                  <c:v>0</c:v>
                </c:pt>
                <c:pt idx="1">
                  <c:v>0.1</c:v>
                </c:pt>
                <c:pt idx="2">
                  <c:v>0.25</c:v>
                </c:pt>
                <c:pt idx="3">
                  <c:v>0.5</c:v>
                </c:pt>
                <c:pt idx="4">
                  <c:v>0.7</c:v>
                </c:pt>
                <c:pt idx="5">
                  <c:v>1</c:v>
                </c:pt>
                <c:pt idx="6">
                  <c:v>2.5</c:v>
                </c:pt>
                <c:pt idx="7">
                  <c:v>4</c:v>
                </c:pt>
              </c:numCache>
            </c:numRef>
          </c:xVal>
          <c:yVal>
            <c:numRef>
              <c:f>'DRV7308 Thermal Calculator'!$U$88:$AB$88</c:f>
              <c:numCache>
                <c:formatCode>0.00E+00</c:formatCode>
                <c:ptCount val="8"/>
                <c:pt idx="0">
                  <c:v>-0.26100000000000001</c:v>
                </c:pt>
                <c:pt idx="1">
                  <c:v>7.5300000000000006E-2</c:v>
                </c:pt>
                <c:pt idx="2">
                  <c:v>7.2300000000000003E-3</c:v>
                </c:pt>
                <c:pt idx="3">
                  <c:v>0.35799999999999998</c:v>
                </c:pt>
                <c:pt idx="4">
                  <c:v>0.69299999999999995</c:v>
                </c:pt>
                <c:pt idx="5">
                  <c:v>0.878</c:v>
                </c:pt>
                <c:pt idx="6">
                  <c:v>2.13</c:v>
                </c:pt>
                <c:pt idx="7">
                  <c:v>2.92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4F7-4A60-B2E7-E2C785412DCB}"/>
            </c:ext>
          </c:extLst>
        </c:ser>
        <c:ser>
          <c:idx val="1"/>
          <c:order val="1"/>
          <c:tx>
            <c:strRef>
              <c:f>'DRV7308 Thermal Calculator'!$L$89</c:f>
              <c:strCache>
                <c:ptCount val="1"/>
                <c:pt idx="0">
                  <c:v>b1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poly"/>
            <c:order val="2"/>
            <c:dispRSqr val="0"/>
            <c:dispEq val="1"/>
            <c:trendlineLbl>
              <c:layout>
                <c:manualLayout>
                  <c:x val="-7.3983738002843608E-2"/>
                  <c:y val="0.29582417658102128"/>
                </c:manualLayout>
              </c:layout>
              <c:numFmt formatCode="0.00E+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'DRV7308 Thermal Calculator'!$U$87:$AB$87</c:f>
              <c:numCache>
                <c:formatCode>General</c:formatCode>
                <c:ptCount val="8"/>
                <c:pt idx="0">
                  <c:v>0</c:v>
                </c:pt>
                <c:pt idx="1">
                  <c:v>0.1</c:v>
                </c:pt>
                <c:pt idx="2">
                  <c:v>0.25</c:v>
                </c:pt>
                <c:pt idx="3">
                  <c:v>0.5</c:v>
                </c:pt>
                <c:pt idx="4">
                  <c:v>0.7</c:v>
                </c:pt>
                <c:pt idx="5">
                  <c:v>1</c:v>
                </c:pt>
                <c:pt idx="6">
                  <c:v>2.5</c:v>
                </c:pt>
                <c:pt idx="7">
                  <c:v>4</c:v>
                </c:pt>
              </c:numCache>
            </c:numRef>
          </c:xVal>
          <c:yVal>
            <c:numRef>
              <c:f>'DRV7308 Thermal Calculator'!$U$89:$AB$89</c:f>
              <c:numCache>
                <c:formatCode>0.00E+00</c:formatCode>
                <c:ptCount val="8"/>
                <c:pt idx="0">
                  <c:v>5.9100000000000003E-3</c:v>
                </c:pt>
                <c:pt idx="1">
                  <c:v>4.1799999999999997E-3</c:v>
                </c:pt>
                <c:pt idx="2">
                  <c:v>5.7299999999999999E-3</c:v>
                </c:pt>
                <c:pt idx="3">
                  <c:v>4.2700000000000004E-3</c:v>
                </c:pt>
                <c:pt idx="4">
                  <c:v>2.64E-3</c:v>
                </c:pt>
                <c:pt idx="5">
                  <c:v>3.1800000000000001E-3</c:v>
                </c:pt>
                <c:pt idx="6">
                  <c:v>1.2200000000000001E-2</c:v>
                </c:pt>
                <c:pt idx="7">
                  <c:v>4.99E-2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44F7-4A60-B2E7-E2C785412DCB}"/>
            </c:ext>
          </c:extLst>
        </c:ser>
        <c:ser>
          <c:idx val="2"/>
          <c:order val="2"/>
          <c:tx>
            <c:strRef>
              <c:f>'DRV7308 Thermal Calculator'!$L$90</c:f>
              <c:strCache>
                <c:ptCount val="1"/>
                <c:pt idx="0">
                  <c:v>b2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poly"/>
            <c:order val="2"/>
            <c:dispRSqr val="0"/>
            <c:dispEq val="1"/>
            <c:trendlineLbl>
              <c:layout>
                <c:manualLayout>
                  <c:x val="-7.2094840384253636E-2"/>
                  <c:y val="0.32344021456214894"/>
                </c:manualLayout>
              </c:layout>
              <c:numFmt formatCode="0.00E+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'DRV7308 Thermal Calculator'!$U$87:$AB$87</c:f>
              <c:numCache>
                <c:formatCode>General</c:formatCode>
                <c:ptCount val="8"/>
                <c:pt idx="0">
                  <c:v>0</c:v>
                </c:pt>
                <c:pt idx="1">
                  <c:v>0.1</c:v>
                </c:pt>
                <c:pt idx="2">
                  <c:v>0.25</c:v>
                </c:pt>
                <c:pt idx="3">
                  <c:v>0.5</c:v>
                </c:pt>
                <c:pt idx="4">
                  <c:v>0.7</c:v>
                </c:pt>
                <c:pt idx="5">
                  <c:v>1</c:v>
                </c:pt>
                <c:pt idx="6">
                  <c:v>2.5</c:v>
                </c:pt>
                <c:pt idx="7">
                  <c:v>4</c:v>
                </c:pt>
              </c:numCache>
            </c:numRef>
          </c:xVal>
          <c:yVal>
            <c:numRef>
              <c:f>'DRV7308 Thermal Calculator'!$U$90:$AB$90</c:f>
              <c:numCache>
                <c:formatCode>0.00E+00</c:formatCode>
                <c:ptCount val="8"/>
                <c:pt idx="0">
                  <c:v>3.5099999999999999E-5</c:v>
                </c:pt>
                <c:pt idx="1">
                  <c:v>4.9599999999999999E-5</c:v>
                </c:pt>
                <c:pt idx="2">
                  <c:v>6.3299999999999994E-5</c:v>
                </c:pt>
                <c:pt idx="3">
                  <c:v>9.3399999999999993E-5</c:v>
                </c:pt>
                <c:pt idx="4">
                  <c:v>1.1900000000000001E-4</c:v>
                </c:pt>
                <c:pt idx="5">
                  <c:v>1.5200000000000001E-4</c:v>
                </c:pt>
                <c:pt idx="6">
                  <c:v>3.3500000000000001E-4</c:v>
                </c:pt>
                <c:pt idx="7">
                  <c:v>5.2099999999999998E-4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44F7-4A60-B2E7-E2C785412D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10107232"/>
        <c:axId val="2027572335"/>
      </c:scatterChart>
      <c:valAx>
        <c:axId val="11101072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Current (A)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27572335"/>
        <c:crosses val="autoZero"/>
        <c:crossBetween val="midCat"/>
      </c:valAx>
      <c:valAx>
        <c:axId val="20275723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coefficient value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1010723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4805718223164392E-2"/>
          <c:y val="0.72803168614144553"/>
          <c:w val="0.29338565496144298"/>
          <c:h val="0.249576479251817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0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Eoff (5V/ns)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2986563537679451E-2"/>
          <c:y val="9.7132822473699726E-2"/>
          <c:w val="0.87768603364118514"/>
          <c:h val="0.45223720890721891"/>
        </c:manualLayout>
      </c:layout>
      <c:scatterChart>
        <c:scatterStyle val="lineMarker"/>
        <c:varyColors val="0"/>
        <c:ser>
          <c:idx val="0"/>
          <c:order val="0"/>
          <c:tx>
            <c:strRef>
              <c:f>'DRV7308 Thermal Calculator'!$AH$9</c:f>
              <c:strCache>
                <c:ptCount val="1"/>
                <c:pt idx="0">
                  <c:v>0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poly"/>
            <c:order val="2"/>
            <c:dispRSqr val="0"/>
            <c:dispEq val="1"/>
            <c:trendlineLbl>
              <c:layout>
                <c:manualLayout>
                  <c:x val="-0.57052972670466584"/>
                  <c:y val="0.27114729271579902"/>
                </c:manualLayout>
              </c:layout>
              <c:numFmt formatCode="0.00E+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'DRV7308 Thermal Calculator'!$AF$10:$AF$24</c:f>
              <c:numCache>
                <c:formatCode>General</c:formatCode>
                <c:ptCount val="15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150</c:v>
                </c:pt>
                <c:pt idx="4">
                  <c:v>150</c:v>
                </c:pt>
                <c:pt idx="5">
                  <c:v>150</c:v>
                </c:pt>
                <c:pt idx="6">
                  <c:v>200</c:v>
                </c:pt>
                <c:pt idx="7">
                  <c:v>200</c:v>
                </c:pt>
                <c:pt idx="8">
                  <c:v>200</c:v>
                </c:pt>
                <c:pt idx="9">
                  <c:v>300</c:v>
                </c:pt>
                <c:pt idx="10">
                  <c:v>300</c:v>
                </c:pt>
                <c:pt idx="11">
                  <c:v>300</c:v>
                </c:pt>
                <c:pt idx="12">
                  <c:v>450</c:v>
                </c:pt>
                <c:pt idx="13">
                  <c:v>450</c:v>
                </c:pt>
                <c:pt idx="14">
                  <c:v>450</c:v>
                </c:pt>
              </c:numCache>
            </c:numRef>
          </c:xVal>
          <c:yVal>
            <c:numRef>
              <c:f>'DRV7308 Thermal Calculator'!$AH$10:$AH$24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243-41BA-9350-74C05486EE93}"/>
            </c:ext>
          </c:extLst>
        </c:ser>
        <c:ser>
          <c:idx val="1"/>
          <c:order val="1"/>
          <c:tx>
            <c:strRef>
              <c:f>'DRV7308 Thermal Calculator'!$AI$9</c:f>
              <c:strCache>
                <c:ptCount val="1"/>
                <c:pt idx="0">
                  <c:v>0.1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poly"/>
            <c:order val="2"/>
            <c:dispRSqr val="0"/>
            <c:dispEq val="1"/>
            <c:trendlineLbl>
              <c:layout>
                <c:manualLayout>
                  <c:x val="-0.57052972670466584"/>
                  <c:y val="0.29691326465320655"/>
                </c:manualLayout>
              </c:layout>
              <c:numFmt formatCode="0.00E+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('DRV7308 Thermal Calculator'!$AF$11,'DRV7308 Thermal Calculator'!$AF$14,'DRV7308 Thermal Calculator'!$AF$17,'DRV7308 Thermal Calculator'!$AF$20,'DRV7308 Thermal Calculator'!$AF$23)</c:f>
              <c:numCache>
                <c:formatCode>General</c:formatCode>
                <c:ptCount val="5"/>
                <c:pt idx="0">
                  <c:v>100</c:v>
                </c:pt>
                <c:pt idx="1">
                  <c:v>150</c:v>
                </c:pt>
                <c:pt idx="2">
                  <c:v>200</c:v>
                </c:pt>
                <c:pt idx="3">
                  <c:v>300</c:v>
                </c:pt>
                <c:pt idx="4">
                  <c:v>450</c:v>
                </c:pt>
              </c:numCache>
            </c:numRef>
          </c:xVal>
          <c:yVal>
            <c:numRef>
              <c:f>('DRV7308 Thermal Calculator'!$AI$11,'DRV7308 Thermal Calculator'!$AI$14,'DRV7308 Thermal Calculator'!$AI$17,'DRV7308 Thermal Calculator'!$AI$20,'DRV7308 Thermal Calculator'!$AI$23)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243-41BA-9350-74C05486EE93}"/>
            </c:ext>
          </c:extLst>
        </c:ser>
        <c:ser>
          <c:idx val="2"/>
          <c:order val="2"/>
          <c:tx>
            <c:strRef>
              <c:f>'DRV7308 Thermal Calculator'!$AJ$9</c:f>
              <c:strCache>
                <c:ptCount val="1"/>
                <c:pt idx="0">
                  <c:v>0.25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poly"/>
            <c:order val="2"/>
            <c:dispRSqr val="0"/>
            <c:dispEq val="1"/>
            <c:trendlineLbl>
              <c:layout>
                <c:manualLayout>
                  <c:x val="-0.57187923491533332"/>
                  <c:y val="0.32061413345116607"/>
                </c:manualLayout>
              </c:layout>
              <c:numFmt formatCode="0.00E+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('DRV7308 Thermal Calculator'!$AF$11,'DRV7308 Thermal Calculator'!$AF$14,'DRV7308 Thermal Calculator'!$AF$17,'DRV7308 Thermal Calculator'!$AF$20,'DRV7308 Thermal Calculator'!$AF$23)</c:f>
              <c:numCache>
                <c:formatCode>General</c:formatCode>
                <c:ptCount val="5"/>
                <c:pt idx="0">
                  <c:v>100</c:v>
                </c:pt>
                <c:pt idx="1">
                  <c:v>150</c:v>
                </c:pt>
                <c:pt idx="2">
                  <c:v>200</c:v>
                </c:pt>
                <c:pt idx="3">
                  <c:v>300</c:v>
                </c:pt>
                <c:pt idx="4">
                  <c:v>450</c:v>
                </c:pt>
              </c:numCache>
            </c:numRef>
          </c:xVal>
          <c:yVal>
            <c:numRef>
              <c:f>('DRV7308 Thermal Calculator'!$AJ$11,'DRV7308 Thermal Calculator'!$AJ$14,'DRV7308 Thermal Calculator'!$AJ$17,'DRV7308 Thermal Calculator'!$AJ$20,'DRV7308 Thermal Calculator'!$AJ$23)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6243-41BA-9350-74C05486EE93}"/>
            </c:ext>
          </c:extLst>
        </c:ser>
        <c:ser>
          <c:idx val="3"/>
          <c:order val="3"/>
          <c:tx>
            <c:strRef>
              <c:f>'DRV7308 Thermal Calculator'!$AK$9</c:f>
              <c:strCache>
                <c:ptCount val="1"/>
                <c:pt idx="0">
                  <c:v>0.5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4"/>
                </a:solidFill>
                <a:prstDash val="sysDot"/>
              </a:ln>
              <a:effectLst/>
            </c:spPr>
            <c:trendlineType val="poly"/>
            <c:order val="2"/>
            <c:dispRSqr val="0"/>
            <c:dispEq val="1"/>
            <c:trendlineLbl>
              <c:layout>
                <c:manualLayout>
                  <c:x val="-0.44416334809126884"/>
                  <c:y val="0.34620276893524154"/>
                </c:manualLayout>
              </c:layout>
              <c:numFmt formatCode="0.00E+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('DRV7308 Thermal Calculator'!$AF$11,'DRV7308 Thermal Calculator'!$AF$14,'DRV7308 Thermal Calculator'!$AF$17,'DRV7308 Thermal Calculator'!$AF$20,'DRV7308 Thermal Calculator'!$AF$23)</c:f>
              <c:numCache>
                <c:formatCode>General</c:formatCode>
                <c:ptCount val="5"/>
                <c:pt idx="0">
                  <c:v>100</c:v>
                </c:pt>
                <c:pt idx="1">
                  <c:v>150</c:v>
                </c:pt>
                <c:pt idx="2">
                  <c:v>200</c:v>
                </c:pt>
                <c:pt idx="3">
                  <c:v>300</c:v>
                </c:pt>
                <c:pt idx="4">
                  <c:v>450</c:v>
                </c:pt>
              </c:numCache>
            </c:numRef>
          </c:xVal>
          <c:yVal>
            <c:numRef>
              <c:f>('DRV7308 Thermal Calculator'!$AK$11,'DRV7308 Thermal Calculator'!$AK$14,'DRV7308 Thermal Calculator'!$AK$17,'DRV7308 Thermal Calculator'!$AK$20,'DRV7308 Thermal Calculator'!$AK$23)</c:f>
              <c:numCache>
                <c:formatCode>General</c:formatCode>
                <c:ptCount val="5"/>
                <c:pt idx="0">
                  <c:v>0.1</c:v>
                </c:pt>
                <c:pt idx="1">
                  <c:v>0.5</c:v>
                </c:pt>
                <c:pt idx="2">
                  <c:v>0.7</c:v>
                </c:pt>
                <c:pt idx="3">
                  <c:v>1.4</c:v>
                </c:pt>
                <c:pt idx="4">
                  <c:v>3.4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243-41BA-9350-74C05486EE93}"/>
            </c:ext>
          </c:extLst>
        </c:ser>
        <c:ser>
          <c:idx val="4"/>
          <c:order val="4"/>
          <c:tx>
            <c:strRef>
              <c:f>'DRV7308 Thermal Calculator'!$AL$9</c:f>
              <c:strCache>
                <c:ptCount val="1"/>
                <c:pt idx="0">
                  <c:v>0.7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5"/>
                </a:solidFill>
                <a:prstDash val="sysDot"/>
              </a:ln>
              <a:effectLst/>
            </c:spPr>
            <c:trendlineType val="poly"/>
            <c:order val="2"/>
            <c:dispRSqr val="0"/>
            <c:dispEq val="1"/>
            <c:trendlineLbl>
              <c:layout>
                <c:manualLayout>
                  <c:x val="-0.44403089242625177"/>
                  <c:y val="0.38494970478036888"/>
                </c:manualLayout>
              </c:layout>
              <c:numFmt formatCode="0.00E+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('DRV7308 Thermal Calculator'!$AF$11,'DRV7308 Thermal Calculator'!$AF$14,'DRV7308 Thermal Calculator'!$AF$17,'DRV7308 Thermal Calculator'!$AF$20,'DRV7308 Thermal Calculator'!$AF$23)</c:f>
              <c:numCache>
                <c:formatCode>General</c:formatCode>
                <c:ptCount val="5"/>
                <c:pt idx="0">
                  <c:v>100</c:v>
                </c:pt>
                <c:pt idx="1">
                  <c:v>150</c:v>
                </c:pt>
                <c:pt idx="2">
                  <c:v>200</c:v>
                </c:pt>
                <c:pt idx="3">
                  <c:v>300</c:v>
                </c:pt>
                <c:pt idx="4">
                  <c:v>450</c:v>
                </c:pt>
              </c:numCache>
            </c:numRef>
          </c:xVal>
          <c:yVal>
            <c:numRef>
              <c:f>('DRV7308 Thermal Calculator'!$AL$11,'DRV7308 Thermal Calculator'!$AL$14,'DRV7308 Thermal Calculator'!$AL$17,'DRV7308 Thermal Calculator'!$AL$20,'DRV7308 Thermal Calculator'!$AL$23)</c:f>
              <c:numCache>
                <c:formatCode>General</c:formatCode>
                <c:ptCount val="5"/>
                <c:pt idx="0">
                  <c:v>0.5</c:v>
                </c:pt>
                <c:pt idx="1">
                  <c:v>0.9</c:v>
                </c:pt>
                <c:pt idx="2">
                  <c:v>1.5</c:v>
                </c:pt>
                <c:pt idx="3">
                  <c:v>3.3</c:v>
                </c:pt>
                <c:pt idx="4">
                  <c:v>7.5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6243-41BA-9350-74C05486EE93}"/>
            </c:ext>
          </c:extLst>
        </c:ser>
        <c:ser>
          <c:idx val="5"/>
          <c:order val="5"/>
          <c:tx>
            <c:strRef>
              <c:f>'DRV7308 Thermal Calculator'!$AM$9</c:f>
              <c:strCache>
                <c:ptCount val="1"/>
                <c:pt idx="0">
                  <c:v>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6"/>
                </a:solidFill>
                <a:prstDash val="sysDot"/>
              </a:ln>
              <a:effectLst/>
            </c:spPr>
            <c:trendlineType val="poly"/>
            <c:order val="2"/>
            <c:dispRSqr val="0"/>
            <c:dispEq val="1"/>
            <c:trendlineLbl>
              <c:layout>
                <c:manualLayout>
                  <c:x val="-0.43867971482104373"/>
                  <c:y val="0.44010183462975883"/>
                </c:manualLayout>
              </c:layout>
              <c:numFmt formatCode="0.00E+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('DRV7308 Thermal Calculator'!$AF$11,'DRV7308 Thermal Calculator'!$AF$14,'DRV7308 Thermal Calculator'!$AF$17,'DRV7308 Thermal Calculator'!$AF$20,'DRV7308 Thermal Calculator'!$AF$23)</c:f>
              <c:numCache>
                <c:formatCode>General</c:formatCode>
                <c:ptCount val="5"/>
                <c:pt idx="0">
                  <c:v>100</c:v>
                </c:pt>
                <c:pt idx="1">
                  <c:v>150</c:v>
                </c:pt>
                <c:pt idx="2">
                  <c:v>200</c:v>
                </c:pt>
                <c:pt idx="3">
                  <c:v>300</c:v>
                </c:pt>
                <c:pt idx="4">
                  <c:v>450</c:v>
                </c:pt>
              </c:numCache>
            </c:numRef>
          </c:xVal>
          <c:yVal>
            <c:numRef>
              <c:f>('DRV7308 Thermal Calculator'!$AM$11,'DRV7308 Thermal Calculator'!$AM$14,'DRV7308 Thermal Calculator'!$AM$17,'DRV7308 Thermal Calculator'!$AM$20,'DRV7308 Thermal Calculator'!$AM$23)</c:f>
              <c:numCache>
                <c:formatCode>General</c:formatCode>
                <c:ptCount val="5"/>
                <c:pt idx="0">
                  <c:v>1</c:v>
                </c:pt>
                <c:pt idx="1">
                  <c:v>1.9</c:v>
                </c:pt>
                <c:pt idx="2">
                  <c:v>3.2</c:v>
                </c:pt>
                <c:pt idx="3">
                  <c:v>6.8</c:v>
                </c:pt>
                <c:pt idx="4">
                  <c:v>14.7</c:v>
                </c:pt>
              </c:numCache>
            </c:numRef>
          </c:y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B-6243-41BA-9350-74C05486EE93}"/>
            </c:ext>
          </c:extLst>
        </c:ser>
        <c:ser>
          <c:idx val="6"/>
          <c:order val="6"/>
          <c:tx>
            <c:strRef>
              <c:f>'DRV7308 Thermal Calculator'!$AN$9</c:f>
              <c:strCache>
                <c:ptCount val="1"/>
                <c:pt idx="0">
                  <c:v>2.5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>
                    <a:lumMod val="60000"/>
                  </a:schemeClr>
                </a:solidFill>
                <a:prstDash val="sysDot"/>
              </a:ln>
              <a:effectLst/>
            </c:spPr>
            <c:trendlineType val="poly"/>
            <c:order val="2"/>
            <c:dispRSqr val="0"/>
            <c:dispEq val="1"/>
            <c:trendlineLbl>
              <c:layout>
                <c:manualLayout>
                  <c:x val="-0.43920866677401904"/>
                  <c:y val="0.62787521487246833"/>
                </c:manualLayout>
              </c:layout>
              <c:numFmt formatCode="0.00E+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('DRV7308 Thermal Calculator'!$AF$11,'DRV7308 Thermal Calculator'!$AF$14,'DRV7308 Thermal Calculator'!$AF$17,'DRV7308 Thermal Calculator'!$AF$20,'DRV7308 Thermal Calculator'!$AF$23)</c:f>
              <c:numCache>
                <c:formatCode>General</c:formatCode>
                <c:ptCount val="5"/>
                <c:pt idx="0">
                  <c:v>100</c:v>
                </c:pt>
                <c:pt idx="1">
                  <c:v>150</c:v>
                </c:pt>
                <c:pt idx="2">
                  <c:v>200</c:v>
                </c:pt>
                <c:pt idx="3">
                  <c:v>300</c:v>
                </c:pt>
                <c:pt idx="4">
                  <c:v>450</c:v>
                </c:pt>
              </c:numCache>
            </c:numRef>
          </c:xVal>
          <c:yVal>
            <c:numRef>
              <c:f>('DRV7308 Thermal Calculator'!$AN$11,'DRV7308 Thermal Calculator'!$AN$14,'DRV7308 Thermal Calculator'!$AN$17,'DRV7308 Thermal Calculator'!$AN$20,'DRV7308 Thermal Calculator'!$AN$23)</c:f>
              <c:numCache>
                <c:formatCode>General</c:formatCode>
                <c:ptCount val="5"/>
                <c:pt idx="0">
                  <c:v>5.5</c:v>
                </c:pt>
                <c:pt idx="1">
                  <c:v>9</c:v>
                </c:pt>
                <c:pt idx="2">
                  <c:v>14.4</c:v>
                </c:pt>
                <c:pt idx="3">
                  <c:v>28.6</c:v>
                </c:pt>
                <c:pt idx="4">
                  <c:v>58.5</c:v>
                </c:pt>
              </c:numCache>
            </c:numRef>
          </c:y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D-6243-41BA-9350-74C05486EE93}"/>
            </c:ext>
          </c:extLst>
        </c:ser>
        <c:ser>
          <c:idx val="7"/>
          <c:order val="7"/>
          <c:tx>
            <c:strRef>
              <c:f>'DRV7308 Thermal Calculator'!$AO$9</c:f>
              <c:strCache>
                <c:ptCount val="1"/>
                <c:pt idx="0">
                  <c:v>4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>
                    <a:lumMod val="60000"/>
                  </a:schemeClr>
                </a:solidFill>
                <a:prstDash val="sysDot"/>
              </a:ln>
              <a:effectLst/>
            </c:spPr>
            <c:trendlineType val="poly"/>
            <c:order val="2"/>
            <c:dispRSqr val="0"/>
            <c:dispEq val="1"/>
            <c:trendlineLbl>
              <c:layout>
                <c:manualLayout>
                  <c:x val="-0.43907471581872665"/>
                  <c:y val="0.84549059691220263"/>
                </c:manualLayout>
              </c:layout>
              <c:numFmt formatCode="0.00E+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('DRV7308 Thermal Calculator'!$AF$11,'DRV7308 Thermal Calculator'!$AF$14,'DRV7308 Thermal Calculator'!$AF$17,'DRV7308 Thermal Calculator'!$AF$20,'DRV7308 Thermal Calculator'!$AF$23)</c:f>
              <c:numCache>
                <c:formatCode>General</c:formatCode>
                <c:ptCount val="5"/>
                <c:pt idx="0">
                  <c:v>100</c:v>
                </c:pt>
                <c:pt idx="1">
                  <c:v>150</c:v>
                </c:pt>
                <c:pt idx="2">
                  <c:v>200</c:v>
                </c:pt>
                <c:pt idx="3">
                  <c:v>300</c:v>
                </c:pt>
                <c:pt idx="4">
                  <c:v>450</c:v>
                </c:pt>
              </c:numCache>
            </c:numRef>
          </c:xVal>
          <c:yVal>
            <c:numRef>
              <c:f>('DRV7308 Thermal Calculator'!$AO$11,'DRV7308 Thermal Calculator'!$AO$14,'DRV7308 Thermal Calculator'!$AO$17,'DRV7308 Thermal Calculator'!$AO$20,'DRV7308 Thermal Calculator'!$AO$23)</c:f>
              <c:numCache>
                <c:formatCode>General</c:formatCode>
                <c:ptCount val="5"/>
                <c:pt idx="0">
                  <c:v>11.9</c:v>
                </c:pt>
                <c:pt idx="1">
                  <c:v>20.100000000000001</c:v>
                </c:pt>
                <c:pt idx="2">
                  <c:v>30.2</c:v>
                </c:pt>
                <c:pt idx="3">
                  <c:v>56.1</c:v>
                </c:pt>
                <c:pt idx="4">
                  <c:v>109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6243-41BA-9350-74C05486EE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82122239"/>
        <c:axId val="1986862255"/>
        <c:extLst/>
      </c:scatterChart>
      <c:valAx>
        <c:axId val="58212223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VM</a:t>
                </a:r>
                <a:r>
                  <a:rPr lang="en-US" baseline="0"/>
                  <a:t> Voltage (V)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6862255"/>
        <c:crosses val="autoZero"/>
        <c:crossBetween val="midCat"/>
      </c:valAx>
      <c:valAx>
        <c:axId val="19868622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Switching Energy (uJ)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2122239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5113200785346109E-2"/>
          <c:y val="0.58651089242864562"/>
          <c:w val="0.16746949906555147"/>
          <c:h val="0.4134889517035955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0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Eon (10V/ns)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2986563537679451E-2"/>
          <c:y val="9.7132822473699726E-2"/>
          <c:w val="0.87768603364118514"/>
          <c:h val="0.45223720890721891"/>
        </c:manualLayout>
      </c:layout>
      <c:scatterChart>
        <c:scatterStyle val="lineMarker"/>
        <c:varyColors val="0"/>
        <c:ser>
          <c:idx val="0"/>
          <c:order val="0"/>
          <c:tx>
            <c:strRef>
              <c:f>'DRV7308 Thermal Calculator'!$AP$9</c:f>
              <c:strCache>
                <c:ptCount val="1"/>
                <c:pt idx="0">
                  <c:v>0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poly"/>
            <c:order val="2"/>
            <c:dispRSqr val="0"/>
            <c:dispEq val="1"/>
            <c:trendlineLbl>
              <c:layout>
                <c:manualLayout>
                  <c:x val="-0.43315844411248933"/>
                  <c:y val="0.30606840823776676"/>
                </c:manualLayout>
              </c:layout>
              <c:numFmt formatCode="0.00E+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'DRV7308 Thermal Calculator'!$AF$25:$AF$39</c:f>
              <c:numCache>
                <c:formatCode>General</c:formatCode>
                <c:ptCount val="15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150</c:v>
                </c:pt>
                <c:pt idx="4">
                  <c:v>150</c:v>
                </c:pt>
                <c:pt idx="5">
                  <c:v>150</c:v>
                </c:pt>
                <c:pt idx="6">
                  <c:v>200</c:v>
                </c:pt>
                <c:pt idx="7">
                  <c:v>200</c:v>
                </c:pt>
                <c:pt idx="8">
                  <c:v>200</c:v>
                </c:pt>
                <c:pt idx="9">
                  <c:v>300</c:v>
                </c:pt>
                <c:pt idx="10">
                  <c:v>300</c:v>
                </c:pt>
                <c:pt idx="11">
                  <c:v>300</c:v>
                </c:pt>
                <c:pt idx="12">
                  <c:v>450</c:v>
                </c:pt>
                <c:pt idx="13">
                  <c:v>450</c:v>
                </c:pt>
                <c:pt idx="14">
                  <c:v>450</c:v>
                </c:pt>
              </c:numCache>
            </c:numRef>
          </c:xVal>
          <c:yVal>
            <c:numRef>
              <c:f>'DRV7308 Thermal Calculator'!$AP$25:$AP$39</c:f>
              <c:numCache>
                <c:formatCode>General</c:formatCode>
                <c:ptCount val="15"/>
                <c:pt idx="0">
                  <c:v>0.7</c:v>
                </c:pt>
                <c:pt idx="1">
                  <c:v>0.7</c:v>
                </c:pt>
                <c:pt idx="2">
                  <c:v>0.7</c:v>
                </c:pt>
                <c:pt idx="3">
                  <c:v>1.4</c:v>
                </c:pt>
                <c:pt idx="4">
                  <c:v>1.4</c:v>
                </c:pt>
                <c:pt idx="5">
                  <c:v>1.4</c:v>
                </c:pt>
                <c:pt idx="6">
                  <c:v>2.2999999999999998</c:v>
                </c:pt>
                <c:pt idx="7">
                  <c:v>2.2999999999999998</c:v>
                </c:pt>
                <c:pt idx="8">
                  <c:v>2.2999999999999998</c:v>
                </c:pt>
                <c:pt idx="9">
                  <c:v>4.7</c:v>
                </c:pt>
                <c:pt idx="10">
                  <c:v>4.7</c:v>
                </c:pt>
                <c:pt idx="11">
                  <c:v>4.7</c:v>
                </c:pt>
                <c:pt idx="12">
                  <c:v>9.5</c:v>
                </c:pt>
                <c:pt idx="13">
                  <c:v>9.5</c:v>
                </c:pt>
                <c:pt idx="14">
                  <c:v>9.5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C77-4074-85A1-9D3CD88C48B5}"/>
            </c:ext>
          </c:extLst>
        </c:ser>
        <c:ser>
          <c:idx val="1"/>
          <c:order val="1"/>
          <c:tx>
            <c:strRef>
              <c:f>'DRV7308 Thermal Calculator'!$AQ$9</c:f>
              <c:strCache>
                <c:ptCount val="1"/>
                <c:pt idx="0">
                  <c:v>0.1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poly"/>
            <c:order val="2"/>
            <c:dispRSqr val="0"/>
            <c:dispEq val="1"/>
            <c:trendlineLbl>
              <c:layout>
                <c:manualLayout>
                  <c:x val="-0.43315844411248933"/>
                  <c:y val="0.34071600108299005"/>
                </c:manualLayout>
              </c:layout>
              <c:numFmt formatCode="0.00E+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'DRV7308 Thermal Calculator'!$AF$25:$AF$39</c:f>
              <c:numCache>
                <c:formatCode>General</c:formatCode>
                <c:ptCount val="15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150</c:v>
                </c:pt>
                <c:pt idx="4">
                  <c:v>150</c:v>
                </c:pt>
                <c:pt idx="5">
                  <c:v>150</c:v>
                </c:pt>
                <c:pt idx="6">
                  <c:v>200</c:v>
                </c:pt>
                <c:pt idx="7">
                  <c:v>200</c:v>
                </c:pt>
                <c:pt idx="8">
                  <c:v>200</c:v>
                </c:pt>
                <c:pt idx="9">
                  <c:v>300</c:v>
                </c:pt>
                <c:pt idx="10">
                  <c:v>300</c:v>
                </c:pt>
                <c:pt idx="11">
                  <c:v>300</c:v>
                </c:pt>
                <c:pt idx="12">
                  <c:v>450</c:v>
                </c:pt>
                <c:pt idx="13">
                  <c:v>450</c:v>
                </c:pt>
                <c:pt idx="14">
                  <c:v>450</c:v>
                </c:pt>
              </c:numCache>
            </c:numRef>
          </c:xVal>
          <c:yVal>
            <c:numRef>
              <c:f>'DRV7308 Thermal Calculator'!$AQ$25:$AQ$39</c:f>
              <c:numCache>
                <c:formatCode>General</c:formatCode>
                <c:ptCount val="15"/>
                <c:pt idx="0">
                  <c:v>0.9</c:v>
                </c:pt>
                <c:pt idx="1">
                  <c:v>0.9</c:v>
                </c:pt>
                <c:pt idx="2">
                  <c:v>0.9</c:v>
                </c:pt>
                <c:pt idx="3">
                  <c:v>1.7</c:v>
                </c:pt>
                <c:pt idx="4">
                  <c:v>1.7</c:v>
                </c:pt>
                <c:pt idx="5">
                  <c:v>1.7</c:v>
                </c:pt>
                <c:pt idx="6">
                  <c:v>2.8</c:v>
                </c:pt>
                <c:pt idx="7">
                  <c:v>2.8</c:v>
                </c:pt>
                <c:pt idx="8">
                  <c:v>2.8</c:v>
                </c:pt>
                <c:pt idx="9">
                  <c:v>5.5</c:v>
                </c:pt>
                <c:pt idx="10">
                  <c:v>5.5</c:v>
                </c:pt>
                <c:pt idx="11">
                  <c:v>5.5</c:v>
                </c:pt>
                <c:pt idx="12">
                  <c:v>11</c:v>
                </c:pt>
                <c:pt idx="13">
                  <c:v>11</c:v>
                </c:pt>
                <c:pt idx="14">
                  <c:v>11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CC77-4074-85A1-9D3CD88C48B5}"/>
            </c:ext>
          </c:extLst>
        </c:ser>
        <c:ser>
          <c:idx val="2"/>
          <c:order val="2"/>
          <c:tx>
            <c:strRef>
              <c:f>'DRV7308 Thermal Calculator'!$AR$9</c:f>
              <c:strCache>
                <c:ptCount val="1"/>
                <c:pt idx="0">
                  <c:v>0.25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poly"/>
            <c:order val="2"/>
            <c:dispRSqr val="0"/>
            <c:dispEq val="1"/>
            <c:trendlineLbl>
              <c:layout>
                <c:manualLayout>
                  <c:x val="-0.43152002681327967"/>
                  <c:y val="0.3807696620668139"/>
                </c:manualLayout>
              </c:layout>
              <c:numFmt formatCode="0.00E+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'DRV7308 Thermal Calculator'!$AF$25:$AF$39</c:f>
              <c:numCache>
                <c:formatCode>General</c:formatCode>
                <c:ptCount val="15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150</c:v>
                </c:pt>
                <c:pt idx="4">
                  <c:v>150</c:v>
                </c:pt>
                <c:pt idx="5">
                  <c:v>150</c:v>
                </c:pt>
                <c:pt idx="6">
                  <c:v>200</c:v>
                </c:pt>
                <c:pt idx="7">
                  <c:v>200</c:v>
                </c:pt>
                <c:pt idx="8">
                  <c:v>200</c:v>
                </c:pt>
                <c:pt idx="9">
                  <c:v>300</c:v>
                </c:pt>
                <c:pt idx="10">
                  <c:v>300</c:v>
                </c:pt>
                <c:pt idx="11">
                  <c:v>300</c:v>
                </c:pt>
                <c:pt idx="12">
                  <c:v>450</c:v>
                </c:pt>
                <c:pt idx="13">
                  <c:v>450</c:v>
                </c:pt>
                <c:pt idx="14">
                  <c:v>450</c:v>
                </c:pt>
              </c:numCache>
            </c:numRef>
          </c:xVal>
          <c:yVal>
            <c:numRef>
              <c:f>'DRV7308 Thermal Calculator'!$AR$25:$AR$39</c:f>
              <c:numCache>
                <c:formatCode>General</c:formatCode>
                <c:ptCount val="15"/>
                <c:pt idx="0">
                  <c:v>1.1000000000000001</c:v>
                </c:pt>
                <c:pt idx="1">
                  <c:v>1.1000000000000001</c:v>
                </c:pt>
                <c:pt idx="2">
                  <c:v>1.1000000000000001</c:v>
                </c:pt>
                <c:pt idx="3">
                  <c:v>2.1</c:v>
                </c:pt>
                <c:pt idx="4">
                  <c:v>2.1</c:v>
                </c:pt>
                <c:pt idx="5">
                  <c:v>2.1</c:v>
                </c:pt>
                <c:pt idx="6">
                  <c:v>3.3</c:v>
                </c:pt>
                <c:pt idx="7">
                  <c:v>3.3</c:v>
                </c:pt>
                <c:pt idx="8">
                  <c:v>3.3</c:v>
                </c:pt>
                <c:pt idx="9">
                  <c:v>6.5</c:v>
                </c:pt>
                <c:pt idx="10">
                  <c:v>6.5</c:v>
                </c:pt>
                <c:pt idx="11">
                  <c:v>6.5</c:v>
                </c:pt>
                <c:pt idx="12">
                  <c:v>13.1</c:v>
                </c:pt>
                <c:pt idx="13">
                  <c:v>13.1</c:v>
                </c:pt>
                <c:pt idx="14">
                  <c:v>13.1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CC77-4074-85A1-9D3CD88C48B5}"/>
            </c:ext>
          </c:extLst>
        </c:ser>
        <c:ser>
          <c:idx val="3"/>
          <c:order val="3"/>
          <c:tx>
            <c:strRef>
              <c:f>'DRV7308 Thermal Calculator'!$AS$9</c:f>
              <c:strCache>
                <c:ptCount val="1"/>
                <c:pt idx="0">
                  <c:v>0.5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4"/>
                </a:solidFill>
                <a:prstDash val="sysDot"/>
              </a:ln>
              <a:effectLst/>
            </c:spPr>
            <c:trendlineType val="poly"/>
            <c:order val="2"/>
            <c:dispRSqr val="0"/>
            <c:dispEq val="1"/>
            <c:trendlineLbl>
              <c:layout>
                <c:manualLayout>
                  <c:x val="-0.43152002681327967"/>
                  <c:y val="0.42873210064701833"/>
                </c:manualLayout>
              </c:layout>
              <c:numFmt formatCode="0.00E+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'DRV7308 Thermal Calculator'!$AF$25:$AF$39</c:f>
              <c:numCache>
                <c:formatCode>General</c:formatCode>
                <c:ptCount val="15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150</c:v>
                </c:pt>
                <c:pt idx="4">
                  <c:v>150</c:v>
                </c:pt>
                <c:pt idx="5">
                  <c:v>150</c:v>
                </c:pt>
                <c:pt idx="6">
                  <c:v>200</c:v>
                </c:pt>
                <c:pt idx="7">
                  <c:v>200</c:v>
                </c:pt>
                <c:pt idx="8">
                  <c:v>200</c:v>
                </c:pt>
                <c:pt idx="9">
                  <c:v>300</c:v>
                </c:pt>
                <c:pt idx="10">
                  <c:v>300</c:v>
                </c:pt>
                <c:pt idx="11">
                  <c:v>300</c:v>
                </c:pt>
                <c:pt idx="12">
                  <c:v>450</c:v>
                </c:pt>
                <c:pt idx="13">
                  <c:v>450</c:v>
                </c:pt>
                <c:pt idx="14">
                  <c:v>450</c:v>
                </c:pt>
              </c:numCache>
            </c:numRef>
          </c:xVal>
          <c:yVal>
            <c:numRef>
              <c:f>'DRV7308 Thermal Calculator'!$AS$25:$AS$39</c:f>
              <c:numCache>
                <c:formatCode>General</c:formatCode>
                <c:ptCount val="15"/>
                <c:pt idx="0">
                  <c:v>1.5</c:v>
                </c:pt>
                <c:pt idx="1">
                  <c:v>1.5</c:v>
                </c:pt>
                <c:pt idx="2">
                  <c:v>1.5</c:v>
                </c:pt>
                <c:pt idx="3">
                  <c:v>2.8</c:v>
                </c:pt>
                <c:pt idx="4">
                  <c:v>2.8</c:v>
                </c:pt>
                <c:pt idx="5">
                  <c:v>2.8</c:v>
                </c:pt>
                <c:pt idx="6">
                  <c:v>4.3</c:v>
                </c:pt>
                <c:pt idx="7">
                  <c:v>4.3</c:v>
                </c:pt>
                <c:pt idx="8">
                  <c:v>4.3</c:v>
                </c:pt>
                <c:pt idx="9">
                  <c:v>8.3000000000000007</c:v>
                </c:pt>
                <c:pt idx="10">
                  <c:v>8.3000000000000007</c:v>
                </c:pt>
                <c:pt idx="11">
                  <c:v>8.3000000000000007</c:v>
                </c:pt>
                <c:pt idx="12">
                  <c:v>16.600000000000001</c:v>
                </c:pt>
                <c:pt idx="13">
                  <c:v>16.600000000000001</c:v>
                </c:pt>
                <c:pt idx="14">
                  <c:v>16.600000000000001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CC77-4074-85A1-9D3CD88C48B5}"/>
            </c:ext>
          </c:extLst>
        </c:ser>
        <c:ser>
          <c:idx val="4"/>
          <c:order val="4"/>
          <c:tx>
            <c:strRef>
              <c:f>'DRV7308 Thermal Calculator'!$AT$9</c:f>
              <c:strCache>
                <c:ptCount val="1"/>
                <c:pt idx="0">
                  <c:v>0.7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5"/>
                </a:solidFill>
                <a:prstDash val="sysDot"/>
              </a:ln>
              <a:effectLst/>
            </c:spPr>
            <c:trendlineType val="poly"/>
            <c:order val="2"/>
            <c:dispRSqr val="0"/>
            <c:dispEq val="1"/>
            <c:trendlineLbl>
              <c:layout>
                <c:manualLayout>
                  <c:x val="-0.43152002681327967"/>
                  <c:y val="0.46930854066454797"/>
                </c:manualLayout>
              </c:layout>
              <c:numFmt formatCode="0.00E+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'DRV7308 Thermal Calculator'!$AF$25:$AF$39</c:f>
              <c:numCache>
                <c:formatCode>General</c:formatCode>
                <c:ptCount val="15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150</c:v>
                </c:pt>
                <c:pt idx="4">
                  <c:v>150</c:v>
                </c:pt>
                <c:pt idx="5">
                  <c:v>150</c:v>
                </c:pt>
                <c:pt idx="6">
                  <c:v>200</c:v>
                </c:pt>
                <c:pt idx="7">
                  <c:v>200</c:v>
                </c:pt>
                <c:pt idx="8">
                  <c:v>200</c:v>
                </c:pt>
                <c:pt idx="9">
                  <c:v>300</c:v>
                </c:pt>
                <c:pt idx="10">
                  <c:v>300</c:v>
                </c:pt>
                <c:pt idx="11">
                  <c:v>300</c:v>
                </c:pt>
                <c:pt idx="12">
                  <c:v>450</c:v>
                </c:pt>
                <c:pt idx="13">
                  <c:v>450</c:v>
                </c:pt>
                <c:pt idx="14">
                  <c:v>450</c:v>
                </c:pt>
              </c:numCache>
            </c:numRef>
          </c:xVal>
          <c:yVal>
            <c:numRef>
              <c:f>'DRV7308 Thermal Calculator'!$AT$25:$AT$39</c:f>
              <c:numCache>
                <c:formatCode>General</c:formatCode>
                <c:ptCount val="15"/>
                <c:pt idx="0">
                  <c:v>1.8</c:v>
                </c:pt>
                <c:pt idx="1">
                  <c:v>1.8</c:v>
                </c:pt>
                <c:pt idx="2">
                  <c:v>1.8</c:v>
                </c:pt>
                <c:pt idx="3">
                  <c:v>3.3</c:v>
                </c:pt>
                <c:pt idx="4">
                  <c:v>3.3</c:v>
                </c:pt>
                <c:pt idx="5">
                  <c:v>3.3</c:v>
                </c:pt>
                <c:pt idx="6">
                  <c:v>5.0999999999999996</c:v>
                </c:pt>
                <c:pt idx="7">
                  <c:v>5.0999999999999996</c:v>
                </c:pt>
                <c:pt idx="8">
                  <c:v>5.0999999999999996</c:v>
                </c:pt>
                <c:pt idx="9">
                  <c:v>9.8000000000000007</c:v>
                </c:pt>
                <c:pt idx="10">
                  <c:v>9.8000000000000007</c:v>
                </c:pt>
                <c:pt idx="11">
                  <c:v>9.8000000000000007</c:v>
                </c:pt>
                <c:pt idx="12">
                  <c:v>19.5</c:v>
                </c:pt>
                <c:pt idx="13">
                  <c:v>19.5</c:v>
                </c:pt>
                <c:pt idx="14">
                  <c:v>19.5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CC77-4074-85A1-9D3CD88C48B5}"/>
            </c:ext>
          </c:extLst>
        </c:ser>
        <c:ser>
          <c:idx val="5"/>
          <c:order val="5"/>
          <c:tx>
            <c:strRef>
              <c:f>'DRV7308 Thermal Calculator'!$AU$9</c:f>
              <c:strCache>
                <c:ptCount val="1"/>
                <c:pt idx="0">
                  <c:v>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6"/>
                </a:solidFill>
                <a:prstDash val="sysDot"/>
              </a:ln>
              <a:effectLst/>
            </c:spPr>
            <c:trendlineType val="poly"/>
            <c:order val="2"/>
            <c:dispRSqr val="0"/>
            <c:dispEq val="1"/>
            <c:trendlineLbl>
              <c:layout>
                <c:manualLayout>
                  <c:x val="-0.43197052706594424"/>
                  <c:y val="0.51980144547768381"/>
                </c:manualLayout>
              </c:layout>
              <c:numFmt formatCode="0.00E+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'DRV7308 Thermal Calculator'!$AF$25:$AF$39</c:f>
              <c:numCache>
                <c:formatCode>General</c:formatCode>
                <c:ptCount val="15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150</c:v>
                </c:pt>
                <c:pt idx="4">
                  <c:v>150</c:v>
                </c:pt>
                <c:pt idx="5">
                  <c:v>150</c:v>
                </c:pt>
                <c:pt idx="6">
                  <c:v>200</c:v>
                </c:pt>
                <c:pt idx="7">
                  <c:v>200</c:v>
                </c:pt>
                <c:pt idx="8">
                  <c:v>200</c:v>
                </c:pt>
                <c:pt idx="9">
                  <c:v>300</c:v>
                </c:pt>
                <c:pt idx="10">
                  <c:v>300</c:v>
                </c:pt>
                <c:pt idx="11">
                  <c:v>300</c:v>
                </c:pt>
                <c:pt idx="12">
                  <c:v>450</c:v>
                </c:pt>
                <c:pt idx="13">
                  <c:v>450</c:v>
                </c:pt>
                <c:pt idx="14">
                  <c:v>450</c:v>
                </c:pt>
              </c:numCache>
            </c:numRef>
          </c:xVal>
          <c:yVal>
            <c:numRef>
              <c:f>'DRV7308 Thermal Calculator'!$AU$25:$AU$39</c:f>
              <c:numCache>
                <c:formatCode>General</c:formatCode>
                <c:ptCount val="15"/>
                <c:pt idx="0">
                  <c:v>2.2999999999999998</c:v>
                </c:pt>
                <c:pt idx="1">
                  <c:v>2.2999999999999998</c:v>
                </c:pt>
                <c:pt idx="2">
                  <c:v>2.2999999999999998</c:v>
                </c:pt>
                <c:pt idx="3">
                  <c:v>4.0999999999999996</c:v>
                </c:pt>
                <c:pt idx="4">
                  <c:v>4.0999999999999996</c:v>
                </c:pt>
                <c:pt idx="5">
                  <c:v>4.0999999999999996</c:v>
                </c:pt>
                <c:pt idx="6">
                  <c:v>6.3</c:v>
                </c:pt>
                <c:pt idx="7">
                  <c:v>6.3</c:v>
                </c:pt>
                <c:pt idx="8">
                  <c:v>6.3</c:v>
                </c:pt>
                <c:pt idx="9">
                  <c:v>12</c:v>
                </c:pt>
                <c:pt idx="10">
                  <c:v>12</c:v>
                </c:pt>
                <c:pt idx="11">
                  <c:v>12</c:v>
                </c:pt>
                <c:pt idx="12">
                  <c:v>23.8</c:v>
                </c:pt>
                <c:pt idx="13">
                  <c:v>23.8</c:v>
                </c:pt>
                <c:pt idx="14">
                  <c:v>23.8</c:v>
                </c:pt>
              </c:numCache>
            </c:numRef>
          </c:y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B-CC77-4074-85A1-9D3CD88C48B5}"/>
            </c:ext>
          </c:extLst>
        </c:ser>
        <c:ser>
          <c:idx val="6"/>
          <c:order val="6"/>
          <c:tx>
            <c:strRef>
              <c:f>'DRV7308 Thermal Calculator'!$AV$9</c:f>
              <c:strCache>
                <c:ptCount val="1"/>
                <c:pt idx="0">
                  <c:v>2.5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>
                    <a:lumMod val="60000"/>
                  </a:schemeClr>
                </a:solidFill>
                <a:prstDash val="sysDot"/>
              </a:ln>
              <a:effectLst/>
            </c:spPr>
            <c:trendlineType val="poly"/>
            <c:order val="2"/>
            <c:dispRSqr val="0"/>
            <c:dispEq val="1"/>
            <c:trendlineLbl>
              <c:layout>
                <c:manualLayout>
                  <c:x val="-0.43033210976673453"/>
                  <c:y val="0.6748474606595295"/>
                </c:manualLayout>
              </c:layout>
              <c:numFmt formatCode="0.00E+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'DRV7308 Thermal Calculator'!$AF$25:$AF$39</c:f>
              <c:numCache>
                <c:formatCode>General</c:formatCode>
                <c:ptCount val="15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150</c:v>
                </c:pt>
                <c:pt idx="4">
                  <c:v>150</c:v>
                </c:pt>
                <c:pt idx="5">
                  <c:v>150</c:v>
                </c:pt>
                <c:pt idx="6">
                  <c:v>200</c:v>
                </c:pt>
                <c:pt idx="7">
                  <c:v>200</c:v>
                </c:pt>
                <c:pt idx="8">
                  <c:v>200</c:v>
                </c:pt>
                <c:pt idx="9">
                  <c:v>300</c:v>
                </c:pt>
                <c:pt idx="10">
                  <c:v>300</c:v>
                </c:pt>
                <c:pt idx="11">
                  <c:v>300</c:v>
                </c:pt>
                <c:pt idx="12">
                  <c:v>450</c:v>
                </c:pt>
                <c:pt idx="13">
                  <c:v>450</c:v>
                </c:pt>
                <c:pt idx="14">
                  <c:v>450</c:v>
                </c:pt>
              </c:numCache>
            </c:numRef>
          </c:xVal>
          <c:yVal>
            <c:numRef>
              <c:f>'DRV7308 Thermal Calculator'!$AV$25:$AV$39</c:f>
              <c:numCache>
                <c:formatCode>General</c:formatCode>
                <c:ptCount val="15"/>
                <c:pt idx="0">
                  <c:v>5.3</c:v>
                </c:pt>
                <c:pt idx="1">
                  <c:v>5.3</c:v>
                </c:pt>
                <c:pt idx="2">
                  <c:v>5.3</c:v>
                </c:pt>
                <c:pt idx="3">
                  <c:v>9</c:v>
                </c:pt>
                <c:pt idx="4">
                  <c:v>9</c:v>
                </c:pt>
                <c:pt idx="5">
                  <c:v>9</c:v>
                </c:pt>
                <c:pt idx="6">
                  <c:v>13.4</c:v>
                </c:pt>
                <c:pt idx="7">
                  <c:v>13.4</c:v>
                </c:pt>
                <c:pt idx="8">
                  <c:v>13.4</c:v>
                </c:pt>
                <c:pt idx="9">
                  <c:v>24.7</c:v>
                </c:pt>
                <c:pt idx="10">
                  <c:v>24.7</c:v>
                </c:pt>
                <c:pt idx="11">
                  <c:v>24.7</c:v>
                </c:pt>
                <c:pt idx="12">
                  <c:v>47.3</c:v>
                </c:pt>
                <c:pt idx="13">
                  <c:v>47.3</c:v>
                </c:pt>
                <c:pt idx="14">
                  <c:v>47.3</c:v>
                </c:pt>
              </c:numCache>
            </c:numRef>
          </c:y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D-CC77-4074-85A1-9D3CD88C48B5}"/>
            </c:ext>
          </c:extLst>
        </c:ser>
        <c:ser>
          <c:idx val="7"/>
          <c:order val="7"/>
          <c:tx>
            <c:strRef>
              <c:f>'DRV7308 Thermal Calculator'!$AW$9</c:f>
              <c:strCache>
                <c:ptCount val="1"/>
                <c:pt idx="0">
                  <c:v>4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>
                    <a:lumMod val="60000"/>
                  </a:schemeClr>
                </a:solidFill>
                <a:prstDash val="sysDot"/>
              </a:ln>
              <a:effectLst/>
            </c:spPr>
            <c:trendlineType val="poly"/>
            <c:order val="2"/>
            <c:dispRSqr val="0"/>
            <c:dispEq val="1"/>
            <c:trendlineLbl>
              <c:layout>
                <c:manualLayout>
                  <c:x val="-0.43078273902863529"/>
                  <c:y val="0.85968283998441175"/>
                </c:manualLayout>
              </c:layout>
              <c:numFmt formatCode="0.00E+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'DRV7308 Thermal Calculator'!$AF$25:$AF$39</c:f>
              <c:numCache>
                <c:formatCode>General</c:formatCode>
                <c:ptCount val="15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150</c:v>
                </c:pt>
                <c:pt idx="4">
                  <c:v>150</c:v>
                </c:pt>
                <c:pt idx="5">
                  <c:v>150</c:v>
                </c:pt>
                <c:pt idx="6">
                  <c:v>200</c:v>
                </c:pt>
                <c:pt idx="7">
                  <c:v>200</c:v>
                </c:pt>
                <c:pt idx="8">
                  <c:v>200</c:v>
                </c:pt>
                <c:pt idx="9">
                  <c:v>300</c:v>
                </c:pt>
                <c:pt idx="10">
                  <c:v>300</c:v>
                </c:pt>
                <c:pt idx="11">
                  <c:v>300</c:v>
                </c:pt>
                <c:pt idx="12">
                  <c:v>450</c:v>
                </c:pt>
                <c:pt idx="13">
                  <c:v>450</c:v>
                </c:pt>
                <c:pt idx="14">
                  <c:v>450</c:v>
                </c:pt>
              </c:numCache>
            </c:numRef>
          </c:xVal>
          <c:yVal>
            <c:numRef>
              <c:f>'DRV7308 Thermal Calculator'!$AW$25:$AW$39</c:f>
              <c:numCache>
                <c:formatCode>General</c:formatCode>
                <c:ptCount val="15"/>
                <c:pt idx="0">
                  <c:v>9.1</c:v>
                </c:pt>
                <c:pt idx="1">
                  <c:v>9.1</c:v>
                </c:pt>
                <c:pt idx="2">
                  <c:v>9.1</c:v>
                </c:pt>
                <c:pt idx="3">
                  <c:v>15.2</c:v>
                </c:pt>
                <c:pt idx="4">
                  <c:v>15.2</c:v>
                </c:pt>
                <c:pt idx="5">
                  <c:v>15.2</c:v>
                </c:pt>
                <c:pt idx="6">
                  <c:v>21.4</c:v>
                </c:pt>
                <c:pt idx="7">
                  <c:v>21.4</c:v>
                </c:pt>
                <c:pt idx="8">
                  <c:v>21.4</c:v>
                </c:pt>
                <c:pt idx="9">
                  <c:v>40.200000000000003</c:v>
                </c:pt>
                <c:pt idx="10">
                  <c:v>40.200000000000003</c:v>
                </c:pt>
                <c:pt idx="11">
                  <c:v>40.200000000000003</c:v>
                </c:pt>
                <c:pt idx="12">
                  <c:v>76</c:v>
                </c:pt>
                <c:pt idx="13">
                  <c:v>76</c:v>
                </c:pt>
                <c:pt idx="14">
                  <c:v>76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CC77-4074-85A1-9D3CD88C48B5}"/>
            </c:ext>
          </c:extLst>
        </c:ser>
        <c:ser>
          <c:idx val="8"/>
          <c:order val="8"/>
          <c:tx>
            <c:v>Calculated Eon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'DRV7308 Thermal Calculator'!$C$8</c:f>
              <c:numCache>
                <c:formatCode>General</c:formatCode>
                <c:ptCount val="1"/>
                <c:pt idx="0">
                  <c:v>310</c:v>
                </c:pt>
              </c:numCache>
            </c:numRef>
          </c:xVal>
          <c:yVal>
            <c:numRef>
              <c:f>'DRV7308 Thermal Calculator'!$W$76</c:f>
              <c:numCache>
                <c:formatCode>0.00</c:formatCode>
                <c:ptCount val="1"/>
                <c:pt idx="0">
                  <c:v>11.520554316000002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CC77-4074-85A1-9D3CD88C48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82122239"/>
        <c:axId val="1986862255"/>
        <c:extLst/>
      </c:scatterChart>
      <c:valAx>
        <c:axId val="58212223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VM</a:t>
                </a:r>
                <a:r>
                  <a:rPr lang="en-US" baseline="0"/>
                  <a:t> Voltage (V)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6862255"/>
        <c:crosses val="autoZero"/>
        <c:crossBetween val="midCat"/>
      </c:valAx>
      <c:valAx>
        <c:axId val="19868622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Switching Energy (uJ)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2122239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5113200785346109E-2"/>
          <c:y val="0.58651089242864562"/>
          <c:w val="0.8223212977245703"/>
          <c:h val="9.482738049187755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0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Eoff (10V/ns)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2986563537679451E-2"/>
          <c:y val="9.7132822473699726E-2"/>
          <c:w val="0.87768603364118514"/>
          <c:h val="0.45223720890721891"/>
        </c:manualLayout>
      </c:layout>
      <c:scatterChart>
        <c:scatterStyle val="lineMarker"/>
        <c:varyColors val="0"/>
        <c:ser>
          <c:idx val="0"/>
          <c:order val="0"/>
          <c:tx>
            <c:strRef>
              <c:f>'DRV7308 Thermal Calculator'!$AH$9</c:f>
              <c:strCache>
                <c:ptCount val="1"/>
                <c:pt idx="0">
                  <c:v>0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poly"/>
            <c:order val="2"/>
            <c:dispRSqr val="0"/>
            <c:dispEq val="1"/>
            <c:trendlineLbl>
              <c:layout>
                <c:manualLayout>
                  <c:x val="-0.57052972670466584"/>
                  <c:y val="0.27114729271579902"/>
                </c:manualLayout>
              </c:layout>
              <c:numFmt formatCode="0.00E+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('DRV7308 Thermal Calculator'!$AF$26,'DRV7308 Thermal Calculator'!$AF$29,'DRV7308 Thermal Calculator'!$AF$32,'DRV7308 Thermal Calculator'!$AF$35,'DRV7308 Thermal Calculator'!$AF$38)</c:f>
              <c:numCache>
                <c:formatCode>General</c:formatCode>
                <c:ptCount val="5"/>
                <c:pt idx="0">
                  <c:v>100</c:v>
                </c:pt>
                <c:pt idx="1">
                  <c:v>150</c:v>
                </c:pt>
                <c:pt idx="2">
                  <c:v>200</c:v>
                </c:pt>
                <c:pt idx="3">
                  <c:v>300</c:v>
                </c:pt>
                <c:pt idx="4">
                  <c:v>450</c:v>
                </c:pt>
              </c:numCache>
            </c:numRef>
          </c:xVal>
          <c:yVal>
            <c:numRef>
              <c:f>('DRV7308 Thermal Calculator'!$AH$26,'DRV7308 Thermal Calculator'!$AH$29,'DRV7308 Thermal Calculator'!$AH$32,'DRV7308 Thermal Calculator'!$AH$35,'DRV7308 Thermal Calculator'!$AH$38)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49D-485E-A79F-D52E27F1772C}"/>
            </c:ext>
          </c:extLst>
        </c:ser>
        <c:ser>
          <c:idx val="1"/>
          <c:order val="1"/>
          <c:tx>
            <c:strRef>
              <c:f>'DRV7308 Thermal Calculator'!$AI$9</c:f>
              <c:strCache>
                <c:ptCount val="1"/>
                <c:pt idx="0">
                  <c:v>0.1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poly"/>
            <c:order val="2"/>
            <c:dispRSqr val="0"/>
            <c:dispEq val="1"/>
            <c:trendlineLbl>
              <c:layout>
                <c:manualLayout>
                  <c:x val="-0.57052972670466584"/>
                  <c:y val="0.29691326465320655"/>
                </c:manualLayout>
              </c:layout>
              <c:numFmt formatCode="0.00E+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('DRV7308 Thermal Calculator'!$AF$26,'DRV7308 Thermal Calculator'!$AF$29,'DRV7308 Thermal Calculator'!$AF$32,'DRV7308 Thermal Calculator'!$AF$35,'DRV7308 Thermal Calculator'!$AF$38)</c:f>
              <c:numCache>
                <c:formatCode>General</c:formatCode>
                <c:ptCount val="5"/>
                <c:pt idx="0">
                  <c:v>100</c:v>
                </c:pt>
                <c:pt idx="1">
                  <c:v>150</c:v>
                </c:pt>
                <c:pt idx="2">
                  <c:v>200</c:v>
                </c:pt>
                <c:pt idx="3">
                  <c:v>300</c:v>
                </c:pt>
                <c:pt idx="4">
                  <c:v>450</c:v>
                </c:pt>
              </c:numCache>
            </c:numRef>
          </c:xVal>
          <c:yVal>
            <c:numRef>
              <c:f>('DRV7308 Thermal Calculator'!$AI$26,'DRV7308 Thermal Calculator'!$AI$29,'DRV7308 Thermal Calculator'!$AI$32,'DRV7308 Thermal Calculator'!$AI$35,'DRV7308 Thermal Calculator'!$AI$38)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549D-485E-A79F-D52E27F1772C}"/>
            </c:ext>
          </c:extLst>
        </c:ser>
        <c:ser>
          <c:idx val="2"/>
          <c:order val="2"/>
          <c:tx>
            <c:strRef>
              <c:f>'DRV7308 Thermal Calculator'!$AJ$9</c:f>
              <c:strCache>
                <c:ptCount val="1"/>
                <c:pt idx="0">
                  <c:v>0.25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poly"/>
            <c:order val="2"/>
            <c:dispRSqr val="0"/>
            <c:dispEq val="1"/>
            <c:trendlineLbl>
              <c:layout>
                <c:manualLayout>
                  <c:x val="-0.56664825233224525"/>
                  <c:y val="0.32364399805845834"/>
                </c:manualLayout>
              </c:layout>
              <c:numFmt formatCode="0.00E+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('DRV7308 Thermal Calculator'!$AF$26,'DRV7308 Thermal Calculator'!$AF$29,'DRV7308 Thermal Calculator'!$AF$32,'DRV7308 Thermal Calculator'!$AF$35,'DRV7308 Thermal Calculator'!$AF$38)</c:f>
              <c:numCache>
                <c:formatCode>General</c:formatCode>
                <c:ptCount val="5"/>
                <c:pt idx="0">
                  <c:v>100</c:v>
                </c:pt>
                <c:pt idx="1">
                  <c:v>150</c:v>
                </c:pt>
                <c:pt idx="2">
                  <c:v>200</c:v>
                </c:pt>
                <c:pt idx="3">
                  <c:v>300</c:v>
                </c:pt>
                <c:pt idx="4">
                  <c:v>450</c:v>
                </c:pt>
              </c:numCache>
            </c:numRef>
          </c:xVal>
          <c:yVal>
            <c:numRef>
              <c:f>('DRV7308 Thermal Calculator'!$AJ$26,'DRV7308 Thermal Calculator'!$AJ$29,'DRV7308 Thermal Calculator'!$AJ$32,'DRV7308 Thermal Calculator'!$AJ$35,'DRV7308 Thermal Calculator'!$AJ$38)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549D-485E-A79F-D52E27F1772C}"/>
            </c:ext>
          </c:extLst>
        </c:ser>
        <c:ser>
          <c:idx val="3"/>
          <c:order val="3"/>
          <c:tx>
            <c:strRef>
              <c:f>'DRV7308 Thermal Calculator'!$AK$9</c:f>
              <c:strCache>
                <c:ptCount val="1"/>
                <c:pt idx="0">
                  <c:v>0.5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4"/>
                </a:solidFill>
                <a:prstDash val="sysDot"/>
              </a:ln>
              <a:effectLst/>
            </c:spPr>
            <c:trendlineType val="poly"/>
            <c:order val="2"/>
            <c:dispRSqr val="0"/>
            <c:dispEq val="1"/>
            <c:trendlineLbl>
              <c:layout>
                <c:manualLayout>
                  <c:x val="-0.4476510562091397"/>
                  <c:y val="0.34733018851568914"/>
                </c:manualLayout>
              </c:layout>
              <c:numFmt formatCode="0.00E+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('DRV7308 Thermal Calculator'!$AF$26,'DRV7308 Thermal Calculator'!$AF$29,'DRV7308 Thermal Calculator'!$AF$32,'DRV7308 Thermal Calculator'!$AF$35,'DRV7308 Thermal Calculator'!$AF$38)</c:f>
              <c:numCache>
                <c:formatCode>General</c:formatCode>
                <c:ptCount val="5"/>
                <c:pt idx="0">
                  <c:v>100</c:v>
                </c:pt>
                <c:pt idx="1">
                  <c:v>150</c:v>
                </c:pt>
                <c:pt idx="2">
                  <c:v>200</c:v>
                </c:pt>
                <c:pt idx="3">
                  <c:v>300</c:v>
                </c:pt>
                <c:pt idx="4">
                  <c:v>450</c:v>
                </c:pt>
              </c:numCache>
            </c:numRef>
          </c:xVal>
          <c:yVal>
            <c:numRef>
              <c:f>('DRV7308 Thermal Calculator'!$AK$26,'DRV7308 Thermal Calculator'!$AK$29,'DRV7308 Thermal Calculator'!$AK$32,'DRV7308 Thermal Calculator'!$AK$35,'DRV7308 Thermal Calculator'!$AK$38)</c:f>
              <c:numCache>
                <c:formatCode>General</c:formatCode>
                <c:ptCount val="5"/>
                <c:pt idx="0">
                  <c:v>0.1</c:v>
                </c:pt>
                <c:pt idx="1">
                  <c:v>0.1</c:v>
                </c:pt>
                <c:pt idx="2">
                  <c:v>0.1</c:v>
                </c:pt>
                <c:pt idx="3">
                  <c:v>0.2</c:v>
                </c:pt>
                <c:pt idx="4">
                  <c:v>0.2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549D-485E-A79F-D52E27F1772C}"/>
            </c:ext>
          </c:extLst>
        </c:ser>
        <c:ser>
          <c:idx val="4"/>
          <c:order val="4"/>
          <c:tx>
            <c:strRef>
              <c:f>'DRV7308 Thermal Calculator'!$AL$9</c:f>
              <c:strCache>
                <c:ptCount val="1"/>
                <c:pt idx="0">
                  <c:v>0.7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5"/>
                </a:solidFill>
                <a:prstDash val="sysDot"/>
              </a:ln>
              <a:effectLst/>
            </c:spPr>
            <c:trendlineType val="poly"/>
            <c:order val="2"/>
            <c:dispRSqr val="0"/>
            <c:dispEq val="1"/>
            <c:trendlineLbl>
              <c:layout>
                <c:manualLayout>
                  <c:x val="-0.44869251502519547"/>
                  <c:y val="0.37134974459520587"/>
                </c:manualLayout>
              </c:layout>
              <c:numFmt formatCode="0.00E+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('DRV7308 Thermal Calculator'!$AF$26,'DRV7308 Thermal Calculator'!$AF$29,'DRV7308 Thermal Calculator'!$AF$32,'DRV7308 Thermal Calculator'!$AF$35,'DRV7308 Thermal Calculator'!$AF$38)</c:f>
              <c:numCache>
                <c:formatCode>General</c:formatCode>
                <c:ptCount val="5"/>
                <c:pt idx="0">
                  <c:v>100</c:v>
                </c:pt>
                <c:pt idx="1">
                  <c:v>150</c:v>
                </c:pt>
                <c:pt idx="2">
                  <c:v>200</c:v>
                </c:pt>
                <c:pt idx="3">
                  <c:v>300</c:v>
                </c:pt>
                <c:pt idx="4">
                  <c:v>450</c:v>
                </c:pt>
              </c:numCache>
            </c:numRef>
          </c:xVal>
          <c:yVal>
            <c:numRef>
              <c:f>('DRV7308 Thermal Calculator'!$AL$26,'DRV7308 Thermal Calculator'!$AL$29,'DRV7308 Thermal Calculator'!$AL$32,'DRV7308 Thermal Calculator'!$AL$35,'DRV7308 Thermal Calculator'!$AL$38)</c:f>
              <c:numCache>
                <c:formatCode>General</c:formatCode>
                <c:ptCount val="5"/>
                <c:pt idx="0">
                  <c:v>0.2</c:v>
                </c:pt>
                <c:pt idx="1">
                  <c:v>0.3</c:v>
                </c:pt>
                <c:pt idx="2">
                  <c:v>0.4</c:v>
                </c:pt>
                <c:pt idx="3">
                  <c:v>0.7</c:v>
                </c:pt>
                <c:pt idx="4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549D-485E-A79F-D52E27F1772C}"/>
            </c:ext>
          </c:extLst>
        </c:ser>
        <c:ser>
          <c:idx val="5"/>
          <c:order val="5"/>
          <c:tx>
            <c:strRef>
              <c:f>'DRV7308 Thermal Calculator'!$AM$9</c:f>
              <c:strCache>
                <c:ptCount val="1"/>
                <c:pt idx="0">
                  <c:v>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6"/>
                </a:solidFill>
                <a:prstDash val="sysDot"/>
              </a:ln>
              <a:effectLst/>
            </c:spPr>
            <c:trendlineType val="poly"/>
            <c:order val="2"/>
            <c:dispRSqr val="0"/>
            <c:dispEq val="1"/>
            <c:trendlineLbl>
              <c:layout>
                <c:manualLayout>
                  <c:x val="-0.45160887118850052"/>
                  <c:y val="0.41046663188769439"/>
                </c:manualLayout>
              </c:layout>
              <c:numFmt formatCode="0.00E+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('DRV7308 Thermal Calculator'!$AF$26,'DRV7308 Thermal Calculator'!$AF$29,'DRV7308 Thermal Calculator'!$AF$32,'DRV7308 Thermal Calculator'!$AF$35,'DRV7308 Thermal Calculator'!$AF$38)</c:f>
              <c:numCache>
                <c:formatCode>General</c:formatCode>
                <c:ptCount val="5"/>
                <c:pt idx="0">
                  <c:v>100</c:v>
                </c:pt>
                <c:pt idx="1">
                  <c:v>150</c:v>
                </c:pt>
                <c:pt idx="2">
                  <c:v>200</c:v>
                </c:pt>
                <c:pt idx="3">
                  <c:v>300</c:v>
                </c:pt>
                <c:pt idx="4">
                  <c:v>450</c:v>
                </c:pt>
              </c:numCache>
            </c:numRef>
          </c:xVal>
          <c:yVal>
            <c:numRef>
              <c:f>('DRV7308 Thermal Calculator'!$AM$26,'DRV7308 Thermal Calculator'!$AM$29,'DRV7308 Thermal Calculator'!$AM$32,'DRV7308 Thermal Calculator'!$AM$35,'DRV7308 Thermal Calculator'!$AM$38)</c:f>
              <c:numCache>
                <c:formatCode>General</c:formatCode>
                <c:ptCount val="5"/>
                <c:pt idx="0">
                  <c:v>0.3</c:v>
                </c:pt>
                <c:pt idx="1">
                  <c:v>0.5</c:v>
                </c:pt>
                <c:pt idx="2">
                  <c:v>0.7</c:v>
                </c:pt>
                <c:pt idx="3">
                  <c:v>1.3</c:v>
                </c:pt>
                <c:pt idx="4">
                  <c:v>2.7</c:v>
                </c:pt>
              </c:numCache>
            </c:numRef>
          </c:y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B-549D-485E-A79F-D52E27F1772C}"/>
            </c:ext>
          </c:extLst>
        </c:ser>
        <c:ser>
          <c:idx val="6"/>
          <c:order val="6"/>
          <c:tx>
            <c:strRef>
              <c:f>'DRV7308 Thermal Calculator'!$AN$9</c:f>
              <c:strCache>
                <c:ptCount val="1"/>
                <c:pt idx="0">
                  <c:v>2.5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>
                    <a:lumMod val="60000"/>
                  </a:schemeClr>
                </a:solidFill>
                <a:prstDash val="sysDot"/>
              </a:ln>
              <a:effectLst/>
            </c:spPr>
            <c:trendlineType val="poly"/>
            <c:order val="2"/>
            <c:dispRSqr val="0"/>
            <c:dispEq val="1"/>
            <c:trendlineLbl>
              <c:layout>
                <c:manualLayout>
                  <c:x val="-0.45304544411821795"/>
                  <c:y val="0.59730631080738172"/>
                </c:manualLayout>
              </c:layout>
              <c:numFmt formatCode="0.00E+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('DRV7308 Thermal Calculator'!$AF$26,'DRV7308 Thermal Calculator'!$AF$29,'DRV7308 Thermal Calculator'!$AF$32,'DRV7308 Thermal Calculator'!$AF$35,'DRV7308 Thermal Calculator'!$AF$38)</c:f>
              <c:numCache>
                <c:formatCode>General</c:formatCode>
                <c:ptCount val="5"/>
                <c:pt idx="0">
                  <c:v>100</c:v>
                </c:pt>
                <c:pt idx="1">
                  <c:v>150</c:v>
                </c:pt>
                <c:pt idx="2">
                  <c:v>200</c:v>
                </c:pt>
                <c:pt idx="3">
                  <c:v>300</c:v>
                </c:pt>
                <c:pt idx="4">
                  <c:v>450</c:v>
                </c:pt>
              </c:numCache>
            </c:numRef>
          </c:xVal>
          <c:yVal>
            <c:numRef>
              <c:f>('DRV7308 Thermal Calculator'!$AN$26,'DRV7308 Thermal Calculator'!$AN$29,'DRV7308 Thermal Calculator'!$AN$32,'DRV7308 Thermal Calculator'!$AN$35,'DRV7308 Thermal Calculator'!$AN$38)</c:f>
              <c:numCache>
                <c:formatCode>General</c:formatCode>
                <c:ptCount val="5"/>
                <c:pt idx="0">
                  <c:v>1.9</c:v>
                </c:pt>
                <c:pt idx="1">
                  <c:v>3.1</c:v>
                </c:pt>
                <c:pt idx="2">
                  <c:v>4.7</c:v>
                </c:pt>
                <c:pt idx="3">
                  <c:v>9</c:v>
                </c:pt>
                <c:pt idx="4">
                  <c:v>18.3</c:v>
                </c:pt>
              </c:numCache>
            </c:numRef>
          </c:y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D-549D-485E-A79F-D52E27F1772C}"/>
            </c:ext>
          </c:extLst>
        </c:ser>
        <c:ser>
          <c:idx val="7"/>
          <c:order val="7"/>
          <c:tx>
            <c:strRef>
              <c:f>'DRV7308 Thermal Calculator'!$AO$9</c:f>
              <c:strCache>
                <c:ptCount val="1"/>
                <c:pt idx="0">
                  <c:v>4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>
                    <a:lumMod val="60000"/>
                  </a:schemeClr>
                </a:solidFill>
                <a:prstDash val="sysDot"/>
              </a:ln>
              <a:effectLst/>
            </c:spPr>
            <c:trendlineType val="poly"/>
            <c:order val="2"/>
            <c:dispRSqr val="0"/>
            <c:dispEq val="1"/>
            <c:trendlineLbl>
              <c:layout>
                <c:manualLayout>
                  <c:x val="-0.45879173583708766"/>
                  <c:y val="0.82436424616577586"/>
                </c:manualLayout>
              </c:layout>
              <c:numFmt formatCode="0.00E+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('DRV7308 Thermal Calculator'!$AF$26,'DRV7308 Thermal Calculator'!$AF$29,'DRV7308 Thermal Calculator'!$AF$32,'DRV7308 Thermal Calculator'!$AF$35,'DRV7308 Thermal Calculator'!$AF$38)</c:f>
              <c:numCache>
                <c:formatCode>General</c:formatCode>
                <c:ptCount val="5"/>
                <c:pt idx="0">
                  <c:v>100</c:v>
                </c:pt>
                <c:pt idx="1">
                  <c:v>150</c:v>
                </c:pt>
                <c:pt idx="2">
                  <c:v>200</c:v>
                </c:pt>
                <c:pt idx="3">
                  <c:v>300</c:v>
                </c:pt>
                <c:pt idx="4">
                  <c:v>450</c:v>
                </c:pt>
              </c:numCache>
            </c:numRef>
          </c:xVal>
          <c:yVal>
            <c:numRef>
              <c:f>('DRV7308 Thermal Calculator'!$AO$26,'DRV7308 Thermal Calculator'!$AO$29,'DRV7308 Thermal Calculator'!$AO$32,'DRV7308 Thermal Calculator'!$AO$35,'DRV7308 Thermal Calculator'!$AO$38)</c:f>
              <c:numCache>
                <c:formatCode>General</c:formatCode>
                <c:ptCount val="5"/>
                <c:pt idx="0">
                  <c:v>4.5</c:v>
                </c:pt>
                <c:pt idx="1">
                  <c:v>7.3</c:v>
                </c:pt>
                <c:pt idx="2">
                  <c:v>10.8</c:v>
                </c:pt>
                <c:pt idx="3">
                  <c:v>19.899999999999999</c:v>
                </c:pt>
                <c:pt idx="4">
                  <c:v>38.700000000000003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549D-485E-A79F-D52E27F177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82122239"/>
        <c:axId val="1986862255"/>
        <c:extLst/>
      </c:scatterChart>
      <c:valAx>
        <c:axId val="58212223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VM</a:t>
                </a:r>
                <a:r>
                  <a:rPr lang="en-US" baseline="0"/>
                  <a:t> Voltage (V)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6862255"/>
        <c:crosses val="autoZero"/>
        <c:crossBetween val="midCat"/>
      </c:valAx>
      <c:valAx>
        <c:axId val="19868622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Switching Energy (uJ)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2122239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5113200785346109E-2"/>
          <c:y val="0.58651089242864562"/>
          <c:w val="0.16746949906555147"/>
          <c:h val="0.4134889517035955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0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Eoff (20V/ns)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2986563537679451E-2"/>
          <c:y val="9.7132822473699726E-2"/>
          <c:w val="0.87768603364118514"/>
          <c:h val="0.45223720890721891"/>
        </c:manualLayout>
      </c:layout>
      <c:scatterChart>
        <c:scatterStyle val="lineMarker"/>
        <c:varyColors val="0"/>
        <c:ser>
          <c:idx val="0"/>
          <c:order val="0"/>
          <c:tx>
            <c:strRef>
              <c:f>'DRV7308 Thermal Calculator'!$AH$9</c:f>
              <c:strCache>
                <c:ptCount val="1"/>
                <c:pt idx="0">
                  <c:v>0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poly"/>
            <c:order val="2"/>
            <c:dispRSqr val="0"/>
            <c:dispEq val="1"/>
            <c:trendlineLbl>
              <c:layout>
                <c:manualLayout>
                  <c:x val="-0.57052972670466584"/>
                  <c:y val="0.27114729271579902"/>
                </c:manualLayout>
              </c:layout>
              <c:numFmt formatCode="0.00E+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('DRV7308 Thermal Calculator'!$AF$41,'DRV7308 Thermal Calculator'!$AF$44,'DRV7308 Thermal Calculator'!$AF$47,'DRV7308 Thermal Calculator'!$AF$50,'DRV7308 Thermal Calculator'!$AF$53)</c:f>
              <c:numCache>
                <c:formatCode>General</c:formatCode>
                <c:ptCount val="5"/>
                <c:pt idx="0">
                  <c:v>100</c:v>
                </c:pt>
                <c:pt idx="1">
                  <c:v>150</c:v>
                </c:pt>
                <c:pt idx="2">
                  <c:v>200</c:v>
                </c:pt>
                <c:pt idx="3">
                  <c:v>300</c:v>
                </c:pt>
                <c:pt idx="4">
                  <c:v>450</c:v>
                </c:pt>
              </c:numCache>
            </c:numRef>
          </c:xVal>
          <c:yVal>
            <c:numRef>
              <c:f>('DRV7308 Thermal Calculator'!$AH$41,'DRV7308 Thermal Calculator'!$AH$44,'DRV7308 Thermal Calculator'!$AH$47,'DRV7308 Thermal Calculator'!$AH$50,'DRV7308 Thermal Calculator'!$AH$53)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9AF-4F40-8DAE-A1850DA28892}"/>
            </c:ext>
          </c:extLst>
        </c:ser>
        <c:ser>
          <c:idx val="1"/>
          <c:order val="1"/>
          <c:tx>
            <c:strRef>
              <c:f>'DRV7308 Thermal Calculator'!$AI$9</c:f>
              <c:strCache>
                <c:ptCount val="1"/>
                <c:pt idx="0">
                  <c:v>0.1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poly"/>
            <c:order val="2"/>
            <c:dispRSqr val="0"/>
            <c:dispEq val="1"/>
            <c:trendlineLbl>
              <c:layout>
                <c:manualLayout>
                  <c:x val="-0.57052972670466584"/>
                  <c:y val="0.29691326465320655"/>
                </c:manualLayout>
              </c:layout>
              <c:numFmt formatCode="0.00E+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('DRV7308 Thermal Calculator'!$AF$41,'DRV7308 Thermal Calculator'!$AF$44,'DRV7308 Thermal Calculator'!$AF$47,'DRV7308 Thermal Calculator'!$AF$50,'DRV7308 Thermal Calculator'!$AF$53)</c:f>
              <c:numCache>
                <c:formatCode>General</c:formatCode>
                <c:ptCount val="5"/>
                <c:pt idx="0">
                  <c:v>100</c:v>
                </c:pt>
                <c:pt idx="1">
                  <c:v>150</c:v>
                </c:pt>
                <c:pt idx="2">
                  <c:v>200</c:v>
                </c:pt>
                <c:pt idx="3">
                  <c:v>300</c:v>
                </c:pt>
                <c:pt idx="4">
                  <c:v>450</c:v>
                </c:pt>
              </c:numCache>
            </c:numRef>
          </c:xVal>
          <c:yVal>
            <c:numRef>
              <c:f>('DRV7308 Thermal Calculator'!$AI$41,'DRV7308 Thermal Calculator'!$AI$44,'DRV7308 Thermal Calculator'!$AI$47,'DRV7308 Thermal Calculator'!$AI$50,'DRV7308 Thermal Calculator'!$AI$53)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49AF-4F40-8DAE-A1850DA28892}"/>
            </c:ext>
          </c:extLst>
        </c:ser>
        <c:ser>
          <c:idx val="2"/>
          <c:order val="2"/>
          <c:tx>
            <c:strRef>
              <c:f>'DRV7308 Thermal Calculator'!$AJ$9</c:f>
              <c:strCache>
                <c:ptCount val="1"/>
                <c:pt idx="0">
                  <c:v>0.25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poly"/>
            <c:order val="2"/>
            <c:dispRSqr val="0"/>
            <c:dispEq val="1"/>
            <c:trendlineLbl>
              <c:layout>
                <c:manualLayout>
                  <c:x val="-0.56664825233224525"/>
                  <c:y val="0.32364399805845834"/>
                </c:manualLayout>
              </c:layout>
              <c:numFmt formatCode="0.00E+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('DRV7308 Thermal Calculator'!$AF$41,'DRV7308 Thermal Calculator'!$AF$44,'DRV7308 Thermal Calculator'!$AF$47,'DRV7308 Thermal Calculator'!$AF$50,'DRV7308 Thermal Calculator'!$AF$53)</c:f>
              <c:numCache>
                <c:formatCode>General</c:formatCode>
                <c:ptCount val="5"/>
                <c:pt idx="0">
                  <c:v>100</c:v>
                </c:pt>
                <c:pt idx="1">
                  <c:v>150</c:v>
                </c:pt>
                <c:pt idx="2">
                  <c:v>200</c:v>
                </c:pt>
                <c:pt idx="3">
                  <c:v>300</c:v>
                </c:pt>
                <c:pt idx="4">
                  <c:v>450</c:v>
                </c:pt>
              </c:numCache>
            </c:numRef>
          </c:xVal>
          <c:yVal>
            <c:numRef>
              <c:f>('DRV7308 Thermal Calculator'!$AJ$41,'DRV7308 Thermal Calculator'!$AJ$44,'DRV7308 Thermal Calculator'!$AJ$47,'DRV7308 Thermal Calculator'!$AJ$50,'DRV7308 Thermal Calculator'!$AJ$53)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49AF-4F40-8DAE-A1850DA28892}"/>
            </c:ext>
          </c:extLst>
        </c:ser>
        <c:ser>
          <c:idx val="3"/>
          <c:order val="3"/>
          <c:tx>
            <c:strRef>
              <c:f>'DRV7308 Thermal Calculator'!$AK$9</c:f>
              <c:strCache>
                <c:ptCount val="1"/>
                <c:pt idx="0">
                  <c:v>0.5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4"/>
                </a:solidFill>
                <a:prstDash val="sysDot"/>
              </a:ln>
              <a:effectLst/>
            </c:spPr>
            <c:trendlineType val="poly"/>
            <c:order val="2"/>
            <c:dispRSqr val="0"/>
            <c:dispEq val="1"/>
            <c:trendlineLbl>
              <c:layout>
                <c:manualLayout>
                  <c:x val="-0.56737083634510388"/>
                  <c:y val="0.34865632628643056"/>
                </c:manualLayout>
              </c:layout>
              <c:numFmt formatCode="0.00E+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('DRV7308 Thermal Calculator'!$AF$41,'DRV7308 Thermal Calculator'!$AF$44,'DRV7308 Thermal Calculator'!$AF$47,'DRV7308 Thermal Calculator'!$AF$50,'DRV7308 Thermal Calculator'!$AF$53)</c:f>
              <c:numCache>
                <c:formatCode>General</c:formatCode>
                <c:ptCount val="5"/>
                <c:pt idx="0">
                  <c:v>100</c:v>
                </c:pt>
                <c:pt idx="1">
                  <c:v>150</c:v>
                </c:pt>
                <c:pt idx="2">
                  <c:v>200</c:v>
                </c:pt>
                <c:pt idx="3">
                  <c:v>300</c:v>
                </c:pt>
                <c:pt idx="4">
                  <c:v>450</c:v>
                </c:pt>
              </c:numCache>
            </c:numRef>
          </c:xVal>
          <c:yVal>
            <c:numRef>
              <c:f>('DRV7308 Thermal Calculator'!$AK$41,'DRV7308 Thermal Calculator'!$AK$44,'DRV7308 Thermal Calculator'!$AK$47,'DRV7308 Thermal Calculator'!$AK$50,'DRV7308 Thermal Calculator'!$AK$53)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49AF-4F40-8DAE-A1850DA28892}"/>
            </c:ext>
          </c:extLst>
        </c:ser>
        <c:ser>
          <c:idx val="4"/>
          <c:order val="4"/>
          <c:tx>
            <c:strRef>
              <c:f>'DRV7308 Thermal Calculator'!$AL$9</c:f>
              <c:strCache>
                <c:ptCount val="1"/>
                <c:pt idx="0">
                  <c:v>0.7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5"/>
                </a:solidFill>
                <a:prstDash val="sysDot"/>
              </a:ln>
              <a:effectLst/>
            </c:spPr>
            <c:trendlineType val="poly"/>
            <c:order val="2"/>
            <c:dispRSqr val="0"/>
            <c:dispEq val="1"/>
            <c:trendlineLbl>
              <c:layout>
                <c:manualLayout>
                  <c:x val="-0.47154108809366579"/>
                  <c:y val="0.37249852472486039"/>
                </c:manualLayout>
              </c:layout>
              <c:numFmt formatCode="0.00E+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('DRV7308 Thermal Calculator'!$AF$41,'DRV7308 Thermal Calculator'!$AF$44,'DRV7308 Thermal Calculator'!$AF$47,'DRV7308 Thermal Calculator'!$AF$50,'DRV7308 Thermal Calculator'!$AF$53)</c:f>
              <c:numCache>
                <c:formatCode>General</c:formatCode>
                <c:ptCount val="5"/>
                <c:pt idx="0">
                  <c:v>100</c:v>
                </c:pt>
                <c:pt idx="1">
                  <c:v>150</c:v>
                </c:pt>
                <c:pt idx="2">
                  <c:v>200</c:v>
                </c:pt>
                <c:pt idx="3">
                  <c:v>300</c:v>
                </c:pt>
                <c:pt idx="4">
                  <c:v>450</c:v>
                </c:pt>
              </c:numCache>
            </c:numRef>
          </c:xVal>
          <c:yVal>
            <c:numRef>
              <c:f>('DRV7308 Thermal Calculator'!$AL$41,'DRV7308 Thermal Calculator'!$AL$44,'DRV7308 Thermal Calculator'!$AL$47,'DRV7308 Thermal Calculator'!$AL$50,'DRV7308 Thermal Calculator'!$AL$53)</c:f>
              <c:numCache>
                <c:formatCode>General</c:formatCode>
                <c:ptCount val="5"/>
                <c:pt idx="0">
                  <c:v>0.1</c:v>
                </c:pt>
                <c:pt idx="1">
                  <c:v>0.1</c:v>
                </c:pt>
                <c:pt idx="2">
                  <c:v>0.1</c:v>
                </c:pt>
                <c:pt idx="3">
                  <c:v>0.1</c:v>
                </c:pt>
                <c:pt idx="4">
                  <c:v>0.1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49AF-4F40-8DAE-A1850DA28892}"/>
            </c:ext>
          </c:extLst>
        </c:ser>
        <c:ser>
          <c:idx val="5"/>
          <c:order val="5"/>
          <c:tx>
            <c:strRef>
              <c:f>'DRV7308 Thermal Calculator'!$AM$9</c:f>
              <c:strCache>
                <c:ptCount val="1"/>
                <c:pt idx="0">
                  <c:v>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6"/>
                </a:solidFill>
                <a:prstDash val="sysDot"/>
              </a:ln>
              <a:effectLst/>
            </c:spPr>
            <c:trendlineType val="poly"/>
            <c:order val="2"/>
            <c:dispRSqr val="0"/>
            <c:dispEq val="1"/>
            <c:trendlineLbl>
              <c:layout>
                <c:manualLayout>
                  <c:x val="-0.47049928328536378"/>
                  <c:y val="0.39435387329342114"/>
                </c:manualLayout>
              </c:layout>
              <c:numFmt formatCode="0.00E+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('DRV7308 Thermal Calculator'!$AF$41,'DRV7308 Thermal Calculator'!$AF$44,'DRV7308 Thermal Calculator'!$AF$47,'DRV7308 Thermal Calculator'!$AF$50,'DRV7308 Thermal Calculator'!$AF$53)</c:f>
              <c:numCache>
                <c:formatCode>General</c:formatCode>
                <c:ptCount val="5"/>
                <c:pt idx="0">
                  <c:v>100</c:v>
                </c:pt>
                <c:pt idx="1">
                  <c:v>150</c:v>
                </c:pt>
                <c:pt idx="2">
                  <c:v>200</c:v>
                </c:pt>
                <c:pt idx="3">
                  <c:v>300</c:v>
                </c:pt>
                <c:pt idx="4">
                  <c:v>450</c:v>
                </c:pt>
              </c:numCache>
            </c:numRef>
          </c:xVal>
          <c:yVal>
            <c:numRef>
              <c:f>('DRV7308 Thermal Calculator'!$AM$41,'DRV7308 Thermal Calculator'!$AM$44,'DRV7308 Thermal Calculator'!$AM$47,'DRV7308 Thermal Calculator'!$AM$50,'DRV7308 Thermal Calculator'!$AM$53)</c:f>
              <c:numCache>
                <c:formatCode>General</c:formatCode>
                <c:ptCount val="5"/>
                <c:pt idx="0">
                  <c:v>0.2</c:v>
                </c:pt>
                <c:pt idx="1">
                  <c:v>0.4</c:v>
                </c:pt>
                <c:pt idx="2">
                  <c:v>0.2</c:v>
                </c:pt>
                <c:pt idx="3">
                  <c:v>0.3</c:v>
                </c:pt>
                <c:pt idx="4">
                  <c:v>0.3</c:v>
                </c:pt>
              </c:numCache>
            </c:numRef>
          </c:y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B-49AF-4F40-8DAE-A1850DA28892}"/>
            </c:ext>
          </c:extLst>
        </c:ser>
        <c:ser>
          <c:idx val="6"/>
          <c:order val="6"/>
          <c:tx>
            <c:strRef>
              <c:f>'DRV7308 Thermal Calculator'!$AN$9</c:f>
              <c:strCache>
                <c:ptCount val="1"/>
                <c:pt idx="0">
                  <c:v>2.5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>
                    <a:lumMod val="60000"/>
                  </a:schemeClr>
                </a:solidFill>
                <a:prstDash val="sysDot"/>
              </a:ln>
              <a:effectLst/>
            </c:spPr>
            <c:trendlineType val="poly"/>
            <c:order val="2"/>
            <c:dispRSqr val="0"/>
            <c:dispEq val="1"/>
            <c:trendlineLbl>
              <c:layout>
                <c:manualLayout>
                  <c:x val="-0.473021362939132"/>
                  <c:y val="0.5406271687170332"/>
                </c:manualLayout>
              </c:layout>
              <c:numFmt formatCode="0.00E+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('DRV7308 Thermal Calculator'!$AF$41,'DRV7308 Thermal Calculator'!$AF$44,'DRV7308 Thermal Calculator'!$AF$47,'DRV7308 Thermal Calculator'!$AF$50,'DRV7308 Thermal Calculator'!$AF$53)</c:f>
              <c:numCache>
                <c:formatCode>General</c:formatCode>
                <c:ptCount val="5"/>
                <c:pt idx="0">
                  <c:v>100</c:v>
                </c:pt>
                <c:pt idx="1">
                  <c:v>150</c:v>
                </c:pt>
                <c:pt idx="2">
                  <c:v>200</c:v>
                </c:pt>
                <c:pt idx="3">
                  <c:v>300</c:v>
                </c:pt>
                <c:pt idx="4">
                  <c:v>450</c:v>
                </c:pt>
              </c:numCache>
            </c:numRef>
          </c:xVal>
          <c:yVal>
            <c:numRef>
              <c:f>('DRV7308 Thermal Calculator'!$AN$41,'DRV7308 Thermal Calculator'!$AN$44,'DRV7308 Thermal Calculator'!$AN$47,'DRV7308 Thermal Calculator'!$AN$50,'DRV7308 Thermal Calculator'!$AN$53)</c:f>
              <c:numCache>
                <c:formatCode>General</c:formatCode>
                <c:ptCount val="5"/>
                <c:pt idx="0">
                  <c:v>0.6</c:v>
                </c:pt>
                <c:pt idx="1">
                  <c:v>0.9</c:v>
                </c:pt>
                <c:pt idx="2">
                  <c:v>1.3</c:v>
                </c:pt>
                <c:pt idx="3">
                  <c:v>2.2000000000000002</c:v>
                </c:pt>
                <c:pt idx="4">
                  <c:v>4.0999999999999996</c:v>
                </c:pt>
              </c:numCache>
            </c:numRef>
          </c:y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D-49AF-4F40-8DAE-A1850DA28892}"/>
            </c:ext>
          </c:extLst>
        </c:ser>
        <c:ser>
          <c:idx val="7"/>
          <c:order val="7"/>
          <c:tx>
            <c:strRef>
              <c:f>'DRV7308 Thermal Calculator'!$AO$9</c:f>
              <c:strCache>
                <c:ptCount val="1"/>
                <c:pt idx="0">
                  <c:v>4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>
                    <a:lumMod val="60000"/>
                  </a:schemeClr>
                </a:solidFill>
                <a:prstDash val="sysDot"/>
              </a:ln>
              <a:effectLst/>
            </c:spPr>
            <c:trendlineType val="poly"/>
            <c:order val="2"/>
            <c:dispRSqr val="0"/>
            <c:dispEq val="1"/>
            <c:trendlineLbl>
              <c:layout>
                <c:manualLayout>
                  <c:x val="-0.47445841312545062"/>
                  <c:y val="0.80497644878902286"/>
                </c:manualLayout>
              </c:layout>
              <c:numFmt formatCode="0.00E+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('DRV7308 Thermal Calculator'!$AF$41,'DRV7308 Thermal Calculator'!$AF$44,'DRV7308 Thermal Calculator'!$AF$47,'DRV7308 Thermal Calculator'!$AF$50,'DRV7308 Thermal Calculator'!$AF$53)</c:f>
              <c:numCache>
                <c:formatCode>General</c:formatCode>
                <c:ptCount val="5"/>
                <c:pt idx="0">
                  <c:v>100</c:v>
                </c:pt>
                <c:pt idx="1">
                  <c:v>150</c:v>
                </c:pt>
                <c:pt idx="2">
                  <c:v>200</c:v>
                </c:pt>
                <c:pt idx="3">
                  <c:v>300</c:v>
                </c:pt>
                <c:pt idx="4">
                  <c:v>450</c:v>
                </c:pt>
              </c:numCache>
            </c:numRef>
          </c:xVal>
          <c:yVal>
            <c:numRef>
              <c:f>('DRV7308 Thermal Calculator'!$AO$41,'DRV7308 Thermal Calculator'!$AO$44,'DRV7308 Thermal Calculator'!$AO$47,'DRV7308 Thermal Calculator'!$AO$50,'DRV7308 Thermal Calculator'!$AO$53)</c:f>
              <c:numCache>
                <c:formatCode>General</c:formatCode>
                <c:ptCount val="5"/>
                <c:pt idx="0">
                  <c:v>1.4</c:v>
                </c:pt>
                <c:pt idx="1">
                  <c:v>2.5</c:v>
                </c:pt>
                <c:pt idx="2">
                  <c:v>3.5</c:v>
                </c:pt>
                <c:pt idx="3">
                  <c:v>6.1</c:v>
                </c:pt>
                <c:pt idx="4">
                  <c:v>11.5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49AF-4F40-8DAE-A1850DA288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82122239"/>
        <c:axId val="1986862255"/>
        <c:extLst/>
      </c:scatterChart>
      <c:valAx>
        <c:axId val="58212223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VM</a:t>
                </a:r>
                <a:r>
                  <a:rPr lang="en-US" baseline="0"/>
                  <a:t> Voltage (V)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6862255"/>
        <c:crosses val="autoZero"/>
        <c:crossBetween val="midCat"/>
      </c:valAx>
      <c:valAx>
        <c:axId val="19868622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Switching Energy (uJ)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2122239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5113250870037704E-2"/>
          <c:y val="0.58651088512127925"/>
          <c:w val="0.16746949906555147"/>
          <c:h val="0.4134889517035955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0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Eon (20V/ns)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2986563537679451E-2"/>
          <c:y val="9.7132822473699726E-2"/>
          <c:w val="0.87768603364118514"/>
          <c:h val="0.45223720890721891"/>
        </c:manualLayout>
      </c:layout>
      <c:scatterChart>
        <c:scatterStyle val="lineMarker"/>
        <c:varyColors val="0"/>
        <c:ser>
          <c:idx val="0"/>
          <c:order val="0"/>
          <c:tx>
            <c:strRef>
              <c:f>'DRV7308 Thermal Calculator'!$AP$9</c:f>
              <c:strCache>
                <c:ptCount val="1"/>
                <c:pt idx="0">
                  <c:v>0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poly"/>
            <c:order val="2"/>
            <c:dispRSqr val="0"/>
            <c:dispEq val="1"/>
            <c:trendlineLbl>
              <c:layout>
                <c:manualLayout>
                  <c:x val="-0.42694027460057482"/>
                  <c:y val="0.35238490011753637"/>
                </c:manualLayout>
              </c:layout>
              <c:numFmt formatCode="0.00E+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'DRV7308 Thermal Calculator'!$AF$40:$AF$54</c:f>
              <c:numCache>
                <c:formatCode>General</c:formatCode>
                <c:ptCount val="15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150</c:v>
                </c:pt>
                <c:pt idx="4">
                  <c:v>150</c:v>
                </c:pt>
                <c:pt idx="5">
                  <c:v>150</c:v>
                </c:pt>
                <c:pt idx="6">
                  <c:v>200</c:v>
                </c:pt>
                <c:pt idx="7">
                  <c:v>200</c:v>
                </c:pt>
                <c:pt idx="8">
                  <c:v>200</c:v>
                </c:pt>
                <c:pt idx="9">
                  <c:v>300</c:v>
                </c:pt>
                <c:pt idx="10">
                  <c:v>300</c:v>
                </c:pt>
                <c:pt idx="11">
                  <c:v>300</c:v>
                </c:pt>
                <c:pt idx="12">
                  <c:v>450</c:v>
                </c:pt>
                <c:pt idx="13">
                  <c:v>450</c:v>
                </c:pt>
                <c:pt idx="14">
                  <c:v>450</c:v>
                </c:pt>
              </c:numCache>
            </c:numRef>
          </c:xVal>
          <c:yVal>
            <c:numRef>
              <c:f>'DRV7308 Thermal Calculator'!$AP$40:$AP$54</c:f>
              <c:numCache>
                <c:formatCode>General</c:formatCode>
                <c:ptCount val="15"/>
                <c:pt idx="0">
                  <c:v>0.7</c:v>
                </c:pt>
                <c:pt idx="1">
                  <c:v>0.7</c:v>
                </c:pt>
                <c:pt idx="2">
                  <c:v>0.7</c:v>
                </c:pt>
                <c:pt idx="3">
                  <c:v>1.4</c:v>
                </c:pt>
                <c:pt idx="4">
                  <c:v>1.4</c:v>
                </c:pt>
                <c:pt idx="5">
                  <c:v>1.4</c:v>
                </c:pt>
                <c:pt idx="6">
                  <c:v>2.2999999999999998</c:v>
                </c:pt>
                <c:pt idx="7">
                  <c:v>2.2999999999999998</c:v>
                </c:pt>
                <c:pt idx="8">
                  <c:v>2.2999999999999998</c:v>
                </c:pt>
                <c:pt idx="9">
                  <c:v>4.7</c:v>
                </c:pt>
                <c:pt idx="10">
                  <c:v>4.7</c:v>
                </c:pt>
                <c:pt idx="11">
                  <c:v>4.7</c:v>
                </c:pt>
                <c:pt idx="12">
                  <c:v>9.5</c:v>
                </c:pt>
                <c:pt idx="13">
                  <c:v>9.5</c:v>
                </c:pt>
                <c:pt idx="14">
                  <c:v>9.5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698-4665-B0FA-A50C70683853}"/>
            </c:ext>
          </c:extLst>
        </c:ser>
        <c:ser>
          <c:idx val="1"/>
          <c:order val="1"/>
          <c:tx>
            <c:strRef>
              <c:f>'DRV7308 Thermal Calculator'!$AQ$9</c:f>
              <c:strCache>
                <c:ptCount val="1"/>
                <c:pt idx="0">
                  <c:v>0.1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poly"/>
            <c:order val="2"/>
            <c:dispRSqr val="0"/>
            <c:dispEq val="1"/>
            <c:trendlineLbl>
              <c:layout>
                <c:manualLayout>
                  <c:x val="-0.42857748754847985"/>
                  <c:y val="0.38217224793748444"/>
                </c:manualLayout>
              </c:layout>
              <c:numFmt formatCode="0.00E+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'DRV7308 Thermal Calculator'!$AF$40:$AF$54</c:f>
              <c:numCache>
                <c:formatCode>General</c:formatCode>
                <c:ptCount val="15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150</c:v>
                </c:pt>
                <c:pt idx="4">
                  <c:v>150</c:v>
                </c:pt>
                <c:pt idx="5">
                  <c:v>150</c:v>
                </c:pt>
                <c:pt idx="6">
                  <c:v>200</c:v>
                </c:pt>
                <c:pt idx="7">
                  <c:v>200</c:v>
                </c:pt>
                <c:pt idx="8">
                  <c:v>200</c:v>
                </c:pt>
                <c:pt idx="9">
                  <c:v>300</c:v>
                </c:pt>
                <c:pt idx="10">
                  <c:v>300</c:v>
                </c:pt>
                <c:pt idx="11">
                  <c:v>300</c:v>
                </c:pt>
                <c:pt idx="12">
                  <c:v>450</c:v>
                </c:pt>
                <c:pt idx="13">
                  <c:v>450</c:v>
                </c:pt>
                <c:pt idx="14">
                  <c:v>450</c:v>
                </c:pt>
              </c:numCache>
            </c:numRef>
          </c:xVal>
          <c:yVal>
            <c:numRef>
              <c:f>'DRV7308 Thermal Calculator'!$AQ$40:$AQ$54</c:f>
              <c:numCache>
                <c:formatCode>General</c:formatCode>
                <c:ptCount val="15"/>
                <c:pt idx="0">
                  <c:v>0.8</c:v>
                </c:pt>
                <c:pt idx="1">
                  <c:v>0.8</c:v>
                </c:pt>
                <c:pt idx="2">
                  <c:v>0.8</c:v>
                </c:pt>
                <c:pt idx="3">
                  <c:v>1.6</c:v>
                </c:pt>
                <c:pt idx="4">
                  <c:v>1.6</c:v>
                </c:pt>
                <c:pt idx="5">
                  <c:v>1.6</c:v>
                </c:pt>
                <c:pt idx="6">
                  <c:v>2.6</c:v>
                </c:pt>
                <c:pt idx="7">
                  <c:v>2.6</c:v>
                </c:pt>
                <c:pt idx="8">
                  <c:v>2.6</c:v>
                </c:pt>
                <c:pt idx="9">
                  <c:v>5.0999999999999996</c:v>
                </c:pt>
                <c:pt idx="10">
                  <c:v>5.0999999999999996</c:v>
                </c:pt>
                <c:pt idx="11">
                  <c:v>5.0999999999999996</c:v>
                </c:pt>
                <c:pt idx="12">
                  <c:v>10.3</c:v>
                </c:pt>
                <c:pt idx="13">
                  <c:v>10.3</c:v>
                </c:pt>
                <c:pt idx="14">
                  <c:v>10.3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698-4665-B0FA-A50C70683853}"/>
            </c:ext>
          </c:extLst>
        </c:ser>
        <c:ser>
          <c:idx val="2"/>
          <c:order val="2"/>
          <c:tx>
            <c:strRef>
              <c:f>'DRV7308 Thermal Calculator'!$AR$9</c:f>
              <c:strCache>
                <c:ptCount val="1"/>
                <c:pt idx="0">
                  <c:v>0.25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poly"/>
            <c:order val="2"/>
            <c:dispRSqr val="0"/>
            <c:dispEq val="1"/>
            <c:trendlineLbl>
              <c:layout>
                <c:manualLayout>
                  <c:x val="-0.42694027460057482"/>
                  <c:y val="0.42212116800852856"/>
                </c:manualLayout>
              </c:layout>
              <c:numFmt formatCode="0.00E+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'DRV7308 Thermal Calculator'!$AF$40:$AF$54</c:f>
              <c:numCache>
                <c:formatCode>General</c:formatCode>
                <c:ptCount val="15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150</c:v>
                </c:pt>
                <c:pt idx="4">
                  <c:v>150</c:v>
                </c:pt>
                <c:pt idx="5">
                  <c:v>150</c:v>
                </c:pt>
                <c:pt idx="6">
                  <c:v>200</c:v>
                </c:pt>
                <c:pt idx="7">
                  <c:v>200</c:v>
                </c:pt>
                <c:pt idx="8">
                  <c:v>200</c:v>
                </c:pt>
                <c:pt idx="9">
                  <c:v>300</c:v>
                </c:pt>
                <c:pt idx="10">
                  <c:v>300</c:v>
                </c:pt>
                <c:pt idx="11">
                  <c:v>300</c:v>
                </c:pt>
                <c:pt idx="12">
                  <c:v>450</c:v>
                </c:pt>
                <c:pt idx="13">
                  <c:v>450</c:v>
                </c:pt>
                <c:pt idx="14">
                  <c:v>450</c:v>
                </c:pt>
              </c:numCache>
            </c:numRef>
          </c:xVal>
          <c:yVal>
            <c:numRef>
              <c:f>'DRV7308 Thermal Calculator'!$AR$40:$AR$54</c:f>
              <c:numCache>
                <c:formatCode>General</c:formatCode>
                <c:ptCount val="15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1.8</c:v>
                </c:pt>
                <c:pt idx="4">
                  <c:v>1.8</c:v>
                </c:pt>
                <c:pt idx="5">
                  <c:v>1.8</c:v>
                </c:pt>
                <c:pt idx="6">
                  <c:v>2.9</c:v>
                </c:pt>
                <c:pt idx="7">
                  <c:v>2.9</c:v>
                </c:pt>
                <c:pt idx="8">
                  <c:v>2.9</c:v>
                </c:pt>
                <c:pt idx="9">
                  <c:v>5.7</c:v>
                </c:pt>
                <c:pt idx="10">
                  <c:v>5.7</c:v>
                </c:pt>
                <c:pt idx="11">
                  <c:v>5.7</c:v>
                </c:pt>
                <c:pt idx="12">
                  <c:v>11.3</c:v>
                </c:pt>
                <c:pt idx="13">
                  <c:v>11.3</c:v>
                </c:pt>
                <c:pt idx="14">
                  <c:v>11.3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E698-4665-B0FA-A50C70683853}"/>
            </c:ext>
          </c:extLst>
        </c:ser>
        <c:ser>
          <c:idx val="3"/>
          <c:order val="3"/>
          <c:tx>
            <c:strRef>
              <c:f>'DRV7308 Thermal Calculator'!$AS$9</c:f>
              <c:strCache>
                <c:ptCount val="1"/>
                <c:pt idx="0">
                  <c:v>0.5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4"/>
                </a:solidFill>
                <a:prstDash val="sysDot"/>
              </a:ln>
              <a:effectLst/>
            </c:spPr>
            <c:trendlineType val="poly"/>
            <c:order val="2"/>
            <c:dispRSqr val="0"/>
            <c:dispEq val="1"/>
            <c:trendlineLbl>
              <c:layout>
                <c:manualLayout>
                  <c:x val="-0.42857748754847985"/>
                  <c:y val="0.46305140813016471"/>
                </c:manualLayout>
              </c:layout>
              <c:numFmt formatCode="0.00E+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'DRV7308 Thermal Calculator'!$AF$40:$AF$54</c:f>
              <c:numCache>
                <c:formatCode>General</c:formatCode>
                <c:ptCount val="15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150</c:v>
                </c:pt>
                <c:pt idx="4">
                  <c:v>150</c:v>
                </c:pt>
                <c:pt idx="5">
                  <c:v>150</c:v>
                </c:pt>
                <c:pt idx="6">
                  <c:v>200</c:v>
                </c:pt>
                <c:pt idx="7">
                  <c:v>200</c:v>
                </c:pt>
                <c:pt idx="8">
                  <c:v>200</c:v>
                </c:pt>
                <c:pt idx="9">
                  <c:v>300</c:v>
                </c:pt>
                <c:pt idx="10">
                  <c:v>300</c:v>
                </c:pt>
                <c:pt idx="11">
                  <c:v>300</c:v>
                </c:pt>
                <c:pt idx="12">
                  <c:v>450</c:v>
                </c:pt>
                <c:pt idx="13">
                  <c:v>450</c:v>
                </c:pt>
                <c:pt idx="14">
                  <c:v>450</c:v>
                </c:pt>
              </c:numCache>
            </c:numRef>
          </c:xVal>
          <c:yVal>
            <c:numRef>
              <c:f>'DRV7308 Thermal Calculator'!$AS$40:$AS$54</c:f>
              <c:numCache>
                <c:formatCode>General</c:formatCode>
                <c:ptCount val="15"/>
                <c:pt idx="0">
                  <c:v>1.2</c:v>
                </c:pt>
                <c:pt idx="1">
                  <c:v>1.2</c:v>
                </c:pt>
                <c:pt idx="2">
                  <c:v>1.2</c:v>
                </c:pt>
                <c:pt idx="3">
                  <c:v>2.1</c:v>
                </c:pt>
                <c:pt idx="4">
                  <c:v>2.1</c:v>
                </c:pt>
                <c:pt idx="5">
                  <c:v>2.1</c:v>
                </c:pt>
                <c:pt idx="6">
                  <c:v>3.4</c:v>
                </c:pt>
                <c:pt idx="7">
                  <c:v>3.4</c:v>
                </c:pt>
                <c:pt idx="8">
                  <c:v>3.4</c:v>
                </c:pt>
                <c:pt idx="9">
                  <c:v>6.6</c:v>
                </c:pt>
                <c:pt idx="10">
                  <c:v>6.6</c:v>
                </c:pt>
                <c:pt idx="11">
                  <c:v>6.6</c:v>
                </c:pt>
                <c:pt idx="12">
                  <c:v>13</c:v>
                </c:pt>
                <c:pt idx="13">
                  <c:v>13</c:v>
                </c:pt>
                <c:pt idx="14">
                  <c:v>13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E698-4665-B0FA-A50C70683853}"/>
            </c:ext>
          </c:extLst>
        </c:ser>
        <c:ser>
          <c:idx val="4"/>
          <c:order val="4"/>
          <c:tx>
            <c:strRef>
              <c:f>'DRV7308 Thermal Calculator'!$AT$9</c:f>
              <c:strCache>
                <c:ptCount val="1"/>
                <c:pt idx="0">
                  <c:v>0.7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5"/>
                </a:solidFill>
                <a:prstDash val="sysDot"/>
              </a:ln>
              <a:effectLst/>
            </c:spPr>
            <c:trendlineType val="poly"/>
            <c:order val="2"/>
            <c:dispRSqr val="0"/>
            <c:dispEq val="1"/>
            <c:trendlineLbl>
              <c:layout>
                <c:manualLayout>
                  <c:x val="-0.43021470049638494"/>
                  <c:y val="0.50483772334373711"/>
                </c:manualLayout>
              </c:layout>
              <c:numFmt formatCode="0.00E+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'DRV7308 Thermal Calculator'!$AF$40:$AF$54</c:f>
              <c:numCache>
                <c:formatCode>General</c:formatCode>
                <c:ptCount val="15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150</c:v>
                </c:pt>
                <c:pt idx="4">
                  <c:v>150</c:v>
                </c:pt>
                <c:pt idx="5">
                  <c:v>150</c:v>
                </c:pt>
                <c:pt idx="6">
                  <c:v>200</c:v>
                </c:pt>
                <c:pt idx="7">
                  <c:v>200</c:v>
                </c:pt>
                <c:pt idx="8">
                  <c:v>200</c:v>
                </c:pt>
                <c:pt idx="9">
                  <c:v>300</c:v>
                </c:pt>
                <c:pt idx="10">
                  <c:v>300</c:v>
                </c:pt>
                <c:pt idx="11">
                  <c:v>300</c:v>
                </c:pt>
                <c:pt idx="12">
                  <c:v>450</c:v>
                </c:pt>
                <c:pt idx="13">
                  <c:v>450</c:v>
                </c:pt>
                <c:pt idx="14">
                  <c:v>450</c:v>
                </c:pt>
              </c:numCache>
            </c:numRef>
          </c:xVal>
          <c:yVal>
            <c:numRef>
              <c:f>'DRV7308 Thermal Calculator'!$AT$40:$AT$54</c:f>
              <c:numCache>
                <c:formatCode>General</c:formatCode>
                <c:ptCount val="15"/>
                <c:pt idx="0">
                  <c:v>1.3</c:v>
                </c:pt>
                <c:pt idx="1">
                  <c:v>1.3</c:v>
                </c:pt>
                <c:pt idx="2">
                  <c:v>1.3</c:v>
                </c:pt>
                <c:pt idx="3">
                  <c:v>2.4</c:v>
                </c:pt>
                <c:pt idx="4">
                  <c:v>2.4</c:v>
                </c:pt>
                <c:pt idx="5">
                  <c:v>2.4</c:v>
                </c:pt>
                <c:pt idx="6">
                  <c:v>3.8</c:v>
                </c:pt>
                <c:pt idx="7">
                  <c:v>3.8</c:v>
                </c:pt>
                <c:pt idx="8">
                  <c:v>3.8</c:v>
                </c:pt>
                <c:pt idx="9">
                  <c:v>7.3</c:v>
                </c:pt>
                <c:pt idx="10">
                  <c:v>7.3</c:v>
                </c:pt>
                <c:pt idx="11">
                  <c:v>7.3</c:v>
                </c:pt>
                <c:pt idx="12">
                  <c:v>14.4</c:v>
                </c:pt>
                <c:pt idx="13">
                  <c:v>14.4</c:v>
                </c:pt>
                <c:pt idx="14">
                  <c:v>14.4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E698-4665-B0FA-A50C70683853}"/>
            </c:ext>
          </c:extLst>
        </c:ser>
        <c:ser>
          <c:idx val="5"/>
          <c:order val="5"/>
          <c:tx>
            <c:strRef>
              <c:f>'DRV7308 Thermal Calculator'!$AU$9</c:f>
              <c:strCache>
                <c:ptCount val="1"/>
                <c:pt idx="0">
                  <c:v>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6"/>
                </a:solidFill>
                <a:prstDash val="sysDot"/>
              </a:ln>
              <a:effectLst/>
            </c:spPr>
            <c:trendlineType val="poly"/>
            <c:order val="2"/>
            <c:dispRSqr val="0"/>
            <c:dispEq val="1"/>
            <c:trendlineLbl>
              <c:layout>
                <c:manualLayout>
                  <c:x val="-0.43021470049638494"/>
                  <c:y val="0.55274118371652925"/>
                </c:manualLayout>
              </c:layout>
              <c:numFmt formatCode="0.00E+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'DRV7308 Thermal Calculator'!$AF$40:$AF$54</c:f>
              <c:numCache>
                <c:formatCode>General</c:formatCode>
                <c:ptCount val="15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150</c:v>
                </c:pt>
                <c:pt idx="4">
                  <c:v>150</c:v>
                </c:pt>
                <c:pt idx="5">
                  <c:v>150</c:v>
                </c:pt>
                <c:pt idx="6">
                  <c:v>200</c:v>
                </c:pt>
                <c:pt idx="7">
                  <c:v>200</c:v>
                </c:pt>
                <c:pt idx="8">
                  <c:v>200</c:v>
                </c:pt>
                <c:pt idx="9">
                  <c:v>300</c:v>
                </c:pt>
                <c:pt idx="10">
                  <c:v>300</c:v>
                </c:pt>
                <c:pt idx="11">
                  <c:v>300</c:v>
                </c:pt>
                <c:pt idx="12">
                  <c:v>450</c:v>
                </c:pt>
                <c:pt idx="13">
                  <c:v>450</c:v>
                </c:pt>
                <c:pt idx="14">
                  <c:v>450</c:v>
                </c:pt>
              </c:numCache>
            </c:numRef>
          </c:xVal>
          <c:yVal>
            <c:numRef>
              <c:f>'DRV7308 Thermal Calculator'!$AU$40:$AU$54</c:f>
              <c:numCache>
                <c:formatCode>General</c:formatCode>
                <c:ptCount val="15"/>
                <c:pt idx="0">
                  <c:v>1.6</c:v>
                </c:pt>
                <c:pt idx="1">
                  <c:v>1.6</c:v>
                </c:pt>
                <c:pt idx="2">
                  <c:v>1.6</c:v>
                </c:pt>
                <c:pt idx="3">
                  <c:v>2.9</c:v>
                </c:pt>
                <c:pt idx="4">
                  <c:v>2.9</c:v>
                </c:pt>
                <c:pt idx="5">
                  <c:v>2.9</c:v>
                </c:pt>
                <c:pt idx="6">
                  <c:v>4.5</c:v>
                </c:pt>
                <c:pt idx="7">
                  <c:v>4.5</c:v>
                </c:pt>
                <c:pt idx="8">
                  <c:v>4.5</c:v>
                </c:pt>
                <c:pt idx="9">
                  <c:v>8.5</c:v>
                </c:pt>
                <c:pt idx="10">
                  <c:v>8.5</c:v>
                </c:pt>
                <c:pt idx="11">
                  <c:v>8.5</c:v>
                </c:pt>
                <c:pt idx="12">
                  <c:v>16.600000000000001</c:v>
                </c:pt>
                <c:pt idx="13">
                  <c:v>16.600000000000001</c:v>
                </c:pt>
                <c:pt idx="14">
                  <c:v>16.600000000000001</c:v>
                </c:pt>
              </c:numCache>
            </c:numRef>
          </c:y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B-E698-4665-B0FA-A50C70683853}"/>
            </c:ext>
          </c:extLst>
        </c:ser>
        <c:ser>
          <c:idx val="6"/>
          <c:order val="6"/>
          <c:tx>
            <c:strRef>
              <c:f>'DRV7308 Thermal Calculator'!$AV$9</c:f>
              <c:strCache>
                <c:ptCount val="1"/>
                <c:pt idx="0">
                  <c:v>2.5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>
                    <a:lumMod val="60000"/>
                  </a:schemeClr>
                </a:solidFill>
                <a:prstDash val="sysDot"/>
              </a:ln>
              <a:effectLst/>
            </c:spPr>
            <c:trendlineType val="poly"/>
            <c:order val="2"/>
            <c:dispRSqr val="0"/>
            <c:dispEq val="1"/>
            <c:trendlineLbl>
              <c:layout>
                <c:manualLayout>
                  <c:x val="-0.42857748754847985"/>
                  <c:y val="0.69719599835320856"/>
                </c:manualLayout>
              </c:layout>
              <c:numFmt formatCode="0.00E+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'DRV7308 Thermal Calculator'!$AF$40:$AF$54</c:f>
              <c:numCache>
                <c:formatCode>General</c:formatCode>
                <c:ptCount val="15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150</c:v>
                </c:pt>
                <c:pt idx="4">
                  <c:v>150</c:v>
                </c:pt>
                <c:pt idx="5">
                  <c:v>150</c:v>
                </c:pt>
                <c:pt idx="6">
                  <c:v>200</c:v>
                </c:pt>
                <c:pt idx="7">
                  <c:v>200</c:v>
                </c:pt>
                <c:pt idx="8">
                  <c:v>200</c:v>
                </c:pt>
                <c:pt idx="9">
                  <c:v>300</c:v>
                </c:pt>
                <c:pt idx="10">
                  <c:v>300</c:v>
                </c:pt>
                <c:pt idx="11">
                  <c:v>300</c:v>
                </c:pt>
                <c:pt idx="12">
                  <c:v>450</c:v>
                </c:pt>
                <c:pt idx="13">
                  <c:v>450</c:v>
                </c:pt>
                <c:pt idx="14">
                  <c:v>450</c:v>
                </c:pt>
              </c:numCache>
            </c:numRef>
          </c:xVal>
          <c:yVal>
            <c:numRef>
              <c:f>'DRV7308 Thermal Calculator'!$AV$40:$AV$54</c:f>
              <c:numCache>
                <c:formatCode>General</c:formatCode>
                <c:ptCount val="15"/>
                <c:pt idx="0">
                  <c:v>3.2</c:v>
                </c:pt>
                <c:pt idx="1">
                  <c:v>3.2</c:v>
                </c:pt>
                <c:pt idx="2">
                  <c:v>3.2</c:v>
                </c:pt>
                <c:pt idx="3">
                  <c:v>5.5</c:v>
                </c:pt>
                <c:pt idx="4">
                  <c:v>5.5</c:v>
                </c:pt>
                <c:pt idx="5">
                  <c:v>5.5</c:v>
                </c:pt>
                <c:pt idx="6">
                  <c:v>8.1999999999999993</c:v>
                </c:pt>
                <c:pt idx="7">
                  <c:v>8.1999999999999993</c:v>
                </c:pt>
                <c:pt idx="8">
                  <c:v>8.1999999999999993</c:v>
                </c:pt>
                <c:pt idx="9">
                  <c:v>15</c:v>
                </c:pt>
                <c:pt idx="10">
                  <c:v>15</c:v>
                </c:pt>
                <c:pt idx="11">
                  <c:v>15</c:v>
                </c:pt>
                <c:pt idx="12">
                  <c:v>28.2</c:v>
                </c:pt>
                <c:pt idx="13">
                  <c:v>28.2</c:v>
                </c:pt>
                <c:pt idx="14">
                  <c:v>28.2</c:v>
                </c:pt>
              </c:numCache>
            </c:numRef>
          </c:y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D-E698-4665-B0FA-A50C70683853}"/>
            </c:ext>
          </c:extLst>
        </c:ser>
        <c:ser>
          <c:idx val="7"/>
          <c:order val="7"/>
          <c:tx>
            <c:strRef>
              <c:f>'DRV7308 Thermal Calculator'!$AW$9</c:f>
              <c:strCache>
                <c:ptCount val="1"/>
                <c:pt idx="0">
                  <c:v>4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>
                    <a:lumMod val="60000"/>
                  </a:schemeClr>
                </a:solidFill>
                <a:prstDash val="sysDot"/>
              </a:ln>
              <a:effectLst/>
            </c:spPr>
            <c:trendlineType val="poly"/>
            <c:order val="2"/>
            <c:dispRSqr val="0"/>
            <c:dispEq val="1"/>
            <c:trendlineLbl>
              <c:layout>
                <c:manualLayout>
                  <c:x val="-0.43078273902863529"/>
                  <c:y val="0.85968283998441175"/>
                </c:manualLayout>
              </c:layout>
              <c:numFmt formatCode="0.00E+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'DRV7308 Thermal Calculator'!$AF$40:$AF$54</c:f>
              <c:numCache>
                <c:formatCode>General</c:formatCode>
                <c:ptCount val="15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150</c:v>
                </c:pt>
                <c:pt idx="4">
                  <c:v>150</c:v>
                </c:pt>
                <c:pt idx="5">
                  <c:v>150</c:v>
                </c:pt>
                <c:pt idx="6">
                  <c:v>200</c:v>
                </c:pt>
                <c:pt idx="7">
                  <c:v>200</c:v>
                </c:pt>
                <c:pt idx="8">
                  <c:v>200</c:v>
                </c:pt>
                <c:pt idx="9">
                  <c:v>300</c:v>
                </c:pt>
                <c:pt idx="10">
                  <c:v>300</c:v>
                </c:pt>
                <c:pt idx="11">
                  <c:v>300</c:v>
                </c:pt>
                <c:pt idx="12">
                  <c:v>450</c:v>
                </c:pt>
                <c:pt idx="13">
                  <c:v>450</c:v>
                </c:pt>
                <c:pt idx="14">
                  <c:v>450</c:v>
                </c:pt>
              </c:numCache>
            </c:numRef>
          </c:xVal>
          <c:yVal>
            <c:numRef>
              <c:f>'DRV7308 Thermal Calculator'!$AW$40:$AW$54</c:f>
              <c:numCache>
                <c:formatCode>General</c:formatCode>
                <c:ptCount val="15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8.5</c:v>
                </c:pt>
                <c:pt idx="4">
                  <c:v>8.5</c:v>
                </c:pt>
                <c:pt idx="5">
                  <c:v>8.5</c:v>
                </c:pt>
                <c:pt idx="6">
                  <c:v>12.5</c:v>
                </c:pt>
                <c:pt idx="7">
                  <c:v>12.5</c:v>
                </c:pt>
                <c:pt idx="8">
                  <c:v>12.5</c:v>
                </c:pt>
                <c:pt idx="9">
                  <c:v>22.3</c:v>
                </c:pt>
                <c:pt idx="10">
                  <c:v>22.3</c:v>
                </c:pt>
                <c:pt idx="11">
                  <c:v>22.3</c:v>
                </c:pt>
                <c:pt idx="12">
                  <c:v>41</c:v>
                </c:pt>
                <c:pt idx="13">
                  <c:v>41</c:v>
                </c:pt>
                <c:pt idx="14">
                  <c:v>41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E698-4665-B0FA-A50C706838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82122239"/>
        <c:axId val="1986862255"/>
        <c:extLst/>
      </c:scatterChart>
      <c:valAx>
        <c:axId val="58212223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VM</a:t>
                </a:r>
                <a:r>
                  <a:rPr lang="en-US" baseline="0"/>
                  <a:t> Voltage (V)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6862255"/>
        <c:crosses val="autoZero"/>
        <c:crossBetween val="midCat"/>
      </c:valAx>
      <c:valAx>
        <c:axId val="19868622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Switching Energy (uJ)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2122239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5113200785346109E-2"/>
          <c:y val="0.58651089242864562"/>
          <c:w val="0.16746949906555147"/>
          <c:h val="0.4134889517035955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0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Eoff (40V/ns)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2986563537679451E-2"/>
          <c:y val="9.7132822473699726E-2"/>
          <c:w val="0.87768603364118514"/>
          <c:h val="0.45223720890721891"/>
        </c:manualLayout>
      </c:layout>
      <c:scatterChart>
        <c:scatterStyle val="lineMarker"/>
        <c:varyColors val="0"/>
        <c:ser>
          <c:idx val="0"/>
          <c:order val="0"/>
          <c:tx>
            <c:strRef>
              <c:f>'DRV7308 Thermal Calculator'!$AH$9</c:f>
              <c:strCache>
                <c:ptCount val="1"/>
                <c:pt idx="0">
                  <c:v>0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poly"/>
            <c:order val="2"/>
            <c:dispRSqr val="0"/>
            <c:dispEq val="1"/>
            <c:trendlineLbl>
              <c:layout>
                <c:manualLayout>
                  <c:x val="-0.57052972670466584"/>
                  <c:y val="0.27114729271579902"/>
                </c:manualLayout>
              </c:layout>
              <c:numFmt formatCode="0.00E+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('DRV7308 Thermal Calculator'!$AF$56,'DRV7308 Thermal Calculator'!$AF$59,'DRV7308 Thermal Calculator'!$AF$62,'DRV7308 Thermal Calculator'!$AF$65,'DRV7308 Thermal Calculator'!$AF$68)</c:f>
              <c:numCache>
                <c:formatCode>General</c:formatCode>
                <c:ptCount val="5"/>
                <c:pt idx="0">
                  <c:v>100</c:v>
                </c:pt>
                <c:pt idx="1">
                  <c:v>150</c:v>
                </c:pt>
                <c:pt idx="2">
                  <c:v>200</c:v>
                </c:pt>
                <c:pt idx="3">
                  <c:v>300</c:v>
                </c:pt>
                <c:pt idx="4">
                  <c:v>450</c:v>
                </c:pt>
              </c:numCache>
            </c:numRef>
          </c:xVal>
          <c:yVal>
            <c:numRef>
              <c:f>('DRV7308 Thermal Calculator'!$AH$56,'DRV7308 Thermal Calculator'!$AH$59,'DRV7308 Thermal Calculator'!$AH$62,'DRV7308 Thermal Calculator'!$AH$65,'DRV7308 Thermal Calculator'!$AH$68)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B0D-467D-9BEE-66B9C010C78D}"/>
            </c:ext>
          </c:extLst>
        </c:ser>
        <c:ser>
          <c:idx val="1"/>
          <c:order val="1"/>
          <c:tx>
            <c:strRef>
              <c:f>'DRV7308 Thermal Calculator'!$AI$9</c:f>
              <c:strCache>
                <c:ptCount val="1"/>
                <c:pt idx="0">
                  <c:v>0.1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poly"/>
            <c:order val="2"/>
            <c:dispRSqr val="0"/>
            <c:dispEq val="1"/>
            <c:trendlineLbl>
              <c:layout>
                <c:manualLayout>
                  <c:x val="-0.57052972670466584"/>
                  <c:y val="0.29691326465320655"/>
                </c:manualLayout>
              </c:layout>
              <c:numFmt formatCode="0.00E+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('DRV7308 Thermal Calculator'!$AF$56,'DRV7308 Thermal Calculator'!$AF$59,'DRV7308 Thermal Calculator'!$AF$62,'DRV7308 Thermal Calculator'!$AF$65,'DRV7308 Thermal Calculator'!$AF$68)</c:f>
              <c:numCache>
                <c:formatCode>General</c:formatCode>
                <c:ptCount val="5"/>
                <c:pt idx="0">
                  <c:v>100</c:v>
                </c:pt>
                <c:pt idx="1">
                  <c:v>150</c:v>
                </c:pt>
                <c:pt idx="2">
                  <c:v>200</c:v>
                </c:pt>
                <c:pt idx="3">
                  <c:v>300</c:v>
                </c:pt>
                <c:pt idx="4">
                  <c:v>450</c:v>
                </c:pt>
              </c:numCache>
            </c:numRef>
          </c:xVal>
          <c:yVal>
            <c:numRef>
              <c:f>('DRV7308 Thermal Calculator'!$AI$56,'DRV7308 Thermal Calculator'!$AI$59,'DRV7308 Thermal Calculator'!$AI$62,'DRV7308 Thermal Calculator'!$AI$65,'DRV7308 Thermal Calculator'!$AI$68)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B0D-467D-9BEE-66B9C010C78D}"/>
            </c:ext>
          </c:extLst>
        </c:ser>
        <c:ser>
          <c:idx val="2"/>
          <c:order val="2"/>
          <c:tx>
            <c:strRef>
              <c:f>'DRV7308 Thermal Calculator'!$AJ$9</c:f>
              <c:strCache>
                <c:ptCount val="1"/>
                <c:pt idx="0">
                  <c:v>0.25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poly"/>
            <c:order val="2"/>
            <c:dispRSqr val="0"/>
            <c:dispEq val="1"/>
            <c:trendlineLbl>
              <c:layout>
                <c:manualLayout>
                  <c:x val="-0.56664825233224525"/>
                  <c:y val="0.32364399805845834"/>
                </c:manualLayout>
              </c:layout>
              <c:numFmt formatCode="0.00E+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('DRV7308 Thermal Calculator'!$AF$56,'DRV7308 Thermal Calculator'!$AF$59,'DRV7308 Thermal Calculator'!$AF$62,'DRV7308 Thermal Calculator'!$AF$65,'DRV7308 Thermal Calculator'!$AF$68)</c:f>
              <c:numCache>
                <c:formatCode>General</c:formatCode>
                <c:ptCount val="5"/>
                <c:pt idx="0">
                  <c:v>100</c:v>
                </c:pt>
                <c:pt idx="1">
                  <c:v>150</c:v>
                </c:pt>
                <c:pt idx="2">
                  <c:v>200</c:v>
                </c:pt>
                <c:pt idx="3">
                  <c:v>300</c:v>
                </c:pt>
                <c:pt idx="4">
                  <c:v>450</c:v>
                </c:pt>
              </c:numCache>
            </c:numRef>
          </c:xVal>
          <c:yVal>
            <c:numRef>
              <c:f>('DRV7308 Thermal Calculator'!$AJ$56,'DRV7308 Thermal Calculator'!$AJ$59,'DRV7308 Thermal Calculator'!$AJ$62,'DRV7308 Thermal Calculator'!$AJ$65,'DRV7308 Thermal Calculator'!$AJ$68)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EB0D-467D-9BEE-66B9C010C78D}"/>
            </c:ext>
          </c:extLst>
        </c:ser>
        <c:ser>
          <c:idx val="3"/>
          <c:order val="3"/>
          <c:tx>
            <c:strRef>
              <c:f>'DRV7308 Thermal Calculator'!$AK$9</c:f>
              <c:strCache>
                <c:ptCount val="1"/>
                <c:pt idx="0">
                  <c:v>0.5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4"/>
                </a:solidFill>
                <a:prstDash val="sysDot"/>
              </a:ln>
              <a:effectLst/>
            </c:spPr>
            <c:trendlineType val="poly"/>
            <c:order val="2"/>
            <c:dispRSqr val="0"/>
            <c:dispEq val="1"/>
            <c:trendlineLbl>
              <c:layout>
                <c:manualLayout>
                  <c:x val="-0.56674152178811477"/>
                  <c:y val="0.34635193126350067"/>
                </c:manualLayout>
              </c:layout>
              <c:numFmt formatCode="0.00E+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('DRV7308 Thermal Calculator'!$AF$56,'DRV7308 Thermal Calculator'!$AF$59,'DRV7308 Thermal Calculator'!$AF$62,'DRV7308 Thermal Calculator'!$AF$65,'DRV7308 Thermal Calculator'!$AF$68)</c:f>
              <c:numCache>
                <c:formatCode>General</c:formatCode>
                <c:ptCount val="5"/>
                <c:pt idx="0">
                  <c:v>100</c:v>
                </c:pt>
                <c:pt idx="1">
                  <c:v>150</c:v>
                </c:pt>
                <c:pt idx="2">
                  <c:v>200</c:v>
                </c:pt>
                <c:pt idx="3">
                  <c:v>300</c:v>
                </c:pt>
                <c:pt idx="4">
                  <c:v>450</c:v>
                </c:pt>
              </c:numCache>
            </c:numRef>
          </c:xVal>
          <c:yVal>
            <c:numRef>
              <c:f>('DRV7308 Thermal Calculator'!$AK$56,'DRV7308 Thermal Calculator'!$AK$59,'DRV7308 Thermal Calculator'!$AK$62,'DRV7308 Thermal Calculator'!$AK$65,'DRV7308 Thermal Calculator'!$AK$68)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EB0D-467D-9BEE-66B9C010C78D}"/>
            </c:ext>
          </c:extLst>
        </c:ser>
        <c:ser>
          <c:idx val="4"/>
          <c:order val="4"/>
          <c:tx>
            <c:strRef>
              <c:f>'DRV7308 Thermal Calculator'!$AL$9</c:f>
              <c:strCache>
                <c:ptCount val="1"/>
                <c:pt idx="0">
                  <c:v>0.7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5"/>
                </a:solidFill>
                <a:prstDash val="sysDot"/>
              </a:ln>
              <a:effectLst/>
            </c:spPr>
            <c:trendlineType val="poly"/>
            <c:order val="2"/>
            <c:dispRSqr val="0"/>
            <c:dispEq val="1"/>
            <c:trendlineLbl>
              <c:layout>
                <c:manualLayout>
                  <c:x val="-0.56305968578614796"/>
                  <c:y val="0.37037405065351359"/>
                </c:manualLayout>
              </c:layout>
              <c:numFmt formatCode="0.00E+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('DRV7308 Thermal Calculator'!$AF$56,'DRV7308 Thermal Calculator'!$AF$59,'DRV7308 Thermal Calculator'!$AF$62,'DRV7308 Thermal Calculator'!$AF$65,'DRV7308 Thermal Calculator'!$AF$68)</c:f>
              <c:numCache>
                <c:formatCode>General</c:formatCode>
                <c:ptCount val="5"/>
                <c:pt idx="0">
                  <c:v>100</c:v>
                </c:pt>
                <c:pt idx="1">
                  <c:v>150</c:v>
                </c:pt>
                <c:pt idx="2">
                  <c:v>200</c:v>
                </c:pt>
                <c:pt idx="3">
                  <c:v>300</c:v>
                </c:pt>
                <c:pt idx="4">
                  <c:v>450</c:v>
                </c:pt>
              </c:numCache>
            </c:numRef>
          </c:xVal>
          <c:yVal>
            <c:numRef>
              <c:f>('DRV7308 Thermal Calculator'!$AL$56,'DRV7308 Thermal Calculator'!$AL$59,'DRV7308 Thermal Calculator'!$AL$62,'DRV7308 Thermal Calculator'!$AL$65,'DRV7308 Thermal Calculator'!$AL$68)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EB0D-467D-9BEE-66B9C010C78D}"/>
            </c:ext>
          </c:extLst>
        </c:ser>
        <c:ser>
          <c:idx val="5"/>
          <c:order val="5"/>
          <c:tx>
            <c:strRef>
              <c:f>'DRV7308 Thermal Calculator'!$AM$9</c:f>
              <c:strCache>
                <c:ptCount val="1"/>
                <c:pt idx="0">
                  <c:v>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6"/>
                </a:solidFill>
                <a:prstDash val="sysDot"/>
              </a:ln>
              <a:effectLst/>
            </c:spPr>
            <c:trendlineType val="poly"/>
            <c:order val="2"/>
            <c:dispRSqr val="0"/>
            <c:dispEq val="1"/>
            <c:trendlineLbl>
              <c:layout>
                <c:manualLayout>
                  <c:x val="-0.43274073306306227"/>
                  <c:y val="0.40738117817942587"/>
                </c:manualLayout>
              </c:layout>
              <c:numFmt formatCode="0.00E+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('DRV7308 Thermal Calculator'!$AF$56,'DRV7308 Thermal Calculator'!$AF$59,'DRV7308 Thermal Calculator'!$AF$62,'DRV7308 Thermal Calculator'!$AF$65,'DRV7308 Thermal Calculator'!$AF$68)</c:f>
              <c:numCache>
                <c:formatCode>General</c:formatCode>
                <c:ptCount val="5"/>
                <c:pt idx="0">
                  <c:v>100</c:v>
                </c:pt>
                <c:pt idx="1">
                  <c:v>150</c:v>
                </c:pt>
                <c:pt idx="2">
                  <c:v>200</c:v>
                </c:pt>
                <c:pt idx="3">
                  <c:v>300</c:v>
                </c:pt>
                <c:pt idx="4">
                  <c:v>450</c:v>
                </c:pt>
              </c:numCache>
            </c:numRef>
          </c:xVal>
          <c:yVal>
            <c:numRef>
              <c:f>('DRV7308 Thermal Calculator'!$AM$56,'DRV7308 Thermal Calculator'!$AM$59,'DRV7308 Thermal Calculator'!$AM$62,'DRV7308 Thermal Calculator'!$AM$65,'DRV7308 Thermal Calculator'!$AM$68)</c:f>
              <c:numCache>
                <c:formatCode>General</c:formatCode>
                <c:ptCount val="5"/>
                <c:pt idx="0">
                  <c:v>0.1</c:v>
                </c:pt>
                <c:pt idx="1">
                  <c:v>0.1</c:v>
                </c:pt>
                <c:pt idx="2">
                  <c:v>0.1</c:v>
                </c:pt>
                <c:pt idx="3">
                  <c:v>0.1</c:v>
                </c:pt>
                <c:pt idx="4">
                  <c:v>0.1</c:v>
                </c:pt>
              </c:numCache>
            </c:numRef>
          </c:y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B-EB0D-467D-9BEE-66B9C010C78D}"/>
            </c:ext>
          </c:extLst>
        </c:ser>
        <c:ser>
          <c:idx val="6"/>
          <c:order val="6"/>
          <c:tx>
            <c:strRef>
              <c:f>'DRV7308 Thermal Calculator'!$AN$9</c:f>
              <c:strCache>
                <c:ptCount val="1"/>
                <c:pt idx="0">
                  <c:v>2.5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>
                    <a:lumMod val="60000"/>
                  </a:schemeClr>
                </a:solidFill>
                <a:prstDash val="sysDot"/>
              </a:ln>
              <a:effectLst/>
            </c:spPr>
            <c:trendlineType val="poly"/>
            <c:order val="2"/>
            <c:dispRSqr val="0"/>
            <c:dispEq val="1"/>
            <c:trendlineLbl>
              <c:layout>
                <c:manualLayout>
                  <c:x val="-0.43313597844107893"/>
                  <c:y val="0.55427895301390007"/>
                </c:manualLayout>
              </c:layout>
              <c:numFmt formatCode="0.00E+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('DRV7308 Thermal Calculator'!$AF$56,'DRV7308 Thermal Calculator'!$AF$59,'DRV7308 Thermal Calculator'!$AF$62,'DRV7308 Thermal Calculator'!$AF$65,'DRV7308 Thermal Calculator'!$AF$68)</c:f>
              <c:numCache>
                <c:formatCode>General</c:formatCode>
                <c:ptCount val="5"/>
                <c:pt idx="0">
                  <c:v>100</c:v>
                </c:pt>
                <c:pt idx="1">
                  <c:v>150</c:v>
                </c:pt>
                <c:pt idx="2">
                  <c:v>200</c:v>
                </c:pt>
                <c:pt idx="3">
                  <c:v>300</c:v>
                </c:pt>
                <c:pt idx="4">
                  <c:v>450</c:v>
                </c:pt>
              </c:numCache>
            </c:numRef>
          </c:xVal>
          <c:yVal>
            <c:numRef>
              <c:f>('DRV7308 Thermal Calculator'!$AN$56,'DRV7308 Thermal Calculator'!$AN$59,'DRV7308 Thermal Calculator'!$AN$62,'DRV7308 Thermal Calculator'!$AN$65,'DRV7308 Thermal Calculator'!$AN$68)</c:f>
              <c:numCache>
                <c:formatCode>General</c:formatCode>
                <c:ptCount val="5"/>
                <c:pt idx="0">
                  <c:v>0.3</c:v>
                </c:pt>
                <c:pt idx="1">
                  <c:v>0.4</c:v>
                </c:pt>
                <c:pt idx="2">
                  <c:v>0.5</c:v>
                </c:pt>
                <c:pt idx="3">
                  <c:v>0.5</c:v>
                </c:pt>
                <c:pt idx="4">
                  <c:v>0.6</c:v>
                </c:pt>
              </c:numCache>
            </c:numRef>
          </c:y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D-EB0D-467D-9BEE-66B9C010C78D}"/>
            </c:ext>
          </c:extLst>
        </c:ser>
        <c:ser>
          <c:idx val="7"/>
          <c:order val="7"/>
          <c:tx>
            <c:strRef>
              <c:f>'DRV7308 Thermal Calculator'!$AO$9</c:f>
              <c:strCache>
                <c:ptCount val="1"/>
                <c:pt idx="0">
                  <c:v>4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>
                    <a:lumMod val="60000"/>
                  </a:schemeClr>
                </a:solidFill>
                <a:prstDash val="sysDot"/>
              </a:ln>
              <a:effectLst/>
            </c:spPr>
            <c:trendlineType val="poly"/>
            <c:order val="2"/>
            <c:dispRSqr val="0"/>
            <c:dispEq val="1"/>
            <c:trendlineLbl>
              <c:layout>
                <c:manualLayout>
                  <c:x val="-0.43853215846748445"/>
                  <c:y val="0.8562670379299383"/>
                </c:manualLayout>
              </c:layout>
              <c:numFmt formatCode="0.00E+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('DRV7308 Thermal Calculator'!$AF$56,'DRV7308 Thermal Calculator'!$AF$59,'DRV7308 Thermal Calculator'!$AF$62,'DRV7308 Thermal Calculator'!$AF$65,'DRV7308 Thermal Calculator'!$AF$68)</c:f>
              <c:numCache>
                <c:formatCode>General</c:formatCode>
                <c:ptCount val="5"/>
                <c:pt idx="0">
                  <c:v>100</c:v>
                </c:pt>
                <c:pt idx="1">
                  <c:v>150</c:v>
                </c:pt>
                <c:pt idx="2">
                  <c:v>200</c:v>
                </c:pt>
                <c:pt idx="3">
                  <c:v>300</c:v>
                </c:pt>
                <c:pt idx="4">
                  <c:v>450</c:v>
                </c:pt>
              </c:numCache>
            </c:numRef>
          </c:xVal>
          <c:yVal>
            <c:numRef>
              <c:f>('DRV7308 Thermal Calculator'!$AO$56,'DRV7308 Thermal Calculator'!$AO$59,'DRV7308 Thermal Calculator'!$AO$62,'DRV7308 Thermal Calculator'!$AO$65,'DRV7308 Thermal Calculator'!$AO$68)</c:f>
              <c:numCache>
                <c:formatCode>General</c:formatCode>
                <c:ptCount val="5"/>
                <c:pt idx="0">
                  <c:v>0.5</c:v>
                </c:pt>
                <c:pt idx="1">
                  <c:v>0.7</c:v>
                </c:pt>
                <c:pt idx="2">
                  <c:v>0.7</c:v>
                </c:pt>
                <c:pt idx="3">
                  <c:v>1.2</c:v>
                </c:pt>
                <c:pt idx="4">
                  <c:v>1.7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EB0D-467D-9BEE-66B9C010C7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82122239"/>
        <c:axId val="1986862255"/>
        <c:extLst/>
      </c:scatterChart>
      <c:valAx>
        <c:axId val="58212223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VM</a:t>
                </a:r>
                <a:r>
                  <a:rPr lang="en-US" baseline="0"/>
                  <a:t> Voltage (V)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6862255"/>
        <c:crosses val="autoZero"/>
        <c:crossBetween val="midCat"/>
      </c:valAx>
      <c:valAx>
        <c:axId val="19868622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Switching Energy (uJ)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2122239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5113200785346109E-2"/>
          <c:y val="0.58651089242864562"/>
          <c:w val="0.16746949906555147"/>
          <c:h val="0.4134889517035955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0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13" Type="http://schemas.openxmlformats.org/officeDocument/2006/relationships/chart" Target="../charts/chart12.xml"/><Relationship Id="rId18" Type="http://schemas.openxmlformats.org/officeDocument/2006/relationships/chart" Target="../charts/chart17.xml"/><Relationship Id="rId26" Type="http://schemas.openxmlformats.org/officeDocument/2006/relationships/chart" Target="../charts/chart25.xml"/><Relationship Id="rId3" Type="http://schemas.openxmlformats.org/officeDocument/2006/relationships/chart" Target="../charts/chart2.xml"/><Relationship Id="rId21" Type="http://schemas.openxmlformats.org/officeDocument/2006/relationships/chart" Target="../charts/chart20.xml"/><Relationship Id="rId7" Type="http://schemas.openxmlformats.org/officeDocument/2006/relationships/chart" Target="../charts/chart6.xml"/><Relationship Id="rId12" Type="http://schemas.openxmlformats.org/officeDocument/2006/relationships/chart" Target="../charts/chart11.xml"/><Relationship Id="rId17" Type="http://schemas.openxmlformats.org/officeDocument/2006/relationships/chart" Target="../charts/chart16.xml"/><Relationship Id="rId25" Type="http://schemas.openxmlformats.org/officeDocument/2006/relationships/chart" Target="../charts/chart24.xml"/><Relationship Id="rId2" Type="http://schemas.openxmlformats.org/officeDocument/2006/relationships/chart" Target="../charts/chart1.xml"/><Relationship Id="rId16" Type="http://schemas.openxmlformats.org/officeDocument/2006/relationships/chart" Target="../charts/chart15.xml"/><Relationship Id="rId20" Type="http://schemas.openxmlformats.org/officeDocument/2006/relationships/chart" Target="../charts/chart19.xml"/><Relationship Id="rId1" Type="http://schemas.openxmlformats.org/officeDocument/2006/relationships/image" Target="../media/image1.png"/><Relationship Id="rId6" Type="http://schemas.openxmlformats.org/officeDocument/2006/relationships/chart" Target="../charts/chart5.xml"/><Relationship Id="rId11" Type="http://schemas.openxmlformats.org/officeDocument/2006/relationships/chart" Target="../charts/chart10.xml"/><Relationship Id="rId24" Type="http://schemas.openxmlformats.org/officeDocument/2006/relationships/chart" Target="../charts/chart23.xml"/><Relationship Id="rId5" Type="http://schemas.openxmlformats.org/officeDocument/2006/relationships/chart" Target="../charts/chart4.xml"/><Relationship Id="rId15" Type="http://schemas.openxmlformats.org/officeDocument/2006/relationships/chart" Target="../charts/chart14.xml"/><Relationship Id="rId23" Type="http://schemas.openxmlformats.org/officeDocument/2006/relationships/chart" Target="../charts/chart22.xml"/><Relationship Id="rId10" Type="http://schemas.openxmlformats.org/officeDocument/2006/relationships/chart" Target="../charts/chart9.xml"/><Relationship Id="rId19" Type="http://schemas.openxmlformats.org/officeDocument/2006/relationships/chart" Target="../charts/chart18.xml"/><Relationship Id="rId4" Type="http://schemas.openxmlformats.org/officeDocument/2006/relationships/chart" Target="../charts/chart3.xml"/><Relationship Id="rId9" Type="http://schemas.openxmlformats.org/officeDocument/2006/relationships/chart" Target="../charts/chart8.xml"/><Relationship Id="rId14" Type="http://schemas.openxmlformats.org/officeDocument/2006/relationships/chart" Target="../charts/chart13.xml"/><Relationship Id="rId22" Type="http://schemas.openxmlformats.org/officeDocument/2006/relationships/chart" Target="../charts/chart21.xml"/><Relationship Id="rId27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25743</xdr:colOff>
      <xdr:row>38</xdr:row>
      <xdr:rowOff>12405</xdr:rowOff>
    </xdr:from>
    <xdr:to>
      <xdr:col>2</xdr:col>
      <xdr:colOff>1814</xdr:colOff>
      <xdr:row>61</xdr:row>
      <xdr:rowOff>145504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id="{4878A343-729D-40AF-9460-B84B617F66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8583" y="8518269"/>
          <a:ext cx="4393514" cy="4752345"/>
        </a:xfrm>
        <a:prstGeom prst="rect">
          <a:avLst/>
        </a:prstGeom>
      </xdr:spPr>
    </xdr:pic>
    <xdr:clientData/>
  </xdr:twoCellAnchor>
  <xdr:twoCellAnchor>
    <xdr:from>
      <xdr:col>20</xdr:col>
      <xdr:colOff>281438</xdr:colOff>
      <xdr:row>106</xdr:row>
      <xdr:rowOff>54240</xdr:rowOff>
    </xdr:from>
    <xdr:to>
      <xdr:col>27</xdr:col>
      <xdr:colOff>339682</xdr:colOff>
      <xdr:row>139</xdr:row>
      <xdr:rowOff>110971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9E7F1689-5F59-40EA-A38A-9B856E94B6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28</xdr:col>
      <xdr:colOff>577273</xdr:colOff>
      <xdr:row>85</xdr:row>
      <xdr:rowOff>61577</xdr:rowOff>
    </xdr:from>
    <xdr:to>
      <xdr:col>35</xdr:col>
      <xdr:colOff>119184</xdr:colOff>
      <xdr:row>103</xdr:row>
      <xdr:rowOff>83759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9BC6CF8D-0519-4AE8-9BDC-DA314B9D26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35</xdr:col>
      <xdr:colOff>475698</xdr:colOff>
      <xdr:row>84</xdr:row>
      <xdr:rowOff>152723</xdr:rowOff>
    </xdr:from>
    <xdr:to>
      <xdr:col>43</xdr:col>
      <xdr:colOff>490131</xdr:colOff>
      <xdr:row>102</xdr:row>
      <xdr:rowOff>150471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666AC807-94B9-4060-BA61-452EBF7F5E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1616040</xdr:colOff>
      <xdr:row>106</xdr:row>
      <xdr:rowOff>41753</xdr:rowOff>
    </xdr:from>
    <xdr:to>
      <xdr:col>18</xdr:col>
      <xdr:colOff>614024</xdr:colOff>
      <xdr:row>139</xdr:row>
      <xdr:rowOff>111819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5CE6B952-8B12-4C32-8EF0-0A9BCA8FA3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20</xdr:col>
      <xdr:colOff>302648</xdr:colOff>
      <xdr:row>145</xdr:row>
      <xdr:rowOff>76739</xdr:rowOff>
    </xdr:from>
    <xdr:to>
      <xdr:col>27</xdr:col>
      <xdr:colOff>357301</xdr:colOff>
      <xdr:row>178</xdr:row>
      <xdr:rowOff>136644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FFF93A13-0F3E-472A-BD1A-C2A486CB2B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11</xdr:col>
      <xdr:colOff>1596101</xdr:colOff>
      <xdr:row>145</xdr:row>
      <xdr:rowOff>76439</xdr:rowOff>
    </xdr:from>
    <xdr:to>
      <xdr:col>18</xdr:col>
      <xdr:colOff>594085</xdr:colOff>
      <xdr:row>178</xdr:row>
      <xdr:rowOff>138650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id="{326427E4-6C82-4991-916B-2D71057E05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1562885</xdr:colOff>
      <xdr:row>183</xdr:row>
      <xdr:rowOff>155088</xdr:rowOff>
    </xdr:from>
    <xdr:to>
      <xdr:col>18</xdr:col>
      <xdr:colOff>554519</xdr:colOff>
      <xdr:row>217</xdr:row>
      <xdr:rowOff>46901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id="{05214F19-D979-4CA3-A585-EA171A0A4F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20</xdr:col>
      <xdr:colOff>320910</xdr:colOff>
      <xdr:row>183</xdr:row>
      <xdr:rowOff>152402</xdr:rowOff>
    </xdr:from>
    <xdr:to>
      <xdr:col>27</xdr:col>
      <xdr:colOff>378008</xdr:colOff>
      <xdr:row>217</xdr:row>
      <xdr:rowOff>24529</xdr:rowOff>
    </xdr:to>
    <xdr:graphicFrame macro="">
      <xdr:nvGraphicFramePr>
        <xdr:cNvPr id="18" name="Chart 17">
          <a:extLst>
            <a:ext uri="{FF2B5EF4-FFF2-40B4-BE49-F238E27FC236}">
              <a16:creationId xmlns:a16="http://schemas.microsoft.com/office/drawing/2014/main" id="{415ACB41-2C4E-4048-87E7-4E680A572B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11</xdr:col>
      <xdr:colOff>1597025</xdr:colOff>
      <xdr:row>222</xdr:row>
      <xdr:rowOff>117707</xdr:rowOff>
    </xdr:from>
    <xdr:to>
      <xdr:col>18</xdr:col>
      <xdr:colOff>588659</xdr:colOff>
      <xdr:row>256</xdr:row>
      <xdr:rowOff>38093</xdr:rowOff>
    </xdr:to>
    <xdr:graphicFrame macro="">
      <xdr:nvGraphicFramePr>
        <xdr:cNvPr id="19" name="Chart 18">
          <a:extLst>
            <a:ext uri="{FF2B5EF4-FFF2-40B4-BE49-F238E27FC236}">
              <a16:creationId xmlns:a16="http://schemas.microsoft.com/office/drawing/2014/main" id="{219FDF34-8029-4D14-91E5-2E436E90AD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20</xdr:col>
      <xdr:colOff>302349</xdr:colOff>
      <xdr:row>222</xdr:row>
      <xdr:rowOff>152041</xdr:rowOff>
    </xdr:from>
    <xdr:to>
      <xdr:col>27</xdr:col>
      <xdr:colOff>359447</xdr:colOff>
      <xdr:row>256</xdr:row>
      <xdr:rowOff>30048</xdr:rowOff>
    </xdr:to>
    <xdr:graphicFrame macro="">
      <xdr:nvGraphicFramePr>
        <xdr:cNvPr id="20" name="Chart 19">
          <a:extLst>
            <a:ext uri="{FF2B5EF4-FFF2-40B4-BE49-F238E27FC236}">
              <a16:creationId xmlns:a16="http://schemas.microsoft.com/office/drawing/2014/main" id="{BF8CCE69-CDD4-4A54-8A9C-62E3F84DCC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29</xdr:col>
      <xdr:colOff>56030</xdr:colOff>
      <xdr:row>110</xdr:row>
      <xdr:rowOff>9337</xdr:rowOff>
    </xdr:from>
    <xdr:to>
      <xdr:col>35</xdr:col>
      <xdr:colOff>211416</xdr:colOff>
      <xdr:row>128</xdr:row>
      <xdr:rowOff>113209</xdr:rowOff>
    </xdr:to>
    <xdr:graphicFrame macro="">
      <xdr:nvGraphicFramePr>
        <xdr:cNvPr id="21" name="Chart 20">
          <a:extLst>
            <a:ext uri="{FF2B5EF4-FFF2-40B4-BE49-F238E27FC236}">
              <a16:creationId xmlns:a16="http://schemas.microsoft.com/office/drawing/2014/main" id="{B7C5D2EE-3B5F-472D-BE5B-457C39425A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35</xdr:col>
      <xdr:colOff>597647</xdr:colOff>
      <xdr:row>110</xdr:row>
      <xdr:rowOff>28015</xdr:rowOff>
    </xdr:from>
    <xdr:to>
      <xdr:col>44</xdr:col>
      <xdr:colOff>8270</xdr:colOff>
      <xdr:row>128</xdr:row>
      <xdr:rowOff>174677</xdr:rowOff>
    </xdr:to>
    <xdr:graphicFrame macro="">
      <xdr:nvGraphicFramePr>
        <xdr:cNvPr id="22" name="Chart 21">
          <a:extLst>
            <a:ext uri="{FF2B5EF4-FFF2-40B4-BE49-F238E27FC236}">
              <a16:creationId xmlns:a16="http://schemas.microsoft.com/office/drawing/2014/main" id="{998C7B8C-C41E-4542-9B8A-0DC41F3D20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29</xdr:col>
      <xdr:colOff>31230</xdr:colOff>
      <xdr:row>134</xdr:row>
      <xdr:rowOff>176967</xdr:rowOff>
    </xdr:from>
    <xdr:to>
      <xdr:col>35</xdr:col>
      <xdr:colOff>189791</xdr:colOff>
      <xdr:row>153</xdr:row>
      <xdr:rowOff>27828</xdr:rowOff>
    </xdr:to>
    <xdr:graphicFrame macro="">
      <xdr:nvGraphicFramePr>
        <xdr:cNvPr id="23" name="Chart 22">
          <a:extLst>
            <a:ext uri="{FF2B5EF4-FFF2-40B4-BE49-F238E27FC236}">
              <a16:creationId xmlns:a16="http://schemas.microsoft.com/office/drawing/2014/main" id="{A7D9056F-B8F3-4B14-ADB0-73A623389A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36</xdr:col>
      <xdr:colOff>41640</xdr:colOff>
      <xdr:row>134</xdr:row>
      <xdr:rowOff>176966</xdr:rowOff>
    </xdr:from>
    <xdr:to>
      <xdr:col>44</xdr:col>
      <xdr:colOff>66443</xdr:colOff>
      <xdr:row>153</xdr:row>
      <xdr:rowOff>73792</xdr:rowOff>
    </xdr:to>
    <xdr:graphicFrame macro="">
      <xdr:nvGraphicFramePr>
        <xdr:cNvPr id="24" name="Chart 23">
          <a:extLst>
            <a:ext uri="{FF2B5EF4-FFF2-40B4-BE49-F238E27FC236}">
              <a16:creationId xmlns:a16="http://schemas.microsoft.com/office/drawing/2014/main" id="{86599A5A-DC31-426D-82FE-C831A937DC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29</xdr:col>
      <xdr:colOff>0</xdr:colOff>
      <xdr:row>159</xdr:row>
      <xdr:rowOff>0</xdr:rowOff>
    </xdr:from>
    <xdr:to>
      <xdr:col>35</xdr:col>
      <xdr:colOff>155386</xdr:colOff>
      <xdr:row>177</xdr:row>
      <xdr:rowOff>78503</xdr:rowOff>
    </xdr:to>
    <xdr:graphicFrame macro="">
      <xdr:nvGraphicFramePr>
        <xdr:cNvPr id="25" name="Chart 24">
          <a:extLst>
            <a:ext uri="{FF2B5EF4-FFF2-40B4-BE49-F238E27FC236}">
              <a16:creationId xmlns:a16="http://schemas.microsoft.com/office/drawing/2014/main" id="{22EC96E6-B913-4AA6-8BE5-F5DDCA6872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35</xdr:col>
      <xdr:colOff>599056</xdr:colOff>
      <xdr:row>159</xdr:row>
      <xdr:rowOff>11981</xdr:rowOff>
    </xdr:from>
    <xdr:to>
      <xdr:col>44</xdr:col>
      <xdr:colOff>19172</xdr:colOff>
      <xdr:row>177</xdr:row>
      <xdr:rowOff>136449</xdr:rowOff>
    </xdr:to>
    <xdr:graphicFrame macro="">
      <xdr:nvGraphicFramePr>
        <xdr:cNvPr id="26" name="Chart 25">
          <a:extLst>
            <a:ext uri="{FF2B5EF4-FFF2-40B4-BE49-F238E27FC236}">
              <a16:creationId xmlns:a16="http://schemas.microsoft.com/office/drawing/2014/main" id="{D23395AB-99C4-4E52-AA6E-1D45AAFEE9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20</xdr:col>
      <xdr:colOff>1375732</xdr:colOff>
      <xdr:row>317</xdr:row>
      <xdr:rowOff>12487</xdr:rowOff>
    </xdr:from>
    <xdr:to>
      <xdr:col>29</xdr:col>
      <xdr:colOff>230818</xdr:colOff>
      <xdr:row>350</xdr:row>
      <xdr:rowOff>136060</xdr:rowOff>
    </xdr:to>
    <xdr:graphicFrame macro="">
      <xdr:nvGraphicFramePr>
        <xdr:cNvPr id="27" name="Chart 26">
          <a:extLst>
            <a:ext uri="{FF2B5EF4-FFF2-40B4-BE49-F238E27FC236}">
              <a16:creationId xmlns:a16="http://schemas.microsoft.com/office/drawing/2014/main" id="{2522A51C-53FA-437E-AF3D-C3BA49C794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12</xdr:col>
      <xdr:colOff>19939</xdr:colOff>
      <xdr:row>317</xdr:row>
      <xdr:rowOff>0</xdr:rowOff>
    </xdr:from>
    <xdr:to>
      <xdr:col>20</xdr:col>
      <xdr:colOff>321345</xdr:colOff>
      <xdr:row>350</xdr:row>
      <xdr:rowOff>136908</xdr:rowOff>
    </xdr:to>
    <xdr:graphicFrame macro="">
      <xdr:nvGraphicFramePr>
        <xdr:cNvPr id="28" name="Chart 27">
          <a:extLst>
            <a:ext uri="{FF2B5EF4-FFF2-40B4-BE49-F238E27FC236}">
              <a16:creationId xmlns:a16="http://schemas.microsoft.com/office/drawing/2014/main" id="{A9DAE1B9-118A-4A2D-B464-AF4E070586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20</xdr:col>
      <xdr:colOff>1396942</xdr:colOff>
      <xdr:row>356</xdr:row>
      <xdr:rowOff>151959</xdr:rowOff>
    </xdr:from>
    <xdr:to>
      <xdr:col>29</xdr:col>
      <xdr:colOff>248437</xdr:colOff>
      <xdr:row>390</xdr:row>
      <xdr:rowOff>94890</xdr:rowOff>
    </xdr:to>
    <xdr:graphicFrame macro="">
      <xdr:nvGraphicFramePr>
        <xdr:cNvPr id="29" name="Chart 28">
          <a:extLst>
            <a:ext uri="{FF2B5EF4-FFF2-40B4-BE49-F238E27FC236}">
              <a16:creationId xmlns:a16="http://schemas.microsoft.com/office/drawing/2014/main" id="{DF5626DD-2527-412F-ADD8-A4ADA78B1B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12</xdr:col>
      <xdr:colOff>0</xdr:colOff>
      <xdr:row>356</xdr:row>
      <xdr:rowOff>151659</xdr:rowOff>
    </xdr:from>
    <xdr:to>
      <xdr:col>20</xdr:col>
      <xdr:colOff>301406</xdr:colOff>
      <xdr:row>390</xdr:row>
      <xdr:rowOff>100071</xdr:rowOff>
    </xdr:to>
    <xdr:graphicFrame macro="">
      <xdr:nvGraphicFramePr>
        <xdr:cNvPr id="30" name="Chart 29">
          <a:extLst>
            <a:ext uri="{FF2B5EF4-FFF2-40B4-BE49-F238E27FC236}">
              <a16:creationId xmlns:a16="http://schemas.microsoft.com/office/drawing/2014/main" id="{F5A89F81-7B56-4C5B-AA79-5CDD5AC958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12</xdr:col>
      <xdr:colOff>924</xdr:colOff>
      <xdr:row>395</xdr:row>
      <xdr:rowOff>180176</xdr:rowOff>
    </xdr:from>
    <xdr:to>
      <xdr:col>20</xdr:col>
      <xdr:colOff>295980</xdr:colOff>
      <xdr:row>429</xdr:row>
      <xdr:rowOff>71989</xdr:rowOff>
    </xdr:to>
    <xdr:graphicFrame macro="">
      <xdr:nvGraphicFramePr>
        <xdr:cNvPr id="31" name="Chart 30">
          <a:extLst>
            <a:ext uri="{FF2B5EF4-FFF2-40B4-BE49-F238E27FC236}">
              <a16:creationId xmlns:a16="http://schemas.microsoft.com/office/drawing/2014/main" id="{2F36A3B8-E793-444A-A30C-2F40CB45B3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20</xdr:col>
      <xdr:colOff>1415204</xdr:colOff>
      <xdr:row>395</xdr:row>
      <xdr:rowOff>177490</xdr:rowOff>
    </xdr:from>
    <xdr:to>
      <xdr:col>29</xdr:col>
      <xdr:colOff>269144</xdr:colOff>
      <xdr:row>429</xdr:row>
      <xdr:rowOff>52792</xdr:rowOff>
    </xdr:to>
    <xdr:graphicFrame macro="">
      <xdr:nvGraphicFramePr>
        <xdr:cNvPr id="32" name="Chart 31">
          <a:extLst>
            <a:ext uri="{FF2B5EF4-FFF2-40B4-BE49-F238E27FC236}">
              <a16:creationId xmlns:a16="http://schemas.microsoft.com/office/drawing/2014/main" id="{32D62F37-984B-48BB-BD8F-8F14706DFA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12</xdr:col>
      <xdr:colOff>924</xdr:colOff>
      <xdr:row>435</xdr:row>
      <xdr:rowOff>9112</xdr:rowOff>
    </xdr:from>
    <xdr:to>
      <xdr:col>20</xdr:col>
      <xdr:colOff>295980</xdr:colOff>
      <xdr:row>468</xdr:row>
      <xdr:rowOff>113313</xdr:rowOff>
    </xdr:to>
    <xdr:graphicFrame macro="">
      <xdr:nvGraphicFramePr>
        <xdr:cNvPr id="33" name="Chart 32">
          <a:extLst>
            <a:ext uri="{FF2B5EF4-FFF2-40B4-BE49-F238E27FC236}">
              <a16:creationId xmlns:a16="http://schemas.microsoft.com/office/drawing/2014/main" id="{22A26013-FCE0-4B71-8C20-FC56978B232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20</xdr:col>
      <xdr:colOff>1396643</xdr:colOff>
      <xdr:row>435</xdr:row>
      <xdr:rowOff>43446</xdr:rowOff>
    </xdr:from>
    <xdr:to>
      <xdr:col>29</xdr:col>
      <xdr:colOff>250583</xdr:colOff>
      <xdr:row>468</xdr:row>
      <xdr:rowOff>108443</xdr:rowOff>
    </xdr:to>
    <xdr:graphicFrame macro="">
      <xdr:nvGraphicFramePr>
        <xdr:cNvPr id="34" name="Chart 33">
          <a:extLst>
            <a:ext uri="{FF2B5EF4-FFF2-40B4-BE49-F238E27FC236}">
              <a16:creationId xmlns:a16="http://schemas.microsoft.com/office/drawing/2014/main" id="{E2AE5106-623B-418C-BFB8-498881E61D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3</xdr:col>
      <xdr:colOff>17824</xdr:colOff>
      <xdr:row>37</xdr:row>
      <xdr:rowOff>185700</xdr:rowOff>
    </xdr:from>
    <xdr:to>
      <xdr:col>7</xdr:col>
      <xdr:colOff>363838</xdr:colOff>
      <xdr:row>62</xdr:row>
      <xdr:rowOff>161306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E3A3A27-CB81-4507-9E87-08668DAC0F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1</xdr:col>
      <xdr:colOff>808183</xdr:colOff>
      <xdr:row>45</xdr:row>
      <xdr:rowOff>151534</xdr:rowOff>
    </xdr:from>
    <xdr:to>
      <xdr:col>1</xdr:col>
      <xdr:colOff>1739035</xdr:colOff>
      <xdr:row>49</xdr:row>
      <xdr:rowOff>93808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3F3412CC-D4EE-4ED1-8E3F-9E31288F0498}"/>
            </a:ext>
          </a:extLst>
        </xdr:cNvPr>
        <xdr:cNvSpPr txBox="1"/>
      </xdr:nvSpPr>
      <xdr:spPr>
        <a:xfrm>
          <a:off x="1450399" y="9135341"/>
          <a:ext cx="930852" cy="6927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/>
            <a:t>OUTA copper pour (16.6%)</a:t>
          </a:r>
        </a:p>
      </xdr:txBody>
    </xdr:sp>
    <xdr:clientData/>
  </xdr:twoCellAnchor>
  <xdr:twoCellAnchor>
    <xdr:from>
      <xdr:col>1</xdr:col>
      <xdr:colOff>2770909</xdr:colOff>
      <xdr:row>45</xdr:row>
      <xdr:rowOff>151535</xdr:rowOff>
    </xdr:from>
    <xdr:to>
      <xdr:col>1</xdr:col>
      <xdr:colOff>3701761</xdr:colOff>
      <xdr:row>49</xdr:row>
      <xdr:rowOff>72160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237C7D5B-9644-4490-B0F2-A0C401733E0C}"/>
            </a:ext>
          </a:extLst>
        </xdr:cNvPr>
        <xdr:cNvSpPr txBox="1"/>
      </xdr:nvSpPr>
      <xdr:spPr>
        <a:xfrm>
          <a:off x="3413125" y="9135342"/>
          <a:ext cx="930852" cy="6710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/>
            <a:t>OUTC copper pour (16.6%)</a:t>
          </a:r>
        </a:p>
      </xdr:txBody>
    </xdr:sp>
    <xdr:clientData/>
  </xdr:twoCellAnchor>
  <xdr:twoCellAnchor>
    <xdr:from>
      <xdr:col>1</xdr:col>
      <xdr:colOff>1926647</xdr:colOff>
      <xdr:row>42</xdr:row>
      <xdr:rowOff>178750</xdr:rowOff>
    </xdr:from>
    <xdr:to>
      <xdr:col>1</xdr:col>
      <xdr:colOff>2576079</xdr:colOff>
      <xdr:row>47</xdr:row>
      <xdr:rowOff>99787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CA6D0B47-520C-435F-944C-CCBD4BB10536}"/>
            </a:ext>
          </a:extLst>
        </xdr:cNvPr>
        <xdr:cNvSpPr txBox="1"/>
      </xdr:nvSpPr>
      <xdr:spPr>
        <a:xfrm>
          <a:off x="2570718" y="8587964"/>
          <a:ext cx="649432" cy="84632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/>
            <a:t>OUTB copper pour (16.6%)</a:t>
          </a:r>
        </a:p>
      </xdr:txBody>
    </xdr:sp>
    <xdr:clientData/>
  </xdr:twoCellAnchor>
  <xdr:twoCellAnchor>
    <xdr:from>
      <xdr:col>1</xdr:col>
      <xdr:colOff>1829119</xdr:colOff>
      <xdr:row>58</xdr:row>
      <xdr:rowOff>169206</xdr:rowOff>
    </xdr:from>
    <xdr:to>
      <xdr:col>1</xdr:col>
      <xdr:colOff>2759971</xdr:colOff>
      <xdr:row>61</xdr:row>
      <xdr:rowOff>299093</xdr:rowOff>
    </xdr:to>
    <xdr:sp macro="" textlink="">
      <xdr:nvSpPr>
        <xdr:cNvPr id="37" name="TextBox 36">
          <a:extLst>
            <a:ext uri="{FF2B5EF4-FFF2-40B4-BE49-F238E27FC236}">
              <a16:creationId xmlns:a16="http://schemas.microsoft.com/office/drawing/2014/main" id="{2E6B1760-E946-45FE-B63B-F0DBA32AD041}"/>
            </a:ext>
          </a:extLst>
        </xdr:cNvPr>
        <xdr:cNvSpPr txBox="1"/>
      </xdr:nvSpPr>
      <xdr:spPr>
        <a:xfrm>
          <a:off x="2471335" y="11591990"/>
          <a:ext cx="930852" cy="6927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/>
            <a:t>PGND copper pour (50%)</a:t>
          </a:r>
        </a:p>
      </xdr:txBody>
    </xdr:sp>
    <xdr:clientData/>
  </xdr:twoCellAnchor>
  <xdr:twoCellAnchor editAs="oneCell">
    <xdr:from>
      <xdr:col>5</xdr:col>
      <xdr:colOff>24424</xdr:colOff>
      <xdr:row>26</xdr:row>
      <xdr:rowOff>34812</xdr:rowOff>
    </xdr:from>
    <xdr:to>
      <xdr:col>8</xdr:col>
      <xdr:colOff>315</xdr:colOff>
      <xdr:row>32</xdr:row>
      <xdr:rowOff>183572</xdr:rowOff>
    </xdr:to>
    <xdr:pic>
      <xdr:nvPicPr>
        <xdr:cNvPr id="39" name="Picture 38">
          <a:extLst>
            <a:ext uri="{FF2B5EF4-FFF2-40B4-BE49-F238E27FC236}">
              <a16:creationId xmlns:a16="http://schemas.microsoft.com/office/drawing/2014/main" id="{CE6AACC3-9E69-48FB-AA82-D548D0B3E7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42357" y="5191012"/>
          <a:ext cx="3880990" cy="2024763"/>
        </a:xfrm>
        <a:prstGeom prst="rect">
          <a:avLst/>
        </a:prstGeom>
        <a:solidFill>
          <a:schemeClr val="bg1"/>
        </a:solidFill>
        <a:ln w="19050">
          <a:solidFill>
            <a:schemeClr val="tx1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e2e.ti.com/support/motor-drivers-group/motor-drivers/f/motor-drivers-forum" TargetMode="External"/><Relationship Id="rId2" Type="http://schemas.openxmlformats.org/officeDocument/2006/relationships/hyperlink" Target="https://www.ti.com/product/DRV7308" TargetMode="External"/><Relationship Id="rId1" Type="http://schemas.openxmlformats.org/officeDocument/2006/relationships/hyperlink" Target="https://e2e.ti.com/support/motor-drivers-group/motor-drivers/f/motor-drivers-forum/1209741/faq-when-do-i-need-to-reconfigure-my-motor-driver-s-register-settings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66285D-66F6-4BFE-8C8A-4BE02FECFB42}">
  <dimension ref="A1:BW260"/>
  <sheetViews>
    <sheetView tabSelected="1" topLeftCell="B2" zoomScale="99" zoomScaleNormal="70" workbookViewId="0">
      <selection activeCell="C8" sqref="C8"/>
    </sheetView>
  </sheetViews>
  <sheetFormatPr defaultColWidth="9.1796875" defaultRowHeight="14.5" x14ac:dyDescent="0.35"/>
  <cols>
    <col min="1" max="1" width="9.1796875" style="6"/>
    <col min="2" max="2" width="63.453125" style="98" customWidth="1"/>
    <col min="3" max="3" width="16.81640625" style="98" customWidth="1"/>
    <col min="4" max="4" width="16.7265625" style="98" bestFit="1" customWidth="1"/>
    <col min="5" max="5" width="8.453125" style="98" customWidth="1"/>
    <col min="6" max="6" width="30.453125" style="98" customWidth="1"/>
    <col min="7" max="7" width="20.1796875" style="98" customWidth="1"/>
    <col min="8" max="8" width="5.54296875" style="98" bestFit="1" customWidth="1"/>
    <col min="9" max="9" width="37.08984375" style="6" customWidth="1"/>
    <col min="10" max="10" width="46" style="6" hidden="1" customWidth="1"/>
    <col min="11" max="11" width="13.26953125" style="6" hidden="1" customWidth="1"/>
    <col min="12" max="12" width="40.26953125" style="6" hidden="1" customWidth="1"/>
    <col min="13" max="13" width="14.1796875" style="6" hidden="1" customWidth="1"/>
    <col min="14" max="14" width="13.453125" style="6" hidden="1" customWidth="1"/>
    <col min="15" max="15" width="25.453125" style="6" hidden="1" customWidth="1"/>
    <col min="16" max="16" width="26.54296875" style="6" hidden="1" customWidth="1"/>
    <col min="17" max="17" width="9.54296875" style="6" hidden="1" customWidth="1"/>
    <col min="18" max="18" width="18.1796875" style="6" hidden="1" customWidth="1"/>
    <col min="19" max="19" width="11.26953125" style="6" hidden="1" customWidth="1"/>
    <col min="20" max="20" width="9.54296875" style="6" hidden="1" customWidth="1"/>
    <col min="21" max="21" width="23.7265625" style="6" hidden="1" customWidth="1"/>
    <col min="22" max="22" width="21.453125" style="6" hidden="1" customWidth="1"/>
    <col min="23" max="23" width="9.54296875" style="6" hidden="1" customWidth="1"/>
    <col min="24" max="24" width="20.26953125" style="6" hidden="1" customWidth="1"/>
    <col min="25" max="25" width="24.26953125" style="6" hidden="1" customWidth="1"/>
    <col min="26" max="26" width="9.81640625" style="6" hidden="1" customWidth="1"/>
    <col min="27" max="30" width="9.1796875" style="6" hidden="1" customWidth="1"/>
    <col min="31" max="31" width="15.54296875" style="6" hidden="1" customWidth="1"/>
    <col min="32" max="32" width="11.453125" style="6" hidden="1" customWidth="1"/>
    <col min="33" max="33" width="16.453125" style="6" hidden="1" customWidth="1"/>
    <col min="34" max="37" width="9.1796875" style="6" hidden="1" customWidth="1"/>
    <col min="38" max="38" width="13.453125" style="6" hidden="1" customWidth="1"/>
    <col min="39" max="46" width="9.1796875" style="6" hidden="1" customWidth="1"/>
    <col min="47" max="60" width="12" style="6" hidden="1" customWidth="1"/>
    <col min="61" max="67" width="10.54296875" style="6" hidden="1" customWidth="1"/>
    <col min="68" max="72" width="9.54296875" style="6" hidden="1" customWidth="1"/>
    <col min="73" max="74" width="10" style="6" hidden="1" customWidth="1"/>
    <col min="75" max="75" width="9.54296875" style="6" hidden="1" customWidth="1"/>
    <col min="76" max="89" width="9.1796875" style="6" customWidth="1"/>
    <col min="90" max="16384" width="9.1796875" style="6"/>
  </cols>
  <sheetData>
    <row r="1" spans="1:66" x14ac:dyDescent="0.35">
      <c r="A1" s="180"/>
      <c r="B1" s="181"/>
      <c r="C1" s="181"/>
      <c r="D1" s="181"/>
      <c r="E1" s="181"/>
      <c r="F1" s="181"/>
      <c r="G1" s="181"/>
      <c r="H1" s="181"/>
      <c r="I1" s="180"/>
    </row>
    <row r="2" spans="1:66" x14ac:dyDescent="0.35">
      <c r="A2" s="180"/>
      <c r="B2" s="181"/>
      <c r="C2" s="181"/>
      <c r="D2" s="181"/>
      <c r="E2" s="181"/>
      <c r="F2" s="279" t="s">
        <v>191</v>
      </c>
      <c r="G2" s="279"/>
      <c r="H2" s="279"/>
      <c r="I2" s="180"/>
    </row>
    <row r="3" spans="1:66" x14ac:dyDescent="0.35">
      <c r="A3" s="181"/>
      <c r="B3" s="181"/>
      <c r="C3" s="181"/>
      <c r="D3" s="181"/>
      <c r="E3" s="181"/>
      <c r="F3" s="279" t="s">
        <v>192</v>
      </c>
      <c r="G3" s="279"/>
      <c r="H3" s="279"/>
      <c r="I3" s="180"/>
    </row>
    <row r="4" spans="1:66" ht="18" customHeight="1" thickBot="1" x14ac:dyDescent="0.4">
      <c r="A4" s="180"/>
      <c r="B4" s="79" t="s">
        <v>204</v>
      </c>
      <c r="C4" s="181"/>
      <c r="D4" s="181"/>
      <c r="E4" s="181"/>
      <c r="F4" s="181"/>
      <c r="G4" s="181"/>
      <c r="H4" s="181"/>
      <c r="I4" s="180"/>
    </row>
    <row r="5" spans="1:66" ht="22" thickTop="1" thickBot="1" x14ac:dyDescent="0.55000000000000004">
      <c r="A5" s="180"/>
      <c r="B5" s="256" t="str">
        <f>_xlfn.CONCAT(Device_name, " Power Loss Calculator")</f>
        <v>DRV7308 Power Loss Calculator</v>
      </c>
      <c r="C5" s="257"/>
      <c r="D5" s="258"/>
      <c r="E5" s="172"/>
      <c r="F5" s="236" t="s">
        <v>161</v>
      </c>
      <c r="G5" s="237"/>
      <c r="H5" s="238"/>
      <c r="I5" s="180"/>
      <c r="L5" s="46" t="s">
        <v>81</v>
      </c>
      <c r="M5" s="74">
        <v>5</v>
      </c>
      <c r="N5" s="75">
        <v>5</v>
      </c>
      <c r="O5" s="75"/>
      <c r="P5" s="76"/>
      <c r="Q5" s="77">
        <v>-8.9999999999999995E-14</v>
      </c>
      <c r="R5" s="78">
        <v>-4.2600000000000003E-14</v>
      </c>
      <c r="S5" s="75"/>
      <c r="T5" s="76"/>
    </row>
    <row r="6" spans="1:66" ht="15.75" customHeight="1" thickBot="1" x14ac:dyDescent="0.4">
      <c r="A6" s="180"/>
      <c r="B6" s="253" t="s">
        <v>193</v>
      </c>
      <c r="C6" s="254"/>
      <c r="D6" s="255"/>
      <c r="E6" s="173"/>
      <c r="F6" s="163" t="s">
        <v>162</v>
      </c>
      <c r="G6" s="137" t="s">
        <v>2</v>
      </c>
      <c r="H6" s="164" t="s">
        <v>1</v>
      </c>
      <c r="I6" s="180"/>
      <c r="L6" s="31" t="s">
        <v>82</v>
      </c>
      <c r="M6" s="71">
        <v>12.468999999999999</v>
      </c>
      <c r="N6" s="52">
        <v>9.5950000000000006</v>
      </c>
      <c r="O6" s="52"/>
      <c r="P6" s="53"/>
      <c r="Q6" s="71">
        <v>4.4275000000000002</v>
      </c>
      <c r="R6" s="51">
        <v>0.29099999999999998</v>
      </c>
      <c r="S6" s="52"/>
      <c r="T6" s="53"/>
      <c r="AQ6" s="6" t="s">
        <v>78</v>
      </c>
    </row>
    <row r="7" spans="1:66" ht="15.5" thickTop="1" thickBot="1" x14ac:dyDescent="0.4">
      <c r="A7" s="180"/>
      <c r="B7" s="167" t="s">
        <v>0</v>
      </c>
      <c r="C7" s="168" t="s">
        <v>2</v>
      </c>
      <c r="D7" s="169" t="s">
        <v>1</v>
      </c>
      <c r="E7" s="174"/>
      <c r="F7" s="239" t="s">
        <v>158</v>
      </c>
      <c r="G7" s="240"/>
      <c r="H7" s="241"/>
      <c r="I7" s="180"/>
      <c r="L7" s="34" t="s">
        <v>83</v>
      </c>
      <c r="M7" s="72">
        <v>0.53080000000000005</v>
      </c>
      <c r="N7" s="58">
        <v>0.45500000000000002</v>
      </c>
      <c r="O7" s="58"/>
      <c r="P7" s="59"/>
      <c r="Q7" s="72">
        <v>1.9225000000000001</v>
      </c>
      <c r="R7" s="57">
        <v>1.19</v>
      </c>
      <c r="S7" s="58"/>
      <c r="T7" s="59"/>
      <c r="AQ7" s="6" t="s">
        <v>79</v>
      </c>
    </row>
    <row r="8" spans="1:66" ht="15.5" thickTop="1" thickBot="1" x14ac:dyDescent="0.4">
      <c r="A8" s="180"/>
      <c r="B8" s="165" t="str">
        <f>_xlfn.CONCAT("DC Input Voltage [VM]. Enter a value from ",VM_MIN,"V"," to ",VM_MAX,"V")</f>
        <v>DC Input Voltage [VM]. Enter a value from 100V to 450V</v>
      </c>
      <c r="C8" s="166">
        <v>310</v>
      </c>
      <c r="D8" s="85" t="s">
        <v>3</v>
      </c>
      <c r="E8" s="174"/>
      <c r="F8" s="145" t="s">
        <v>111</v>
      </c>
      <c r="G8" s="146">
        <f>ROUND(M49,2)</f>
        <v>0.9</v>
      </c>
      <c r="H8" s="147" t="s">
        <v>5</v>
      </c>
      <c r="I8" s="180"/>
      <c r="AH8" s="211" t="s">
        <v>70</v>
      </c>
      <c r="AI8" s="212"/>
      <c r="AJ8" s="212"/>
      <c r="AK8" s="212"/>
      <c r="AL8" s="212"/>
      <c r="AM8" s="212"/>
      <c r="AN8" s="212"/>
      <c r="AO8" s="213"/>
      <c r="AP8" s="212" t="s">
        <v>71</v>
      </c>
      <c r="AQ8" s="212"/>
      <c r="AR8" s="212"/>
      <c r="AS8" s="212"/>
      <c r="AT8" s="212"/>
      <c r="AU8" s="212"/>
      <c r="AV8" s="212"/>
      <c r="AW8" s="213"/>
      <c r="AX8" s="124"/>
      <c r="AY8" s="124"/>
      <c r="AZ8" s="124"/>
      <c r="BA8" s="124"/>
      <c r="BB8" s="124"/>
      <c r="BC8" s="124"/>
      <c r="BD8" s="124"/>
      <c r="BE8" s="124"/>
      <c r="BF8" s="124"/>
      <c r="BG8" s="124"/>
      <c r="BH8" s="124"/>
    </row>
    <row r="9" spans="1:66" ht="15" hidden="1" thickBot="1" x14ac:dyDescent="0.4">
      <c r="A9" s="180"/>
      <c r="B9" s="81" t="str">
        <f>IF(C73="Yes",_xlfn.CONCAT(C74," Input Voltage"),"")</f>
        <v/>
      </c>
      <c r="C9" s="100"/>
      <c r="D9" s="82" t="str">
        <f>IF(B9="","","V")</f>
        <v/>
      </c>
      <c r="E9" s="174"/>
      <c r="I9" s="180"/>
      <c r="AE9" s="111" t="s">
        <v>113</v>
      </c>
      <c r="AF9" s="112" t="s">
        <v>114</v>
      </c>
      <c r="AG9" s="112" t="s">
        <v>115</v>
      </c>
      <c r="AH9" s="111">
        <v>0</v>
      </c>
      <c r="AI9" s="112">
        <v>0.1</v>
      </c>
      <c r="AJ9" s="112">
        <v>0.25</v>
      </c>
      <c r="AK9" s="112">
        <v>0.5</v>
      </c>
      <c r="AL9" s="112">
        <v>0.7</v>
      </c>
      <c r="AM9" s="112">
        <v>1</v>
      </c>
      <c r="AN9" s="112">
        <v>2.5</v>
      </c>
      <c r="AO9" s="113">
        <v>4</v>
      </c>
      <c r="AP9" s="112">
        <v>0</v>
      </c>
      <c r="AQ9" s="112">
        <v>0.1</v>
      </c>
      <c r="AR9" s="112">
        <v>0.25</v>
      </c>
      <c r="AS9" s="112">
        <v>0.5</v>
      </c>
      <c r="AT9" s="112">
        <v>0.7</v>
      </c>
      <c r="AU9" s="112">
        <v>1</v>
      </c>
      <c r="AV9" s="112">
        <v>2.5</v>
      </c>
      <c r="AW9" s="113">
        <v>4</v>
      </c>
      <c r="AX9" s="108"/>
      <c r="AY9" s="108"/>
      <c r="AZ9" s="108" t="e">
        <f t="shared" ref="AZ9" si="0">(AK7-AK9)/AK7</f>
        <v>#DIV/0!</v>
      </c>
      <c r="BA9" s="108" t="e">
        <f t="shared" ref="BA9" si="1">(AL7-AL9)/AL7</f>
        <v>#DIV/0!</v>
      </c>
      <c r="BB9" s="108" t="e">
        <f t="shared" ref="BB9" si="2">(AM7-AM9)/AM7</f>
        <v>#DIV/0!</v>
      </c>
      <c r="BC9" s="108" t="e">
        <f t="shared" ref="BC9" si="3">(AN7-AN9)/AN7</f>
        <v>#DIV/0!</v>
      </c>
      <c r="BD9" s="108" t="e">
        <f t="shared" ref="BD9" si="4">(AO7-AO9)/AO7</f>
        <v>#DIV/0!</v>
      </c>
      <c r="BE9" s="108" t="s">
        <v>127</v>
      </c>
      <c r="BF9" s="108" t="s">
        <v>128</v>
      </c>
      <c r="BG9" s="108" t="s">
        <v>129</v>
      </c>
      <c r="BH9" s="108"/>
      <c r="BN9" s="6" t="s">
        <v>72</v>
      </c>
    </row>
    <row r="10" spans="1:66" ht="29" x14ac:dyDescent="0.35">
      <c r="A10" s="180"/>
      <c r="B10" s="81" t="str">
        <f>_xlfn.CONCAT("Motor Phase RMS Current. Enter a value from 0A to ", C72, "A. See figure 1.")</f>
        <v>Motor Phase RMS Current. Enter a value from 0A to 2.828A. See figure 1.</v>
      </c>
      <c r="C10" s="100">
        <v>0.86</v>
      </c>
      <c r="D10" s="82" t="s">
        <v>6</v>
      </c>
      <c r="E10" s="174"/>
      <c r="F10" s="152" t="str">
        <f>_xlfn.CONCAT("Switching Losses, excluding parasitic PCB capacitance losses")</f>
        <v>Switching Losses, excluding parasitic PCB capacitance losses</v>
      </c>
      <c r="G10" s="196">
        <f>ROUND(M50-G11,2)</f>
        <v>0.52</v>
      </c>
      <c r="H10" s="153" t="s">
        <v>5</v>
      </c>
      <c r="I10" s="180"/>
      <c r="J10" s="6">
        <f>E_Cpcb_actual</f>
        <v>7.2075000000000005</v>
      </c>
      <c r="AE10" s="104">
        <v>5</v>
      </c>
      <c r="AF10" s="105">
        <v>100</v>
      </c>
      <c r="AG10" s="105">
        <v>-40</v>
      </c>
      <c r="AH10" s="104">
        <v>0</v>
      </c>
      <c r="AI10" s="105">
        <v>0</v>
      </c>
      <c r="AJ10" s="105">
        <v>0</v>
      </c>
      <c r="AK10" s="105">
        <v>0.1</v>
      </c>
      <c r="AL10" s="105">
        <v>0.4</v>
      </c>
      <c r="AM10" s="105">
        <v>0.9</v>
      </c>
      <c r="AN10" s="105">
        <v>4.7</v>
      </c>
      <c r="AO10" s="107">
        <v>10</v>
      </c>
      <c r="AP10" s="105">
        <v>0.7</v>
      </c>
      <c r="AQ10" s="105">
        <v>1</v>
      </c>
      <c r="AR10" s="105">
        <v>1.2</v>
      </c>
      <c r="AS10" s="105">
        <v>1.7</v>
      </c>
      <c r="AT10" s="105">
        <v>2.1</v>
      </c>
      <c r="AU10" s="105">
        <v>2.7</v>
      </c>
      <c r="AV10" s="105">
        <v>6.6</v>
      </c>
      <c r="AW10" s="107">
        <v>13</v>
      </c>
      <c r="AX10" s="108"/>
      <c r="AY10" s="108"/>
      <c r="AZ10" s="125">
        <f>AZ11/($AG11-$AG12)</f>
        <v>2.4000000000000004E-2</v>
      </c>
      <c r="BA10" s="125">
        <f t="shared" ref="BA10:BD10" si="5">BA11/($AG11-$AG12)</f>
        <v>3.1999999999999993E-3</v>
      </c>
      <c r="BB10" s="125">
        <f t="shared" si="5"/>
        <v>4.0000000000000001E-3</v>
      </c>
      <c r="BC10" s="125">
        <f t="shared" si="5"/>
        <v>3.3454545454545451E-3</v>
      </c>
      <c r="BD10" s="125">
        <f t="shared" si="5"/>
        <v>3.8991596638655451E-3</v>
      </c>
      <c r="BE10" s="125">
        <f>MAX(AZ10:BD10)</f>
        <v>2.4000000000000004E-2</v>
      </c>
      <c r="BF10" s="125">
        <f>MIN(AZ10:BE10)</f>
        <v>3.1999999999999993E-3</v>
      </c>
      <c r="BG10" s="108">
        <f>MEDIAN(AZ10:BD10)</f>
        <v>3.8991596638655451E-3</v>
      </c>
      <c r="BH10" s="108"/>
    </row>
    <row r="11" spans="1:66" ht="29" x14ac:dyDescent="0.35">
      <c r="A11" s="180"/>
      <c r="B11" s="83" t="s">
        <v>8</v>
      </c>
      <c r="C11" s="100" t="s">
        <v>66</v>
      </c>
      <c r="D11" s="82"/>
      <c r="E11" s="174"/>
      <c r="F11" s="152" t="str">
        <f>_xlfn.CONCAT("Switching losses due to ",PCB_capacitance,"pF parasitic PCB output capacitance")</f>
        <v>Switching losses due to 150pF parasitic PCB output capacitance</v>
      </c>
      <c r="G11" s="196">
        <f>IF(PWM_Modulation_selection=C96,3,IF(PWM_Modulation_selection=C97,2,IF(PWM_Modulation_selection=C98,1,3)))*(E_Cpcb_actual*0.000001*C12*1000)</f>
        <v>0.34596000000000005</v>
      </c>
      <c r="H11" s="153" t="s">
        <v>5</v>
      </c>
      <c r="I11" s="180"/>
      <c r="J11" s="6" t="s">
        <v>187</v>
      </c>
      <c r="K11" s="6">
        <v>0.1</v>
      </c>
      <c r="AE11" s="106">
        <v>5</v>
      </c>
      <c r="AF11" s="108">
        <v>100</v>
      </c>
      <c r="AG11" s="108">
        <v>25</v>
      </c>
      <c r="AH11" s="106">
        <v>0</v>
      </c>
      <c r="AI11" s="108">
        <v>0</v>
      </c>
      <c r="AJ11" s="108">
        <v>0</v>
      </c>
      <c r="AK11" s="108">
        <v>0.1</v>
      </c>
      <c r="AL11" s="108">
        <v>0.5</v>
      </c>
      <c r="AM11" s="108">
        <v>1</v>
      </c>
      <c r="AN11" s="108">
        <v>5.5</v>
      </c>
      <c r="AO11" s="109">
        <v>11.9</v>
      </c>
      <c r="AP11" s="108">
        <v>0.7</v>
      </c>
      <c r="AQ11" s="108">
        <v>1</v>
      </c>
      <c r="AR11" s="108">
        <v>1.2</v>
      </c>
      <c r="AS11" s="108">
        <v>1.7</v>
      </c>
      <c r="AT11" s="108">
        <v>2.1</v>
      </c>
      <c r="AU11" s="108">
        <v>2.7</v>
      </c>
      <c r="AV11" s="108">
        <v>6.6</v>
      </c>
      <c r="AW11" s="109">
        <v>13</v>
      </c>
      <c r="AX11" s="108"/>
      <c r="AY11" s="108"/>
      <c r="AZ11" s="108">
        <f>(AK11-AK12)/AK11</f>
        <v>-3.0000000000000004</v>
      </c>
      <c r="BA11" s="108">
        <f t="shared" ref="BA11:BD11" si="6">(AL11-AL12)/AL11</f>
        <v>-0.39999999999999991</v>
      </c>
      <c r="BB11" s="108">
        <f t="shared" si="6"/>
        <v>-0.5</v>
      </c>
      <c r="BC11" s="108">
        <f t="shared" si="6"/>
        <v>-0.41818181818181815</v>
      </c>
      <c r="BD11" s="108">
        <f t="shared" si="6"/>
        <v>-0.48739495798319316</v>
      </c>
      <c r="BE11" s="108"/>
      <c r="BF11" s="108"/>
      <c r="BG11" s="108"/>
      <c r="BH11" s="108"/>
    </row>
    <row r="12" spans="1:66" x14ac:dyDescent="0.35">
      <c r="A12" s="180"/>
      <c r="B12" s="86" t="str">
        <f>_xlfn.CONCAT("PWM Frequency [fpwm]. Enter a value up to ",C82,"kHz")</f>
        <v>PWM Frequency [fpwm]. Enter a value up to 60kHz</v>
      </c>
      <c r="C12" s="100">
        <v>16</v>
      </c>
      <c r="D12" s="82" t="s">
        <v>9</v>
      </c>
      <c r="E12" s="174"/>
      <c r="F12" s="152" t="s">
        <v>185</v>
      </c>
      <c r="G12" s="196">
        <f>ROUND(M50,2)</f>
        <v>0.86</v>
      </c>
      <c r="H12" s="153" t="s">
        <v>5</v>
      </c>
      <c r="I12" s="180"/>
      <c r="J12" s="6">
        <f>1*1*J14*C12*0.000001/2*6</f>
        <v>4.7999999999999996E-3</v>
      </c>
      <c r="AE12" s="106">
        <v>5</v>
      </c>
      <c r="AF12" s="108">
        <v>100</v>
      </c>
      <c r="AG12" s="108">
        <v>150</v>
      </c>
      <c r="AH12" s="106">
        <v>0</v>
      </c>
      <c r="AI12" s="108">
        <v>0</v>
      </c>
      <c r="AJ12" s="108">
        <v>0.1</v>
      </c>
      <c r="AK12" s="108">
        <v>0.4</v>
      </c>
      <c r="AL12" s="108">
        <v>0.7</v>
      </c>
      <c r="AM12" s="108">
        <v>1.5</v>
      </c>
      <c r="AN12" s="108">
        <v>7.8</v>
      </c>
      <c r="AO12" s="109">
        <v>17.7</v>
      </c>
      <c r="AP12" s="108">
        <v>0.7</v>
      </c>
      <c r="AQ12" s="108">
        <v>1</v>
      </c>
      <c r="AR12" s="108">
        <v>1.2</v>
      </c>
      <c r="AS12" s="108">
        <v>1.7</v>
      </c>
      <c r="AT12" s="108">
        <v>2.1</v>
      </c>
      <c r="AU12" s="108">
        <v>2.7</v>
      </c>
      <c r="AV12" s="108">
        <v>6.6</v>
      </c>
      <c r="AW12" s="109">
        <v>13</v>
      </c>
      <c r="AX12" s="108"/>
      <c r="AY12" s="108"/>
      <c r="AZ12" s="108">
        <f t="shared" ref="AZ12" si="7">(AK10-AK12)/AK10</f>
        <v>-3.0000000000000004</v>
      </c>
      <c r="BA12" s="108">
        <f t="shared" ref="BA12" si="8">(AL10-AL12)/AL10</f>
        <v>-0.74999999999999978</v>
      </c>
      <c r="BB12" s="108">
        <f t="shared" ref="BB12" si="9">(AM10-AM12)/AM10</f>
        <v>-0.66666666666666663</v>
      </c>
      <c r="BC12" s="108">
        <f t="shared" ref="BC12" si="10">(AN10-AN12)/AN10</f>
        <v>-0.65957446808510634</v>
      </c>
      <c r="BD12" s="108">
        <f t="shared" ref="BD12" si="11">(AO10-AO12)/AO10</f>
        <v>-0.76999999999999991</v>
      </c>
      <c r="BE12" s="108"/>
      <c r="BF12" s="108"/>
      <c r="BG12" s="108"/>
      <c r="BH12" s="108"/>
    </row>
    <row r="13" spans="1:66" x14ac:dyDescent="0.35">
      <c r="A13" s="180"/>
      <c r="B13" s="86" t="s">
        <v>141</v>
      </c>
      <c r="C13" s="100">
        <v>10</v>
      </c>
      <c r="D13" s="82" t="str">
        <f>slew_rate_unit</f>
        <v>V/ns</v>
      </c>
      <c r="E13" s="174"/>
      <c r="F13" s="151" t="s">
        <v>100</v>
      </c>
      <c r="G13" s="149">
        <f>ROUND(diode_losses+standby_power,2)</f>
        <v>0.14000000000000001</v>
      </c>
      <c r="H13" s="150" t="s">
        <v>5</v>
      </c>
      <c r="I13" s="180"/>
      <c r="J13" s="6" t="s">
        <v>168</v>
      </c>
      <c r="AE13" s="106">
        <v>5</v>
      </c>
      <c r="AF13" s="108">
        <v>150</v>
      </c>
      <c r="AG13" s="108">
        <v>-40</v>
      </c>
      <c r="AH13" s="106">
        <v>0</v>
      </c>
      <c r="AI13" s="108">
        <v>0</v>
      </c>
      <c r="AJ13" s="108">
        <v>0</v>
      </c>
      <c r="AK13" s="108">
        <v>0.2</v>
      </c>
      <c r="AL13" s="108">
        <v>0.8</v>
      </c>
      <c r="AM13" s="108">
        <v>1.7</v>
      </c>
      <c r="AN13" s="108">
        <v>8.3000000000000007</v>
      </c>
      <c r="AO13" s="109">
        <v>17.100000000000001</v>
      </c>
      <c r="AP13" s="108">
        <v>1.4</v>
      </c>
      <c r="AQ13" s="108">
        <v>1.8</v>
      </c>
      <c r="AR13" s="108">
        <v>2.2999999999999998</v>
      </c>
      <c r="AS13" s="108">
        <v>3.1</v>
      </c>
      <c r="AT13" s="108">
        <v>3.8</v>
      </c>
      <c r="AU13" s="108">
        <v>4.8</v>
      </c>
      <c r="AV13" s="108">
        <v>11.6</v>
      </c>
      <c r="AW13" s="109">
        <v>22.3</v>
      </c>
      <c r="AX13" s="108"/>
      <c r="AY13" s="108"/>
      <c r="AZ13" s="125">
        <f>AZ14/($AG14-$AG15)</f>
        <v>3.1999999999999993E-3</v>
      </c>
      <c r="BA13" s="125">
        <f t="shared" ref="BA13" si="12">BA14/($AG14-$AG15)</f>
        <v>3.5555555555555557E-3</v>
      </c>
      <c r="BB13" s="125">
        <f t="shared" ref="BB13" si="13">BB14/($AG14-$AG15)</f>
        <v>3.36842105263158E-3</v>
      </c>
      <c r="BC13" s="125">
        <f t="shared" ref="BC13" si="14">BC14/($AG14-$AG15)</f>
        <v>3.6444444444444441E-3</v>
      </c>
      <c r="BD13" s="125">
        <f t="shared" ref="BD13" si="15">BD14/($AG14-$AG15)</f>
        <v>3.3034825870646755E-3</v>
      </c>
      <c r="BE13" s="125">
        <f t="shared" ref="BE13" si="16">MAX(AZ13:BD13)</f>
        <v>3.6444444444444441E-3</v>
      </c>
      <c r="BF13" s="125">
        <f t="shared" ref="BF13" si="17">MIN(AZ13:BE13)</f>
        <v>3.1999999999999993E-3</v>
      </c>
      <c r="BG13" s="108">
        <f t="shared" ref="BG13" si="18">MEDIAN(AZ13:BD13)</f>
        <v>3.36842105263158E-3</v>
      </c>
      <c r="BH13" s="108"/>
    </row>
    <row r="14" spans="1:66" ht="15" thickBot="1" x14ac:dyDescent="0.4">
      <c r="A14" s="180"/>
      <c r="B14" s="86" t="s">
        <v>109</v>
      </c>
      <c r="C14" s="100">
        <v>200</v>
      </c>
      <c r="D14" s="82" t="s">
        <v>41</v>
      </c>
      <c r="E14" s="175"/>
      <c r="F14" s="148" t="s">
        <v>160</v>
      </c>
      <c r="G14" s="197">
        <f>G8+G10+G11+G13</f>
        <v>1.9059599999999999</v>
      </c>
      <c r="H14" s="85" t="s">
        <v>5</v>
      </c>
      <c r="I14" s="180"/>
      <c r="J14" s="6">
        <v>100</v>
      </c>
      <c r="K14" s="6" t="s">
        <v>188</v>
      </c>
      <c r="AE14" s="106">
        <v>5</v>
      </c>
      <c r="AF14" s="108">
        <v>150</v>
      </c>
      <c r="AG14" s="108">
        <v>25</v>
      </c>
      <c r="AH14" s="106">
        <v>0</v>
      </c>
      <c r="AI14" s="108">
        <v>0</v>
      </c>
      <c r="AJ14" s="108">
        <v>0</v>
      </c>
      <c r="AK14" s="108">
        <v>0.5</v>
      </c>
      <c r="AL14" s="108">
        <v>0.9</v>
      </c>
      <c r="AM14" s="108">
        <v>1.9</v>
      </c>
      <c r="AN14" s="108">
        <v>9</v>
      </c>
      <c r="AO14" s="109">
        <v>20.100000000000001</v>
      </c>
      <c r="AP14" s="108">
        <v>1.4</v>
      </c>
      <c r="AQ14" s="108">
        <v>1.8</v>
      </c>
      <c r="AR14" s="108">
        <v>2.2999999999999998</v>
      </c>
      <c r="AS14" s="108">
        <v>3.1</v>
      </c>
      <c r="AT14" s="108">
        <v>3.8</v>
      </c>
      <c r="AU14" s="108">
        <v>4.8</v>
      </c>
      <c r="AV14" s="108">
        <v>11.6</v>
      </c>
      <c r="AW14" s="109">
        <v>22.3</v>
      </c>
      <c r="AX14" s="108"/>
      <c r="AY14" s="108"/>
      <c r="AZ14" s="108">
        <f>(AK14-AK15)/AK14</f>
        <v>-0.39999999999999991</v>
      </c>
      <c r="BA14" s="108">
        <f t="shared" ref="BA14" si="19">(AL14-AL15)/AL14</f>
        <v>-0.44444444444444448</v>
      </c>
      <c r="BB14" s="108">
        <f t="shared" ref="BB14" si="20">(AM14-AM15)/AM14</f>
        <v>-0.42105263157894751</v>
      </c>
      <c r="BC14" s="108">
        <f t="shared" ref="BC14" si="21">(AN14-AN15)/AN14</f>
        <v>-0.45555555555555549</v>
      </c>
      <c r="BD14" s="108">
        <f t="shared" ref="BD14" si="22">(AO14-AO15)/AO14</f>
        <v>-0.41293532338308442</v>
      </c>
      <c r="BE14" s="108"/>
      <c r="BF14" s="108"/>
      <c r="BG14" s="108"/>
      <c r="BH14" s="108">
        <f>AVERAGE(BG10:BG24)</f>
        <v>2.9565217189755585E-3</v>
      </c>
    </row>
    <row r="15" spans="1:66" ht="15" hidden="1" customHeight="1" x14ac:dyDescent="0.35">
      <c r="A15" s="180"/>
      <c r="B15" s="86" t="str">
        <f>IF((C83="Yes"),_xlfn.CONCAT(C85," output load current (I_",C85,")"),"")</f>
        <v/>
      </c>
      <c r="C15" s="100">
        <v>5</v>
      </c>
      <c r="D15" s="87" t="str">
        <f>IF(B15="","","mA")</f>
        <v/>
      </c>
      <c r="E15" s="175"/>
      <c r="I15" s="180"/>
      <c r="AE15" s="106">
        <v>5</v>
      </c>
      <c r="AF15" s="108">
        <v>150</v>
      </c>
      <c r="AG15" s="108">
        <v>150</v>
      </c>
      <c r="AH15" s="106">
        <v>0</v>
      </c>
      <c r="AI15" s="108">
        <v>0</v>
      </c>
      <c r="AJ15" s="108">
        <v>0.2</v>
      </c>
      <c r="AK15" s="108">
        <v>0.7</v>
      </c>
      <c r="AL15" s="108">
        <v>1.3</v>
      </c>
      <c r="AM15" s="108">
        <v>2.7</v>
      </c>
      <c r="AN15" s="108">
        <v>13.1</v>
      </c>
      <c r="AO15" s="109">
        <v>28.4</v>
      </c>
      <c r="AP15" s="108">
        <v>1.4</v>
      </c>
      <c r="AQ15" s="108">
        <v>1.8</v>
      </c>
      <c r="AR15" s="108">
        <v>2.2999999999999998</v>
      </c>
      <c r="AS15" s="108">
        <v>3.1</v>
      </c>
      <c r="AT15" s="108">
        <v>3.8</v>
      </c>
      <c r="AU15" s="108">
        <v>4.8</v>
      </c>
      <c r="AV15" s="108">
        <v>11.6</v>
      </c>
      <c r="AW15" s="109">
        <v>22.3</v>
      </c>
      <c r="AX15" s="108"/>
      <c r="AY15" s="108"/>
      <c r="AZ15" s="108">
        <f t="shared" ref="AZ15" si="23">(AK13-AK15)/AK13</f>
        <v>-2.4999999999999996</v>
      </c>
      <c r="BA15" s="108">
        <f t="shared" ref="BA15" si="24">(AL13-AL15)/AL13</f>
        <v>-0.625</v>
      </c>
      <c r="BB15" s="108">
        <f t="shared" ref="BB15" si="25">(AM13-AM15)/AM13</f>
        <v>-0.58823529411764719</v>
      </c>
      <c r="BC15" s="108">
        <f t="shared" ref="BC15" si="26">(AN13-AN15)/AN13</f>
        <v>-0.57831325301204806</v>
      </c>
      <c r="BD15" s="108">
        <f t="shared" ref="BD15" si="27">(AO13-AO15)/AO13</f>
        <v>-0.66081871345029219</v>
      </c>
      <c r="BE15" s="108"/>
      <c r="BF15" s="108"/>
      <c r="BG15" s="108"/>
      <c r="BH15" s="108"/>
    </row>
    <row r="16" spans="1:66" ht="15" hidden="1" customHeight="1" thickBot="1" x14ac:dyDescent="0.4">
      <c r="A16" s="180"/>
      <c r="B16" s="157" t="str">
        <f>IF(AND(C83="Yes",C84=2),_xlfn.CONCAT(C88," output load current (I_",C88,")"),"")</f>
        <v/>
      </c>
      <c r="C16" s="142">
        <v>5</v>
      </c>
      <c r="D16" s="158" t="str">
        <f>IF(B16&lt;&gt;"","mA","")</f>
        <v/>
      </c>
      <c r="E16" s="176"/>
      <c r="I16" s="180"/>
      <c r="AE16" s="106">
        <v>5</v>
      </c>
      <c r="AF16" s="108">
        <v>200</v>
      </c>
      <c r="AG16" s="108">
        <v>-40</v>
      </c>
      <c r="AH16" s="106">
        <v>0</v>
      </c>
      <c r="AI16" s="108">
        <v>0</v>
      </c>
      <c r="AJ16" s="108">
        <v>0</v>
      </c>
      <c r="AK16" s="108">
        <v>0.3</v>
      </c>
      <c r="AL16" s="108">
        <v>1.3</v>
      </c>
      <c r="AM16" s="108">
        <v>2.9</v>
      </c>
      <c r="AN16" s="108">
        <v>13.2</v>
      </c>
      <c r="AO16" s="109">
        <v>26.1</v>
      </c>
      <c r="AP16" s="108">
        <v>2.2999999999999998</v>
      </c>
      <c r="AQ16" s="108">
        <v>2.9</v>
      </c>
      <c r="AR16" s="108">
        <v>3.7</v>
      </c>
      <c r="AS16" s="108">
        <v>5</v>
      </c>
      <c r="AT16" s="108">
        <v>6</v>
      </c>
      <c r="AU16" s="108">
        <v>7.6</v>
      </c>
      <c r="AV16" s="108">
        <v>18</v>
      </c>
      <c r="AW16" s="109">
        <v>33.799999999999997</v>
      </c>
      <c r="AX16" s="108"/>
      <c r="AY16" s="108"/>
      <c r="AZ16" s="125">
        <f t="shared" ref="AZ16" si="28">AZ17/($AG17-$AG18)</f>
        <v>3.4285714285714293E-3</v>
      </c>
      <c r="BA16" s="125">
        <f t="shared" ref="BA16" si="29">BA17/($AG17-$AG18)</f>
        <v>3.7333333333333342E-3</v>
      </c>
      <c r="BB16" s="125">
        <f t="shared" ref="BB16" si="30">BB17/($AG17-$AG18)</f>
        <v>2.749999999999999E-3</v>
      </c>
      <c r="BC16" s="125">
        <f t="shared" ref="BC16" si="31">BC17/($AG17-$AG18)</f>
        <v>2.8888888888888892E-3</v>
      </c>
      <c r="BD16" s="125">
        <f t="shared" ref="BD16" si="32">BD17/($AG17-$AG18)</f>
        <v>2.9933774834437089E-3</v>
      </c>
      <c r="BE16" s="125">
        <f t="shared" ref="BE16" si="33">MAX(AZ16:BD16)</f>
        <v>3.7333333333333342E-3</v>
      </c>
      <c r="BF16" s="125">
        <f t="shared" ref="BF16" si="34">MIN(AZ16:BE16)</f>
        <v>2.749999999999999E-3</v>
      </c>
      <c r="BG16" s="108">
        <f t="shared" ref="BG16" si="35">MEDIAN(AZ16:BD16)</f>
        <v>2.9933774834437089E-3</v>
      </c>
      <c r="BH16" s="108"/>
    </row>
    <row r="17" spans="1:75" ht="15.5" thickTop="1" thickBot="1" x14ac:dyDescent="0.4">
      <c r="A17" s="180"/>
      <c r="B17" s="167" t="s">
        <v>163</v>
      </c>
      <c r="C17" s="168" t="s">
        <v>2</v>
      </c>
      <c r="D17" s="170" t="s">
        <v>1</v>
      </c>
      <c r="E17" s="176"/>
      <c r="F17" s="223" t="s">
        <v>159</v>
      </c>
      <c r="G17" s="224"/>
      <c r="H17" s="225"/>
      <c r="I17" s="180"/>
      <c r="J17" s="6">
        <f>310*310*J14/2*C12*0.000001*3</f>
        <v>230.64</v>
      </c>
      <c r="AE17" s="106">
        <v>5</v>
      </c>
      <c r="AF17" s="108">
        <v>200</v>
      </c>
      <c r="AG17" s="108">
        <v>25</v>
      </c>
      <c r="AH17" s="106">
        <v>0</v>
      </c>
      <c r="AI17" s="108">
        <v>0</v>
      </c>
      <c r="AJ17" s="108">
        <v>0</v>
      </c>
      <c r="AK17" s="108">
        <v>0.7</v>
      </c>
      <c r="AL17" s="108">
        <v>1.5</v>
      </c>
      <c r="AM17" s="108">
        <v>3.2</v>
      </c>
      <c r="AN17" s="108">
        <v>14.4</v>
      </c>
      <c r="AO17" s="109">
        <v>30.2</v>
      </c>
      <c r="AP17" s="108">
        <v>2.2999999999999998</v>
      </c>
      <c r="AQ17" s="108">
        <v>2.9</v>
      </c>
      <c r="AR17" s="108">
        <v>3.7</v>
      </c>
      <c r="AS17" s="108">
        <v>5</v>
      </c>
      <c r="AT17" s="108">
        <v>6</v>
      </c>
      <c r="AU17" s="108">
        <v>7.6</v>
      </c>
      <c r="AV17" s="108">
        <v>18</v>
      </c>
      <c r="AW17" s="109">
        <v>33.799999999999997</v>
      </c>
      <c r="AX17" s="108"/>
      <c r="AY17" s="108"/>
      <c r="AZ17" s="108">
        <f t="shared" ref="AZ17" si="36">(AK17-AK18)/AK17</f>
        <v>-0.42857142857142866</v>
      </c>
      <c r="BA17" s="108">
        <f t="shared" ref="BA17" si="37">(AL17-AL18)/AL17</f>
        <v>-0.46666666666666679</v>
      </c>
      <c r="BB17" s="108">
        <f t="shared" ref="BB17" si="38">(AM17-AM18)/AM17</f>
        <v>-0.34374999999999989</v>
      </c>
      <c r="BC17" s="108">
        <f t="shared" ref="BC17" si="39">(AN17-AN18)/AN17</f>
        <v>-0.36111111111111116</v>
      </c>
      <c r="BD17" s="108">
        <f t="shared" ref="BD17" si="40">(AO17-AO18)/AO17</f>
        <v>-0.3741721854304636</v>
      </c>
      <c r="BE17" s="108"/>
      <c r="BF17" s="108"/>
      <c r="BG17" s="108"/>
      <c r="BH17" s="108"/>
    </row>
    <row r="18" spans="1:75" ht="31" customHeight="1" thickTop="1" thickBot="1" x14ac:dyDescent="0.4">
      <c r="A18" s="180"/>
      <c r="B18" s="84" t="str">
        <f>_xlfn.CONCAT("Ambient Temperature. Enter a value from -40C to ",ambient_temp_device_max,"C")</f>
        <v>Ambient Temperature. Enter a value from -40C to 125C</v>
      </c>
      <c r="C18" s="159">
        <v>40</v>
      </c>
      <c r="D18" s="144" t="s">
        <v>96</v>
      </c>
      <c r="E18" s="176"/>
      <c r="F18" s="154" t="s">
        <v>101</v>
      </c>
      <c r="G18" s="155">
        <f>ROUND(Ambient_temp+G14*Theta_JA,1)</f>
        <v>88.6</v>
      </c>
      <c r="H18" s="156" t="s">
        <v>110</v>
      </c>
      <c r="I18" s="201" t="str">
        <f>_xlfn.CONCAT(IF(Theta_JA&gt;17.5,"Consider reducing PCB theta JA to reduce device temperature and power loss",IF(G8&gt;4,"Consider reducing RMS current to reduce conduction losses","")))</f>
        <v>Consider reducing PCB theta JA to reduce device temperature and power loss</v>
      </c>
      <c r="J18" s="6" t="s">
        <v>189</v>
      </c>
      <c r="AE18" s="106">
        <v>5</v>
      </c>
      <c r="AF18" s="108">
        <v>200</v>
      </c>
      <c r="AG18" s="108">
        <v>150</v>
      </c>
      <c r="AH18" s="106">
        <v>0</v>
      </c>
      <c r="AI18" s="108">
        <v>0</v>
      </c>
      <c r="AJ18" s="108">
        <v>0.2</v>
      </c>
      <c r="AK18" s="108">
        <v>1</v>
      </c>
      <c r="AL18" s="108">
        <v>2.2000000000000002</v>
      </c>
      <c r="AM18" s="108">
        <v>4.3</v>
      </c>
      <c r="AN18" s="108">
        <v>19.600000000000001</v>
      </c>
      <c r="AO18" s="109">
        <v>41.5</v>
      </c>
      <c r="AP18" s="108">
        <v>2.2999999999999998</v>
      </c>
      <c r="AQ18" s="108">
        <v>2.9</v>
      </c>
      <c r="AR18" s="108">
        <v>3.7</v>
      </c>
      <c r="AS18" s="108">
        <v>5</v>
      </c>
      <c r="AT18" s="108">
        <v>6</v>
      </c>
      <c r="AU18" s="108">
        <v>7.6</v>
      </c>
      <c r="AV18" s="108">
        <v>18</v>
      </c>
      <c r="AW18" s="109">
        <v>33.799999999999997</v>
      </c>
      <c r="AX18" s="108"/>
      <c r="AY18" s="108"/>
      <c r="AZ18" s="108">
        <f t="shared" ref="AZ18" si="41">(AK16-AK18)/AK16</f>
        <v>-2.3333333333333335</v>
      </c>
      <c r="BA18" s="108">
        <f t="shared" ref="BA18" si="42">(AL16-AL18)/AL16</f>
        <v>-0.6923076923076924</v>
      </c>
      <c r="BB18" s="108">
        <f t="shared" ref="BB18" si="43">(AM16-AM18)/AM16</f>
        <v>-0.48275862068965514</v>
      </c>
      <c r="BC18" s="108">
        <f t="shared" ref="BC18" si="44">(AN16-AN18)/AN16</f>
        <v>-0.48484848484848503</v>
      </c>
      <c r="BD18" s="108">
        <f t="shared" ref="BD18" si="45">(AO16-AO18)/AO16</f>
        <v>-0.59003831417624508</v>
      </c>
      <c r="BE18" s="108"/>
      <c r="BF18" s="108"/>
      <c r="BG18" s="108"/>
      <c r="BH18" s="108"/>
      <c r="BJ18" s="6" t="s">
        <v>76</v>
      </c>
      <c r="BK18" s="6" t="s">
        <v>76</v>
      </c>
      <c r="BL18" s="6" t="s">
        <v>76</v>
      </c>
      <c r="BM18" s="6" t="s">
        <v>76</v>
      </c>
      <c r="BN18" s="6" t="s">
        <v>76</v>
      </c>
      <c r="BO18" s="6" t="s">
        <v>76</v>
      </c>
      <c r="BP18" s="6" t="s">
        <v>76</v>
      </c>
      <c r="BQ18" s="6" t="s">
        <v>77</v>
      </c>
      <c r="BR18" s="6" t="s">
        <v>77</v>
      </c>
      <c r="BS18" s="6" t="s">
        <v>77</v>
      </c>
      <c r="BT18" s="6" t="s">
        <v>77</v>
      </c>
      <c r="BU18" s="6" t="s">
        <v>77</v>
      </c>
      <c r="BV18" s="6" t="s">
        <v>77</v>
      </c>
      <c r="BW18" s="6" t="s">
        <v>77</v>
      </c>
    </row>
    <row r="19" spans="1:75" ht="15" thickBot="1" x14ac:dyDescent="0.4">
      <c r="A19" s="180"/>
      <c r="B19" s="141" t="s">
        <v>165</v>
      </c>
      <c r="C19" s="142">
        <v>120</v>
      </c>
      <c r="D19" s="143" t="s">
        <v>96</v>
      </c>
      <c r="E19" s="176"/>
      <c r="F19" s="161" t="s">
        <v>126</v>
      </c>
      <c r="G19" s="162">
        <f>G18-G14*4</f>
        <v>80.976159999999993</v>
      </c>
      <c r="H19" s="140" t="s">
        <v>110</v>
      </c>
      <c r="I19" s="180"/>
      <c r="AE19" s="106">
        <v>5</v>
      </c>
      <c r="AF19" s="108">
        <v>300</v>
      </c>
      <c r="AG19" s="108">
        <v>-40</v>
      </c>
      <c r="AH19" s="106">
        <v>0</v>
      </c>
      <c r="AI19" s="108">
        <v>0</v>
      </c>
      <c r="AJ19" s="108">
        <v>0</v>
      </c>
      <c r="AK19" s="108">
        <v>0.6</v>
      </c>
      <c r="AL19" s="108">
        <v>3</v>
      </c>
      <c r="AM19" s="108">
        <v>6.2</v>
      </c>
      <c r="AN19" s="108">
        <v>25.7</v>
      </c>
      <c r="AO19" s="109">
        <v>49.6</v>
      </c>
      <c r="AP19" s="108">
        <v>4.7</v>
      </c>
      <c r="AQ19" s="108">
        <v>5.8</v>
      </c>
      <c r="AR19" s="108">
        <v>7.4</v>
      </c>
      <c r="AS19" s="108">
        <v>10</v>
      </c>
      <c r="AT19" s="108">
        <v>12.1</v>
      </c>
      <c r="AU19" s="108">
        <v>15.5</v>
      </c>
      <c r="AV19" s="108">
        <v>35.799999999999997</v>
      </c>
      <c r="AW19" s="109">
        <v>64.7</v>
      </c>
      <c r="AX19" s="108"/>
      <c r="AY19" s="108"/>
      <c r="AZ19" s="125">
        <f t="shared" ref="AZ19" si="46">AZ20/($AG20-$AG21)</f>
        <v>4.5714285714285726E-3</v>
      </c>
      <c r="BA19" s="125">
        <f t="shared" ref="BA19" si="47">BA20/($AG20-$AG21)</f>
        <v>2.9090909090909098E-3</v>
      </c>
      <c r="BB19" s="125">
        <f t="shared" ref="BB19" si="48">BB20/($AG20-$AG21)</f>
        <v>2.1176470588235292E-3</v>
      </c>
      <c r="BC19" s="125">
        <f t="shared" ref="BC19" si="49">BC20/($AG20-$AG21)</f>
        <v>2.1818181818181806E-3</v>
      </c>
      <c r="BD19" s="125">
        <f t="shared" ref="BD19" si="50">BD20/($AG20-$AG21)</f>
        <v>2.4812834224598929E-3</v>
      </c>
      <c r="BE19" s="125">
        <f t="shared" ref="BE19" si="51">MAX(AZ19:BD19)</f>
        <v>4.5714285714285726E-3</v>
      </c>
      <c r="BF19" s="125">
        <f t="shared" ref="BF19" si="52">MIN(AZ19:BE19)</f>
        <v>2.1176470588235292E-3</v>
      </c>
      <c r="BG19" s="108">
        <f t="shared" ref="BG19" si="53">MEDIAN(AZ19:BD19)</f>
        <v>2.4812834224598929E-3</v>
      </c>
      <c r="BH19" s="108"/>
      <c r="BJ19" s="8">
        <v>0.1</v>
      </c>
      <c r="BK19" s="9">
        <v>0.25</v>
      </c>
      <c r="BL19" s="9">
        <v>0.5</v>
      </c>
      <c r="BM19" s="9">
        <v>0.7</v>
      </c>
      <c r="BN19" s="9">
        <v>1</v>
      </c>
      <c r="BO19" s="9">
        <v>2.5</v>
      </c>
      <c r="BP19" s="9">
        <v>4</v>
      </c>
      <c r="BQ19" s="9">
        <v>0.1</v>
      </c>
      <c r="BR19" s="9">
        <v>0.25</v>
      </c>
      <c r="BS19" s="9">
        <v>0.5</v>
      </c>
      <c r="BT19" s="9">
        <v>0.7</v>
      </c>
      <c r="BU19" s="9">
        <v>1</v>
      </c>
      <c r="BV19" s="9">
        <v>2.5</v>
      </c>
      <c r="BW19" s="10">
        <v>4</v>
      </c>
    </row>
    <row r="20" spans="1:75" ht="23.15" customHeight="1" thickTop="1" thickBot="1" x14ac:dyDescent="0.4">
      <c r="A20" s="180"/>
      <c r="B20" s="167" t="s">
        <v>135</v>
      </c>
      <c r="C20" s="168" t="s">
        <v>164</v>
      </c>
      <c r="D20" s="171"/>
      <c r="E20" s="176"/>
      <c r="F20" s="226" t="str">
        <f>_xlfn.CONCAT("Estimated max PCB theta JA to keep TJ at or below ",C19,D19)</f>
        <v>Estimated max PCB theta JA to keep TJ at or below 120°C</v>
      </c>
      <c r="G20" s="227"/>
      <c r="H20" s="228"/>
      <c r="I20" s="180"/>
      <c r="AE20" s="106">
        <v>5</v>
      </c>
      <c r="AF20" s="108">
        <v>300</v>
      </c>
      <c r="AG20" s="108">
        <v>25</v>
      </c>
      <c r="AH20" s="106">
        <v>0</v>
      </c>
      <c r="AI20" s="108">
        <v>0</v>
      </c>
      <c r="AJ20" s="108">
        <v>0</v>
      </c>
      <c r="AK20" s="108">
        <v>1.4</v>
      </c>
      <c r="AL20" s="108">
        <v>3.3</v>
      </c>
      <c r="AM20" s="108">
        <v>6.8</v>
      </c>
      <c r="AN20" s="108">
        <v>28.6</v>
      </c>
      <c r="AO20" s="109">
        <v>56.1</v>
      </c>
      <c r="AP20" s="108">
        <v>4.7</v>
      </c>
      <c r="AQ20" s="108">
        <v>5.8</v>
      </c>
      <c r="AR20" s="108">
        <v>7.4</v>
      </c>
      <c r="AS20" s="108">
        <v>10</v>
      </c>
      <c r="AT20" s="108">
        <v>12.1</v>
      </c>
      <c r="AU20" s="108">
        <v>15.5</v>
      </c>
      <c r="AV20" s="108">
        <v>35.799999999999997</v>
      </c>
      <c r="AW20" s="109">
        <v>64.7</v>
      </c>
      <c r="AX20" s="108"/>
      <c r="AY20" s="108"/>
      <c r="AZ20" s="108">
        <f t="shared" ref="AZ20" si="54">(AK20-AK21)/AK20</f>
        <v>-0.57142857142857162</v>
      </c>
      <c r="BA20" s="108">
        <f t="shared" ref="BA20" si="55">(AL20-AL21)/AL20</f>
        <v>-0.3636363636363637</v>
      </c>
      <c r="BB20" s="108">
        <f t="shared" ref="BB20" si="56">(AM20-AM21)/AM20</f>
        <v>-0.26470588235294118</v>
      </c>
      <c r="BC20" s="108">
        <f t="shared" ref="BC20" si="57">(AN20-AN21)/AN20</f>
        <v>-0.2727272727272726</v>
      </c>
      <c r="BD20" s="108">
        <f t="shared" ref="BD20" si="58">(AO20-AO21)/AO20</f>
        <v>-0.31016042780748659</v>
      </c>
      <c r="BE20" s="108"/>
      <c r="BF20" s="108"/>
      <c r="BG20" s="108"/>
      <c r="BH20" s="108"/>
      <c r="BI20" s="11" t="s">
        <v>75</v>
      </c>
      <c r="BJ20" s="12">
        <f t="shared" ref="BJ20:BP20" si="59">AQ20/(300-75)</f>
        <v>2.5777777777777778E-2</v>
      </c>
      <c r="BK20" s="13">
        <f t="shared" si="59"/>
        <v>3.2888888888888891E-2</v>
      </c>
      <c r="BL20" s="13">
        <f t="shared" si="59"/>
        <v>4.4444444444444446E-2</v>
      </c>
      <c r="BM20" s="13">
        <f t="shared" si="59"/>
        <v>5.3777777777777779E-2</v>
      </c>
      <c r="BN20" s="13">
        <f t="shared" si="59"/>
        <v>6.8888888888888888E-2</v>
      </c>
      <c r="BO20" s="13">
        <f t="shared" si="59"/>
        <v>0.15911111111111109</v>
      </c>
      <c r="BP20" s="13">
        <f t="shared" si="59"/>
        <v>0.28755555555555556</v>
      </c>
      <c r="BQ20" s="13">
        <f t="shared" ref="BQ20:BW20" si="60">AI20/(300-75)</f>
        <v>0</v>
      </c>
      <c r="BR20" s="13">
        <f t="shared" si="60"/>
        <v>0</v>
      </c>
      <c r="BS20" s="13">
        <f t="shared" si="60"/>
        <v>6.2222222222222219E-3</v>
      </c>
      <c r="BT20" s="13">
        <f t="shared" si="60"/>
        <v>1.4666666666666666E-2</v>
      </c>
      <c r="BU20" s="13">
        <f t="shared" si="60"/>
        <v>3.022222222222222E-2</v>
      </c>
      <c r="BV20" s="13">
        <f t="shared" si="60"/>
        <v>0.12711111111111112</v>
      </c>
      <c r="BW20" s="14">
        <f t="shared" si="60"/>
        <v>0.24933333333333335</v>
      </c>
    </row>
    <row r="21" spans="1:75" ht="33" customHeight="1" thickTop="1" x14ac:dyDescent="0.35">
      <c r="A21" s="180"/>
      <c r="B21" s="251" t="s">
        <v>135</v>
      </c>
      <c r="C21" s="252" t="s">
        <v>137</v>
      </c>
      <c r="D21" s="222"/>
      <c r="E21" s="177"/>
      <c r="F21" s="202" t="str">
        <f>_xlfn.CONCAT("Max estimated allowable PCB Theta JA to keep Tj at or below ",C19,D19)</f>
        <v>Max estimated allowable PCB Theta JA to keep Tj at or below 120°C</v>
      </c>
      <c r="G21" s="204">
        <f>ROUND((C19-Ambient_temp)/AA28,1)</f>
        <v>39.299999999999997</v>
      </c>
      <c r="H21" s="206" t="s">
        <v>99</v>
      </c>
      <c r="I21" s="180"/>
      <c r="AE21" s="106">
        <v>5</v>
      </c>
      <c r="AF21" s="108">
        <v>300</v>
      </c>
      <c r="AG21" s="108">
        <v>150</v>
      </c>
      <c r="AH21" s="106">
        <v>0</v>
      </c>
      <c r="AI21" s="108">
        <v>0</v>
      </c>
      <c r="AJ21" s="108">
        <v>0.3</v>
      </c>
      <c r="AK21" s="108">
        <v>2.2000000000000002</v>
      </c>
      <c r="AL21" s="108">
        <v>4.5</v>
      </c>
      <c r="AM21" s="108">
        <v>8.6</v>
      </c>
      <c r="AN21" s="108">
        <v>36.4</v>
      </c>
      <c r="AO21" s="109">
        <v>73.5</v>
      </c>
      <c r="AP21" s="108">
        <v>4.7</v>
      </c>
      <c r="AQ21" s="108">
        <v>5.8</v>
      </c>
      <c r="AR21" s="108">
        <v>7.4</v>
      </c>
      <c r="AS21" s="108">
        <v>10</v>
      </c>
      <c r="AT21" s="108">
        <v>12.1</v>
      </c>
      <c r="AU21" s="108">
        <v>15.5</v>
      </c>
      <c r="AV21" s="108">
        <v>35.799999999999997</v>
      </c>
      <c r="AW21" s="109">
        <v>64.7</v>
      </c>
      <c r="AX21" s="108"/>
      <c r="AY21" s="108"/>
      <c r="AZ21" s="108">
        <f t="shared" ref="AZ21" si="61">(AK19-AK21)/AK19</f>
        <v>-2.666666666666667</v>
      </c>
      <c r="BA21" s="108">
        <f t="shared" ref="BA21" si="62">(AL19-AL21)/AL19</f>
        <v>-0.5</v>
      </c>
      <c r="BB21" s="108">
        <f t="shared" ref="BB21" si="63">(AM19-AM21)/AM19</f>
        <v>-0.38709677419354827</v>
      </c>
      <c r="BC21" s="108">
        <f t="shared" ref="BC21" si="64">(AN19-AN21)/AN19</f>
        <v>-0.41634241245136183</v>
      </c>
      <c r="BD21" s="108">
        <f t="shared" ref="BD21" si="65">(AO19-AO21)/AO19</f>
        <v>-0.48185483870967738</v>
      </c>
      <c r="BE21" s="108"/>
      <c r="BF21" s="108"/>
      <c r="BG21" s="108"/>
      <c r="BH21" s="108"/>
      <c r="BI21" s="11"/>
      <c r="BJ21" s="12">
        <f t="shared" ref="BJ21:BM21" si="66">300*BJ20</f>
        <v>7.7333333333333334</v>
      </c>
      <c r="BK21" s="13">
        <f t="shared" si="66"/>
        <v>9.8666666666666671</v>
      </c>
      <c r="BL21" s="13">
        <f t="shared" si="66"/>
        <v>13.333333333333334</v>
      </c>
      <c r="BM21" s="13">
        <f t="shared" si="66"/>
        <v>16.133333333333333</v>
      </c>
      <c r="BN21" s="13">
        <f>300*BN20</f>
        <v>20.666666666666668</v>
      </c>
      <c r="BO21" s="13">
        <f>300*BO20</f>
        <v>47.733333333333327</v>
      </c>
      <c r="BP21" s="13">
        <f>300*BP20</f>
        <v>86.266666666666666</v>
      </c>
      <c r="BQ21" s="13">
        <f t="shared" ref="BQ21:BT21" si="67">300*BQ20</f>
        <v>0</v>
      </c>
      <c r="BR21" s="13">
        <f t="shared" si="67"/>
        <v>0</v>
      </c>
      <c r="BS21" s="13">
        <f t="shared" si="67"/>
        <v>1.8666666666666665</v>
      </c>
      <c r="BT21" s="13">
        <f t="shared" si="67"/>
        <v>4.4000000000000004</v>
      </c>
      <c r="BU21" s="13">
        <f>300*BU20</f>
        <v>9.0666666666666664</v>
      </c>
      <c r="BV21" s="13">
        <f>300*BV20</f>
        <v>38.133333333333333</v>
      </c>
      <c r="BW21" s="14">
        <f>300*BW20</f>
        <v>74.800000000000011</v>
      </c>
    </row>
    <row r="22" spans="1:75" ht="15" thickBot="1" x14ac:dyDescent="0.4">
      <c r="A22" s="180"/>
      <c r="B22" s="251"/>
      <c r="C22" s="252"/>
      <c r="D22" s="222"/>
      <c r="E22" s="177"/>
      <c r="F22" s="203"/>
      <c r="G22" s="205"/>
      <c r="H22" s="207"/>
      <c r="I22" s="180"/>
      <c r="AE22" s="106">
        <v>5</v>
      </c>
      <c r="AF22" s="108">
        <v>450</v>
      </c>
      <c r="AG22" s="108">
        <v>-40</v>
      </c>
      <c r="AH22" s="106">
        <v>0</v>
      </c>
      <c r="AI22" s="108">
        <v>0</v>
      </c>
      <c r="AJ22" s="108">
        <v>0</v>
      </c>
      <c r="AK22" s="108">
        <v>1.8</v>
      </c>
      <c r="AL22" s="108">
        <v>6.9</v>
      </c>
      <c r="AM22" s="108">
        <v>13.6</v>
      </c>
      <c r="AN22" s="108">
        <v>53.5</v>
      </c>
      <c r="AO22" s="109">
        <v>93.8</v>
      </c>
      <c r="AP22" s="108">
        <v>9.5</v>
      </c>
      <c r="AQ22" s="108">
        <v>12</v>
      </c>
      <c r="AR22" s="108">
        <v>15.4</v>
      </c>
      <c r="AS22" s="108">
        <v>21.2</v>
      </c>
      <c r="AT22" s="108">
        <v>25.9</v>
      </c>
      <c r="AU22" s="108">
        <v>33.1</v>
      </c>
      <c r="AV22" s="108">
        <v>75.400000000000006</v>
      </c>
      <c r="AW22" s="109">
        <v>131</v>
      </c>
      <c r="AX22" s="108"/>
      <c r="AY22" s="108"/>
      <c r="AZ22" s="125">
        <f t="shared" ref="AZ22" si="68">AZ23/($AG23-$AG24)</f>
        <v>3.2941176470588232E-3</v>
      </c>
      <c r="BA22" s="125">
        <f t="shared" ref="BA22" si="69">BA23/($AG23-$AG24)</f>
        <v>2.3466666666666657E-3</v>
      </c>
      <c r="BB22" s="125">
        <f t="shared" ref="BB22" si="70">BB23/($AG23-$AG24)</f>
        <v>1.7959183673469392E-3</v>
      </c>
      <c r="BC22" s="125">
        <f t="shared" ref="BC22" si="71">BC23/($AG23-$AG24)</f>
        <v>1.6410256410256409E-3</v>
      </c>
      <c r="BD22" s="125">
        <f t="shared" ref="BD22" si="72">BD23/($AG23-$AG24)</f>
        <v>2.0403669724770651E-3</v>
      </c>
      <c r="BE22" s="125">
        <f t="shared" ref="BE22" si="73">MAX(AZ22:BD22)</f>
        <v>3.2941176470588232E-3</v>
      </c>
      <c r="BF22" s="125">
        <f t="shared" ref="BF22" si="74">MIN(AZ22:BE22)</f>
        <v>1.6410256410256409E-3</v>
      </c>
      <c r="BG22" s="108">
        <f t="shared" ref="BG22" si="75">MEDIAN(AZ22:BD22)</f>
        <v>2.0403669724770651E-3</v>
      </c>
      <c r="BH22" s="108"/>
      <c r="BI22" s="11" t="s">
        <v>108</v>
      </c>
      <c r="BJ22" s="15">
        <f t="shared" ref="BJ22:BP22" si="76">AQ21-BJ21</f>
        <v>-1.9333333333333336</v>
      </c>
      <c r="BK22" s="16">
        <f t="shared" si="76"/>
        <v>-2.4666666666666668</v>
      </c>
      <c r="BL22" s="16">
        <f t="shared" si="76"/>
        <v>-3.3333333333333339</v>
      </c>
      <c r="BM22" s="16">
        <f t="shared" si="76"/>
        <v>-4.0333333333333332</v>
      </c>
      <c r="BN22" s="16">
        <f t="shared" si="76"/>
        <v>-5.1666666666666679</v>
      </c>
      <c r="BO22" s="16">
        <f t="shared" si="76"/>
        <v>-11.93333333333333</v>
      </c>
      <c r="BP22" s="16">
        <f t="shared" si="76"/>
        <v>-21.566666666666663</v>
      </c>
      <c r="BQ22" s="16">
        <f t="shared" ref="BQ22:BV22" si="77">AI21-BQ21</f>
        <v>0</v>
      </c>
      <c r="BR22" s="16">
        <f t="shared" si="77"/>
        <v>0.3</v>
      </c>
      <c r="BS22" s="16">
        <f t="shared" si="77"/>
        <v>0.3333333333333337</v>
      </c>
      <c r="BT22" s="16">
        <f t="shared" si="77"/>
        <v>9.9999999999999645E-2</v>
      </c>
      <c r="BU22" s="16">
        <f t="shared" si="77"/>
        <v>-0.46666666666666679</v>
      </c>
      <c r="BV22" s="16">
        <f t="shared" si="77"/>
        <v>-1.7333333333333343</v>
      </c>
      <c r="BW22" s="17">
        <f>AO20-BW21</f>
        <v>-18.70000000000001</v>
      </c>
    </row>
    <row r="23" spans="1:75" ht="15.5" thickTop="1" thickBot="1" x14ac:dyDescent="0.4">
      <c r="A23" s="180"/>
      <c r="B23" s="167" t="s">
        <v>11</v>
      </c>
      <c r="C23" s="168" t="s">
        <v>2</v>
      </c>
      <c r="D23" s="169" t="s">
        <v>1</v>
      </c>
      <c r="E23" s="174"/>
      <c r="F23" s="180"/>
      <c r="G23" s="180"/>
      <c r="H23" s="180"/>
      <c r="I23" s="180"/>
      <c r="L23" s="1" t="s">
        <v>27</v>
      </c>
      <c r="M23" s="2" t="s">
        <v>2</v>
      </c>
      <c r="N23" s="2" t="s">
        <v>1</v>
      </c>
      <c r="O23" s="2" t="s">
        <v>59</v>
      </c>
      <c r="P23" s="6" t="s">
        <v>133</v>
      </c>
      <c r="Q23" s="6" t="s">
        <v>134</v>
      </c>
      <c r="AE23" s="106">
        <v>5</v>
      </c>
      <c r="AF23" s="108">
        <v>450</v>
      </c>
      <c r="AG23" s="108">
        <v>25</v>
      </c>
      <c r="AH23" s="106">
        <v>0</v>
      </c>
      <c r="AI23" s="108">
        <v>0</v>
      </c>
      <c r="AJ23" s="108">
        <v>0</v>
      </c>
      <c r="AK23" s="108">
        <v>3.4</v>
      </c>
      <c r="AL23" s="108">
        <v>7.5</v>
      </c>
      <c r="AM23" s="108">
        <v>14.7</v>
      </c>
      <c r="AN23" s="108">
        <v>58.5</v>
      </c>
      <c r="AO23" s="109">
        <v>109</v>
      </c>
      <c r="AP23" s="108">
        <v>9.5</v>
      </c>
      <c r="AQ23" s="108">
        <v>12</v>
      </c>
      <c r="AR23" s="108">
        <v>15.4</v>
      </c>
      <c r="AS23" s="108">
        <v>21.2</v>
      </c>
      <c r="AT23" s="108">
        <v>25.9</v>
      </c>
      <c r="AU23" s="108">
        <v>33.1</v>
      </c>
      <c r="AV23" s="108">
        <v>75.400000000000006</v>
      </c>
      <c r="AW23" s="109">
        <v>131</v>
      </c>
      <c r="AX23" s="108"/>
      <c r="AY23" s="108"/>
      <c r="AZ23" s="108">
        <f t="shared" ref="AZ23" si="78">(AK23-AK24)/AK23</f>
        <v>-0.41176470588235292</v>
      </c>
      <c r="BA23" s="108">
        <f t="shared" ref="BA23" si="79">(AL23-AL24)/AL23</f>
        <v>-0.29333333333333322</v>
      </c>
      <c r="BB23" s="108">
        <f t="shared" ref="BB23" si="80">(AM23-AM24)/AM23</f>
        <v>-0.2244897959183674</v>
      </c>
      <c r="BC23" s="108">
        <f t="shared" ref="BC23" si="81">(AN23-AN24)/AN23</f>
        <v>-0.20512820512820512</v>
      </c>
      <c r="BD23" s="108">
        <f t="shared" ref="BD23" si="82">(AO23-AO24)/AO23</f>
        <v>-0.25504587155963315</v>
      </c>
      <c r="BE23" s="108"/>
      <c r="BF23" s="108"/>
      <c r="BG23" s="108"/>
      <c r="BH23" s="108"/>
    </row>
    <row r="24" spans="1:75" ht="44.5" thickTop="1" thickBot="1" x14ac:dyDescent="0.4">
      <c r="A24" s="180"/>
      <c r="B24" s="193" t="s">
        <v>186</v>
      </c>
      <c r="C24" s="198">
        <v>150</v>
      </c>
      <c r="D24" s="139" t="s">
        <v>174</v>
      </c>
      <c r="E24" s="174"/>
      <c r="F24" s="180"/>
      <c r="G24" s="180"/>
      <c r="H24" s="180"/>
      <c r="I24" s="180"/>
      <c r="L24" s="18" t="s">
        <v>40</v>
      </c>
      <c r="M24" s="19">
        <v>150</v>
      </c>
      <c r="N24" s="4" t="s">
        <v>7</v>
      </c>
      <c r="R24" s="217" t="s">
        <v>42</v>
      </c>
      <c r="S24" s="218"/>
      <c r="T24" s="219"/>
      <c r="U24" s="217" t="s">
        <v>43</v>
      </c>
      <c r="V24" s="218"/>
      <c r="W24" s="219"/>
      <c r="X24" s="217" t="s">
        <v>44</v>
      </c>
      <c r="Y24" s="218"/>
      <c r="Z24" s="219"/>
      <c r="AA24" s="220" t="str">
        <f>_xlfn.CONCAT("Tj = ",C19)</f>
        <v>Tj = 120</v>
      </c>
      <c r="AB24" s="221"/>
      <c r="AE24" s="102">
        <v>5</v>
      </c>
      <c r="AF24" s="103">
        <v>450</v>
      </c>
      <c r="AG24" s="103">
        <v>150</v>
      </c>
      <c r="AH24" s="102">
        <v>0</v>
      </c>
      <c r="AI24" s="103">
        <v>0</v>
      </c>
      <c r="AJ24" s="103">
        <v>0.6</v>
      </c>
      <c r="AK24" s="103">
        <v>4.8</v>
      </c>
      <c r="AL24" s="103">
        <v>9.6999999999999993</v>
      </c>
      <c r="AM24" s="103">
        <v>18</v>
      </c>
      <c r="AN24" s="103">
        <v>70.5</v>
      </c>
      <c r="AO24" s="110">
        <v>136.80000000000001</v>
      </c>
      <c r="AP24" s="103">
        <v>9.5</v>
      </c>
      <c r="AQ24" s="103">
        <v>12</v>
      </c>
      <c r="AR24" s="103">
        <v>15.4</v>
      </c>
      <c r="AS24" s="103">
        <v>21.2</v>
      </c>
      <c r="AT24" s="103">
        <v>25.9</v>
      </c>
      <c r="AU24" s="103">
        <v>33.1</v>
      </c>
      <c r="AV24" s="103">
        <v>75.400000000000006</v>
      </c>
      <c r="AW24" s="110">
        <v>131</v>
      </c>
      <c r="AX24" s="108"/>
      <c r="AY24" s="108"/>
      <c r="AZ24" s="108">
        <f t="shared" ref="AZ24" si="83">(AK22-AK24)/AK22</f>
        <v>-1.6666666666666665</v>
      </c>
      <c r="BA24" s="108">
        <f t="shared" ref="BA24" si="84">(AL22-AL24)/AL22</f>
        <v>-0.40579710144927517</v>
      </c>
      <c r="BB24" s="108">
        <f t="shared" ref="BB24" si="85">(AM22-AM24)/AM22</f>
        <v>-0.3235294117647059</v>
      </c>
      <c r="BC24" s="108">
        <f t="shared" ref="BC24" si="86">(AN22-AN24)/AN22</f>
        <v>-0.31775700934579437</v>
      </c>
      <c r="BD24" s="108">
        <f t="shared" ref="BD24" si="87">(AO22-AO24)/AO22</f>
        <v>-0.45842217484008546</v>
      </c>
      <c r="BE24" s="108"/>
      <c r="BF24" s="108"/>
      <c r="BG24" s="108"/>
      <c r="BH24" s="108"/>
      <c r="BJ24" s="6">
        <f>0.5*AF24*AW9*(AF24/AE24)*0.001</f>
        <v>81</v>
      </c>
    </row>
    <row r="25" spans="1:75" ht="29.5" thickBot="1" x14ac:dyDescent="0.4">
      <c r="A25" s="180"/>
      <c r="B25" s="152" t="s">
        <v>179</v>
      </c>
      <c r="C25" s="198" t="s">
        <v>150</v>
      </c>
      <c r="D25" s="200"/>
      <c r="E25" s="174"/>
      <c r="F25" s="180"/>
      <c r="G25" s="180"/>
      <c r="H25" s="180"/>
      <c r="I25" s="180"/>
      <c r="L25" s="18" t="str">
        <f>IF(C67="GaN","Third quadrant voltage drop","MOSFET diode voltage drop")</f>
        <v>Third quadrant voltage drop</v>
      </c>
      <c r="M25" s="20">
        <f>IF(Nominal_or_worst=Worst,Q25,P25)</f>
        <v>3</v>
      </c>
      <c r="N25" s="4" t="s">
        <v>3</v>
      </c>
      <c r="P25" s="6">
        <v>3</v>
      </c>
      <c r="Q25" s="6">
        <v>3.5</v>
      </c>
      <c r="R25" s="21" t="str">
        <f>_xlfn.CONCAT("RDS_ON @ TA= ",Ambient_temp,"C")</f>
        <v>RDS_ON @ TA= 40C</v>
      </c>
      <c r="S25" s="22">
        <f>dRon_scaling*(Rdson_25C+(Rdson_scaling*(Ambient_temp-25)))</f>
        <v>314.71999999999997</v>
      </c>
      <c r="T25" s="24" t="s">
        <v>56</v>
      </c>
      <c r="U25" s="21" t="str">
        <f>_xlfn.CONCAT("RDS_ON @ TA= ",ROUND(S29,1),"C")</f>
        <v>RDS_ON @ TA= 83.1C</v>
      </c>
      <c r="V25" s="23">
        <f>dRon_scaling*(Rdson_25C+(Rdson_scaling*(S29-25)))</f>
        <v>394.32705455616195</v>
      </c>
      <c r="W25" s="24" t="s">
        <v>56</v>
      </c>
      <c r="X25" s="21" t="str">
        <f>_xlfn.CONCAT("RDS_ON @ TA= ",ROUND(V29,1),"C")</f>
        <v>RDS_ON @ TA= 87.9C</v>
      </c>
      <c r="Y25" s="23">
        <f>dRon_scaling*(Rdson_25C+(Rdson_scaling*(V29-25)))</f>
        <v>403.18190202640102</v>
      </c>
      <c r="Z25" s="24" t="s">
        <v>56</v>
      </c>
      <c r="AA25" s="23">
        <f>dRon_scaling*(Rdson_25C+(Rdson_scaling*(C19-25)))</f>
        <v>462.55999999999995</v>
      </c>
      <c r="AB25" s="24" t="s">
        <v>56</v>
      </c>
      <c r="AE25" s="104">
        <v>10</v>
      </c>
      <c r="AF25" s="105">
        <v>100</v>
      </c>
      <c r="AG25" s="105">
        <v>-40</v>
      </c>
      <c r="AH25" s="104">
        <v>0</v>
      </c>
      <c r="AI25" s="105">
        <v>0</v>
      </c>
      <c r="AJ25" s="105">
        <v>0</v>
      </c>
      <c r="AK25" s="105">
        <v>0.1</v>
      </c>
      <c r="AL25" s="105">
        <v>0.2</v>
      </c>
      <c r="AM25" s="105">
        <v>0.3</v>
      </c>
      <c r="AN25" s="105">
        <v>1.5</v>
      </c>
      <c r="AO25" s="107">
        <v>3.7</v>
      </c>
      <c r="AP25" s="105">
        <v>0.7</v>
      </c>
      <c r="AQ25" s="105">
        <v>0.9</v>
      </c>
      <c r="AR25" s="105">
        <v>1.1000000000000001</v>
      </c>
      <c r="AS25" s="105">
        <v>1.5</v>
      </c>
      <c r="AT25" s="105">
        <v>1.8</v>
      </c>
      <c r="AU25" s="105">
        <v>2.2999999999999998</v>
      </c>
      <c r="AV25" s="105">
        <v>5.3</v>
      </c>
      <c r="AW25" s="107">
        <v>9.1</v>
      </c>
      <c r="AX25" s="108"/>
      <c r="AY25" s="108"/>
      <c r="AZ25" s="125">
        <f t="shared" ref="AZ25" si="88">AZ26/($AG26-$AG27)</f>
        <v>8.0000000000000002E-3</v>
      </c>
      <c r="BA25" s="125">
        <f t="shared" ref="BA25" si="89">BA26/($AG26-$AG27)</f>
        <v>3.9999999999999992E-3</v>
      </c>
      <c r="BB25" s="125">
        <f t="shared" ref="BB25" si="90">BB26/($AG26-$AG27)</f>
        <v>5.333333333333334E-3</v>
      </c>
      <c r="BC25" s="125">
        <f t="shared" ref="BC25" si="91">BC26/($AG26-$AG27)</f>
        <v>4.2105263157894736E-3</v>
      </c>
      <c r="BD25" s="125">
        <f t="shared" ref="BD25" si="92">BD26/($AG26-$AG27)</f>
        <v>4.4444444444444444E-3</v>
      </c>
      <c r="BE25" s="125">
        <f t="shared" ref="BE25" si="93">MAX(AZ25:BD25)</f>
        <v>8.0000000000000002E-3</v>
      </c>
      <c r="BF25" s="125">
        <f t="shared" ref="BF25" si="94">MIN(AZ25:BE25)</f>
        <v>3.9999999999999992E-3</v>
      </c>
      <c r="BG25" s="108">
        <f t="shared" ref="BG25" si="95">MEDIAN(AZ25:BD25)</f>
        <v>4.4444444444444444E-3</v>
      </c>
      <c r="BH25" s="108"/>
    </row>
    <row r="26" spans="1:75" ht="19" thickBot="1" x14ac:dyDescent="0.4">
      <c r="A26" s="180"/>
      <c r="B26" s="81" t="s">
        <v>12</v>
      </c>
      <c r="C26" s="166">
        <v>2</v>
      </c>
      <c r="D26" s="85" t="s">
        <v>13</v>
      </c>
      <c r="E26" s="174"/>
      <c r="F26" s="259" t="s">
        <v>154</v>
      </c>
      <c r="G26" s="260"/>
      <c r="H26" s="261"/>
      <c r="I26" s="180"/>
      <c r="L26" s="18" t="s">
        <v>28</v>
      </c>
      <c r="M26" s="4">
        <v>0.99</v>
      </c>
      <c r="N26" s="4"/>
      <c r="R26" s="21" t="s">
        <v>45</v>
      </c>
      <c r="S26" s="24">
        <f>ROUND(IF(C94="Yes",1.414*1.414,1)*IF(OR(PWM_Modulation_selection=C97,PWM_Modulation_selection=C96),3,2)*$C$10*$C$10*S25/(1000),3)</f>
        <v>0.69799999999999995</v>
      </c>
      <c r="T26" s="24" t="s">
        <v>5</v>
      </c>
      <c r="U26" s="21" t="s">
        <v>46</v>
      </c>
      <c r="V26" s="24">
        <f>ROUND(IF(C94="Yes",1.414*1.414,1)*IF(OR(PWM_Modulation_selection=C97,PWM_Modulation_selection=C96),3,2)*$C$10*$C$10*V25/(1000),3)</f>
        <v>0.875</v>
      </c>
      <c r="W26" s="24" t="s">
        <v>5</v>
      </c>
      <c r="X26" s="21" t="s">
        <v>47</v>
      </c>
      <c r="Y26" s="25">
        <f>ROUND(IF(C94="Yes",1.414*1.414,1)*IF(OR(PWM_Modulation_selection=C97,PWM_Modulation_selection=C96),3,2)*$C$10*$C$10*Y25/(1000),3)</f>
        <v>0.89500000000000002</v>
      </c>
      <c r="Z26" s="24" t="s">
        <v>5</v>
      </c>
      <c r="AA26" s="25">
        <f>ROUND(IF(C94="Yes",1.414*1.414,1)*IF(OR(PWM_Modulation_selection=C97,PWM_Modulation_selection=C96),3,2)*$C$10*$C$10*AA25/(1000),3)</f>
        <v>1.026</v>
      </c>
      <c r="AB26" s="24" t="s">
        <v>5</v>
      </c>
      <c r="AE26" s="106">
        <v>10</v>
      </c>
      <c r="AF26" s="108">
        <v>100</v>
      </c>
      <c r="AG26" s="108">
        <v>25</v>
      </c>
      <c r="AH26" s="106">
        <v>0</v>
      </c>
      <c r="AI26" s="108">
        <v>0</v>
      </c>
      <c r="AJ26" s="108">
        <v>0</v>
      </c>
      <c r="AK26" s="108">
        <v>0.1</v>
      </c>
      <c r="AL26" s="108">
        <v>0.2</v>
      </c>
      <c r="AM26" s="108">
        <v>0.3</v>
      </c>
      <c r="AN26" s="108">
        <v>1.9</v>
      </c>
      <c r="AO26" s="109">
        <v>4.5</v>
      </c>
      <c r="AP26" s="108">
        <v>0.7</v>
      </c>
      <c r="AQ26" s="108">
        <v>0.9</v>
      </c>
      <c r="AR26" s="108">
        <v>1.1000000000000001</v>
      </c>
      <c r="AS26" s="108">
        <v>1.5</v>
      </c>
      <c r="AT26" s="108">
        <v>1.8</v>
      </c>
      <c r="AU26" s="108">
        <v>2.2999999999999998</v>
      </c>
      <c r="AV26" s="108">
        <v>5.3</v>
      </c>
      <c r="AW26" s="109">
        <v>9.1</v>
      </c>
      <c r="AX26" s="108"/>
      <c r="AY26" s="108"/>
      <c r="AZ26" s="108">
        <f t="shared" ref="AZ26" si="96">(AK26-AK27)/AK26</f>
        <v>-1</v>
      </c>
      <c r="BA26" s="108">
        <f t="shared" ref="BA26" si="97">(AL26-AL27)/AL26</f>
        <v>-0.49999999999999989</v>
      </c>
      <c r="BB26" s="108">
        <f t="shared" ref="BB26" si="98">(AM26-AM27)/AM26</f>
        <v>-0.66666666666666674</v>
      </c>
      <c r="BC26" s="108">
        <f t="shared" ref="BC26" si="99">(AN26-AN27)/AN26</f>
        <v>-0.52631578947368418</v>
      </c>
      <c r="BD26" s="108">
        <f t="shared" ref="BD26" si="100">(AO26-AO27)/AO26</f>
        <v>-0.55555555555555558</v>
      </c>
      <c r="BE26" s="108"/>
      <c r="BF26" s="108"/>
      <c r="BG26" s="108"/>
      <c r="BH26" s="108"/>
    </row>
    <row r="27" spans="1:75" ht="48" customHeight="1" thickBot="1" x14ac:dyDescent="0.4">
      <c r="A27" s="180"/>
      <c r="B27" s="83" t="s">
        <v>14</v>
      </c>
      <c r="C27" s="100">
        <v>1</v>
      </c>
      <c r="D27" s="90" t="s">
        <v>190</v>
      </c>
      <c r="E27" s="174"/>
      <c r="F27" s="106"/>
      <c r="G27" s="108"/>
      <c r="H27" s="109"/>
      <c r="I27" s="180"/>
      <c r="L27" s="26" t="s">
        <v>102</v>
      </c>
      <c r="M27" s="20">
        <f>IF(Nominal_or_worst=Worst,Q27,P27)</f>
        <v>6</v>
      </c>
      <c r="N27" s="28" t="s">
        <v>10</v>
      </c>
      <c r="P27" s="6">
        <v>6</v>
      </c>
      <c r="Q27" s="6">
        <v>6</v>
      </c>
      <c r="R27" s="21" t="s">
        <v>57</v>
      </c>
      <c r="S27" s="29">
        <f>IF(PWM_Modulation_selection=C96,3,IF(PWM_Modulation_selection=C97,2,IF(PWM_Modulation_selection=C98,1,3)))*(E_Cpcb+Eon+(1+M48*(Ambient_temp-25))*Eoff)*0.000001*C12*1000</f>
        <v>0.85177421467112202</v>
      </c>
      <c r="T27" s="24" t="s">
        <v>5</v>
      </c>
      <c r="U27" s="21" t="s">
        <v>182</v>
      </c>
      <c r="V27" s="29">
        <f>IF(PWM_Modulation_selection=C96,3,IF(PWM_Modulation_selection=C97,2,IF(PWM_Modulation_selection = C98,1,3)))*(E_Cpcb+Eon+(1+M48*(S29-25))*Eoff)*0.000001*C12*1000</f>
        <v>0.86267947462866157</v>
      </c>
      <c r="W27" s="24" t="s">
        <v>5</v>
      </c>
      <c r="X27" s="21" t="s">
        <v>183</v>
      </c>
      <c r="Y27" s="30">
        <f>IF(PWM_Modulation_selection=C96,3,IF(PWM_Modulation_selection=C97,2,IF(PWM_Modulation_selection=C98,1,3)))*(E_Cpcb+Eon+(1+M48*(V29-25))*Eoff)*0.000001*C12*1000</f>
        <v>0.86389248789847417</v>
      </c>
      <c r="Z27" s="31" t="s">
        <v>5</v>
      </c>
      <c r="AA27" s="8">
        <f>IF(PWM_Modulation_selection=C96,3,IF(PWM_Modulation_selection=C97,2,IF(PWM_Modulation_selection=C98,1,3)))*(E_Cpcb+Eon+(1+M48*(C19-25))*Eoff)*0.000001*C12*1000</f>
        <v>0.87202661115924018</v>
      </c>
      <c r="AB27" s="24" t="s">
        <v>5</v>
      </c>
      <c r="AE27" s="106">
        <v>10</v>
      </c>
      <c r="AF27" s="108">
        <v>100</v>
      </c>
      <c r="AG27" s="108">
        <v>150</v>
      </c>
      <c r="AH27" s="106">
        <v>0</v>
      </c>
      <c r="AI27" s="108">
        <v>0</v>
      </c>
      <c r="AJ27" s="108">
        <v>0</v>
      </c>
      <c r="AK27" s="108">
        <v>0.2</v>
      </c>
      <c r="AL27" s="108">
        <v>0.3</v>
      </c>
      <c r="AM27" s="108">
        <v>0.5</v>
      </c>
      <c r="AN27" s="108">
        <v>2.9</v>
      </c>
      <c r="AO27" s="109">
        <v>7</v>
      </c>
      <c r="AP27" s="108">
        <v>0.7</v>
      </c>
      <c r="AQ27" s="108">
        <v>0.9</v>
      </c>
      <c r="AR27" s="108">
        <v>1.1000000000000001</v>
      </c>
      <c r="AS27" s="108">
        <v>1.5</v>
      </c>
      <c r="AT27" s="108">
        <v>1.8</v>
      </c>
      <c r="AU27" s="108">
        <v>2.2999999999999998</v>
      </c>
      <c r="AV27" s="108">
        <v>5.3</v>
      </c>
      <c r="AW27" s="109">
        <v>9.1</v>
      </c>
      <c r="AX27" s="108"/>
      <c r="AY27" s="108"/>
      <c r="AZ27" s="108">
        <f t="shared" ref="AZ27" si="101">(AK25-AK27)/AK25</f>
        <v>-1</v>
      </c>
      <c r="BA27" s="108">
        <f t="shared" ref="BA27" si="102">(AL25-AL27)/AL25</f>
        <v>-0.49999999999999989</v>
      </c>
      <c r="BB27" s="108">
        <f t="shared" ref="BB27" si="103">(AM25-AM27)/AM25</f>
        <v>-0.66666666666666674</v>
      </c>
      <c r="BC27" s="108">
        <f t="shared" ref="BC27" si="104">(AN25-AN27)/AN25</f>
        <v>-0.93333333333333324</v>
      </c>
      <c r="BD27" s="108">
        <f t="shared" ref="BD27" si="105">(AO25-AO27)/AO25</f>
        <v>-0.89189189189189177</v>
      </c>
      <c r="BE27" s="108"/>
      <c r="BF27" s="108"/>
      <c r="BG27" s="108"/>
      <c r="BH27" s="108"/>
    </row>
    <row r="28" spans="1:75" ht="29.5" thickBot="1" x14ac:dyDescent="0.4">
      <c r="A28" s="180"/>
      <c r="B28" s="88" t="s">
        <v>156</v>
      </c>
      <c r="C28" s="199">
        <v>32</v>
      </c>
      <c r="D28" s="91" t="s">
        <v>15</v>
      </c>
      <c r="E28" s="172"/>
      <c r="F28" s="106"/>
      <c r="G28" s="108"/>
      <c r="H28" s="109"/>
      <c r="I28" s="180"/>
      <c r="L28" s="26" t="s">
        <v>103</v>
      </c>
      <c r="M28" s="27">
        <v>15</v>
      </c>
      <c r="N28" s="28" t="s">
        <v>3</v>
      </c>
      <c r="R28" s="21" t="s">
        <v>48</v>
      </c>
      <c r="S28" s="29">
        <f>S26+S27+diode_losses+LDO1_losses+LDO2_losses+standby_power</f>
        <v>1.6893102146711221</v>
      </c>
      <c r="T28" s="24" t="s">
        <v>5</v>
      </c>
      <c r="U28" s="21" t="s">
        <v>49</v>
      </c>
      <c r="V28" s="29">
        <f>V26+V27+diode_losses+LDO1_losses+LDO2_losses+standby_power</f>
        <v>1.8772154746286618</v>
      </c>
      <c r="W28" s="24" t="s">
        <v>5</v>
      </c>
      <c r="X28" s="21" t="s">
        <v>50</v>
      </c>
      <c r="Y28" s="30">
        <f>Y26+Y27+diode_losses+LDO1_losses+LDO2_losses+standby_power</f>
        <v>1.8984284878984743</v>
      </c>
      <c r="Z28" s="24" t="s">
        <v>5</v>
      </c>
      <c r="AA28" s="30">
        <f>AA26+AA27+diode_losses+LDO1_losses+LDO2_losses+standby_power</f>
        <v>2.0375626111592404</v>
      </c>
      <c r="AB28" s="34" t="s">
        <v>5</v>
      </c>
      <c r="AE28" s="106">
        <v>10</v>
      </c>
      <c r="AF28" s="108">
        <v>150</v>
      </c>
      <c r="AG28" s="108">
        <v>-40</v>
      </c>
      <c r="AH28" s="106">
        <v>0</v>
      </c>
      <c r="AI28" s="108">
        <v>0</v>
      </c>
      <c r="AJ28" s="108">
        <v>0</v>
      </c>
      <c r="AK28" s="108">
        <v>0.1</v>
      </c>
      <c r="AL28" s="108">
        <v>0.3</v>
      </c>
      <c r="AM28" s="108">
        <v>0.4</v>
      </c>
      <c r="AN28" s="108">
        <v>2.6</v>
      </c>
      <c r="AO28" s="109">
        <v>6.1</v>
      </c>
      <c r="AP28" s="108">
        <v>1.4</v>
      </c>
      <c r="AQ28" s="108">
        <v>1.7</v>
      </c>
      <c r="AR28" s="108">
        <v>2.1</v>
      </c>
      <c r="AS28" s="108">
        <v>2.8</v>
      </c>
      <c r="AT28" s="108">
        <v>3.3</v>
      </c>
      <c r="AU28" s="108">
        <v>4.0999999999999996</v>
      </c>
      <c r="AV28" s="108">
        <v>9</v>
      </c>
      <c r="AW28" s="109">
        <v>15.2</v>
      </c>
      <c r="AX28" s="108"/>
      <c r="AY28" s="108"/>
      <c r="AZ28" s="125">
        <f t="shared" ref="AZ28" si="106">AZ29/($AG29-$AG30)</f>
        <v>1.5999999999999997E-2</v>
      </c>
      <c r="BA28" s="125">
        <f t="shared" ref="BA28" si="107">BA29/($AG29-$AG30)</f>
        <v>2.6666666666666679E-3</v>
      </c>
      <c r="BB28" s="125">
        <f t="shared" ref="BB28" si="108">BB29/($AG29-$AG30)</f>
        <v>4.8000000000000004E-3</v>
      </c>
      <c r="BC28" s="125">
        <f t="shared" ref="BC28" si="109">BC29/($AG29-$AG30)</f>
        <v>3.8709677419354826E-3</v>
      </c>
      <c r="BD28" s="125">
        <f t="shared" ref="BD28" si="110">BD29/($AG29-$AG30)</f>
        <v>3.9452054794520556E-3</v>
      </c>
      <c r="BE28" s="125">
        <f t="shared" ref="BE28" si="111">MAX(AZ28:BD28)</f>
        <v>1.5999999999999997E-2</v>
      </c>
      <c r="BF28" s="125">
        <f t="shared" ref="BF28" si="112">MIN(AZ28:BE28)</f>
        <v>2.6666666666666679E-3</v>
      </c>
      <c r="BG28" s="108">
        <f t="shared" ref="BG28:BG64" si="113">MEDIAN(AZ28:BD28)</f>
        <v>3.9452054794520556E-3</v>
      </c>
      <c r="BH28" s="108"/>
    </row>
    <row r="29" spans="1:75" ht="25.5" customHeight="1" thickBot="1" x14ac:dyDescent="0.4">
      <c r="A29" s="180"/>
      <c r="B29" s="92" t="s">
        <v>146</v>
      </c>
      <c r="C29" s="128">
        <f>VLOOKUP(_xlfn.CONCAT(C26,",",C27,",",C28),B135:C164,2,FALSE)</f>
        <v>25.5</v>
      </c>
      <c r="D29" s="94" t="s">
        <v>99</v>
      </c>
      <c r="E29" s="174"/>
      <c r="F29" s="106"/>
      <c r="G29" s="108"/>
      <c r="H29" s="109"/>
      <c r="I29" s="180"/>
      <c r="L29" s="18" t="s">
        <v>29</v>
      </c>
      <c r="M29" s="20">
        <f>IF(Nominal_or_worst=Worst,Q29,P29)</f>
        <v>205</v>
      </c>
      <c r="N29" s="4" t="s">
        <v>30</v>
      </c>
      <c r="P29" s="6">
        <v>205</v>
      </c>
      <c r="Q29" s="6">
        <v>320</v>
      </c>
      <c r="R29" s="21" t="s">
        <v>51</v>
      </c>
      <c r="S29" s="32">
        <f>Ambient_temp+Theta_JA*S28</f>
        <v>83.077410474113606</v>
      </c>
      <c r="T29" s="24" t="s">
        <v>7</v>
      </c>
      <c r="U29" s="21" t="s">
        <v>52</v>
      </c>
      <c r="V29" s="32">
        <f>Ambient_temp+(V28*Theta_JA)</f>
        <v>87.86899460303087</v>
      </c>
      <c r="W29" s="24" t="s">
        <v>7</v>
      </c>
      <c r="X29" s="21" t="s">
        <v>53</v>
      </c>
      <c r="Y29" s="33">
        <f>Ambient_temp+(Y28*Theta_JA)</f>
        <v>88.409926441411102</v>
      </c>
      <c r="Z29" s="34" t="s">
        <v>7</v>
      </c>
      <c r="AE29" s="106">
        <v>10</v>
      </c>
      <c r="AF29" s="108">
        <v>150</v>
      </c>
      <c r="AG29" s="108">
        <v>25</v>
      </c>
      <c r="AH29" s="106">
        <v>0</v>
      </c>
      <c r="AI29" s="108">
        <v>0</v>
      </c>
      <c r="AJ29" s="108">
        <v>0</v>
      </c>
      <c r="AK29" s="108">
        <v>0.1</v>
      </c>
      <c r="AL29" s="108">
        <v>0.3</v>
      </c>
      <c r="AM29" s="108">
        <v>0.5</v>
      </c>
      <c r="AN29" s="108">
        <v>3.1</v>
      </c>
      <c r="AO29" s="109">
        <v>7.3</v>
      </c>
      <c r="AP29" s="108">
        <v>1.4</v>
      </c>
      <c r="AQ29" s="108">
        <v>1.7</v>
      </c>
      <c r="AR29" s="108">
        <v>2.1</v>
      </c>
      <c r="AS29" s="108">
        <v>2.8</v>
      </c>
      <c r="AT29" s="108">
        <v>3.3</v>
      </c>
      <c r="AU29" s="108">
        <v>4.0999999999999996</v>
      </c>
      <c r="AV29" s="108">
        <v>9</v>
      </c>
      <c r="AW29" s="109">
        <v>15.2</v>
      </c>
      <c r="AX29" s="108"/>
      <c r="AY29" s="108"/>
      <c r="AZ29" s="108">
        <f t="shared" ref="AZ29" si="114">(AK29-AK30)/AK29</f>
        <v>-1.9999999999999998</v>
      </c>
      <c r="BA29" s="108">
        <f t="shared" ref="BA29" si="115">(AL29-AL30)/AL29</f>
        <v>-0.33333333333333348</v>
      </c>
      <c r="BB29" s="108">
        <f t="shared" ref="BB29" si="116">(AM29-AM30)/AM29</f>
        <v>-0.60000000000000009</v>
      </c>
      <c r="BC29" s="108">
        <f t="shared" ref="BC29" si="117">(AN29-AN30)/AN29</f>
        <v>-0.48387096774193533</v>
      </c>
      <c r="BD29" s="108">
        <f t="shared" ref="BD29" si="118">(AO29-AO30)/AO29</f>
        <v>-0.49315068493150693</v>
      </c>
      <c r="BE29" s="108"/>
      <c r="BF29" s="108"/>
      <c r="BG29" s="108"/>
      <c r="BH29" s="108"/>
    </row>
    <row r="30" spans="1:75" ht="15" thickBot="1" x14ac:dyDescent="0.4">
      <c r="A30" s="180"/>
      <c r="B30" s="93" t="s">
        <v>95</v>
      </c>
      <c r="C30" s="101">
        <v>42</v>
      </c>
      <c r="D30" s="94" t="s">
        <v>99</v>
      </c>
      <c r="E30" s="178"/>
      <c r="F30" s="106"/>
      <c r="G30" s="108"/>
      <c r="H30" s="109"/>
      <c r="I30" s="180"/>
      <c r="L30" s="18" t="str">
        <f>_xlfn.CONCAT("Rdson @ ",M24,"C per FET")</f>
        <v>Rdson @ 150C per FET</v>
      </c>
      <c r="M30" s="20">
        <f>IF(Nominal_or_worst=Worst,Q30,P30)</f>
        <v>370</v>
      </c>
      <c r="N30" s="4" t="s">
        <v>30</v>
      </c>
      <c r="P30" s="6">
        <v>370</v>
      </c>
      <c r="Q30" s="6">
        <v>578</v>
      </c>
      <c r="AE30" s="106">
        <v>10</v>
      </c>
      <c r="AF30" s="108">
        <v>150</v>
      </c>
      <c r="AG30" s="108">
        <v>150</v>
      </c>
      <c r="AH30" s="106">
        <v>0</v>
      </c>
      <c r="AI30" s="108">
        <v>0</v>
      </c>
      <c r="AJ30" s="108">
        <v>0</v>
      </c>
      <c r="AK30" s="108">
        <v>0.3</v>
      </c>
      <c r="AL30" s="108">
        <v>0.4</v>
      </c>
      <c r="AM30" s="108">
        <v>0.8</v>
      </c>
      <c r="AN30" s="108">
        <v>4.5999999999999996</v>
      </c>
      <c r="AO30" s="109">
        <v>10.9</v>
      </c>
      <c r="AP30" s="108">
        <v>1.4</v>
      </c>
      <c r="AQ30" s="108">
        <v>1.7</v>
      </c>
      <c r="AR30" s="108">
        <v>2.1</v>
      </c>
      <c r="AS30" s="108">
        <v>2.8</v>
      </c>
      <c r="AT30" s="108">
        <v>3.3</v>
      </c>
      <c r="AU30" s="108">
        <v>4.0999999999999996</v>
      </c>
      <c r="AV30" s="108">
        <v>9</v>
      </c>
      <c r="AW30" s="109">
        <v>15.2</v>
      </c>
      <c r="AX30" s="108"/>
      <c r="AY30" s="108"/>
      <c r="AZ30" s="108">
        <f t="shared" ref="AZ30" si="119">(AK28-AK30)/AK28</f>
        <v>-1.9999999999999998</v>
      </c>
      <c r="BA30" s="108">
        <f t="shared" ref="BA30" si="120">(AL28-AL30)/AL28</f>
        <v>-0.33333333333333348</v>
      </c>
      <c r="BB30" s="108">
        <f t="shared" ref="BB30" si="121">(AM28-AM30)/AM28</f>
        <v>-1</v>
      </c>
      <c r="BC30" s="108">
        <f t="shared" ref="BC30" si="122">(AN28-AN30)/AN28</f>
        <v>-0.76923076923076905</v>
      </c>
      <c r="BD30" s="108">
        <f t="shared" ref="BD30" si="123">(AO28-AO30)/AO28</f>
        <v>-0.78688524590163955</v>
      </c>
      <c r="BE30" s="108"/>
      <c r="BF30" s="108"/>
      <c r="BG30" s="108"/>
      <c r="BH30" s="108"/>
    </row>
    <row r="31" spans="1:75" ht="15.65" customHeight="1" thickBot="1" x14ac:dyDescent="0.4">
      <c r="A31" s="180"/>
      <c r="B31" s="214" t="str">
        <f>_xlfn.CONCAT("NOTE: ",Device_name," thermal calculator assumes synchronous modulation switching")</f>
        <v>NOTE: DRV7308 thermal calculator assumes synchronous modulation switching</v>
      </c>
      <c r="C31" s="215"/>
      <c r="D31" s="216"/>
      <c r="E31" s="172"/>
      <c r="F31" s="106"/>
      <c r="G31" s="108"/>
      <c r="H31" s="109"/>
      <c r="I31" s="180"/>
      <c r="L31" s="35" t="s">
        <v>54</v>
      </c>
      <c r="M31" s="36">
        <f>(M30-M29)/(M24-25)</f>
        <v>1.32</v>
      </c>
      <c r="N31" s="37" t="s">
        <v>30</v>
      </c>
      <c r="AE31" s="106">
        <v>10</v>
      </c>
      <c r="AF31" s="108">
        <v>200</v>
      </c>
      <c r="AG31" s="108">
        <v>-40</v>
      </c>
      <c r="AH31" s="106">
        <v>0</v>
      </c>
      <c r="AI31" s="108">
        <v>0</v>
      </c>
      <c r="AJ31" s="108">
        <v>0</v>
      </c>
      <c r="AK31" s="108">
        <v>0.1</v>
      </c>
      <c r="AL31" s="108">
        <v>0.4</v>
      </c>
      <c r="AM31" s="108">
        <v>0.6</v>
      </c>
      <c r="AN31" s="108">
        <v>4.0999999999999996</v>
      </c>
      <c r="AO31" s="109">
        <v>9.1999999999999993</v>
      </c>
      <c r="AP31" s="108">
        <v>2.2999999999999998</v>
      </c>
      <c r="AQ31" s="108">
        <v>2.8</v>
      </c>
      <c r="AR31" s="108">
        <v>3.3</v>
      </c>
      <c r="AS31" s="108">
        <v>4.3</v>
      </c>
      <c r="AT31" s="108">
        <v>5.0999999999999996</v>
      </c>
      <c r="AU31" s="108">
        <v>6.3</v>
      </c>
      <c r="AV31" s="108">
        <v>13.4</v>
      </c>
      <c r="AW31" s="109">
        <v>21.4</v>
      </c>
      <c r="AX31" s="108"/>
      <c r="AY31" s="108"/>
      <c r="AZ31" s="125">
        <f t="shared" ref="AZ31" si="124">AZ32/($AG32-$AG33)</f>
        <v>2.4000000000000004E-2</v>
      </c>
      <c r="BA31" s="125">
        <f t="shared" ref="BA31" si="125">BA32/($AG32-$AG33)</f>
        <v>3.9999999999999992E-3</v>
      </c>
      <c r="BB31" s="125">
        <f t="shared" ref="BB31" si="126">BB32/($AG32-$AG33)</f>
        <v>4.5714285714285726E-3</v>
      </c>
      <c r="BC31" s="125">
        <f t="shared" ref="BC31" si="127">BC32/($AG32-$AG33)</f>
        <v>3.4042553191489361E-3</v>
      </c>
      <c r="BD31" s="125">
        <f t="shared" ref="BD31" si="128">BD32/($AG32-$AG33)</f>
        <v>3.4814814814814804E-3</v>
      </c>
      <c r="BE31" s="125">
        <f t="shared" ref="BE31" si="129">MAX(AZ31:BD31)</f>
        <v>2.4000000000000004E-2</v>
      </c>
      <c r="BF31" s="125">
        <f t="shared" ref="BF31" si="130">MIN(AZ31:BE31)</f>
        <v>3.4042553191489361E-3</v>
      </c>
      <c r="BG31" s="108">
        <f t="shared" si="113"/>
        <v>3.9999999999999992E-3</v>
      </c>
      <c r="BH31" s="108"/>
    </row>
    <row r="32" spans="1:75" ht="15" thickTop="1" x14ac:dyDescent="0.35">
      <c r="A32" s="180"/>
      <c r="B32" s="242" t="s">
        <v>112</v>
      </c>
      <c r="C32" s="243"/>
      <c r="D32" s="244"/>
      <c r="E32" s="172"/>
      <c r="F32" s="106"/>
      <c r="G32" s="108"/>
      <c r="H32" s="109"/>
      <c r="I32" s="180"/>
      <c r="L32" s="18" t="s">
        <v>94</v>
      </c>
      <c r="M32" s="20">
        <f>IF(Nominal_or_worst=Worst,Q32,P32)</f>
        <v>1.4</v>
      </c>
      <c r="N32" s="4"/>
      <c r="P32" s="6">
        <v>1.4</v>
      </c>
      <c r="Q32" s="6">
        <v>1</v>
      </c>
      <c r="AE32" s="106">
        <v>10</v>
      </c>
      <c r="AF32" s="108">
        <v>200</v>
      </c>
      <c r="AG32" s="108">
        <v>25</v>
      </c>
      <c r="AH32" s="106">
        <v>0</v>
      </c>
      <c r="AI32" s="108">
        <v>0</v>
      </c>
      <c r="AJ32" s="108">
        <v>0</v>
      </c>
      <c r="AK32" s="108">
        <v>0.1</v>
      </c>
      <c r="AL32" s="108">
        <v>0.4</v>
      </c>
      <c r="AM32" s="108">
        <v>0.7</v>
      </c>
      <c r="AN32" s="108">
        <v>4.7</v>
      </c>
      <c r="AO32" s="109">
        <v>10.8</v>
      </c>
      <c r="AP32" s="108">
        <v>2.2999999999999998</v>
      </c>
      <c r="AQ32" s="108">
        <v>2.8</v>
      </c>
      <c r="AR32" s="108">
        <v>3.3</v>
      </c>
      <c r="AS32" s="108">
        <v>4.3</v>
      </c>
      <c r="AT32" s="108">
        <v>5.0999999999999996</v>
      </c>
      <c r="AU32" s="108">
        <v>6.3</v>
      </c>
      <c r="AV32" s="108">
        <v>13.4</v>
      </c>
      <c r="AW32" s="109">
        <v>21.4</v>
      </c>
      <c r="AX32" s="108"/>
      <c r="AY32" s="108"/>
      <c r="AZ32" s="108">
        <f t="shared" ref="AZ32" si="131">(AK32-AK33)/AK32</f>
        <v>-3.0000000000000004</v>
      </c>
      <c r="BA32" s="108">
        <f t="shared" ref="BA32" si="132">(AL32-AL33)/AL32</f>
        <v>-0.49999999999999989</v>
      </c>
      <c r="BB32" s="108">
        <f t="shared" ref="BB32" si="133">(AM32-AM33)/AM32</f>
        <v>-0.57142857142857162</v>
      </c>
      <c r="BC32" s="108">
        <f t="shared" ref="BC32" si="134">(AN32-AN33)/AN32</f>
        <v>-0.42553191489361702</v>
      </c>
      <c r="BD32" s="108">
        <f t="shared" ref="BD32" si="135">(AO32-AO33)/AO32</f>
        <v>-0.43518518518518506</v>
      </c>
      <c r="BE32" s="108"/>
      <c r="BF32" s="108"/>
      <c r="BG32" s="108"/>
      <c r="BH32" s="108"/>
    </row>
    <row r="33" spans="1:75" ht="34" customHeight="1" thickBot="1" x14ac:dyDescent="0.4">
      <c r="A33" s="180"/>
      <c r="B33" s="245"/>
      <c r="C33" s="246"/>
      <c r="D33" s="247"/>
      <c r="E33" s="172"/>
      <c r="F33" s="102"/>
      <c r="G33" s="103"/>
      <c r="H33" s="110"/>
      <c r="I33" s="180"/>
      <c r="L33" s="18" t="s">
        <v>97</v>
      </c>
      <c r="M33" s="19">
        <v>21.2</v>
      </c>
      <c r="N33" s="4" t="s">
        <v>31</v>
      </c>
      <c r="AE33" s="106">
        <v>10</v>
      </c>
      <c r="AF33" s="108">
        <v>200</v>
      </c>
      <c r="AG33" s="108">
        <v>150</v>
      </c>
      <c r="AH33" s="106">
        <v>0</v>
      </c>
      <c r="AI33" s="108">
        <v>0</v>
      </c>
      <c r="AJ33" s="108">
        <v>0</v>
      </c>
      <c r="AK33" s="108">
        <v>0.4</v>
      </c>
      <c r="AL33" s="108">
        <v>0.6</v>
      </c>
      <c r="AM33" s="108">
        <v>1.1000000000000001</v>
      </c>
      <c r="AN33" s="108">
        <v>6.7</v>
      </c>
      <c r="AO33" s="109">
        <v>15.5</v>
      </c>
      <c r="AP33" s="108">
        <v>2.2999999999999998</v>
      </c>
      <c r="AQ33" s="108">
        <v>2.8</v>
      </c>
      <c r="AR33" s="108">
        <v>3.3</v>
      </c>
      <c r="AS33" s="108">
        <v>4.3</v>
      </c>
      <c r="AT33" s="108">
        <v>5.0999999999999996</v>
      </c>
      <c r="AU33" s="108">
        <v>6.3</v>
      </c>
      <c r="AV33" s="108">
        <v>13.4</v>
      </c>
      <c r="AW33" s="109">
        <v>21.4</v>
      </c>
      <c r="AX33" s="108"/>
      <c r="AY33" s="108"/>
      <c r="AZ33" s="108">
        <f t="shared" ref="AZ33" si="136">(AK31-AK33)/AK31</f>
        <v>-3.0000000000000004</v>
      </c>
      <c r="BA33" s="108">
        <f t="shared" ref="BA33" si="137">(AL31-AL33)/AL31</f>
        <v>-0.49999999999999989</v>
      </c>
      <c r="BB33" s="108">
        <f t="shared" ref="BB33" si="138">(AM31-AM33)/AM31</f>
        <v>-0.83333333333333359</v>
      </c>
      <c r="BC33" s="108">
        <f t="shared" ref="BC33" si="139">(AN31-AN33)/AN31</f>
        <v>-0.63414634146341486</v>
      </c>
      <c r="BD33" s="108">
        <f t="shared" ref="BD33" si="140">(AO31-AO33)/AO31</f>
        <v>-0.68478260869565233</v>
      </c>
      <c r="BE33" s="108"/>
      <c r="BF33" s="108"/>
      <c r="BH33" s="108"/>
      <c r="BJ33" s="6" t="s">
        <v>76</v>
      </c>
      <c r="BK33" s="6" t="s">
        <v>76</v>
      </c>
      <c r="BL33" s="6" t="s">
        <v>76</v>
      </c>
      <c r="BM33" s="6" t="s">
        <v>76</v>
      </c>
      <c r="BN33" s="6" t="s">
        <v>76</v>
      </c>
      <c r="BO33" s="6" t="s">
        <v>76</v>
      </c>
      <c r="BP33" s="6" t="s">
        <v>76</v>
      </c>
      <c r="BQ33" s="6" t="s">
        <v>77</v>
      </c>
      <c r="BR33" s="6" t="s">
        <v>77</v>
      </c>
      <c r="BS33" s="6" t="s">
        <v>77</v>
      </c>
      <c r="BT33" s="6" t="s">
        <v>77</v>
      </c>
      <c r="BU33" s="6" t="s">
        <v>77</v>
      </c>
      <c r="BV33" s="6" t="s">
        <v>77</v>
      </c>
      <c r="BW33" s="6" t="s">
        <v>77</v>
      </c>
    </row>
    <row r="34" spans="1:75" ht="15.5" thickTop="1" thickBot="1" x14ac:dyDescent="0.4">
      <c r="A34" s="180"/>
      <c r="B34" s="181"/>
      <c r="C34" s="181"/>
      <c r="D34" s="182"/>
      <c r="E34" s="179"/>
      <c r="F34" s="181"/>
      <c r="G34" s="181"/>
      <c r="H34" s="181"/>
      <c r="I34" s="180"/>
      <c r="L34" s="35" t="s">
        <v>98</v>
      </c>
      <c r="M34" s="5">
        <f>IF(C25="Manually enter PCB Theta JA",C30,C29)</f>
        <v>25.5</v>
      </c>
      <c r="N34" s="37" t="s">
        <v>31</v>
      </c>
      <c r="AE34" s="106">
        <v>10</v>
      </c>
      <c r="AF34" s="108">
        <v>300</v>
      </c>
      <c r="AG34" s="108">
        <v>-40</v>
      </c>
      <c r="AH34" s="106">
        <v>0</v>
      </c>
      <c r="AI34" s="108">
        <v>0</v>
      </c>
      <c r="AJ34" s="108">
        <v>0</v>
      </c>
      <c r="AK34" s="108">
        <v>0.1</v>
      </c>
      <c r="AL34" s="108">
        <v>0.6</v>
      </c>
      <c r="AM34" s="108">
        <v>1.1000000000000001</v>
      </c>
      <c r="AN34" s="108">
        <v>8</v>
      </c>
      <c r="AO34" s="109">
        <v>17.5</v>
      </c>
      <c r="AP34" s="108">
        <v>4.7</v>
      </c>
      <c r="AQ34" s="108">
        <v>5.5</v>
      </c>
      <c r="AR34" s="108">
        <v>6.5</v>
      </c>
      <c r="AS34" s="108">
        <v>8.3000000000000007</v>
      </c>
      <c r="AT34" s="108">
        <v>9.8000000000000007</v>
      </c>
      <c r="AU34" s="108">
        <v>12</v>
      </c>
      <c r="AV34" s="108">
        <v>24.7</v>
      </c>
      <c r="AW34" s="109">
        <v>40.200000000000003</v>
      </c>
      <c r="AX34" s="108"/>
      <c r="AY34" s="108"/>
      <c r="AZ34" s="125">
        <f t="shared" ref="AZ34" si="141">AZ35/($AG35-$AG36)</f>
        <v>1.1999999999999999E-2</v>
      </c>
      <c r="BA34" s="125">
        <f t="shared" ref="BA34" si="142">BA35/($AG35-$AG36)</f>
        <v>3.4285714285714293E-3</v>
      </c>
      <c r="BB34" s="125">
        <f t="shared" ref="BB34" si="143">BB35/($AG35-$AG36)</f>
        <v>4.3076923076923075E-3</v>
      </c>
      <c r="BC34" s="125">
        <f t="shared" ref="BC34" si="144">BC35/($AG35-$AG36)</f>
        <v>2.7555555555555549E-3</v>
      </c>
      <c r="BD34" s="125">
        <f t="shared" ref="BD34" si="145">BD35/($AG35-$AG36)</f>
        <v>2.8542713567839204E-3</v>
      </c>
      <c r="BE34" s="125">
        <f t="shared" ref="BE34" si="146">MAX(AZ34:BD34)</f>
        <v>1.1999999999999999E-2</v>
      </c>
      <c r="BF34" s="125">
        <f t="shared" ref="BF34" si="147">MIN(AZ34:BE34)</f>
        <v>2.7555555555555549E-3</v>
      </c>
      <c r="BG34" s="108">
        <f t="shared" si="113"/>
        <v>3.4285714285714293E-3</v>
      </c>
      <c r="BH34" s="108"/>
      <c r="BJ34" s="6">
        <v>0.1</v>
      </c>
      <c r="BK34" s="6">
        <v>0.25</v>
      </c>
      <c r="BL34" s="6">
        <v>0.5</v>
      </c>
      <c r="BM34" s="6">
        <v>0.7</v>
      </c>
      <c r="BN34" s="6">
        <v>1</v>
      </c>
      <c r="BO34" s="6">
        <v>2.5</v>
      </c>
      <c r="BP34" s="6">
        <v>4</v>
      </c>
      <c r="BQ34" s="6">
        <v>0.1</v>
      </c>
      <c r="BR34" s="6">
        <v>0.25</v>
      </c>
      <c r="BS34" s="6">
        <v>0.5</v>
      </c>
      <c r="BT34" s="6">
        <v>0.7</v>
      </c>
      <c r="BU34" s="6">
        <v>1</v>
      </c>
      <c r="BV34" s="6">
        <v>2.5</v>
      </c>
      <c r="BW34" s="6">
        <v>4</v>
      </c>
    </row>
    <row r="35" spans="1:75" ht="14.5" customHeight="1" thickBot="1" x14ac:dyDescent="0.4">
      <c r="A35" s="180"/>
      <c r="B35" s="138" t="s">
        <v>155</v>
      </c>
      <c r="C35" s="181"/>
      <c r="D35" s="229" t="s">
        <v>157</v>
      </c>
      <c r="E35" s="230"/>
      <c r="F35" s="230"/>
      <c r="G35" s="230"/>
      <c r="H35" s="231"/>
      <c r="I35" s="180"/>
      <c r="L35" s="1" t="s">
        <v>27</v>
      </c>
      <c r="M35" s="2" t="s">
        <v>2</v>
      </c>
      <c r="N35" s="2" t="s">
        <v>1</v>
      </c>
      <c r="AE35" s="106">
        <v>10</v>
      </c>
      <c r="AF35" s="108">
        <v>300</v>
      </c>
      <c r="AG35" s="108">
        <v>25</v>
      </c>
      <c r="AH35" s="106">
        <v>0</v>
      </c>
      <c r="AI35" s="108">
        <v>0</v>
      </c>
      <c r="AJ35" s="108">
        <v>0</v>
      </c>
      <c r="AK35" s="108">
        <v>0.2</v>
      </c>
      <c r="AL35" s="108">
        <v>0.7</v>
      </c>
      <c r="AM35" s="108">
        <v>1.3</v>
      </c>
      <c r="AN35" s="108">
        <v>9</v>
      </c>
      <c r="AO35" s="109">
        <v>19.899999999999999</v>
      </c>
      <c r="AP35" s="108">
        <v>4.7</v>
      </c>
      <c r="AQ35" s="108">
        <v>5.5</v>
      </c>
      <c r="AR35" s="108">
        <v>6.5</v>
      </c>
      <c r="AS35" s="108">
        <v>8.3000000000000007</v>
      </c>
      <c r="AT35" s="108">
        <v>9.8000000000000007</v>
      </c>
      <c r="AU35" s="108">
        <v>12</v>
      </c>
      <c r="AV35" s="108">
        <v>24.7</v>
      </c>
      <c r="AW35" s="109">
        <v>40.200000000000003</v>
      </c>
      <c r="AX35" s="108"/>
      <c r="AY35" s="108"/>
      <c r="AZ35" s="108">
        <f t="shared" ref="AZ35" si="148">(AK35-AK36)/AK35</f>
        <v>-1.4999999999999998</v>
      </c>
      <c r="BA35" s="108">
        <f t="shared" ref="BA35" si="149">(AL35-AL36)/AL35</f>
        <v>-0.42857142857142866</v>
      </c>
      <c r="BB35" s="108">
        <f t="shared" ref="BB35" si="150">(AM35-AM36)/AM35</f>
        <v>-0.53846153846153844</v>
      </c>
      <c r="BC35" s="108">
        <f t="shared" ref="BC35" si="151">(AN35-AN36)/AN35</f>
        <v>-0.34444444444444439</v>
      </c>
      <c r="BD35" s="108">
        <f t="shared" ref="BD35" si="152">(AO35-AO36)/AO35</f>
        <v>-0.35678391959799005</v>
      </c>
      <c r="BE35" s="108"/>
      <c r="BF35" s="108"/>
      <c r="BG35" s="108"/>
      <c r="BH35" s="108"/>
      <c r="BI35" s="11"/>
      <c r="BJ35" s="11">
        <f>AQ35/(300-75)</f>
        <v>2.4444444444444446E-2</v>
      </c>
      <c r="BK35" s="11">
        <f>AR35/(300-75)</f>
        <v>2.8888888888888888E-2</v>
      </c>
      <c r="BL35" s="11">
        <f>AS35/(300-75)</f>
        <v>3.6888888888888895E-2</v>
      </c>
      <c r="BM35" s="11">
        <f>AT35/(300-75)</f>
        <v>4.3555555555555556E-2</v>
      </c>
      <c r="BN35" s="11">
        <f>AU36/(300-75)</f>
        <v>5.3333333333333337E-2</v>
      </c>
      <c r="BO35" s="11">
        <f>AV35/(300-75)</f>
        <v>0.10977777777777778</v>
      </c>
      <c r="BP35" s="11">
        <f>AW36/(300-75)</f>
        <v>0.17866666666666667</v>
      </c>
      <c r="BQ35" s="11">
        <f t="shared" ref="BQ35:BW35" si="153">AI35/(300-75)</f>
        <v>0</v>
      </c>
      <c r="BR35" s="11">
        <f t="shared" si="153"/>
        <v>0</v>
      </c>
      <c r="BS35" s="11">
        <f t="shared" si="153"/>
        <v>8.8888888888888893E-4</v>
      </c>
      <c r="BT35" s="11">
        <f t="shared" si="153"/>
        <v>3.1111111111111109E-3</v>
      </c>
      <c r="BU35" s="11">
        <f t="shared" si="153"/>
        <v>5.7777777777777784E-3</v>
      </c>
      <c r="BV35" s="11">
        <f t="shared" si="153"/>
        <v>0.04</v>
      </c>
      <c r="BW35" s="11">
        <f t="shared" si="153"/>
        <v>8.8444444444444437E-2</v>
      </c>
    </row>
    <row r="36" spans="1:75" x14ac:dyDescent="0.35">
      <c r="A36" s="180"/>
      <c r="B36" s="248" t="s">
        <v>166</v>
      </c>
      <c r="C36" s="181"/>
      <c r="D36" s="188"/>
      <c r="E36" s="187"/>
      <c r="F36" s="185"/>
      <c r="G36" s="185"/>
      <c r="H36" s="186"/>
      <c r="I36" s="180"/>
      <c r="L36" s="18" t="s">
        <v>32</v>
      </c>
      <c r="M36" s="38">
        <f>ROUND(C8*M26,2)</f>
        <v>306.89999999999998</v>
      </c>
      <c r="N36" s="4" t="s">
        <v>3</v>
      </c>
      <c r="O36" s="6" t="s">
        <v>60</v>
      </c>
      <c r="AE36" s="106">
        <v>10</v>
      </c>
      <c r="AF36" s="108">
        <v>300</v>
      </c>
      <c r="AG36" s="108">
        <v>150</v>
      </c>
      <c r="AH36" s="106">
        <v>0</v>
      </c>
      <c r="AI36" s="108">
        <v>0</v>
      </c>
      <c r="AJ36" s="108">
        <v>0</v>
      </c>
      <c r="AK36" s="108">
        <v>0.5</v>
      </c>
      <c r="AL36" s="108">
        <v>1</v>
      </c>
      <c r="AM36" s="108">
        <v>2</v>
      </c>
      <c r="AN36" s="108">
        <v>12.1</v>
      </c>
      <c r="AO36" s="109">
        <v>27</v>
      </c>
      <c r="AP36" s="108">
        <v>4.7</v>
      </c>
      <c r="AQ36" s="108">
        <v>5.5</v>
      </c>
      <c r="AR36" s="108">
        <v>6.5</v>
      </c>
      <c r="AS36" s="108">
        <v>8.3000000000000007</v>
      </c>
      <c r="AT36" s="108">
        <v>9.8000000000000007</v>
      </c>
      <c r="AU36" s="108">
        <v>12</v>
      </c>
      <c r="AV36" s="108">
        <v>24.7</v>
      </c>
      <c r="AW36" s="109">
        <v>40.200000000000003</v>
      </c>
      <c r="AX36" s="108"/>
      <c r="AY36" s="108"/>
      <c r="AZ36" s="108">
        <f t="shared" ref="AZ36" si="154">(AK34-AK36)/AK34</f>
        <v>-4</v>
      </c>
      <c r="BA36" s="108">
        <f t="shared" ref="BA36" si="155">(AL34-AL36)/AL34</f>
        <v>-0.66666666666666674</v>
      </c>
      <c r="BB36" s="108">
        <f t="shared" ref="BB36" si="156">(AM34-AM36)/AM34</f>
        <v>-0.81818181818181801</v>
      </c>
      <c r="BC36" s="108">
        <f t="shared" ref="BC36" si="157">(AN34-AN36)/AN34</f>
        <v>-0.51249999999999996</v>
      </c>
      <c r="BD36" s="108">
        <f t="shared" ref="BD36" si="158">(AO34-AO36)/AO34</f>
        <v>-0.54285714285714282</v>
      </c>
      <c r="BE36" s="108"/>
      <c r="BF36" s="108"/>
      <c r="BG36" s="108"/>
      <c r="BH36" s="108">
        <f>AVERAGE(BG25:BG39)</f>
        <v>3.9340146408639561E-3</v>
      </c>
      <c r="BI36" s="11"/>
      <c r="BJ36" s="11">
        <f t="shared" ref="BJ36:BO36" si="159">300*BJ35</f>
        <v>7.3333333333333339</v>
      </c>
      <c r="BK36" s="11">
        <f t="shared" si="159"/>
        <v>8.6666666666666661</v>
      </c>
      <c r="BL36" s="11">
        <f t="shared" si="159"/>
        <v>11.066666666666668</v>
      </c>
      <c r="BM36" s="11">
        <f t="shared" si="159"/>
        <v>13.066666666666666</v>
      </c>
      <c r="BN36" s="11">
        <f t="shared" si="159"/>
        <v>16</v>
      </c>
      <c r="BO36" s="11">
        <f t="shared" si="159"/>
        <v>32.933333333333337</v>
      </c>
      <c r="BP36" s="11">
        <f>300*BP35</f>
        <v>53.6</v>
      </c>
      <c r="BQ36" s="11">
        <f t="shared" ref="BQ36:BV36" si="160">300*BQ35</f>
        <v>0</v>
      </c>
      <c r="BR36" s="11">
        <f t="shared" si="160"/>
        <v>0</v>
      </c>
      <c r="BS36" s="11">
        <f t="shared" si="160"/>
        <v>0.26666666666666666</v>
      </c>
      <c r="BT36" s="11">
        <f t="shared" si="160"/>
        <v>0.93333333333333324</v>
      </c>
      <c r="BU36" s="11">
        <f t="shared" si="160"/>
        <v>1.7333333333333336</v>
      </c>
      <c r="BV36" s="11">
        <f t="shared" si="160"/>
        <v>12</v>
      </c>
      <c r="BW36" s="11">
        <f>300*BW35</f>
        <v>26.533333333333331</v>
      </c>
    </row>
    <row r="37" spans="1:75" x14ac:dyDescent="0.35">
      <c r="A37" s="180"/>
      <c r="B37" s="249"/>
      <c r="C37" s="181"/>
      <c r="D37" s="188"/>
      <c r="E37" s="185"/>
      <c r="F37" s="185"/>
      <c r="G37" s="185"/>
      <c r="H37" s="186"/>
      <c r="I37" s="180"/>
      <c r="L37" s="18" t="s">
        <v>33</v>
      </c>
      <c r="M37" s="38">
        <f>ROUND(M36/1.41,2)</f>
        <v>217.66</v>
      </c>
      <c r="N37" s="4" t="s">
        <v>3</v>
      </c>
      <c r="O37" s="6" t="s">
        <v>60</v>
      </c>
      <c r="AE37" s="106">
        <v>10</v>
      </c>
      <c r="AF37" s="108">
        <v>450</v>
      </c>
      <c r="AG37" s="108">
        <v>-40</v>
      </c>
      <c r="AH37" s="106">
        <v>0</v>
      </c>
      <c r="AI37" s="108">
        <v>0</v>
      </c>
      <c r="AJ37" s="108">
        <v>0</v>
      </c>
      <c r="AK37" s="108">
        <v>0.1</v>
      </c>
      <c r="AL37" s="108">
        <v>0.9</v>
      </c>
      <c r="AM37" s="108">
        <v>2.1</v>
      </c>
      <c r="AN37" s="108">
        <v>16.399999999999999</v>
      </c>
      <c r="AO37" s="109">
        <v>34.799999999999997</v>
      </c>
      <c r="AP37" s="108">
        <v>9.5</v>
      </c>
      <c r="AQ37" s="108">
        <v>11</v>
      </c>
      <c r="AR37" s="108">
        <v>13.1</v>
      </c>
      <c r="AS37" s="108">
        <v>16.600000000000001</v>
      </c>
      <c r="AT37" s="108">
        <v>19.5</v>
      </c>
      <c r="AU37" s="108">
        <v>23.8</v>
      </c>
      <c r="AV37" s="108">
        <v>47.3</v>
      </c>
      <c r="AW37" s="109">
        <v>76</v>
      </c>
      <c r="AX37" s="108"/>
      <c r="AY37" s="108"/>
      <c r="AZ37" s="125">
        <f t="shared" ref="AZ37" si="161">AZ38/($AG38-$AG39)</f>
        <v>1.9999999999999997E-2</v>
      </c>
      <c r="BA37" s="125">
        <f t="shared" ref="BA37" si="162">BA38/($AG38-$AG39)</f>
        <v>5.5999999999999999E-3</v>
      </c>
      <c r="BB37" s="125">
        <f t="shared" ref="BB37" si="163">BB38/($AG38-$AG39)</f>
        <v>3.8518518518518511E-3</v>
      </c>
      <c r="BC37" s="125">
        <f t="shared" ref="BC37" si="164">BC38/($AG38-$AG39)</f>
        <v>2.1420765027322397E-3</v>
      </c>
      <c r="BD37" s="125">
        <f t="shared" ref="BD37" si="165">BD38/($AG38-$AG39)</f>
        <v>2.2945736434108513E-3</v>
      </c>
      <c r="BE37" s="125">
        <f t="shared" ref="BE37" si="166">MAX(AZ37:BD37)</f>
        <v>1.9999999999999997E-2</v>
      </c>
      <c r="BF37" s="125">
        <f t="shared" ref="BF37" si="167">MIN(AZ37:BE37)</f>
        <v>2.1420765027322397E-3</v>
      </c>
      <c r="BG37" s="108">
        <f t="shared" si="113"/>
        <v>3.8518518518518511E-3</v>
      </c>
      <c r="BH37" s="108"/>
      <c r="BI37" s="11"/>
      <c r="BJ37" s="11">
        <f t="shared" ref="BJ37:BP37" si="168">AQ36-BJ36</f>
        <v>-1.8333333333333339</v>
      </c>
      <c r="BK37" s="11">
        <f t="shared" si="168"/>
        <v>-2.1666666666666661</v>
      </c>
      <c r="BL37" s="11">
        <f t="shared" si="168"/>
        <v>-2.7666666666666675</v>
      </c>
      <c r="BM37" s="11">
        <f t="shared" si="168"/>
        <v>-3.2666666666666657</v>
      </c>
      <c r="BN37" s="11">
        <f t="shared" si="168"/>
        <v>-4</v>
      </c>
      <c r="BO37" s="11">
        <f t="shared" si="168"/>
        <v>-8.2333333333333378</v>
      </c>
      <c r="BP37" s="11">
        <f t="shared" si="168"/>
        <v>-13.399999999999999</v>
      </c>
      <c r="BQ37" s="11">
        <f t="shared" ref="BQ37:BW37" si="169">AI35-BQ36</f>
        <v>0</v>
      </c>
      <c r="BR37" s="11">
        <f t="shared" si="169"/>
        <v>0</v>
      </c>
      <c r="BS37" s="11">
        <f t="shared" si="169"/>
        <v>-6.6666666666666652E-2</v>
      </c>
      <c r="BT37" s="11">
        <f t="shared" si="169"/>
        <v>-0.23333333333333328</v>
      </c>
      <c r="BU37" s="11">
        <f t="shared" si="169"/>
        <v>-0.43333333333333357</v>
      </c>
      <c r="BV37" s="11">
        <f t="shared" si="169"/>
        <v>-3</v>
      </c>
      <c r="BW37" s="11">
        <f t="shared" si="169"/>
        <v>-6.6333333333333329</v>
      </c>
    </row>
    <row r="38" spans="1:75" ht="15" thickBot="1" x14ac:dyDescent="0.4">
      <c r="A38" s="180"/>
      <c r="B38" s="250"/>
      <c r="C38" s="181"/>
      <c r="D38" s="184"/>
      <c r="E38" s="185"/>
      <c r="F38" s="185"/>
      <c r="G38" s="185"/>
      <c r="H38" s="186"/>
      <c r="I38" s="180"/>
      <c r="L38" s="18" t="s">
        <v>34</v>
      </c>
      <c r="M38" s="39">
        <f>C10*1.414</f>
        <v>1.21604</v>
      </c>
      <c r="N38" s="4" t="s">
        <v>6</v>
      </c>
      <c r="O38" s="6" t="s">
        <v>58</v>
      </c>
      <c r="AE38" s="106">
        <v>10</v>
      </c>
      <c r="AF38" s="108">
        <v>450</v>
      </c>
      <c r="AG38" s="108">
        <v>25</v>
      </c>
      <c r="AH38" s="106">
        <v>0</v>
      </c>
      <c r="AI38" s="108">
        <v>0</v>
      </c>
      <c r="AJ38" s="108">
        <v>0</v>
      </c>
      <c r="AK38" s="108">
        <v>0.2</v>
      </c>
      <c r="AL38" s="108">
        <v>1</v>
      </c>
      <c r="AM38" s="108">
        <v>2.7</v>
      </c>
      <c r="AN38" s="108">
        <v>18.3</v>
      </c>
      <c r="AO38" s="109">
        <v>38.700000000000003</v>
      </c>
      <c r="AP38" s="108">
        <v>9.5</v>
      </c>
      <c r="AQ38" s="108">
        <v>11</v>
      </c>
      <c r="AR38" s="108">
        <v>13.1</v>
      </c>
      <c r="AS38" s="108">
        <v>16.600000000000001</v>
      </c>
      <c r="AT38" s="108">
        <v>19.5</v>
      </c>
      <c r="AU38" s="108">
        <v>23.8</v>
      </c>
      <c r="AV38" s="108">
        <v>47.3</v>
      </c>
      <c r="AW38" s="109">
        <v>76</v>
      </c>
      <c r="AX38" s="108"/>
      <c r="AY38" s="108"/>
      <c r="AZ38" s="108">
        <f t="shared" ref="AZ38" si="170">(AK38-AK39)/AK38</f>
        <v>-2.4999999999999996</v>
      </c>
      <c r="BA38" s="108">
        <f t="shared" ref="BA38" si="171">(AL38-AL39)/AL38</f>
        <v>-0.7</v>
      </c>
      <c r="BB38" s="108">
        <f t="shared" ref="BB38" si="172">(AM38-AM39)/AM38</f>
        <v>-0.4814814814814814</v>
      </c>
      <c r="BC38" s="108">
        <f t="shared" ref="BC38" si="173">(AN38-AN39)/AN38</f>
        <v>-0.26775956284152996</v>
      </c>
      <c r="BD38" s="108">
        <f t="shared" ref="BD38" si="174">(AO38-AO39)/AO38</f>
        <v>-0.28682170542635643</v>
      </c>
      <c r="BE38" s="108"/>
      <c r="BF38" s="108"/>
      <c r="BG38" s="108"/>
      <c r="BH38" s="108"/>
    </row>
    <row r="39" spans="1:75" ht="15" thickBot="1" x14ac:dyDescent="0.4">
      <c r="A39" s="180"/>
      <c r="B39" s="280"/>
      <c r="C39" s="181"/>
      <c r="D39" s="184"/>
      <c r="E39" s="185"/>
      <c r="F39" s="185"/>
      <c r="G39" s="185"/>
      <c r="H39" s="186"/>
      <c r="I39" s="180"/>
      <c r="L39" s="18" t="s">
        <v>35</v>
      </c>
      <c r="M39" s="4">
        <f>C8/C13</f>
        <v>31</v>
      </c>
      <c r="N39" s="4" t="s">
        <v>41</v>
      </c>
      <c r="O39" s="6" t="s">
        <v>106</v>
      </c>
      <c r="AE39" s="102">
        <v>10</v>
      </c>
      <c r="AF39" s="103">
        <v>450</v>
      </c>
      <c r="AG39" s="103">
        <v>150</v>
      </c>
      <c r="AH39" s="102">
        <v>0</v>
      </c>
      <c r="AI39" s="103">
        <v>0</v>
      </c>
      <c r="AJ39" s="103">
        <v>0</v>
      </c>
      <c r="AK39" s="103">
        <v>0.7</v>
      </c>
      <c r="AL39" s="103">
        <v>1.7</v>
      </c>
      <c r="AM39" s="103">
        <v>4</v>
      </c>
      <c r="AN39" s="103">
        <v>23.2</v>
      </c>
      <c r="AO39" s="110">
        <v>49.8</v>
      </c>
      <c r="AP39" s="103">
        <v>9.5</v>
      </c>
      <c r="AQ39" s="103">
        <v>11</v>
      </c>
      <c r="AR39" s="103">
        <v>13.1</v>
      </c>
      <c r="AS39" s="103">
        <v>16.600000000000001</v>
      </c>
      <c r="AT39" s="103">
        <v>19.5</v>
      </c>
      <c r="AU39" s="103">
        <v>23.8</v>
      </c>
      <c r="AV39" s="103">
        <v>47.3</v>
      </c>
      <c r="AW39" s="110">
        <v>76</v>
      </c>
      <c r="AX39" s="108"/>
      <c r="AY39" s="108"/>
      <c r="AZ39" s="108">
        <f t="shared" ref="AZ39" si="175">(AK37-AK39)/AK37</f>
        <v>-5.9999999999999991</v>
      </c>
      <c r="BA39" s="108">
        <f t="shared" ref="BA39" si="176">(AL37-AL39)/AL37</f>
        <v>-0.88888888888888884</v>
      </c>
      <c r="BB39" s="108">
        <f t="shared" ref="BB39" si="177">(AM37-AM39)/AM37</f>
        <v>-0.90476190476190466</v>
      </c>
      <c r="BC39" s="108">
        <f t="shared" ref="BC39" si="178">(AN37-AN39)/AN37</f>
        <v>-0.41463414634146351</v>
      </c>
      <c r="BD39" s="108">
        <f t="shared" ref="BD39" si="179">(AO37-AO39)/AO37</f>
        <v>-0.43103448275862072</v>
      </c>
      <c r="BE39" s="108"/>
      <c r="BF39" s="108"/>
      <c r="BG39" s="108"/>
      <c r="BH39" s="108"/>
      <c r="BJ39" s="6">
        <f>0.5*AF39*AW9*(AF39/AE39)*0.001</f>
        <v>40.5</v>
      </c>
    </row>
    <row r="40" spans="1:75" x14ac:dyDescent="0.35">
      <c r="A40" s="180"/>
      <c r="B40" s="280"/>
      <c r="C40" s="181"/>
      <c r="D40" s="184"/>
      <c r="E40" s="185"/>
      <c r="F40" s="185"/>
      <c r="G40" s="185"/>
      <c r="H40" s="186"/>
      <c r="I40" s="180"/>
      <c r="L40" s="1" t="s">
        <v>36</v>
      </c>
      <c r="M40" s="2" t="s">
        <v>2</v>
      </c>
      <c r="N40" s="2" t="s">
        <v>1</v>
      </c>
      <c r="AE40" s="104">
        <v>20</v>
      </c>
      <c r="AF40" s="105">
        <v>100</v>
      </c>
      <c r="AG40" s="105">
        <v>-40</v>
      </c>
      <c r="AH40" s="104">
        <v>0</v>
      </c>
      <c r="AI40" s="105">
        <v>0</v>
      </c>
      <c r="AJ40" s="105">
        <v>0</v>
      </c>
      <c r="AK40" s="105">
        <v>0</v>
      </c>
      <c r="AL40" s="105">
        <v>0</v>
      </c>
      <c r="AM40" s="105">
        <v>0.1</v>
      </c>
      <c r="AN40" s="105">
        <v>0.5</v>
      </c>
      <c r="AO40" s="107">
        <v>1.3</v>
      </c>
      <c r="AP40" s="105">
        <v>0.7</v>
      </c>
      <c r="AQ40" s="105">
        <v>0.8</v>
      </c>
      <c r="AR40" s="105">
        <v>1</v>
      </c>
      <c r="AS40" s="105">
        <v>1.2</v>
      </c>
      <c r="AT40" s="105">
        <v>1.3</v>
      </c>
      <c r="AU40" s="105">
        <v>1.6</v>
      </c>
      <c r="AV40" s="105">
        <v>3.2</v>
      </c>
      <c r="AW40" s="107">
        <v>5</v>
      </c>
      <c r="AX40" s="108"/>
      <c r="AY40" s="108"/>
      <c r="AZ40" s="125"/>
      <c r="BA40" s="125">
        <f t="shared" ref="BA40" si="180">BA41/($AG41-$AG42)</f>
        <v>8.0000000000000002E-3</v>
      </c>
      <c r="BB40" s="125">
        <f t="shared" ref="BB40" si="181">BB41/($AG41-$AG42)</f>
        <v>3.9999999999999992E-3</v>
      </c>
      <c r="BC40" s="125">
        <f t="shared" ref="BC40" si="182">BC41/($AG41-$AG42)</f>
        <v>6.6666666666666688E-3</v>
      </c>
      <c r="BD40" s="125">
        <f t="shared" ref="BD40" si="183">BD41/($AG41-$AG42)</f>
        <v>8.5714285714285719E-3</v>
      </c>
      <c r="BE40" s="125">
        <f>MAX(BA40:BD40)</f>
        <v>8.5714285714285719E-3</v>
      </c>
      <c r="BF40" s="125">
        <f>MIN(BA40:BE40)</f>
        <v>3.9999999999999992E-3</v>
      </c>
      <c r="BG40" s="108">
        <f t="shared" si="113"/>
        <v>7.3333333333333341E-3</v>
      </c>
      <c r="BH40" s="108"/>
    </row>
    <row r="41" spans="1:75" x14ac:dyDescent="0.35">
      <c r="A41" s="180"/>
      <c r="B41" s="280"/>
      <c r="C41" s="181"/>
      <c r="D41" s="184"/>
      <c r="E41" s="185"/>
      <c r="F41" s="185"/>
      <c r="G41" s="185"/>
      <c r="H41" s="186"/>
      <c r="I41" s="180"/>
      <c r="L41" s="18" t="s">
        <v>37</v>
      </c>
      <c r="M41" s="4">
        <f>M28*M27*0.001</f>
        <v>0.09</v>
      </c>
      <c r="N41" s="4" t="s">
        <v>5</v>
      </c>
      <c r="AE41" s="106">
        <v>20</v>
      </c>
      <c r="AF41" s="108">
        <v>100</v>
      </c>
      <c r="AG41" s="108">
        <v>25</v>
      </c>
      <c r="AH41" s="106">
        <v>0</v>
      </c>
      <c r="AI41" s="108">
        <v>0</v>
      </c>
      <c r="AJ41" s="108">
        <v>0</v>
      </c>
      <c r="AK41" s="108">
        <v>0</v>
      </c>
      <c r="AL41" s="108">
        <v>0.1</v>
      </c>
      <c r="AM41" s="108">
        <v>0.2</v>
      </c>
      <c r="AN41" s="108">
        <v>0.6</v>
      </c>
      <c r="AO41" s="109">
        <v>1.4</v>
      </c>
      <c r="AP41" s="108">
        <v>0.7</v>
      </c>
      <c r="AQ41" s="108">
        <v>0.8</v>
      </c>
      <c r="AR41" s="108">
        <v>1</v>
      </c>
      <c r="AS41" s="108">
        <v>1.2</v>
      </c>
      <c r="AT41" s="108">
        <v>1.3</v>
      </c>
      <c r="AU41" s="108">
        <v>1.6</v>
      </c>
      <c r="AV41" s="108">
        <v>3.2</v>
      </c>
      <c r="AW41" s="109">
        <v>5</v>
      </c>
      <c r="AX41" s="108"/>
      <c r="AY41" s="108"/>
      <c r="AZ41" s="108"/>
      <c r="BA41" s="108">
        <f t="shared" ref="BA41" si="184">(AL41-AL42)/AL41</f>
        <v>-1</v>
      </c>
      <c r="BB41" s="108">
        <f t="shared" ref="BB41" si="185">(AM41-AM42)/AM41</f>
        <v>-0.49999999999999989</v>
      </c>
      <c r="BC41" s="108">
        <f t="shared" ref="BC41" si="186">(AN41-AN42)/AN41</f>
        <v>-0.83333333333333359</v>
      </c>
      <c r="BD41" s="108">
        <f t="shared" ref="BD41" si="187">(AO41-AO42)/AO41</f>
        <v>-1.0714285714285714</v>
      </c>
      <c r="BE41" s="108"/>
      <c r="BF41" s="108"/>
      <c r="BG41" s="108"/>
      <c r="BH41" s="108"/>
    </row>
    <row r="42" spans="1:75" x14ac:dyDescent="0.35">
      <c r="A42" s="180"/>
      <c r="B42" s="280"/>
      <c r="C42" s="181"/>
      <c r="D42" s="184"/>
      <c r="E42" s="185"/>
      <c r="F42" s="185"/>
      <c r="G42" s="185"/>
      <c r="H42" s="186"/>
      <c r="I42" s="180"/>
      <c r="L42" s="194" t="s">
        <v>180</v>
      </c>
      <c r="M42" s="3" t="s">
        <v>2</v>
      </c>
      <c r="N42" s="3" t="s">
        <v>1</v>
      </c>
      <c r="AE42" s="106">
        <v>20</v>
      </c>
      <c r="AF42" s="108">
        <v>100</v>
      </c>
      <c r="AG42" s="108">
        <v>150</v>
      </c>
      <c r="AH42" s="106">
        <v>0</v>
      </c>
      <c r="AI42" s="108">
        <v>0</v>
      </c>
      <c r="AJ42" s="108">
        <v>0</v>
      </c>
      <c r="AK42" s="108">
        <v>0</v>
      </c>
      <c r="AL42" s="108">
        <v>0.2</v>
      </c>
      <c r="AM42" s="108">
        <v>0.3</v>
      </c>
      <c r="AN42" s="108">
        <v>1.1000000000000001</v>
      </c>
      <c r="AO42" s="109">
        <v>2.9</v>
      </c>
      <c r="AP42" s="108">
        <v>0.7</v>
      </c>
      <c r="AQ42" s="108">
        <v>0.8</v>
      </c>
      <c r="AR42" s="108">
        <v>1</v>
      </c>
      <c r="AS42" s="108">
        <v>1.2</v>
      </c>
      <c r="AT42" s="108">
        <v>1.3</v>
      </c>
      <c r="AU42" s="108">
        <v>1.6</v>
      </c>
      <c r="AV42" s="108">
        <v>3.2</v>
      </c>
      <c r="AW42" s="109">
        <v>5</v>
      </c>
      <c r="AX42" s="108"/>
      <c r="AY42" s="108"/>
      <c r="AZ42" s="108"/>
      <c r="BA42" s="108"/>
      <c r="BB42" s="108">
        <f t="shared" ref="BB42" si="188">(AM40-AM42)/AM40</f>
        <v>-1.9999999999999998</v>
      </c>
      <c r="BC42" s="108">
        <f t="shared" ref="BC42" si="189">(AN40-AN42)/AN40</f>
        <v>-1.2000000000000002</v>
      </c>
      <c r="BD42" s="108">
        <f t="shared" ref="BD42" si="190">(AO40-AO42)/AO40</f>
        <v>-1.2307692307692306</v>
      </c>
      <c r="BE42" s="108"/>
      <c r="BF42" s="108"/>
      <c r="BG42" s="108"/>
      <c r="BH42" s="108"/>
    </row>
    <row r="43" spans="1:75" ht="29" x14ac:dyDescent="0.35">
      <c r="A43" s="180"/>
      <c r="B43" s="280"/>
      <c r="C43" s="181"/>
      <c r="D43" s="184"/>
      <c r="E43" s="185"/>
      <c r="F43" s="185"/>
      <c r="G43" s="185"/>
      <c r="H43" s="186"/>
      <c r="I43" s="180"/>
      <c r="L43" s="18" t="s">
        <v>181</v>
      </c>
      <c r="M43" s="4">
        <f>DC_Voltage/slew_rate_V_per_ns*0.001*DC_Voltage/2*(PCB_capacitance_pF-50)*slew_rate_V_per_ns*0.001</f>
        <v>4.8049999999999997</v>
      </c>
      <c r="N43" s="4" t="s">
        <v>74</v>
      </c>
      <c r="AE43" s="106">
        <v>20</v>
      </c>
      <c r="AF43" s="108">
        <v>150</v>
      </c>
      <c r="AG43" s="108">
        <v>-40</v>
      </c>
      <c r="AH43" s="106">
        <v>0</v>
      </c>
      <c r="AI43" s="108">
        <v>0</v>
      </c>
      <c r="AJ43" s="108">
        <v>0</v>
      </c>
      <c r="AK43" s="108">
        <v>0</v>
      </c>
      <c r="AL43" s="108">
        <v>0.1</v>
      </c>
      <c r="AM43" s="108">
        <v>0.2</v>
      </c>
      <c r="AN43" s="108">
        <v>0.8</v>
      </c>
      <c r="AO43" s="109">
        <v>2</v>
      </c>
      <c r="AP43" s="108">
        <v>1.4</v>
      </c>
      <c r="AQ43" s="108">
        <v>1.6</v>
      </c>
      <c r="AR43" s="108">
        <v>1.8</v>
      </c>
      <c r="AS43" s="108">
        <v>2.1</v>
      </c>
      <c r="AT43" s="108">
        <v>2.4</v>
      </c>
      <c r="AU43" s="108">
        <v>2.9</v>
      </c>
      <c r="AV43" s="108">
        <v>5.5</v>
      </c>
      <c r="AW43" s="109">
        <v>8.5</v>
      </c>
      <c r="AX43" s="108"/>
      <c r="AY43" s="108"/>
      <c r="AZ43" s="125"/>
      <c r="BA43" s="125">
        <f t="shared" ref="BA43" si="191">BA44/($AG44-$AG45)</f>
        <v>8.0000000000000002E-3</v>
      </c>
      <c r="BB43" s="125">
        <f t="shared" ref="BB43" si="192">BB44/($AG44-$AG45)</f>
        <v>0</v>
      </c>
      <c r="BC43" s="125">
        <f t="shared" ref="BC43" si="193">BC44/($AG44-$AG45)</f>
        <v>6.2222222222222227E-3</v>
      </c>
      <c r="BD43" s="125">
        <f t="shared" ref="BD43" si="194">BD44/($AG44-$AG45)</f>
        <v>5.1199999999999996E-3</v>
      </c>
      <c r="BE43" s="125">
        <f>MAX(BA43:BD43)</f>
        <v>8.0000000000000002E-3</v>
      </c>
      <c r="BF43" s="125">
        <f>MIN(BA43:BE43)</f>
        <v>0</v>
      </c>
      <c r="BG43" s="108">
        <f t="shared" si="113"/>
        <v>5.6711111111111111E-3</v>
      </c>
      <c r="BH43" s="108"/>
    </row>
    <row r="44" spans="1:75" x14ac:dyDescent="0.35">
      <c r="A44" s="180"/>
      <c r="B44" s="280"/>
      <c r="C44" s="181"/>
      <c r="D44" s="184"/>
      <c r="E44" s="185"/>
      <c r="F44" s="185"/>
      <c r="G44" s="185"/>
      <c r="H44" s="186"/>
      <c r="I44" s="180"/>
      <c r="L44" s="6" t="s">
        <v>184</v>
      </c>
      <c r="M44" s="5">
        <f>DC_Voltage/slew_rate_V_per_ns*0.001*DC_Voltage/2*(PCB_capacitance_pF)*slew_rate_V_per_ns*0.001</f>
        <v>7.2075000000000005</v>
      </c>
      <c r="N44" s="5" t="s">
        <v>74</v>
      </c>
      <c r="AE44" s="106">
        <v>20</v>
      </c>
      <c r="AF44" s="108">
        <v>150</v>
      </c>
      <c r="AG44" s="108">
        <v>25</v>
      </c>
      <c r="AH44" s="106">
        <v>0</v>
      </c>
      <c r="AI44" s="108">
        <v>0</v>
      </c>
      <c r="AJ44" s="108">
        <v>0</v>
      </c>
      <c r="AK44" s="108">
        <v>0</v>
      </c>
      <c r="AL44" s="108">
        <v>0.1</v>
      </c>
      <c r="AM44" s="108">
        <v>0.4</v>
      </c>
      <c r="AN44" s="108">
        <v>0.9</v>
      </c>
      <c r="AO44" s="109">
        <v>2.5</v>
      </c>
      <c r="AP44" s="108">
        <v>1.4</v>
      </c>
      <c r="AQ44" s="108">
        <v>1.6</v>
      </c>
      <c r="AR44" s="108">
        <v>1.8</v>
      </c>
      <c r="AS44" s="108">
        <v>2.1</v>
      </c>
      <c r="AT44" s="108">
        <v>2.4</v>
      </c>
      <c r="AU44" s="108">
        <v>2.9</v>
      </c>
      <c r="AV44" s="108">
        <v>5.5</v>
      </c>
      <c r="AW44" s="109">
        <v>8.5</v>
      </c>
      <c r="AX44" s="108"/>
      <c r="AY44" s="108"/>
      <c r="AZ44" s="108"/>
      <c r="BA44" s="108">
        <f t="shared" ref="BA44" si="195">(AL44-AL45)/AL44</f>
        <v>-1</v>
      </c>
      <c r="BB44" s="108">
        <f t="shared" ref="BB44" si="196">(AM44-AM45)/AM44</f>
        <v>0</v>
      </c>
      <c r="BC44" s="108">
        <f t="shared" ref="BC44" si="197">(AN44-AN45)/AN44</f>
        <v>-0.77777777777777779</v>
      </c>
      <c r="BD44" s="108">
        <f t="shared" ref="BD44" si="198">(AO44-AO45)/AO44</f>
        <v>-0.6399999999999999</v>
      </c>
      <c r="BE44" s="108"/>
      <c r="BF44" s="108"/>
      <c r="BG44" s="108"/>
      <c r="BH44" s="108"/>
    </row>
    <row r="45" spans="1:75" x14ac:dyDescent="0.35">
      <c r="A45" s="180"/>
      <c r="B45" s="280"/>
      <c r="C45" s="181"/>
      <c r="D45" s="184"/>
      <c r="E45" s="185"/>
      <c r="F45" s="185"/>
      <c r="G45" s="185"/>
      <c r="H45" s="186"/>
      <c r="I45" s="180"/>
      <c r="L45" s="1" t="s">
        <v>125</v>
      </c>
      <c r="M45" s="2" t="s">
        <v>2</v>
      </c>
      <c r="N45" s="2" t="s">
        <v>1</v>
      </c>
      <c r="P45" s="6" t="s">
        <v>140</v>
      </c>
      <c r="Q45" s="6" t="s">
        <v>139</v>
      </c>
      <c r="AE45" s="106">
        <v>20</v>
      </c>
      <c r="AF45" s="108">
        <v>150</v>
      </c>
      <c r="AG45" s="108">
        <v>150</v>
      </c>
      <c r="AH45" s="106">
        <v>0</v>
      </c>
      <c r="AI45" s="108">
        <v>0</v>
      </c>
      <c r="AJ45" s="108">
        <v>0</v>
      </c>
      <c r="AK45" s="108">
        <v>0.1</v>
      </c>
      <c r="AL45" s="108">
        <v>0.2</v>
      </c>
      <c r="AM45" s="108">
        <v>0.4</v>
      </c>
      <c r="AN45" s="108">
        <v>1.6</v>
      </c>
      <c r="AO45" s="109">
        <v>4.0999999999999996</v>
      </c>
      <c r="AP45" s="108">
        <v>1.4</v>
      </c>
      <c r="AQ45" s="108">
        <v>1.6</v>
      </c>
      <c r="AR45" s="108">
        <v>1.8</v>
      </c>
      <c r="AS45" s="108">
        <v>2.1</v>
      </c>
      <c r="AT45" s="108">
        <v>2.4</v>
      </c>
      <c r="AU45" s="108">
        <v>2.9</v>
      </c>
      <c r="AV45" s="108">
        <v>5.5</v>
      </c>
      <c r="AW45" s="109">
        <v>8.5</v>
      </c>
      <c r="AX45" s="108"/>
      <c r="AY45" s="108"/>
      <c r="AZ45" s="108"/>
      <c r="BA45" s="108">
        <f t="shared" ref="BA45" si="199">(AL43-AL45)/AL43</f>
        <v>-1</v>
      </c>
      <c r="BB45" s="108">
        <f t="shared" ref="BB45" si="200">(AM43-AM45)/AM43</f>
        <v>-1</v>
      </c>
      <c r="BC45" s="108">
        <f t="shared" ref="BC45" si="201">(AN43-AN45)/AN43</f>
        <v>-1</v>
      </c>
      <c r="BD45" s="108">
        <f t="shared" ref="BD45" si="202">(AO43-AO45)/AO43</f>
        <v>-1.0499999999999998</v>
      </c>
      <c r="BE45" s="108"/>
      <c r="BF45" s="108"/>
      <c r="BG45" s="108"/>
      <c r="BH45" s="108"/>
    </row>
    <row r="46" spans="1:75" x14ac:dyDescent="0.35">
      <c r="A46" s="180"/>
      <c r="B46" s="280"/>
      <c r="C46" s="181"/>
      <c r="D46" s="184"/>
      <c r="E46" s="185"/>
      <c r="F46" s="185"/>
      <c r="G46" s="185"/>
      <c r="H46" s="186"/>
      <c r="I46" s="180"/>
      <c r="L46" s="40" t="s">
        <v>73</v>
      </c>
      <c r="M46" s="41">
        <f>IF(Nominal_or_worst=Worst,Q46,P46)*(DC_Voltage*DC_Voltage*b2_eon+DC_Voltage*b1_eon+a_eon)</f>
        <v>11.520554316000002</v>
      </c>
      <c r="N46" s="42" t="s">
        <v>74</v>
      </c>
      <c r="P46" s="6">
        <v>1</v>
      </c>
      <c r="Q46" s="6">
        <v>1.4</v>
      </c>
      <c r="AE46" s="106">
        <v>20</v>
      </c>
      <c r="AF46" s="108">
        <v>200</v>
      </c>
      <c r="AG46" s="108">
        <v>-40</v>
      </c>
      <c r="AH46" s="106">
        <v>0</v>
      </c>
      <c r="AI46" s="108">
        <v>0</v>
      </c>
      <c r="AJ46" s="108">
        <v>0</v>
      </c>
      <c r="AK46" s="108">
        <v>0</v>
      </c>
      <c r="AL46" s="108">
        <v>0.1</v>
      </c>
      <c r="AM46" s="108">
        <v>0.2</v>
      </c>
      <c r="AN46" s="108">
        <v>1.1000000000000001</v>
      </c>
      <c r="AO46" s="109">
        <v>2.8</v>
      </c>
      <c r="AP46" s="108">
        <v>2.2999999999999998</v>
      </c>
      <c r="AQ46" s="108">
        <v>2.6</v>
      </c>
      <c r="AR46" s="108">
        <v>2.9</v>
      </c>
      <c r="AS46" s="108">
        <v>3.4</v>
      </c>
      <c r="AT46" s="108">
        <v>3.8</v>
      </c>
      <c r="AU46" s="108">
        <v>4.5</v>
      </c>
      <c r="AV46" s="108">
        <v>8.1999999999999993</v>
      </c>
      <c r="AW46" s="109">
        <v>12.5</v>
      </c>
      <c r="AX46" s="108"/>
      <c r="AY46" s="108"/>
      <c r="AZ46" s="125"/>
      <c r="BA46" s="125">
        <f t="shared" ref="BA46" si="203">BA47/($AG47-$AG48)</f>
        <v>8.0000000000000002E-3</v>
      </c>
      <c r="BB46" s="125">
        <f t="shared" ref="BB46" si="204">BB47/($AG47-$AG48)</f>
        <v>1.1999999999999999E-2</v>
      </c>
      <c r="BC46" s="125">
        <f t="shared" ref="BC46" si="205">BC47/($AG47-$AG48)</f>
        <v>5.538461538461539E-3</v>
      </c>
      <c r="BD46" s="125">
        <f t="shared" ref="BD46" si="206">BD47/($AG47-$AG48)</f>
        <v>4.7999999999999987E-3</v>
      </c>
      <c r="BE46" s="125">
        <f>MAX(BA46:BD46)</f>
        <v>1.1999999999999999E-2</v>
      </c>
      <c r="BF46" s="125">
        <f>MIN(BA46:BE46)</f>
        <v>4.7999999999999987E-3</v>
      </c>
      <c r="BG46" s="108">
        <f t="shared" si="113"/>
        <v>6.7692307692307696E-3</v>
      </c>
      <c r="BH46" s="108"/>
    </row>
    <row r="47" spans="1:75" x14ac:dyDescent="0.35">
      <c r="A47" s="180"/>
      <c r="B47" s="280"/>
      <c r="C47" s="181"/>
      <c r="D47" s="184"/>
      <c r="E47" s="185"/>
      <c r="F47" s="185"/>
      <c r="G47" s="185"/>
      <c r="H47" s="186"/>
      <c r="I47" s="180"/>
      <c r="L47" s="40" t="s">
        <v>124</v>
      </c>
      <c r="M47" s="41">
        <f>IF(Nominal_or_worst=Worst,Q46,P46)*(DC_Voltage*DC_Voltage*b2_eoff+DC_Voltage*b1_eoff+a_eoff)</f>
        <v>1.3406308991999998</v>
      </c>
      <c r="N47" s="42" t="s">
        <v>74</v>
      </c>
      <c r="AE47" s="106">
        <v>20</v>
      </c>
      <c r="AF47" s="108">
        <v>200</v>
      </c>
      <c r="AG47" s="108">
        <v>25</v>
      </c>
      <c r="AH47" s="106">
        <v>0</v>
      </c>
      <c r="AI47" s="108">
        <v>0</v>
      </c>
      <c r="AJ47" s="108">
        <v>0</v>
      </c>
      <c r="AK47" s="108">
        <v>0</v>
      </c>
      <c r="AL47" s="108">
        <v>0.1</v>
      </c>
      <c r="AM47" s="108">
        <v>0.2</v>
      </c>
      <c r="AN47" s="108">
        <v>1.3</v>
      </c>
      <c r="AO47" s="109">
        <v>3.5</v>
      </c>
      <c r="AP47" s="108">
        <v>2.2999999999999998</v>
      </c>
      <c r="AQ47" s="108">
        <v>2.6</v>
      </c>
      <c r="AR47" s="108">
        <v>2.9</v>
      </c>
      <c r="AS47" s="108">
        <v>3.4</v>
      </c>
      <c r="AT47" s="108">
        <v>3.8</v>
      </c>
      <c r="AU47" s="108">
        <v>4.5</v>
      </c>
      <c r="AV47" s="108">
        <v>8.1999999999999993</v>
      </c>
      <c r="AW47" s="109">
        <v>12.5</v>
      </c>
      <c r="AX47" s="108"/>
      <c r="AY47" s="108"/>
      <c r="AZ47" s="108"/>
      <c r="BA47" s="108">
        <f t="shared" ref="BA47" si="207">(AL47-AL48)/AL47</f>
        <v>-1</v>
      </c>
      <c r="BB47" s="108">
        <f t="shared" ref="BB47" si="208">(AM47-AM48)/AM47</f>
        <v>-1.4999999999999998</v>
      </c>
      <c r="BC47" s="108">
        <f t="shared" ref="BC47" si="209">(AN47-AN48)/AN47</f>
        <v>-0.6923076923076924</v>
      </c>
      <c r="BD47" s="108">
        <f t="shared" ref="BD47" si="210">(AO47-AO48)/AO47</f>
        <v>-0.59999999999999987</v>
      </c>
      <c r="BE47" s="108"/>
      <c r="BF47" s="108"/>
      <c r="BG47" s="108"/>
      <c r="BH47" s="108"/>
    </row>
    <row r="48" spans="1:75" x14ac:dyDescent="0.35">
      <c r="A48" s="180"/>
      <c r="B48" s="280"/>
      <c r="C48" s="181"/>
      <c r="D48" s="184"/>
      <c r="E48" s="185"/>
      <c r="F48" s="185"/>
      <c r="G48" s="185"/>
      <c r="H48" s="186"/>
      <c r="I48" s="180"/>
      <c r="L48" s="6" t="s">
        <v>132</v>
      </c>
      <c r="M48" s="126">
        <f>VLOOKUP(_xlfn.CONCAT(C13,D13),K101:L104,2,FALSE)</f>
        <v>3.9340146408639561E-3</v>
      </c>
      <c r="N48" s="5" t="s">
        <v>131</v>
      </c>
      <c r="AE48" s="106">
        <v>20</v>
      </c>
      <c r="AF48" s="108">
        <v>200</v>
      </c>
      <c r="AG48" s="108">
        <v>150</v>
      </c>
      <c r="AH48" s="106">
        <v>0</v>
      </c>
      <c r="AI48" s="108">
        <v>0</v>
      </c>
      <c r="AJ48" s="108">
        <v>0</v>
      </c>
      <c r="AK48" s="108">
        <v>0.1</v>
      </c>
      <c r="AL48" s="108">
        <v>0.2</v>
      </c>
      <c r="AM48" s="108">
        <v>0.5</v>
      </c>
      <c r="AN48" s="108">
        <v>2.2000000000000002</v>
      </c>
      <c r="AO48" s="109">
        <v>5.6</v>
      </c>
      <c r="AP48" s="108">
        <v>2.2999999999999998</v>
      </c>
      <c r="AQ48" s="108">
        <v>2.6</v>
      </c>
      <c r="AR48" s="108">
        <v>2.9</v>
      </c>
      <c r="AS48" s="108">
        <v>3.4</v>
      </c>
      <c r="AT48" s="108">
        <v>3.8</v>
      </c>
      <c r="AU48" s="108">
        <v>4.5</v>
      </c>
      <c r="AV48" s="108">
        <v>8.1999999999999993</v>
      </c>
      <c r="AW48" s="109">
        <v>12.5</v>
      </c>
      <c r="AX48" s="108"/>
      <c r="AY48" s="108"/>
      <c r="AZ48" s="108"/>
      <c r="BA48" s="108">
        <f t="shared" ref="BA48" si="211">(AL46-AL48)/AL46</f>
        <v>-1</v>
      </c>
      <c r="BB48" s="108">
        <f t="shared" ref="BB48" si="212">(AM46-AM48)/AM46</f>
        <v>-1.4999999999999998</v>
      </c>
      <c r="BC48" s="108">
        <f t="shared" ref="BC48" si="213">(AN46-AN48)/AN46</f>
        <v>-1</v>
      </c>
      <c r="BD48" s="108">
        <f t="shared" ref="BD48" si="214">(AO46-AO48)/AO46</f>
        <v>-1</v>
      </c>
      <c r="BE48" s="108"/>
      <c r="BF48" s="108"/>
      <c r="BG48" s="108"/>
      <c r="BH48" s="108">
        <f>AVERAGE(BG40:BG54)</f>
        <v>6.4930942445088789E-3</v>
      </c>
    </row>
    <row r="49" spans="1:60" x14ac:dyDescent="0.35">
      <c r="A49" s="180"/>
      <c r="B49" s="280"/>
      <c r="C49" s="181"/>
      <c r="D49" s="184"/>
      <c r="E49" s="185"/>
      <c r="F49" s="185"/>
      <c r="G49" s="185"/>
      <c r="H49" s="186"/>
      <c r="I49" s="180"/>
      <c r="L49" s="18" t="s">
        <v>38</v>
      </c>
      <c r="M49" s="4">
        <f>Y26</f>
        <v>0.89500000000000002</v>
      </c>
      <c r="N49" s="4" t="s">
        <v>5</v>
      </c>
      <c r="AE49" s="106">
        <v>20</v>
      </c>
      <c r="AF49" s="108">
        <v>300</v>
      </c>
      <c r="AG49" s="108">
        <v>-40</v>
      </c>
      <c r="AH49" s="106">
        <v>0</v>
      </c>
      <c r="AI49" s="108">
        <v>0</v>
      </c>
      <c r="AJ49" s="108">
        <v>0</v>
      </c>
      <c r="AK49" s="108">
        <v>0</v>
      </c>
      <c r="AL49" s="108">
        <v>0.1</v>
      </c>
      <c r="AM49" s="108">
        <v>0.3</v>
      </c>
      <c r="AN49" s="108">
        <v>1.8</v>
      </c>
      <c r="AO49" s="109">
        <v>5.0999999999999996</v>
      </c>
      <c r="AP49" s="108">
        <v>4.7</v>
      </c>
      <c r="AQ49" s="108">
        <v>5.0999999999999996</v>
      </c>
      <c r="AR49" s="108">
        <v>5.7</v>
      </c>
      <c r="AS49" s="108">
        <v>6.6</v>
      </c>
      <c r="AT49" s="108">
        <v>7.3</v>
      </c>
      <c r="AU49" s="108">
        <v>8.5</v>
      </c>
      <c r="AV49" s="108">
        <v>15</v>
      </c>
      <c r="AW49" s="109">
        <v>22.3</v>
      </c>
      <c r="AX49" s="108"/>
      <c r="AY49" s="108"/>
      <c r="AZ49" s="125"/>
      <c r="BA49" s="125">
        <f t="shared" ref="BA49" si="215">BA50/($AG50-$AG51)</f>
        <v>8.0000000000000002E-3</v>
      </c>
      <c r="BB49" s="125">
        <f t="shared" ref="BB49" si="216">BB50/($AG50-$AG51)</f>
        <v>8.0000000000000002E-3</v>
      </c>
      <c r="BC49" s="125">
        <f t="shared" ref="BC49" si="217">BC50/($AG50-$AG51)</f>
        <v>5.0909090909090895E-3</v>
      </c>
      <c r="BD49" s="125">
        <f t="shared" ref="BD49" si="218">BD50/($AG50-$AG51)</f>
        <v>4.0655737704918034E-3</v>
      </c>
      <c r="BE49" s="125">
        <f>MAX(BA49:BD49)</f>
        <v>8.0000000000000002E-3</v>
      </c>
      <c r="BF49" s="125">
        <f>MIN(BA49:BE49)</f>
        <v>4.0655737704918034E-3</v>
      </c>
      <c r="BG49" s="108">
        <f t="shared" si="113"/>
        <v>6.5454545454545453E-3</v>
      </c>
      <c r="BH49" s="108"/>
    </row>
    <row r="50" spans="1:60" x14ac:dyDescent="0.35">
      <c r="A50" s="180"/>
      <c r="B50" s="280"/>
      <c r="C50" s="181"/>
      <c r="D50" s="184"/>
      <c r="E50" s="185"/>
      <c r="F50" s="185"/>
      <c r="G50" s="185"/>
      <c r="H50" s="186"/>
      <c r="I50" s="180"/>
      <c r="L50" s="18" t="s">
        <v>39</v>
      </c>
      <c r="M50" s="43">
        <f>Y27</f>
        <v>0.86389248789847417</v>
      </c>
      <c r="N50" s="4" t="s">
        <v>5</v>
      </c>
      <c r="AE50" s="106">
        <v>20</v>
      </c>
      <c r="AF50" s="108">
        <v>300</v>
      </c>
      <c r="AG50" s="108">
        <v>25</v>
      </c>
      <c r="AH50" s="106">
        <v>0</v>
      </c>
      <c r="AI50" s="108">
        <v>0</v>
      </c>
      <c r="AJ50" s="108">
        <v>0</v>
      </c>
      <c r="AK50" s="108">
        <v>0</v>
      </c>
      <c r="AL50" s="108">
        <v>0.1</v>
      </c>
      <c r="AM50" s="108">
        <v>0.3</v>
      </c>
      <c r="AN50" s="108">
        <v>2.2000000000000002</v>
      </c>
      <c r="AO50" s="109">
        <v>6.1</v>
      </c>
      <c r="AP50" s="108">
        <v>4.7</v>
      </c>
      <c r="AQ50" s="108">
        <v>5.0999999999999996</v>
      </c>
      <c r="AR50" s="108">
        <v>5.7</v>
      </c>
      <c r="AS50" s="108">
        <v>6.6</v>
      </c>
      <c r="AT50" s="108">
        <v>7.3</v>
      </c>
      <c r="AU50" s="108">
        <v>8.5</v>
      </c>
      <c r="AV50" s="108">
        <v>15</v>
      </c>
      <c r="AW50" s="109">
        <v>22.3</v>
      </c>
      <c r="AX50" s="108"/>
      <c r="AY50" s="108"/>
      <c r="AZ50" s="108"/>
      <c r="BA50" s="108">
        <f t="shared" ref="BA50" si="219">(AL50-AL51)/AL50</f>
        <v>-1</v>
      </c>
      <c r="BB50" s="108">
        <f t="shared" ref="BB50" si="220">(AM50-AM51)/AM50</f>
        <v>-1</v>
      </c>
      <c r="BC50" s="108">
        <f t="shared" ref="BC50" si="221">(AN50-AN51)/AN50</f>
        <v>-0.63636363636363624</v>
      </c>
      <c r="BD50" s="108">
        <f t="shared" ref="BD50" si="222">(AO50-AO51)/AO50</f>
        <v>-0.50819672131147542</v>
      </c>
      <c r="BE50" s="108"/>
      <c r="BF50" s="108"/>
      <c r="BG50" s="108"/>
      <c r="BH50" s="108"/>
    </row>
    <row r="51" spans="1:60" x14ac:dyDescent="0.35">
      <c r="A51" s="180"/>
      <c r="B51" s="280"/>
      <c r="C51" s="181"/>
      <c r="D51" s="184"/>
      <c r="E51" s="185"/>
      <c r="F51" s="185"/>
      <c r="G51" s="185"/>
      <c r="H51" s="186"/>
      <c r="I51" s="180"/>
      <c r="L51" s="44" t="str">
        <f>IF(C67="GaN","Third Quadrant Losses","MOSFET Diode Losses")</f>
        <v>Third Quadrant Losses</v>
      </c>
      <c r="M51" s="45">
        <f>2*M25*RMS_Current*IF(C14&gt;100,C14,100)*0.000001*C12*IF(PWM_Modulation_selection=C96,3,IF(PWM_Modulation_selection=C97,2,IF(PWM_Modulation_selection=C98,1,3)))</f>
        <v>4.9535999999999997E-2</v>
      </c>
      <c r="N51" s="4" t="s">
        <v>5</v>
      </c>
      <c r="AE51" s="106">
        <v>20</v>
      </c>
      <c r="AF51" s="108">
        <v>300</v>
      </c>
      <c r="AG51" s="108">
        <v>150</v>
      </c>
      <c r="AH51" s="106">
        <v>0</v>
      </c>
      <c r="AI51" s="108">
        <v>0</v>
      </c>
      <c r="AJ51" s="108">
        <v>0</v>
      </c>
      <c r="AK51" s="108">
        <v>0.1</v>
      </c>
      <c r="AL51" s="108">
        <v>0.2</v>
      </c>
      <c r="AM51" s="108">
        <v>0.6</v>
      </c>
      <c r="AN51" s="108">
        <v>3.6</v>
      </c>
      <c r="AO51" s="109">
        <v>9.1999999999999993</v>
      </c>
      <c r="AP51" s="108">
        <v>4.7</v>
      </c>
      <c r="AQ51" s="108">
        <v>5.0999999999999996</v>
      </c>
      <c r="AR51" s="108">
        <v>5.7</v>
      </c>
      <c r="AS51" s="108">
        <v>6.6</v>
      </c>
      <c r="AT51" s="108">
        <v>7.3</v>
      </c>
      <c r="AU51" s="108">
        <v>8.5</v>
      </c>
      <c r="AV51" s="108">
        <v>15</v>
      </c>
      <c r="AW51" s="109">
        <v>22.3</v>
      </c>
      <c r="AX51" s="108"/>
      <c r="AY51" s="108"/>
      <c r="AZ51" s="108"/>
      <c r="BA51" s="108">
        <f t="shared" ref="BA51" si="223">(AL49-AL51)/AL49</f>
        <v>-1</v>
      </c>
      <c r="BB51" s="108">
        <f t="shared" ref="BB51" si="224">(AM49-AM51)/AM49</f>
        <v>-1</v>
      </c>
      <c r="BC51" s="108">
        <f t="shared" ref="BC51" si="225">(AN49-AN51)/AN49</f>
        <v>-1</v>
      </c>
      <c r="BD51" s="108">
        <f t="shared" ref="BD51" si="226">(AO49-AO51)/AO49</f>
        <v>-0.80392156862745101</v>
      </c>
      <c r="BE51" s="108"/>
      <c r="BF51" s="108"/>
      <c r="BG51" s="108"/>
      <c r="BH51" s="108"/>
    </row>
    <row r="52" spans="1:60" x14ac:dyDescent="0.35">
      <c r="A52" s="180"/>
      <c r="B52" s="280"/>
      <c r="C52" s="181"/>
      <c r="D52" s="184"/>
      <c r="E52" s="185"/>
      <c r="F52" s="185"/>
      <c r="G52" s="185"/>
      <c r="H52" s="186"/>
      <c r="I52" s="180"/>
      <c r="L52" s="1" t="s">
        <v>107</v>
      </c>
      <c r="M52" s="3" t="s">
        <v>2</v>
      </c>
      <c r="N52" s="2" t="s">
        <v>1</v>
      </c>
      <c r="AE52" s="106">
        <v>20</v>
      </c>
      <c r="AF52" s="108">
        <v>450</v>
      </c>
      <c r="AG52" s="108">
        <v>-40</v>
      </c>
      <c r="AH52" s="106">
        <v>0</v>
      </c>
      <c r="AI52" s="108">
        <v>0</v>
      </c>
      <c r="AJ52" s="108">
        <v>0</v>
      </c>
      <c r="AK52" s="108">
        <v>0</v>
      </c>
      <c r="AL52" s="108">
        <v>0.1</v>
      </c>
      <c r="AM52" s="108">
        <v>0.3</v>
      </c>
      <c r="AN52" s="108">
        <v>3.5</v>
      </c>
      <c r="AO52" s="109">
        <v>9.9</v>
      </c>
      <c r="AP52" s="108">
        <v>9.5</v>
      </c>
      <c r="AQ52" s="108">
        <v>10.3</v>
      </c>
      <c r="AR52" s="108">
        <v>11.3</v>
      </c>
      <c r="AS52" s="108">
        <v>13</v>
      </c>
      <c r="AT52" s="108">
        <v>14.4</v>
      </c>
      <c r="AU52" s="108">
        <v>16.600000000000001</v>
      </c>
      <c r="AV52" s="108">
        <v>28.2</v>
      </c>
      <c r="AW52" s="109">
        <v>41</v>
      </c>
      <c r="AX52" s="108"/>
      <c r="AY52" s="108"/>
      <c r="AZ52" s="125"/>
      <c r="BA52" s="125">
        <f t="shared" ref="BA52" si="227">BA53/($AG53-$AG54)</f>
        <v>8.0000000000000002E-3</v>
      </c>
      <c r="BB52" s="125">
        <f t="shared" ref="BB52" si="228">BB53/($AG53-$AG54)</f>
        <v>1.6000000000000004E-2</v>
      </c>
      <c r="BC52" s="125">
        <f t="shared" ref="BC52" si="229">BC53/($AG53-$AG54)</f>
        <v>4.2926829268292695E-3</v>
      </c>
      <c r="BD52" s="125">
        <f t="shared" ref="BD52" si="230">BD53/($AG53-$AG54)</f>
        <v>3.200000000000001E-3</v>
      </c>
      <c r="BE52" s="125">
        <f>MAX(BA52:BD52)</f>
        <v>1.6000000000000004E-2</v>
      </c>
      <c r="BF52" s="125">
        <f>MIN(BA52:BE52)</f>
        <v>3.200000000000001E-3</v>
      </c>
      <c r="BG52" s="108">
        <f t="shared" si="113"/>
        <v>6.1463414634146344E-3</v>
      </c>
      <c r="BH52" s="108"/>
    </row>
    <row r="53" spans="1:60" ht="18" customHeight="1" x14ac:dyDescent="0.35">
      <c r="A53" s="180"/>
      <c r="B53" s="280"/>
      <c r="C53" s="181"/>
      <c r="D53" s="184"/>
      <c r="E53" s="185"/>
      <c r="F53" s="185"/>
      <c r="G53" s="185"/>
      <c r="H53" s="186"/>
      <c r="I53" s="180"/>
      <c r="L53" s="18" t="str">
        <f>IF(C83 = "No","",_xlfn.CONCAT("LDO Power Loss (",C85,")"))</f>
        <v/>
      </c>
      <c r="M53" s="36">
        <f>IF(L53="",,(IF(C73="Yes",#REF!,DC_Voltage)-C86)*C15*0.001)</f>
        <v>0</v>
      </c>
      <c r="N53" s="4" t="str">
        <f>IF(L53="","","W")</f>
        <v/>
      </c>
      <c r="AE53" s="106">
        <v>20</v>
      </c>
      <c r="AF53" s="108">
        <v>450</v>
      </c>
      <c r="AG53" s="108">
        <v>25</v>
      </c>
      <c r="AH53" s="106">
        <v>0</v>
      </c>
      <c r="AI53" s="108">
        <v>0</v>
      </c>
      <c r="AJ53" s="108">
        <v>0</v>
      </c>
      <c r="AK53" s="108">
        <v>0</v>
      </c>
      <c r="AL53" s="108">
        <v>0.1</v>
      </c>
      <c r="AM53" s="108">
        <v>0.3</v>
      </c>
      <c r="AN53" s="108">
        <v>4.0999999999999996</v>
      </c>
      <c r="AO53" s="109">
        <v>11.5</v>
      </c>
      <c r="AP53" s="108">
        <v>9.5</v>
      </c>
      <c r="AQ53" s="108">
        <v>10.3</v>
      </c>
      <c r="AR53" s="108">
        <v>11.3</v>
      </c>
      <c r="AS53" s="108">
        <v>13</v>
      </c>
      <c r="AT53" s="108">
        <v>14.4</v>
      </c>
      <c r="AU53" s="108">
        <v>16.600000000000001</v>
      </c>
      <c r="AV53" s="108">
        <v>28.2</v>
      </c>
      <c r="AW53" s="109">
        <v>41</v>
      </c>
      <c r="AX53" s="108"/>
      <c r="AY53" s="108"/>
      <c r="AZ53" s="108"/>
      <c r="BA53" s="108">
        <f t="shared" ref="BA53" si="231">(AL53-AL54)/AL53</f>
        <v>-1</v>
      </c>
      <c r="BB53" s="108">
        <f t="shared" ref="BB53" si="232">(AM53-AM54)/AM53</f>
        <v>-2.0000000000000004</v>
      </c>
      <c r="BC53" s="108">
        <f t="shared" ref="BC53" si="233">(AN53-AN54)/AN53</f>
        <v>-0.53658536585365868</v>
      </c>
      <c r="BD53" s="108">
        <f t="shared" ref="BD53" si="234">(AO53-AO54)/AO53</f>
        <v>-0.40000000000000013</v>
      </c>
      <c r="BE53" s="108"/>
      <c r="BF53" s="108"/>
      <c r="BG53" s="108"/>
      <c r="BH53" s="108"/>
    </row>
    <row r="54" spans="1:60" ht="15" thickBot="1" x14ac:dyDescent="0.4">
      <c r="A54" s="180"/>
      <c r="B54" s="280"/>
      <c r="C54" s="181"/>
      <c r="D54" s="184"/>
      <c r="E54" s="185"/>
      <c r="F54" s="185"/>
      <c r="G54" s="185"/>
      <c r="H54" s="186"/>
      <c r="I54" s="180"/>
      <c r="L54" s="18" t="str">
        <f>IF(OR(C83 = "No",C84=1),"",_xlfn.CONCAT("LDO Power Loss (",C88,")"))</f>
        <v/>
      </c>
      <c r="M54" s="36">
        <f>IF(L54="",,(IF(C91="Yes",C86,IF(C73="Yes",#REF!,DC_Voltage))-C89)*C16*0.001)</f>
        <v>0</v>
      </c>
      <c r="N54" s="4" t="str">
        <f>IF(L54="","","W")</f>
        <v/>
      </c>
      <c r="AE54" s="102">
        <v>20</v>
      </c>
      <c r="AF54" s="103">
        <v>450</v>
      </c>
      <c r="AG54" s="103">
        <v>150</v>
      </c>
      <c r="AH54" s="102">
        <v>0</v>
      </c>
      <c r="AI54" s="103">
        <v>0</v>
      </c>
      <c r="AJ54" s="103">
        <v>0</v>
      </c>
      <c r="AK54" s="103">
        <v>0.1</v>
      </c>
      <c r="AL54" s="103">
        <v>0.2</v>
      </c>
      <c r="AM54" s="103">
        <v>0.9</v>
      </c>
      <c r="AN54" s="103">
        <v>6.3</v>
      </c>
      <c r="AO54" s="110">
        <v>16.100000000000001</v>
      </c>
      <c r="AP54" s="103">
        <v>9.5</v>
      </c>
      <c r="AQ54" s="103">
        <v>10.3</v>
      </c>
      <c r="AR54" s="103">
        <v>11.3</v>
      </c>
      <c r="AS54" s="103">
        <v>13</v>
      </c>
      <c r="AT54" s="103">
        <v>14.4</v>
      </c>
      <c r="AU54" s="103">
        <v>16.600000000000001</v>
      </c>
      <c r="AV54" s="103">
        <v>28.2</v>
      </c>
      <c r="AW54" s="110">
        <v>41</v>
      </c>
      <c r="AX54" s="108"/>
      <c r="AY54" s="108"/>
      <c r="AZ54" s="108"/>
      <c r="BA54" s="108">
        <f t="shared" ref="BA54" si="235">(AL52-AL54)/AL52</f>
        <v>-1</v>
      </c>
      <c r="BB54" s="108">
        <f t="shared" ref="BB54" si="236">(AM52-AM54)/AM52</f>
        <v>-2.0000000000000004</v>
      </c>
      <c r="BC54" s="108">
        <f t="shared" ref="BC54" si="237">(AN52-AN54)/AN52</f>
        <v>-0.79999999999999993</v>
      </c>
      <c r="BD54" s="108">
        <f t="shared" ref="BD54" si="238">(AO52-AO54)/AO52</f>
        <v>-0.6262626262626263</v>
      </c>
      <c r="BE54" s="108"/>
      <c r="BF54" s="108"/>
      <c r="BG54" s="108"/>
      <c r="BH54" s="108"/>
    </row>
    <row r="55" spans="1:60" x14ac:dyDescent="0.35">
      <c r="A55" s="180"/>
      <c r="B55" s="280"/>
      <c r="C55" s="181"/>
      <c r="D55" s="184"/>
      <c r="E55" s="185"/>
      <c r="F55" s="185"/>
      <c r="G55" s="185"/>
      <c r="H55" s="186"/>
      <c r="I55" s="180"/>
      <c r="AE55" s="104">
        <v>40</v>
      </c>
      <c r="AF55" s="105">
        <v>100</v>
      </c>
      <c r="AG55" s="105">
        <v>-40</v>
      </c>
      <c r="AH55" s="104">
        <v>0</v>
      </c>
      <c r="AI55" s="105">
        <v>0</v>
      </c>
      <c r="AJ55" s="105">
        <v>0</v>
      </c>
      <c r="AK55" s="105">
        <v>0</v>
      </c>
      <c r="AL55" s="105">
        <v>0</v>
      </c>
      <c r="AM55" s="105">
        <v>0</v>
      </c>
      <c r="AN55" s="105">
        <v>0.2</v>
      </c>
      <c r="AO55" s="107">
        <v>0.4</v>
      </c>
      <c r="AP55" s="105">
        <v>0.7</v>
      </c>
      <c r="AQ55" s="105">
        <v>0.8</v>
      </c>
      <c r="AR55" s="105">
        <v>0.8</v>
      </c>
      <c r="AS55" s="105">
        <v>1</v>
      </c>
      <c r="AT55" s="105">
        <v>1.1000000000000001</v>
      </c>
      <c r="AU55" s="105">
        <v>1.2</v>
      </c>
      <c r="AV55" s="105">
        <v>2.2000000000000002</v>
      </c>
      <c r="AW55" s="107">
        <v>3.5</v>
      </c>
      <c r="AX55" s="108"/>
      <c r="AY55" s="108"/>
      <c r="AZ55" s="125"/>
      <c r="BA55" s="125"/>
      <c r="BB55" s="125">
        <f t="shared" ref="BB55" si="239">BB56/($AG56-$AG57)</f>
        <v>0</v>
      </c>
      <c r="BC55" s="125">
        <f t="shared" ref="BC55" si="240">BC56/($AG56-$AG57)</f>
        <v>2.6666666666666679E-3</v>
      </c>
      <c r="BD55" s="125">
        <f t="shared" ref="BD55" si="241">BD56/($AG56-$AG57)</f>
        <v>4.8000000000000004E-3</v>
      </c>
      <c r="BE55" s="125">
        <f>MAX(BB55:BD55)</f>
        <v>4.8000000000000004E-3</v>
      </c>
      <c r="BF55" s="125">
        <f>MIN(AZ55:BE55)</f>
        <v>0</v>
      </c>
      <c r="BG55" s="108">
        <f t="shared" si="113"/>
        <v>2.6666666666666679E-3</v>
      </c>
      <c r="BH55" s="108"/>
    </row>
    <row r="56" spans="1:60" x14ac:dyDescent="0.35">
      <c r="A56" s="180"/>
      <c r="B56" s="280"/>
      <c r="C56" s="181"/>
      <c r="D56" s="184"/>
      <c r="E56" s="185"/>
      <c r="F56" s="185"/>
      <c r="G56" s="185"/>
      <c r="H56" s="186"/>
      <c r="I56" s="180"/>
      <c r="L56" s="1" t="s">
        <v>4</v>
      </c>
      <c r="M56" s="43">
        <f>Y28</f>
        <v>1.8984284878984743</v>
      </c>
      <c r="N56" s="4" t="s">
        <v>5</v>
      </c>
      <c r="AE56" s="106">
        <v>40</v>
      </c>
      <c r="AF56" s="108">
        <v>100</v>
      </c>
      <c r="AG56" s="108">
        <v>25</v>
      </c>
      <c r="AH56" s="106">
        <v>0</v>
      </c>
      <c r="AI56" s="108">
        <v>0</v>
      </c>
      <c r="AJ56" s="108">
        <v>0</v>
      </c>
      <c r="AK56" s="108">
        <v>0</v>
      </c>
      <c r="AL56" s="108">
        <v>0</v>
      </c>
      <c r="AM56" s="108">
        <v>0.1</v>
      </c>
      <c r="AN56" s="108">
        <v>0.3</v>
      </c>
      <c r="AO56" s="109">
        <v>0.5</v>
      </c>
      <c r="AP56" s="108">
        <v>0.7</v>
      </c>
      <c r="AQ56" s="108">
        <v>0.8</v>
      </c>
      <c r="AR56" s="108">
        <v>0.8</v>
      </c>
      <c r="AS56" s="108">
        <v>1</v>
      </c>
      <c r="AT56" s="108">
        <v>1.1000000000000001</v>
      </c>
      <c r="AU56" s="108">
        <v>1.2</v>
      </c>
      <c r="AV56" s="108">
        <v>2.2000000000000002</v>
      </c>
      <c r="AW56" s="109">
        <v>3.5</v>
      </c>
      <c r="AX56" s="108"/>
      <c r="AY56" s="108"/>
      <c r="AZ56" s="108"/>
      <c r="BA56" s="108"/>
      <c r="BB56" s="108">
        <f t="shared" ref="BB56" si="242">(AM56-AM57)/AM56</f>
        <v>0</v>
      </c>
      <c r="BC56" s="108">
        <f t="shared" ref="BC56" si="243">(AN56-AN57)/AN56</f>
        <v>-0.33333333333333348</v>
      </c>
      <c r="BD56" s="108">
        <f t="shared" ref="BD56" si="244">(AO56-AO57)/AO56</f>
        <v>-0.60000000000000009</v>
      </c>
      <c r="BE56" s="108"/>
      <c r="BF56" s="108"/>
      <c r="BG56" s="108"/>
      <c r="BH56" s="108"/>
    </row>
    <row r="57" spans="1:60" x14ac:dyDescent="0.35">
      <c r="A57" s="180"/>
      <c r="B57" s="280"/>
      <c r="C57" s="181"/>
      <c r="D57" s="184"/>
      <c r="E57" s="185"/>
      <c r="F57" s="185"/>
      <c r="G57" s="185"/>
      <c r="H57" s="186"/>
      <c r="I57" s="180"/>
      <c r="AE57" s="106">
        <v>40</v>
      </c>
      <c r="AF57" s="108">
        <v>100</v>
      </c>
      <c r="AG57" s="108">
        <v>150</v>
      </c>
      <c r="AH57" s="106">
        <v>0</v>
      </c>
      <c r="AI57" s="108">
        <v>0</v>
      </c>
      <c r="AJ57" s="108">
        <v>0</v>
      </c>
      <c r="AK57" s="108">
        <v>0</v>
      </c>
      <c r="AL57" s="108">
        <v>0</v>
      </c>
      <c r="AM57" s="108">
        <v>0.1</v>
      </c>
      <c r="AN57" s="108">
        <v>0.4</v>
      </c>
      <c r="AO57" s="109">
        <v>0.8</v>
      </c>
      <c r="AP57" s="108">
        <v>0.7</v>
      </c>
      <c r="AQ57" s="108">
        <v>0.8</v>
      </c>
      <c r="AR57" s="108">
        <v>0.8</v>
      </c>
      <c r="AS57" s="108">
        <v>1</v>
      </c>
      <c r="AT57" s="108">
        <v>1.1000000000000001</v>
      </c>
      <c r="AU57" s="108">
        <v>1.2</v>
      </c>
      <c r="AV57" s="108">
        <v>2.2000000000000002</v>
      </c>
      <c r="AW57" s="109">
        <v>3.5</v>
      </c>
      <c r="AX57" s="108"/>
      <c r="AY57" s="108"/>
      <c r="AZ57" s="108"/>
      <c r="BA57" s="108"/>
      <c r="BB57" s="108"/>
      <c r="BC57" s="108">
        <f t="shared" ref="BC57" si="245">(AN55-AN57)/AN55</f>
        <v>-1</v>
      </c>
      <c r="BD57" s="108">
        <f t="shared" ref="BD57" si="246">(AO55-AO57)/AO55</f>
        <v>-1</v>
      </c>
      <c r="BE57" s="108"/>
      <c r="BF57" s="108"/>
      <c r="BG57" s="108"/>
      <c r="BH57" s="108"/>
    </row>
    <row r="58" spans="1:60" x14ac:dyDescent="0.35">
      <c r="A58" s="180"/>
      <c r="B58" s="280"/>
      <c r="C58" s="181"/>
      <c r="D58" s="184"/>
      <c r="E58" s="185"/>
      <c r="F58" s="185"/>
      <c r="G58" s="185"/>
      <c r="H58" s="186"/>
      <c r="I58" s="180"/>
      <c r="AE58" s="106">
        <v>40</v>
      </c>
      <c r="AF58" s="108">
        <v>150</v>
      </c>
      <c r="AG58" s="108">
        <v>-40</v>
      </c>
      <c r="AH58" s="106">
        <v>0</v>
      </c>
      <c r="AI58" s="108">
        <v>0</v>
      </c>
      <c r="AJ58" s="108">
        <v>0</v>
      </c>
      <c r="AK58" s="108">
        <v>0</v>
      </c>
      <c r="AL58" s="108">
        <v>0</v>
      </c>
      <c r="AM58" s="108">
        <v>0.1</v>
      </c>
      <c r="AN58" s="108">
        <v>0.3</v>
      </c>
      <c r="AO58" s="109">
        <v>0.6</v>
      </c>
      <c r="AP58" s="108">
        <v>1.4</v>
      </c>
      <c r="AQ58" s="108">
        <v>1.5</v>
      </c>
      <c r="AR58" s="108">
        <v>1.7</v>
      </c>
      <c r="AS58" s="108">
        <v>1.9</v>
      </c>
      <c r="AT58" s="108">
        <v>2.1</v>
      </c>
      <c r="AU58" s="108">
        <v>2.2999999999999998</v>
      </c>
      <c r="AV58" s="108">
        <v>4</v>
      </c>
      <c r="AW58" s="109">
        <v>6.1</v>
      </c>
      <c r="AX58" s="108"/>
      <c r="AY58" s="108"/>
      <c r="AZ58" s="125"/>
      <c r="BA58" s="125"/>
      <c r="BB58" s="125">
        <f t="shared" ref="BB58" si="247">BB59/($AG59-$AG60)</f>
        <v>0</v>
      </c>
      <c r="BC58" s="125">
        <f t="shared" ref="BC58" si="248">BC59/($AG59-$AG60)</f>
        <v>3.9999999999999992E-3</v>
      </c>
      <c r="BD58" s="125">
        <f t="shared" ref="BD58" si="249">BD59/($AG59-$AG60)</f>
        <v>3.4285714285714293E-3</v>
      </c>
      <c r="BE58" s="125">
        <f>MAX(BB58:BD58)</f>
        <v>3.9999999999999992E-3</v>
      </c>
      <c r="BF58" s="125">
        <f t="shared" ref="BF58" si="250">MIN(AZ58:BE58)</f>
        <v>0</v>
      </c>
      <c r="BG58" s="108">
        <f t="shared" si="113"/>
        <v>3.4285714285714293E-3</v>
      </c>
      <c r="BH58" s="108"/>
    </row>
    <row r="59" spans="1:60" x14ac:dyDescent="0.35">
      <c r="A59" s="180"/>
      <c r="B59" s="280"/>
      <c r="C59" s="181"/>
      <c r="D59" s="184"/>
      <c r="E59" s="187"/>
      <c r="F59" s="185"/>
      <c r="G59" s="185"/>
      <c r="H59" s="186"/>
      <c r="I59" s="180"/>
      <c r="AE59" s="106">
        <v>40</v>
      </c>
      <c r="AF59" s="108">
        <v>150</v>
      </c>
      <c r="AG59" s="108">
        <v>25</v>
      </c>
      <c r="AH59" s="106">
        <v>0</v>
      </c>
      <c r="AI59" s="108">
        <v>0</v>
      </c>
      <c r="AJ59" s="108">
        <v>0</v>
      </c>
      <c r="AK59" s="108">
        <v>0</v>
      </c>
      <c r="AL59" s="108">
        <v>0</v>
      </c>
      <c r="AM59" s="108">
        <v>0.1</v>
      </c>
      <c r="AN59" s="108">
        <v>0.4</v>
      </c>
      <c r="AO59" s="109">
        <v>0.7</v>
      </c>
      <c r="AP59" s="108">
        <v>1.4</v>
      </c>
      <c r="AQ59" s="108">
        <v>1.5</v>
      </c>
      <c r="AR59" s="108">
        <v>1.7</v>
      </c>
      <c r="AS59" s="108">
        <v>1.9</v>
      </c>
      <c r="AT59" s="108">
        <v>2.1</v>
      </c>
      <c r="AU59" s="108">
        <v>2.2999999999999998</v>
      </c>
      <c r="AV59" s="108">
        <v>4</v>
      </c>
      <c r="AW59" s="109">
        <v>6.1</v>
      </c>
      <c r="AX59" s="108"/>
      <c r="AY59" s="108"/>
      <c r="AZ59" s="108"/>
      <c r="BA59" s="108"/>
      <c r="BB59" s="108">
        <f t="shared" ref="BB59" si="251">(AM59-AM60)/AM59</f>
        <v>0</v>
      </c>
      <c r="BC59" s="108">
        <f t="shared" ref="BC59" si="252">(AN59-AN60)/AN59</f>
        <v>-0.49999999999999989</v>
      </c>
      <c r="BD59" s="108">
        <f t="shared" ref="BD59" si="253">(AO59-AO60)/AO59</f>
        <v>-0.42857142857142866</v>
      </c>
      <c r="BE59" s="108"/>
      <c r="BF59" s="108"/>
      <c r="BG59" s="108"/>
      <c r="BH59" s="108"/>
    </row>
    <row r="60" spans="1:60" ht="15" thickBot="1" x14ac:dyDescent="0.4">
      <c r="A60" s="180"/>
      <c r="B60" s="280"/>
      <c r="C60" s="181"/>
      <c r="D60" s="188"/>
      <c r="E60" s="187"/>
      <c r="F60" s="185"/>
      <c r="G60" s="185"/>
      <c r="H60" s="186"/>
      <c r="I60" s="180"/>
      <c r="L60" s="6">
        <v>1</v>
      </c>
      <c r="M60" s="6">
        <v>2</v>
      </c>
      <c r="N60" s="6">
        <v>3</v>
      </c>
      <c r="O60" s="6">
        <v>4</v>
      </c>
      <c r="P60" s="6">
        <v>5</v>
      </c>
      <c r="Q60" s="6">
        <v>6</v>
      </c>
      <c r="R60" s="6">
        <v>7</v>
      </c>
      <c r="S60" s="6">
        <v>8</v>
      </c>
      <c r="T60" s="6">
        <v>9</v>
      </c>
      <c r="AE60" s="106">
        <v>40</v>
      </c>
      <c r="AF60" s="108">
        <v>150</v>
      </c>
      <c r="AG60" s="108">
        <v>150</v>
      </c>
      <c r="AH60" s="106">
        <v>0</v>
      </c>
      <c r="AI60" s="108">
        <v>0</v>
      </c>
      <c r="AJ60" s="108">
        <v>0</v>
      </c>
      <c r="AK60" s="108">
        <v>0</v>
      </c>
      <c r="AL60" s="108">
        <v>0.1</v>
      </c>
      <c r="AM60" s="108">
        <v>0.1</v>
      </c>
      <c r="AN60" s="108">
        <v>0.6</v>
      </c>
      <c r="AO60" s="109">
        <v>1</v>
      </c>
      <c r="AP60" s="108">
        <v>1.4</v>
      </c>
      <c r="AQ60" s="108">
        <v>1.5</v>
      </c>
      <c r="AR60" s="108">
        <v>1.7</v>
      </c>
      <c r="AS60" s="108">
        <v>1.9</v>
      </c>
      <c r="AT60" s="108">
        <v>2.1</v>
      </c>
      <c r="AU60" s="108">
        <v>2.2999999999999998</v>
      </c>
      <c r="AV60" s="108">
        <v>4</v>
      </c>
      <c r="AW60" s="109">
        <v>6.1</v>
      </c>
      <c r="AX60" s="108"/>
      <c r="AY60" s="108"/>
      <c r="AZ60" s="108"/>
      <c r="BA60" s="108"/>
      <c r="BB60" s="108">
        <f t="shared" ref="BB60" si="254">(AM58-AM60)/AM58</f>
        <v>0</v>
      </c>
      <c r="BC60" s="108">
        <f t="shared" ref="BC60" si="255">(AN58-AN60)/AN58</f>
        <v>-1</v>
      </c>
      <c r="BD60" s="108">
        <f t="shared" ref="BD60" si="256">(AO58-AO60)/AO58</f>
        <v>-0.66666666666666674</v>
      </c>
      <c r="BE60" s="108"/>
      <c r="BF60" s="108"/>
      <c r="BG60" s="108"/>
      <c r="BH60" s="108">
        <f>AVERAGE(BG55:BG67)</f>
        <v>5.7904761904761914E-3</v>
      </c>
    </row>
    <row r="61" spans="1:60" ht="32.5" customHeight="1" thickBot="1" x14ac:dyDescent="0.4">
      <c r="A61" s="180"/>
      <c r="B61" s="280"/>
      <c r="C61" s="181"/>
      <c r="D61" s="188"/>
      <c r="E61" s="187"/>
      <c r="F61" s="185"/>
      <c r="G61" s="185"/>
      <c r="H61" s="186"/>
      <c r="I61" s="180"/>
      <c r="M61" s="211" t="s">
        <v>77</v>
      </c>
      <c r="N61" s="212"/>
      <c r="O61" s="212"/>
      <c r="P61" s="213"/>
      <c r="Q61" s="211" t="s">
        <v>76</v>
      </c>
      <c r="R61" s="212"/>
      <c r="S61" s="212"/>
      <c r="T61" s="213"/>
      <c r="U61" s="46" t="s">
        <v>77</v>
      </c>
      <c r="V61" s="46" t="s">
        <v>76</v>
      </c>
      <c r="AE61" s="106">
        <v>40</v>
      </c>
      <c r="AF61" s="108">
        <v>200</v>
      </c>
      <c r="AG61" s="108">
        <v>-40</v>
      </c>
      <c r="AH61" s="106">
        <v>0</v>
      </c>
      <c r="AI61" s="108">
        <v>0</v>
      </c>
      <c r="AJ61" s="108">
        <v>0</v>
      </c>
      <c r="AK61" s="108">
        <v>0</v>
      </c>
      <c r="AL61" s="108">
        <v>0</v>
      </c>
      <c r="AM61" s="108">
        <v>0.1</v>
      </c>
      <c r="AN61" s="108">
        <v>0.4</v>
      </c>
      <c r="AO61" s="109">
        <v>0.6</v>
      </c>
      <c r="AP61" s="108">
        <v>2.2999999999999998</v>
      </c>
      <c r="AQ61" s="108">
        <v>2.5</v>
      </c>
      <c r="AR61" s="108">
        <v>2.7</v>
      </c>
      <c r="AS61" s="108">
        <v>3</v>
      </c>
      <c r="AT61" s="108">
        <v>3.3</v>
      </c>
      <c r="AU61" s="108">
        <v>3.7</v>
      </c>
      <c r="AV61" s="108">
        <v>6.1</v>
      </c>
      <c r="AW61" s="109">
        <v>9.1999999999999993</v>
      </c>
      <c r="AX61" s="108"/>
      <c r="AY61" s="108"/>
      <c r="AZ61" s="125"/>
      <c r="BA61" s="125"/>
      <c r="BB61" s="125">
        <f t="shared" ref="BB61" si="257">BB62/($AG62-$AG63)</f>
        <v>8.0000000000000002E-3</v>
      </c>
      <c r="BC61" s="125">
        <f t="shared" ref="BC61" si="258">BC62/($AG62-$AG63)</f>
        <v>3.1999999999999993E-3</v>
      </c>
      <c r="BD61" s="125">
        <f t="shared" ref="BD61" si="259">BD62/($AG62-$AG63)</f>
        <v>6.8571428571428585E-3</v>
      </c>
      <c r="BE61" s="125">
        <f>MAX(BB61:BD61)</f>
        <v>8.0000000000000002E-3</v>
      </c>
      <c r="BF61" s="125">
        <f t="shared" ref="BF61" si="260">MIN(AZ61:BE61)</f>
        <v>3.1999999999999993E-3</v>
      </c>
      <c r="BG61" s="108">
        <f t="shared" si="113"/>
        <v>6.8571428571428585E-3</v>
      </c>
      <c r="BH61" s="108"/>
    </row>
    <row r="62" spans="1:60" ht="15" thickBot="1" x14ac:dyDescent="0.4">
      <c r="A62" s="180"/>
      <c r="B62" s="280"/>
      <c r="C62" s="181"/>
      <c r="D62" s="188"/>
      <c r="E62" s="187"/>
      <c r="F62" s="185"/>
      <c r="G62" s="185"/>
      <c r="H62" s="186"/>
      <c r="I62" s="180"/>
      <c r="L62" s="25"/>
      <c r="M62" s="25" t="str">
        <f>_xlfn.CONCAT($C78,slew_rate_unit)</f>
        <v>5V/ns</v>
      </c>
      <c r="N62" s="47" t="str">
        <f>_xlfn.CONCAT($C79,slew_rate_unit)</f>
        <v>10V/ns</v>
      </c>
      <c r="O62" s="47" t="str">
        <f>_xlfn.CONCAT($C80,slew_rate_unit)</f>
        <v>20V/ns</v>
      </c>
      <c r="P62" s="48" t="str">
        <f>_xlfn.CONCAT($C81,slew_rate_unit)</f>
        <v>40V/ns</v>
      </c>
      <c r="Q62" s="25" t="str">
        <f>_xlfn.CONCAT($C78,slew_rate_unit)</f>
        <v>5V/ns</v>
      </c>
      <c r="R62" s="47" t="str">
        <f>_xlfn.CONCAT($C79,slew_rate_unit)</f>
        <v>10V/ns</v>
      </c>
      <c r="S62" s="47" t="str">
        <f>_xlfn.CONCAT($C80,slew_rate_unit)</f>
        <v>20V/ns</v>
      </c>
      <c r="T62" s="48" t="str">
        <f>_xlfn.CONCAT($C81,slew_rate_unit)</f>
        <v>40V/ns</v>
      </c>
      <c r="U62" s="24" t="str">
        <f>_xlfn.CONCAT("User's slew rate: ",C13,D13)</f>
        <v>User's slew rate: 10V/ns</v>
      </c>
      <c r="V62" s="24" t="str">
        <f>_xlfn.CONCAT("User's slew rate: ",C13,D13)</f>
        <v>User's slew rate: 10V/ns</v>
      </c>
      <c r="AE62" s="106">
        <v>40</v>
      </c>
      <c r="AF62" s="108">
        <v>200</v>
      </c>
      <c r="AG62" s="108">
        <v>25</v>
      </c>
      <c r="AH62" s="106">
        <v>0</v>
      </c>
      <c r="AI62" s="108">
        <v>0</v>
      </c>
      <c r="AJ62" s="108">
        <v>0</v>
      </c>
      <c r="AK62" s="108">
        <v>0</v>
      </c>
      <c r="AL62" s="108">
        <v>0</v>
      </c>
      <c r="AM62" s="108">
        <v>0.1</v>
      </c>
      <c r="AN62" s="108">
        <v>0.5</v>
      </c>
      <c r="AO62" s="109">
        <v>0.7</v>
      </c>
      <c r="AP62" s="108">
        <v>2.2999999999999998</v>
      </c>
      <c r="AQ62" s="108">
        <v>2.5</v>
      </c>
      <c r="AR62" s="108">
        <v>2.7</v>
      </c>
      <c r="AS62" s="108">
        <v>3</v>
      </c>
      <c r="AT62" s="108">
        <v>3.3</v>
      </c>
      <c r="AU62" s="108">
        <v>3.7</v>
      </c>
      <c r="AV62" s="108">
        <v>6.1</v>
      </c>
      <c r="AW62" s="109">
        <v>9.1999999999999993</v>
      </c>
      <c r="AX62" s="108"/>
      <c r="AY62" s="108"/>
      <c r="AZ62" s="108"/>
      <c r="BA62" s="108"/>
      <c r="BB62" s="108">
        <f t="shared" ref="BB62" si="261">(AM62-AM63)/AM62</f>
        <v>-1</v>
      </c>
      <c r="BC62" s="108">
        <f t="shared" ref="BC62" si="262">(AN62-AN63)/AN62</f>
        <v>-0.39999999999999991</v>
      </c>
      <c r="BD62" s="108">
        <f t="shared" ref="BD62" si="263">(AO62-AO63)/AO62</f>
        <v>-0.85714285714285732</v>
      </c>
      <c r="BE62" s="108"/>
      <c r="BF62" s="108"/>
      <c r="BG62" s="108"/>
      <c r="BH62" s="108"/>
    </row>
    <row r="63" spans="1:60" ht="15" thickBot="1" x14ac:dyDescent="0.4">
      <c r="A63" s="180"/>
      <c r="B63" s="281"/>
      <c r="C63" s="181"/>
      <c r="D63" s="189"/>
      <c r="E63" s="190"/>
      <c r="F63" s="191"/>
      <c r="G63" s="191"/>
      <c r="H63" s="192"/>
      <c r="I63" s="180"/>
      <c r="K63" s="208" t="s">
        <v>81</v>
      </c>
      <c r="L63" s="49" t="s">
        <v>81</v>
      </c>
      <c r="M63" s="50">
        <f>AG105</f>
        <v>-9.8900000000000002E-2</v>
      </c>
      <c r="N63" s="51">
        <f>AG131</f>
        <v>-5.7599999999999998E-2</v>
      </c>
      <c r="O63" s="51">
        <f>AG155</f>
        <v>-2.07E-2</v>
      </c>
      <c r="P63" s="120">
        <f>AG179</f>
        <v>-1.3299999999999999E-2</v>
      </c>
      <c r="Q63" s="50">
        <f>AN105</f>
        <v>-0.186</v>
      </c>
      <c r="R63" s="51">
        <f>AN131</f>
        <v>-0.17699999999999999</v>
      </c>
      <c r="S63" s="51">
        <f>AN155</f>
        <v>-0.23699999999999999</v>
      </c>
      <c r="T63" s="120">
        <f>AN179</f>
        <v>-0.184</v>
      </c>
      <c r="U63" s="54">
        <f>VLOOKUP(L63,$L$63:$T$65,VLOOKUP(_xlfn.CONCAT($C$13,$D$13),$L$75:$M$78,2,FALSE),FALSE)</f>
        <v>-5.7599999999999998E-2</v>
      </c>
      <c r="V63" s="54">
        <f>VLOOKUP(L63,$L$63:$T$65,VLOOKUP(_xlfn.CONCAT($C$13,$D$13),$L$79:$M$82,2,FALSE),FALSE)</f>
        <v>-0.17699999999999999</v>
      </c>
      <c r="AE63" s="106">
        <v>40</v>
      </c>
      <c r="AF63" s="108">
        <v>200</v>
      </c>
      <c r="AG63" s="108">
        <v>150</v>
      </c>
      <c r="AH63" s="106">
        <v>0</v>
      </c>
      <c r="AI63" s="108">
        <v>0</v>
      </c>
      <c r="AJ63" s="108">
        <v>0</v>
      </c>
      <c r="AK63" s="108">
        <v>0</v>
      </c>
      <c r="AL63" s="108">
        <v>0.1</v>
      </c>
      <c r="AM63" s="108">
        <v>0.2</v>
      </c>
      <c r="AN63" s="108">
        <v>0.7</v>
      </c>
      <c r="AO63" s="109">
        <v>1.3</v>
      </c>
      <c r="AP63" s="108">
        <v>2.2999999999999998</v>
      </c>
      <c r="AQ63" s="108">
        <v>2.5</v>
      </c>
      <c r="AR63" s="108">
        <v>2.7</v>
      </c>
      <c r="AS63" s="108">
        <v>3</v>
      </c>
      <c r="AT63" s="108">
        <v>3.3</v>
      </c>
      <c r="AU63" s="108">
        <v>3.7</v>
      </c>
      <c r="AV63" s="108">
        <v>6.1</v>
      </c>
      <c r="AW63" s="109">
        <v>9.1999999999999993</v>
      </c>
      <c r="AX63" s="108"/>
      <c r="AY63" s="108"/>
      <c r="AZ63" s="108"/>
      <c r="BA63" s="108"/>
      <c r="BB63" s="108">
        <f t="shared" ref="BB63" si="264">(AM61-AM63)/AM61</f>
        <v>-1</v>
      </c>
      <c r="BC63" s="108">
        <f t="shared" ref="BC63" si="265">(AN61-AN63)/AN61</f>
        <v>-0.74999999999999978</v>
      </c>
      <c r="BD63" s="108">
        <f t="shared" ref="BD63" si="266">(AO61-AO63)/AO61</f>
        <v>-1.1666666666666667</v>
      </c>
      <c r="BE63" s="108"/>
      <c r="BF63" s="108"/>
      <c r="BG63" s="108"/>
      <c r="BH63" s="108"/>
    </row>
    <row r="64" spans="1:60" x14ac:dyDescent="0.35">
      <c r="A64" s="180"/>
      <c r="B64" s="181"/>
      <c r="C64" s="181"/>
      <c r="D64" s="182"/>
      <c r="E64" s="183"/>
      <c r="F64" s="181"/>
      <c r="G64" s="181"/>
      <c r="H64" s="181"/>
      <c r="I64" s="180"/>
      <c r="K64" s="209"/>
      <c r="L64" s="49" t="s">
        <v>82</v>
      </c>
      <c r="M64" s="50">
        <f>-AH105</f>
        <v>-0.50600000000000001</v>
      </c>
      <c r="N64" s="51">
        <f>AH131</f>
        <v>0.19600000000000001</v>
      </c>
      <c r="O64" s="51">
        <f>AH155</f>
        <v>0.188</v>
      </c>
      <c r="P64" s="120">
        <f>AH179</f>
        <v>7.0999999999999994E-2</v>
      </c>
      <c r="Q64" s="50">
        <f>AO105</f>
        <v>1.19</v>
      </c>
      <c r="R64" s="51">
        <f>AO131</f>
        <v>4.36E-2</v>
      </c>
      <c r="S64" s="51">
        <f>AO155</f>
        <v>8.7999999999999995E-2</v>
      </c>
      <c r="T64" s="120">
        <f>AO179</f>
        <v>-0.113</v>
      </c>
      <c r="U64" s="54">
        <f>VLOOKUP(L64,$L$63:$T$65,VLOOKUP(_xlfn.CONCAT($C$13,$D$13),$L$75:$M$78,2,FALSE),FALSE)</f>
        <v>0.19600000000000001</v>
      </c>
      <c r="V64" s="54">
        <f>VLOOKUP(L64,$L$63:$T$65,VLOOKUP(_xlfn.CONCAT($C$13,$D$13),$L$79:$M$82,2,FALSE),FALSE)</f>
        <v>4.36E-2</v>
      </c>
      <c r="AE64" s="106">
        <v>40</v>
      </c>
      <c r="AF64" s="108">
        <v>300</v>
      </c>
      <c r="AG64" s="108">
        <v>-40</v>
      </c>
      <c r="AH64" s="106">
        <v>0</v>
      </c>
      <c r="AI64" s="108">
        <v>0</v>
      </c>
      <c r="AJ64" s="108">
        <v>0</v>
      </c>
      <c r="AK64" s="108">
        <v>0</v>
      </c>
      <c r="AL64" s="108">
        <v>0</v>
      </c>
      <c r="AM64" s="108">
        <v>0.1</v>
      </c>
      <c r="AN64" s="108">
        <v>0.4</v>
      </c>
      <c r="AO64" s="109">
        <v>0.9</v>
      </c>
      <c r="AP64" s="108">
        <v>4.5999999999999996</v>
      </c>
      <c r="AQ64" s="108">
        <v>4.9000000000000004</v>
      </c>
      <c r="AR64" s="108">
        <v>5.3</v>
      </c>
      <c r="AS64" s="108">
        <v>5.9</v>
      </c>
      <c r="AT64" s="108">
        <v>6.3</v>
      </c>
      <c r="AU64" s="108">
        <v>7.1</v>
      </c>
      <c r="AV64" s="108">
        <v>11.2</v>
      </c>
      <c r="AW64" s="109">
        <v>16.399999999999999</v>
      </c>
      <c r="AX64" s="108"/>
      <c r="AY64" s="108"/>
      <c r="AZ64" s="125"/>
      <c r="BA64" s="125"/>
      <c r="BB64" s="125">
        <f t="shared" ref="BB64" si="267">BB65/($AG65-$AG66)</f>
        <v>8.0000000000000002E-3</v>
      </c>
      <c r="BC64" s="125">
        <f t="shared" ref="BC64" si="268">BC65/($AG65-$AG66)</f>
        <v>8.0000000000000002E-3</v>
      </c>
      <c r="BD64" s="125">
        <f t="shared" ref="BD64" si="269">BD65/($AG65-$AG66)</f>
        <v>4.000000000000001E-3</v>
      </c>
      <c r="BE64" s="125">
        <f>MAX(BB64:BD64)</f>
        <v>8.0000000000000002E-3</v>
      </c>
      <c r="BF64" s="125">
        <f t="shared" ref="BF64" si="270">MIN(AZ64:BE64)</f>
        <v>4.000000000000001E-3</v>
      </c>
      <c r="BG64" s="108">
        <f t="shared" si="113"/>
        <v>8.0000000000000002E-3</v>
      </c>
      <c r="BH64" s="108"/>
    </row>
    <row r="65" spans="1:60" ht="15" thickBot="1" x14ac:dyDescent="0.4">
      <c r="A65" s="180"/>
      <c r="B65" s="181"/>
      <c r="C65" s="181"/>
      <c r="D65" s="182"/>
      <c r="E65" s="183"/>
      <c r="F65" s="181"/>
      <c r="G65" s="181"/>
      <c r="H65" s="181"/>
      <c r="I65" s="180"/>
      <c r="K65" s="210"/>
      <c r="L65" s="55" t="s">
        <v>83</v>
      </c>
      <c r="M65" s="56">
        <f>AI105</f>
        <v>-4.8599999999999997E-2</v>
      </c>
      <c r="N65" s="57">
        <f>AI131</f>
        <v>1.55E-2</v>
      </c>
      <c r="O65" s="57">
        <f>AI155</f>
        <v>-3.6799999999999999E-2</v>
      </c>
      <c r="P65" s="121">
        <f>AI179</f>
        <v>-2.7399999999999998E-3</v>
      </c>
      <c r="Q65" s="56">
        <f>AP105</f>
        <v>-0.105</v>
      </c>
      <c r="R65" s="57">
        <f>AP131</f>
        <v>7.1599999999999997E-2</v>
      </c>
      <c r="S65" s="57">
        <f>AP155</f>
        <v>-2.9000000000000001E-2</v>
      </c>
      <c r="T65" s="121">
        <f>AP179</f>
        <v>-2.16E-3</v>
      </c>
      <c r="U65" s="60">
        <f>VLOOKUP(L65,$L$63:$T$65,VLOOKUP(_xlfn.CONCAT($C$13,$D$13),$L$75:$M$78,2,FALSE),FALSE)</f>
        <v>1.55E-2</v>
      </c>
      <c r="V65" s="60">
        <f>VLOOKUP(L65,$L$63:$T$65,VLOOKUP(_xlfn.CONCAT($C$13,$D$13),$L$79:$M$82,2,FALSE),FALSE)</f>
        <v>7.1599999999999997E-2</v>
      </c>
      <c r="AE65" s="106">
        <v>40</v>
      </c>
      <c r="AF65" s="108">
        <v>300</v>
      </c>
      <c r="AG65" s="108">
        <v>25</v>
      </c>
      <c r="AH65" s="106">
        <v>0</v>
      </c>
      <c r="AI65" s="108">
        <v>0</v>
      </c>
      <c r="AJ65" s="108">
        <v>0</v>
      </c>
      <c r="AK65" s="108">
        <v>0</v>
      </c>
      <c r="AL65" s="108">
        <v>0</v>
      </c>
      <c r="AM65" s="108">
        <v>0.1</v>
      </c>
      <c r="AN65" s="108">
        <v>0.5</v>
      </c>
      <c r="AO65" s="109">
        <v>1.2</v>
      </c>
      <c r="AP65" s="108">
        <v>4.5999999999999996</v>
      </c>
      <c r="AQ65" s="108">
        <v>4.9000000000000004</v>
      </c>
      <c r="AR65" s="108">
        <v>5.3</v>
      </c>
      <c r="AS65" s="108">
        <v>5.9</v>
      </c>
      <c r="AT65" s="108">
        <v>6.3</v>
      </c>
      <c r="AU65" s="108">
        <v>7.1</v>
      </c>
      <c r="AV65" s="108">
        <v>11.2</v>
      </c>
      <c r="AW65" s="109">
        <v>16.399999999999999</v>
      </c>
      <c r="AX65" s="108"/>
      <c r="AY65" s="108"/>
      <c r="AZ65" s="108"/>
      <c r="BA65" s="108"/>
      <c r="BB65" s="108">
        <f t="shared" ref="BB65" si="271">(AM65-AM66)/AM65</f>
        <v>-1</v>
      </c>
      <c r="BC65" s="108">
        <f t="shared" ref="BC65" si="272">(AN65-AN66)/AN65</f>
        <v>-1</v>
      </c>
      <c r="BD65" s="108">
        <f t="shared" ref="BD65" si="273">(AO65-AO66)/AO65</f>
        <v>-0.50000000000000011</v>
      </c>
      <c r="BE65" s="108"/>
      <c r="BF65" s="108"/>
      <c r="BG65" s="108"/>
      <c r="BH65" s="108"/>
    </row>
    <row r="66" spans="1:60" hidden="1" x14ac:dyDescent="0.35">
      <c r="A66" s="73"/>
      <c r="B66" s="80" t="s">
        <v>17</v>
      </c>
      <c r="C66" s="160" t="s">
        <v>16</v>
      </c>
      <c r="D66" s="80"/>
      <c r="E66" s="80"/>
      <c r="F66" s="80"/>
      <c r="G66" s="80"/>
      <c r="H66" s="80"/>
      <c r="I66"/>
      <c r="K66" s="208" t="s">
        <v>82</v>
      </c>
      <c r="L66" s="49" t="s">
        <v>81</v>
      </c>
      <c r="M66" s="50">
        <f>AG106</f>
        <v>1.2199999999999999E-3</v>
      </c>
      <c r="N66" s="51">
        <f>AG132</f>
        <v>8.1300000000000003E-4</v>
      </c>
      <c r="O66" s="51">
        <f>AG156</f>
        <v>1.2899999999999999E-4</v>
      </c>
      <c r="P66" s="120">
        <f>AG180</f>
        <v>-2.1100000000000001E-4</v>
      </c>
      <c r="Q66" s="50">
        <f>AN106</f>
        <v>6.8199999999999997E-3</v>
      </c>
      <c r="R66" s="51">
        <f>AN132</f>
        <v>5.3099999999999996E-3</v>
      </c>
      <c r="S66" s="51">
        <f>AN156</f>
        <v>5.9500000000000004E-3</v>
      </c>
      <c r="T66" s="120">
        <f>AN180</f>
        <v>5.5100000000000001E-3</v>
      </c>
      <c r="U66" s="61">
        <f>VLOOKUP(L66,$L$66:$T$68,VLOOKUP(_xlfn.CONCAT($C$13,$D$13),$L$75:$M$78,2,FALSE),FALSE)</f>
        <v>8.1300000000000003E-4</v>
      </c>
      <c r="V66" s="61">
        <f>VLOOKUP(L66,$L$66:$T$68,VLOOKUP(_xlfn.CONCAT($C$13,$D$13),$L$79:$M$82,2,FALSE),FALSE)</f>
        <v>5.3099999999999996E-3</v>
      </c>
      <c r="AE66" s="106">
        <v>40</v>
      </c>
      <c r="AF66" s="108">
        <v>300</v>
      </c>
      <c r="AG66" s="108">
        <v>150</v>
      </c>
      <c r="AH66" s="106">
        <v>0</v>
      </c>
      <c r="AI66" s="108">
        <v>0</v>
      </c>
      <c r="AJ66" s="108">
        <v>0</v>
      </c>
      <c r="AK66" s="108">
        <v>0</v>
      </c>
      <c r="AL66" s="108">
        <v>0.1</v>
      </c>
      <c r="AM66" s="108">
        <v>0.2</v>
      </c>
      <c r="AN66" s="108">
        <v>1</v>
      </c>
      <c r="AO66" s="109">
        <v>1.8</v>
      </c>
      <c r="AP66" s="108">
        <v>4.5999999999999996</v>
      </c>
      <c r="AQ66" s="108">
        <v>4.9000000000000004</v>
      </c>
      <c r="AR66" s="108">
        <v>5.3</v>
      </c>
      <c r="AS66" s="108">
        <v>5.9</v>
      </c>
      <c r="AT66" s="108">
        <v>6.3</v>
      </c>
      <c r="AU66" s="108">
        <v>7.1</v>
      </c>
      <c r="AV66" s="108">
        <v>11.2</v>
      </c>
      <c r="AW66" s="109">
        <v>16.399999999999999</v>
      </c>
      <c r="AX66" s="108"/>
      <c r="AY66" s="108"/>
      <c r="AZ66" s="108"/>
      <c r="BA66" s="108"/>
      <c r="BB66" s="108">
        <f t="shared" ref="BB66" si="274">(AM64-AM66)/AM64</f>
        <v>-1</v>
      </c>
      <c r="BC66" s="108">
        <f t="shared" ref="BC66" si="275">(AN64-AN66)/AN64</f>
        <v>-1.4999999999999998</v>
      </c>
      <c r="BD66" s="108">
        <f t="shared" ref="BD66" si="276">(AO64-AO66)/AO64</f>
        <v>-1</v>
      </c>
      <c r="BE66" s="108"/>
      <c r="BF66" s="108"/>
      <c r="BG66" s="108"/>
      <c r="BH66" s="108"/>
    </row>
    <row r="67" spans="1:60" hidden="1" x14ac:dyDescent="0.35">
      <c r="A67" s="73"/>
      <c r="B67" s="80" t="s">
        <v>92</v>
      </c>
      <c r="C67" s="95" t="s">
        <v>91</v>
      </c>
      <c r="D67" s="80"/>
      <c r="E67" s="80"/>
      <c r="F67" s="80"/>
      <c r="G67" s="80"/>
      <c r="H67" s="80"/>
      <c r="I67"/>
      <c r="K67" s="209"/>
      <c r="L67" s="49" t="s">
        <v>82</v>
      </c>
      <c r="M67" s="50">
        <f>AH106</f>
        <v>-8.1499999999999993E-3</v>
      </c>
      <c r="N67" s="51">
        <f>AH132</f>
        <v>-2.2100000000000002E-3</v>
      </c>
      <c r="O67" s="51">
        <f>AH156</f>
        <v>-7.5600000000000005E-4</v>
      </c>
      <c r="P67" s="120">
        <f>AH180</f>
        <v>6.0700000000000001E-4</v>
      </c>
      <c r="Q67" s="50">
        <f>AO106</f>
        <v>-0.01</v>
      </c>
      <c r="R67" s="51">
        <f>AO132</f>
        <v>9.5399999999999999E-3</v>
      </c>
      <c r="S67" s="51">
        <f>AO156</f>
        <v>5.45E-3</v>
      </c>
      <c r="T67" s="120">
        <f>AO180</f>
        <v>4.5399999999999998E-3</v>
      </c>
      <c r="U67" s="54">
        <f>VLOOKUP(L67,$L$66:$T$68,VLOOKUP(_xlfn.CONCAT($C$13,$D$13),$L$75:$M$78,2,FALSE),FALSE)</f>
        <v>-2.2100000000000002E-3</v>
      </c>
      <c r="V67" s="54">
        <f>VLOOKUP(L67,$L$66:$T$68,VLOOKUP(_xlfn.CONCAT($C$13,$D$13),$L$79:$M$82,2,FALSE),FALSE)</f>
        <v>9.5399999999999999E-3</v>
      </c>
      <c r="AE67" s="106">
        <v>40</v>
      </c>
      <c r="AF67" s="108">
        <v>450</v>
      </c>
      <c r="AG67" s="108">
        <v>-40</v>
      </c>
      <c r="AH67" s="106">
        <v>0</v>
      </c>
      <c r="AI67" s="108">
        <v>0</v>
      </c>
      <c r="AJ67" s="108">
        <v>0</v>
      </c>
      <c r="AK67" s="108">
        <v>0</v>
      </c>
      <c r="AL67" s="108">
        <v>0</v>
      </c>
      <c r="AM67" s="108">
        <v>0.1</v>
      </c>
      <c r="AN67" s="108">
        <v>0.4</v>
      </c>
      <c r="AO67" s="109">
        <v>1.2</v>
      </c>
      <c r="AP67" s="108">
        <v>9.4</v>
      </c>
      <c r="AQ67" s="108">
        <v>10</v>
      </c>
      <c r="AR67" s="108">
        <v>10.6</v>
      </c>
      <c r="AS67" s="108">
        <v>11.8</v>
      </c>
      <c r="AT67" s="108">
        <v>12.5</v>
      </c>
      <c r="AU67" s="108">
        <v>13.9</v>
      </c>
      <c r="AV67" s="108">
        <v>21.2</v>
      </c>
      <c r="AW67" s="109">
        <v>30.1</v>
      </c>
      <c r="AX67" s="108"/>
      <c r="AY67" s="108"/>
      <c r="AZ67" s="125"/>
      <c r="BA67" s="125"/>
      <c r="BB67" s="125">
        <f>BB68/($AG68-$AG69)</f>
        <v>8.0000000000000002E-3</v>
      </c>
      <c r="BC67" s="125">
        <f t="shared" ref="BC67" si="277">BC68/($AG68-$AG69)</f>
        <v>9.3333333333333341E-3</v>
      </c>
      <c r="BD67" s="125">
        <f t="shared" ref="BD67" si="278">BD68/($AG68-$AG69)</f>
        <v>5.6470588235294121E-3</v>
      </c>
      <c r="BE67" s="125">
        <f>MAX(BB67:BD67)</f>
        <v>9.3333333333333341E-3</v>
      </c>
      <c r="BF67" s="125">
        <f t="shared" ref="BF67" si="279">MIN(AZ67:BE67)</f>
        <v>5.6470588235294121E-3</v>
      </c>
      <c r="BG67" s="108">
        <f>MEDIAN(AZ67:BD67)</f>
        <v>8.0000000000000002E-3</v>
      </c>
      <c r="BH67" s="108"/>
    </row>
    <row r="68" spans="1:60" ht="15" hidden="1" thickBot="1" x14ac:dyDescent="0.4">
      <c r="A68" s="73"/>
      <c r="B68" s="80" t="s">
        <v>55</v>
      </c>
      <c r="C68" s="95">
        <v>125</v>
      </c>
      <c r="D68" s="80" t="s">
        <v>7</v>
      </c>
      <c r="E68" s="80"/>
      <c r="F68" s="80"/>
      <c r="G68" s="80" t="s">
        <v>151</v>
      </c>
      <c r="H68" s="80"/>
      <c r="I68"/>
      <c r="K68" s="210"/>
      <c r="L68" s="55" t="s">
        <v>83</v>
      </c>
      <c r="M68" s="56">
        <f>AI106</f>
        <v>6.3200000000000001E-3</v>
      </c>
      <c r="N68" s="57">
        <f>AI132</f>
        <v>1.82E-3</v>
      </c>
      <c r="O68" s="57">
        <f>AI156</f>
        <v>7.8899999999999999E-4</v>
      </c>
      <c r="P68" s="121">
        <f>AI180</f>
        <v>3.0700000000000001E-5</v>
      </c>
      <c r="Q68" s="56">
        <f>AP106</f>
        <v>5.1599999999999997E-3</v>
      </c>
      <c r="R68" s="57">
        <f>AP132</f>
        <v>6.9399999999999996E-4</v>
      </c>
      <c r="S68" s="57">
        <f>AP156</f>
        <v>9.2299999999999999E-4</v>
      </c>
      <c r="T68" s="121">
        <f>AP180</f>
        <v>6.3699999999999998E-4</v>
      </c>
      <c r="U68" s="60">
        <f>VLOOKUP(L68,$L$66:$T$68,VLOOKUP(_xlfn.CONCAT($C$13,$D$13),$L$75:$M$78,2,FALSE),FALSE)</f>
        <v>1.82E-3</v>
      </c>
      <c r="V68" s="60">
        <f>VLOOKUP(L68,$L$66:$T$68,VLOOKUP(_xlfn.CONCAT($C$13,$D$13),$L$79:$M$82,2,FALSE),FALSE)</f>
        <v>6.9399999999999996E-4</v>
      </c>
      <c r="AE68" s="106">
        <v>40</v>
      </c>
      <c r="AF68" s="108">
        <v>450</v>
      </c>
      <c r="AG68" s="108">
        <v>25</v>
      </c>
      <c r="AH68" s="106">
        <v>0</v>
      </c>
      <c r="AI68" s="108">
        <v>0</v>
      </c>
      <c r="AJ68" s="108">
        <v>0</v>
      </c>
      <c r="AK68" s="108">
        <v>0</v>
      </c>
      <c r="AL68" s="108">
        <v>0</v>
      </c>
      <c r="AM68" s="108">
        <v>0.1</v>
      </c>
      <c r="AN68" s="108">
        <v>0.6</v>
      </c>
      <c r="AO68" s="109">
        <v>1.7</v>
      </c>
      <c r="AP68" s="108">
        <v>9.4</v>
      </c>
      <c r="AQ68" s="108">
        <v>10</v>
      </c>
      <c r="AR68" s="108">
        <v>10.6</v>
      </c>
      <c r="AS68" s="108">
        <v>11.8</v>
      </c>
      <c r="AT68" s="108">
        <v>12.5</v>
      </c>
      <c r="AU68" s="108">
        <v>13.9</v>
      </c>
      <c r="AV68" s="108">
        <v>21.2</v>
      </c>
      <c r="AW68" s="109">
        <v>30.1</v>
      </c>
      <c r="AX68" s="108"/>
      <c r="AY68" s="108"/>
      <c r="AZ68" s="108"/>
      <c r="BA68" s="108"/>
      <c r="BB68" s="108">
        <f t="shared" ref="BB68" si="280">(AM68-AM69)/AM68</f>
        <v>-1</v>
      </c>
      <c r="BC68" s="108">
        <f t="shared" ref="BC68" si="281">(AN68-AN69)/AN68</f>
        <v>-1.1666666666666667</v>
      </c>
      <c r="BD68" s="108">
        <f t="shared" ref="BD68" si="282">(AO68-AO69)/AO68</f>
        <v>-0.70588235294117652</v>
      </c>
      <c r="BE68" s="108"/>
      <c r="BF68" s="108"/>
      <c r="BG68" s="108"/>
      <c r="BH68" s="108"/>
    </row>
    <row r="69" spans="1:60" ht="15" hidden="1" thickBot="1" x14ac:dyDescent="0.4">
      <c r="A69" s="73"/>
      <c r="B69" s="80" t="s">
        <v>152</v>
      </c>
      <c r="C69" s="95">
        <v>150</v>
      </c>
      <c r="D69" s="80" t="s">
        <v>7</v>
      </c>
      <c r="E69" s="80"/>
      <c r="F69" s="80"/>
      <c r="G69" s="80"/>
      <c r="H69" s="80"/>
      <c r="I69"/>
      <c r="K69" s="208" t="s">
        <v>83</v>
      </c>
      <c r="L69" s="49" t="s">
        <v>81</v>
      </c>
      <c r="M69" s="50">
        <f>AG133</f>
        <v>-5.2499999999999997E-6</v>
      </c>
      <c r="N69" s="51">
        <f>AG133</f>
        <v>-5.2499999999999997E-6</v>
      </c>
      <c r="O69" s="51">
        <f>AG157</f>
        <v>-7.3599999999999997E-8</v>
      </c>
      <c r="P69" s="120">
        <f>AG181</f>
        <v>5.6400000000000002E-7</v>
      </c>
      <c r="Q69" s="50">
        <f>AN107</f>
        <v>3.57E-5</v>
      </c>
      <c r="R69" s="51">
        <f>AN133</f>
        <v>3.7499999999999997E-5</v>
      </c>
      <c r="S69" s="51">
        <f>AN157</f>
        <v>3.5099999999999999E-5</v>
      </c>
      <c r="T69" s="120">
        <f>AN181</f>
        <v>3.5899999999999998E-5</v>
      </c>
      <c r="U69" s="61">
        <f>VLOOKUP(L69,$L$69:$T$71,VLOOKUP(_xlfn.CONCAT($C$13,$D$13),$L$75:$M$78,2,FALSE),FALSE)</f>
        <v>-5.2499999999999997E-6</v>
      </c>
      <c r="V69" s="61">
        <f>VLOOKUP(L69,$L$69:$T$71,VLOOKUP(_xlfn.CONCAT($C$13,$D$13),$L$79:$M$82,2,FALSE),FALSE)</f>
        <v>3.7499999999999997E-5</v>
      </c>
      <c r="AE69" s="102">
        <v>40</v>
      </c>
      <c r="AF69" s="103">
        <v>450</v>
      </c>
      <c r="AG69" s="103">
        <v>150</v>
      </c>
      <c r="AH69" s="102">
        <v>0</v>
      </c>
      <c r="AI69" s="103">
        <v>0</v>
      </c>
      <c r="AJ69" s="103">
        <v>0</v>
      </c>
      <c r="AK69" s="103">
        <v>0</v>
      </c>
      <c r="AL69" s="103">
        <v>0.1</v>
      </c>
      <c r="AM69" s="103">
        <v>0.2</v>
      </c>
      <c r="AN69" s="103">
        <v>1.3</v>
      </c>
      <c r="AO69" s="110">
        <v>2.9</v>
      </c>
      <c r="AP69" s="103">
        <v>9.4</v>
      </c>
      <c r="AQ69" s="103">
        <v>10</v>
      </c>
      <c r="AR69" s="103">
        <v>10.6</v>
      </c>
      <c r="AS69" s="103">
        <v>11.8</v>
      </c>
      <c r="AT69" s="103">
        <v>12.5</v>
      </c>
      <c r="AU69" s="103">
        <v>13.9</v>
      </c>
      <c r="AV69" s="103">
        <v>21.2</v>
      </c>
      <c r="AW69" s="110">
        <v>30.1</v>
      </c>
      <c r="AX69" s="108"/>
      <c r="AY69" s="108"/>
      <c r="AZ69" s="108"/>
      <c r="BA69" s="108"/>
      <c r="BB69" s="108">
        <f t="shared" ref="BB69" si="283">(AM67-AM69)/AM67</f>
        <v>-1</v>
      </c>
      <c r="BC69" s="108">
        <f t="shared" ref="BC69" si="284">(AN67-AN69)/AN67</f>
        <v>-2.25</v>
      </c>
      <c r="BD69" s="108">
        <f t="shared" ref="BD69" si="285">(AO67-AO69)/AO67</f>
        <v>-1.4166666666666667</v>
      </c>
      <c r="BE69" s="108"/>
      <c r="BF69" s="108"/>
      <c r="BG69" s="108"/>
      <c r="BH69" s="108"/>
    </row>
    <row r="70" spans="1:60" hidden="1" x14ac:dyDescent="0.35">
      <c r="A70" s="73"/>
      <c r="B70" s="80" t="s">
        <v>18</v>
      </c>
      <c r="C70" s="95">
        <v>100</v>
      </c>
      <c r="D70" s="80" t="s">
        <v>3</v>
      </c>
      <c r="E70" s="80"/>
      <c r="F70" s="80"/>
      <c r="G70" s="80"/>
      <c r="H70" s="80"/>
      <c r="I70"/>
      <c r="K70" s="209"/>
      <c r="L70" s="49" t="s">
        <v>82</v>
      </c>
      <c r="M70" s="50">
        <f>AH107</f>
        <v>9.0299999999999999E-5</v>
      </c>
      <c r="N70" s="51">
        <f>AH133</f>
        <v>1.5299999999999999E-5</v>
      </c>
      <c r="O70" s="51">
        <f>AH157</f>
        <v>-1.5999999999999999E-6</v>
      </c>
      <c r="P70" s="120">
        <f>AH181</f>
        <v>-2.04E-6</v>
      </c>
      <c r="Q70" s="50">
        <f>AO107</f>
        <v>1.16E-4</v>
      </c>
      <c r="R70" s="51">
        <f>AO133</f>
        <v>4.1900000000000002E-5</v>
      </c>
      <c r="S70" s="51">
        <f>AO157</f>
        <v>2.09E-5</v>
      </c>
      <c r="T70" s="120">
        <f>AO181</f>
        <v>1.03E-5</v>
      </c>
      <c r="U70" s="54">
        <f>VLOOKUP(L70,$L$69:$T$71,VLOOKUP(_xlfn.CONCAT($C$13,$D$13),$L$75:$M$78,2,FALSE),FALSE)</f>
        <v>1.5299999999999999E-5</v>
      </c>
      <c r="V70" s="54">
        <f>VLOOKUP(L70,$L$69:$T$71,VLOOKUP(_xlfn.CONCAT($C$13,$D$13),$L$79:$M$82,2,FALSE),FALSE)</f>
        <v>4.1900000000000002E-5</v>
      </c>
      <c r="AE70" s="62"/>
      <c r="AF70" s="62"/>
      <c r="AG70" s="62"/>
      <c r="AH70" s="62"/>
      <c r="AI70" s="62"/>
      <c r="AJ70" s="62"/>
      <c r="AK70" s="62"/>
      <c r="AL70" s="62"/>
      <c r="AM70" s="62"/>
      <c r="AN70" s="62"/>
      <c r="AO70" s="62"/>
      <c r="AP70" s="62"/>
      <c r="AQ70" s="62"/>
      <c r="AR70" s="62"/>
      <c r="AS70" s="62"/>
      <c r="AT70" s="62"/>
      <c r="AU70" s="62"/>
      <c r="AV70" s="62"/>
      <c r="AW70" s="62"/>
      <c r="AX70" s="62"/>
      <c r="AY70" s="62"/>
      <c r="AZ70" s="62"/>
      <c r="BA70" s="62"/>
      <c r="BB70" s="62"/>
      <c r="BC70" s="62"/>
      <c r="BD70" s="62"/>
      <c r="BE70" s="62"/>
      <c r="BF70" s="62"/>
      <c r="BG70" s="62"/>
      <c r="BH70" s="62"/>
    </row>
    <row r="71" spans="1:60" ht="15" hidden="1" thickBot="1" x14ac:dyDescent="0.4">
      <c r="A71" s="73"/>
      <c r="B71" s="80" t="s">
        <v>19</v>
      </c>
      <c r="C71" s="95">
        <v>450</v>
      </c>
      <c r="D71" s="80" t="s">
        <v>3</v>
      </c>
      <c r="E71" s="80"/>
      <c r="F71" s="80"/>
      <c r="G71" s="80"/>
      <c r="H71" s="80"/>
      <c r="I71"/>
      <c r="K71" s="210"/>
      <c r="L71" s="55" t="s">
        <v>83</v>
      </c>
      <c r="M71" s="56">
        <f>AI107</f>
        <v>2.39E-6</v>
      </c>
      <c r="N71" s="57">
        <f>AI133</f>
        <v>5.3199999999999999E-6</v>
      </c>
      <c r="O71" s="57">
        <f>AI157</f>
        <v>2.5600000000000001E-6</v>
      </c>
      <c r="P71" s="121">
        <f>AI181</f>
        <v>5.5499999999999998E-7</v>
      </c>
      <c r="Q71" s="56">
        <f>AP107</f>
        <v>1.28E-6</v>
      </c>
      <c r="R71" s="57">
        <f>AP133</f>
        <v>2.7E-6</v>
      </c>
      <c r="S71" s="57">
        <f>AP157</f>
        <v>-5.6000000000000004E-7</v>
      </c>
      <c r="T71" s="121">
        <f>AP181</f>
        <v>-2.9099999999999999E-8</v>
      </c>
      <c r="U71" s="60">
        <f>VLOOKUP(L71,$L$69:$T$71,VLOOKUP(_xlfn.CONCAT($C$13,$D$13),$L$75:$M$78,2,FALSE),FALSE)</f>
        <v>5.3199999999999999E-6</v>
      </c>
      <c r="V71" s="60">
        <f>VLOOKUP(L71,$L$69:$T$71,VLOOKUP(_xlfn.CONCAT($C$13,$D$13),$L$79:$M$82,2,FALSE),FALSE)</f>
        <v>2.7E-6</v>
      </c>
      <c r="AE71" s="62"/>
      <c r="AF71" s="62"/>
      <c r="AG71" s="62"/>
      <c r="AH71" s="62"/>
      <c r="AI71" s="62"/>
      <c r="AJ71" s="62"/>
      <c r="AK71" s="62"/>
      <c r="AL71" s="62"/>
      <c r="AM71" s="62"/>
      <c r="AN71" s="62"/>
      <c r="AO71" s="62"/>
      <c r="AP71" s="62"/>
      <c r="AQ71" s="62"/>
      <c r="AR71" s="62"/>
      <c r="AS71" s="62"/>
      <c r="AT71" s="62"/>
      <c r="AU71" s="62"/>
      <c r="AV71" s="62"/>
      <c r="AW71" s="62"/>
      <c r="AX71" s="62"/>
      <c r="AY71" s="62"/>
      <c r="AZ71" s="62"/>
      <c r="BA71" s="62"/>
      <c r="BB71" s="62"/>
      <c r="BC71" s="62"/>
      <c r="BD71" s="62"/>
      <c r="BE71" s="62"/>
      <c r="BF71" s="62"/>
      <c r="BG71" s="62"/>
      <c r="BH71" s="62"/>
    </row>
    <row r="72" spans="1:60" hidden="1" x14ac:dyDescent="0.35">
      <c r="A72" s="73"/>
      <c r="B72" s="80" t="s">
        <v>20</v>
      </c>
      <c r="C72" s="95">
        <v>2.8279999999999998</v>
      </c>
      <c r="D72" s="80" t="s">
        <v>6</v>
      </c>
      <c r="E72" s="80"/>
      <c r="F72" s="80"/>
      <c r="G72" s="80"/>
      <c r="H72" s="80"/>
      <c r="I72"/>
      <c r="AE72" s="62"/>
      <c r="AF72" s="62"/>
      <c r="AG72" s="62"/>
      <c r="AH72" s="62"/>
      <c r="AI72" s="62"/>
      <c r="AJ72" s="62"/>
      <c r="AK72" s="62"/>
      <c r="AL72" s="62"/>
      <c r="AM72" s="62"/>
      <c r="AN72" s="62"/>
      <c r="AO72" s="62"/>
      <c r="AP72" s="62"/>
      <c r="AQ72" s="62"/>
      <c r="AR72" s="62"/>
      <c r="AS72" s="62"/>
      <c r="AT72" s="62"/>
      <c r="AU72" s="62"/>
      <c r="AV72" s="62"/>
      <c r="AW72" s="62"/>
      <c r="AX72" s="62"/>
      <c r="AY72" s="62"/>
      <c r="AZ72" s="62"/>
      <c r="BA72" s="62"/>
      <c r="BB72" s="62"/>
      <c r="BC72" s="62"/>
      <c r="BD72" s="62"/>
      <c r="BE72" s="62"/>
      <c r="BF72" s="62"/>
      <c r="BG72" s="62"/>
      <c r="BH72" s="62"/>
    </row>
    <row r="73" spans="1:60" hidden="1" x14ac:dyDescent="0.35">
      <c r="A73" s="73"/>
      <c r="B73" s="80" t="s">
        <v>153</v>
      </c>
      <c r="C73" s="95" t="s">
        <v>25</v>
      </c>
      <c r="D73" s="80"/>
      <c r="E73" s="80"/>
      <c r="F73" s="80"/>
      <c r="G73" s="80"/>
      <c r="H73" s="80"/>
      <c r="I73"/>
      <c r="AE73" s="62"/>
      <c r="AF73" s="62"/>
      <c r="AG73" s="62"/>
      <c r="AH73" s="62"/>
      <c r="AI73" s="62"/>
      <c r="AJ73" s="62"/>
      <c r="AK73" s="62"/>
      <c r="AL73" s="62"/>
      <c r="AM73" s="62"/>
      <c r="AN73" s="62"/>
      <c r="AO73" s="62"/>
      <c r="AP73" s="62"/>
      <c r="AQ73" s="62"/>
      <c r="AR73" s="62"/>
      <c r="AS73" s="62"/>
      <c r="AT73" s="62"/>
      <c r="AU73" s="62"/>
      <c r="AV73" s="62"/>
      <c r="AW73" s="62"/>
      <c r="AX73" s="62"/>
      <c r="AY73" s="62"/>
      <c r="AZ73" s="62"/>
      <c r="BA73" s="62"/>
      <c r="BB73" s="62"/>
      <c r="BC73" s="62"/>
      <c r="BD73" s="62"/>
      <c r="BE73" s="62"/>
      <c r="BF73" s="62"/>
      <c r="BG73" s="62"/>
      <c r="BH73" s="62"/>
    </row>
    <row r="74" spans="1:60" ht="15" hidden="1" thickBot="1" x14ac:dyDescent="0.4">
      <c r="A74" s="73"/>
      <c r="B74" s="80" t="str">
        <f>IF(C73="Yes","Device pin name for lower voltage input supply for device power","")</f>
        <v/>
      </c>
      <c r="C74" s="95" t="s">
        <v>104</v>
      </c>
      <c r="D74" s="80"/>
      <c r="E74" s="80"/>
      <c r="F74" s="80"/>
      <c r="G74" s="80"/>
      <c r="H74" s="80"/>
      <c r="I74"/>
      <c r="O74" s="6" t="str">
        <f>_xlfn.CONCAT("Polynomial constants @ customer RMS current of ",RMS_Current,"A")</f>
        <v>Polynomial constants @ customer RMS current of 0.86A</v>
      </c>
      <c r="Q74" s="6" t="s">
        <v>117</v>
      </c>
      <c r="R74" s="6" t="s">
        <v>118</v>
      </c>
      <c r="S74" s="6" t="s">
        <v>119</v>
      </c>
      <c r="T74" s="6" t="s">
        <v>120</v>
      </c>
      <c r="V74" s="6" t="s">
        <v>77</v>
      </c>
      <c r="W74" s="6" t="s">
        <v>76</v>
      </c>
      <c r="AE74" s="62"/>
      <c r="AF74" s="62"/>
      <c r="AG74" s="62"/>
      <c r="AH74" s="62"/>
      <c r="AI74" s="62"/>
      <c r="AJ74" s="62"/>
      <c r="AK74" s="62"/>
      <c r="AL74" s="62"/>
      <c r="AM74" s="62"/>
      <c r="AN74" s="62"/>
      <c r="AO74" s="62"/>
      <c r="AP74" s="62"/>
      <c r="AQ74" s="62"/>
      <c r="AR74" s="62"/>
      <c r="AS74" s="62"/>
      <c r="AT74" s="62"/>
      <c r="AU74" s="62"/>
      <c r="AV74" s="62"/>
      <c r="AW74" s="62"/>
      <c r="AX74" s="62"/>
      <c r="AY74" s="62"/>
      <c r="AZ74" s="62"/>
      <c r="BA74" s="62"/>
      <c r="BB74" s="62"/>
      <c r="BC74" s="62"/>
      <c r="BD74" s="62"/>
      <c r="BE74" s="62"/>
      <c r="BF74" s="62"/>
      <c r="BG74" s="62"/>
      <c r="BH74" s="62"/>
    </row>
    <row r="75" spans="1:60" hidden="1" x14ac:dyDescent="0.35">
      <c r="A75" s="73"/>
      <c r="B75" s="80" t="str">
        <f>IF(C73="Yes",_xlfn.CONCAT("Recommended device minimum ",C74," voltage"),"")</f>
        <v/>
      </c>
      <c r="C75" s="95">
        <v>10.8</v>
      </c>
      <c r="D75" s="80" t="str">
        <f>IF(B75="","","V")</f>
        <v/>
      </c>
      <c r="E75" s="80"/>
      <c r="F75" s="80"/>
      <c r="G75" s="80"/>
      <c r="H75" s="80"/>
      <c r="I75"/>
      <c r="K75" s="208" t="s">
        <v>76</v>
      </c>
      <c r="L75" s="9" t="str">
        <f>M62</f>
        <v>5V/ns</v>
      </c>
      <c r="M75" s="46">
        <v>2</v>
      </c>
      <c r="O75" s="6" t="s">
        <v>85</v>
      </c>
      <c r="P75" s="11">
        <f>IF($C$94="Yes",Peak_Current*Peak_Current*x2Eon+Peak_Current*xEon+mEon,RMS_Current*RMS_Current*x2Eon+RMS_Current*xEon+mEon)</f>
        <v>0.12242380000000001</v>
      </c>
      <c r="Q75" s="11">
        <f>IF($C$94="Yes",Peak_Current*Peak_Current*M65+Peak_Current*M64+M63,RMS_Current*RMS_Current*M65+RMS_Current*M64+M63)</f>
        <v>-0.57000455999999999</v>
      </c>
      <c r="R75" s="11">
        <f>IF($C$94="Yes",Peak_Current*Peak_Current*N65+Peak_Current*N64+N63,RMS_Current*RMS_Current*N65+RMS_Current*N64+N63)</f>
        <v>0.12242380000000001</v>
      </c>
      <c r="S75" s="11">
        <f>IF($C$94="Yes",Peak_Current*Peak_Current*O65+Peak_Current*O64+O63,RMS_Current*RMS_Current*O65+RMS_Current*O64+O63)</f>
        <v>0.11376271999999998</v>
      </c>
      <c r="T75" s="11">
        <f>IF($C$94="Yes",Peak_Current*Peak_Current*P65+Peak_Current*P64+P63,RMS_Current*RMS_Current*P65+RMS_Current*P64+P63)</f>
        <v>4.5733495999999998E-2</v>
      </c>
      <c r="U75" s="122" t="s">
        <v>117</v>
      </c>
      <c r="V75" s="123">
        <f>DC_Voltage*DC_Voltage*Q77+DC_Voltage*Q76+Q75</f>
        <v>6.2127091483999992</v>
      </c>
      <c r="W75" s="123">
        <f>DC_Voltage*DC_Voltage*Q80+DC_Voltage*Q79+Q78</f>
        <v>14.499688876799999</v>
      </c>
      <c r="AE75" s="62"/>
      <c r="AF75" s="62"/>
      <c r="AG75" s="62"/>
      <c r="AH75" s="62"/>
      <c r="AI75" s="62"/>
      <c r="AJ75" s="62"/>
      <c r="AK75" s="62"/>
      <c r="AL75" s="62"/>
      <c r="AM75" s="62"/>
      <c r="AN75" s="62"/>
      <c r="AO75" s="62"/>
      <c r="AP75" s="62"/>
      <c r="AQ75" s="62"/>
      <c r="AR75" s="62"/>
      <c r="AS75" s="62"/>
      <c r="AT75" s="62"/>
      <c r="AU75" s="62"/>
      <c r="AV75" s="62"/>
      <c r="AW75" s="62"/>
      <c r="AX75" s="62"/>
      <c r="AY75" s="62"/>
      <c r="AZ75" s="62"/>
      <c r="BA75" s="62"/>
      <c r="BB75" s="62"/>
      <c r="BC75" s="62"/>
      <c r="BD75" s="62"/>
      <c r="BE75" s="62"/>
      <c r="BF75" s="62"/>
      <c r="BG75" s="62"/>
      <c r="BH75" s="62"/>
    </row>
    <row r="76" spans="1:60" hidden="1" x14ac:dyDescent="0.35">
      <c r="A76" s="73"/>
      <c r="B76" s="80" t="str">
        <f>IF(C73="Yes",_xlfn.CONCAT("Recommended device maximum ",C74," voltage"),"")</f>
        <v/>
      </c>
      <c r="C76" s="95">
        <v>15</v>
      </c>
      <c r="D76" s="80" t="str">
        <f>IF(B76="","","V")</f>
        <v/>
      </c>
      <c r="E76" s="80"/>
      <c r="F76" s="80"/>
      <c r="G76" s="80"/>
      <c r="H76" s="80"/>
      <c r="I76"/>
      <c r="K76" s="209"/>
      <c r="L76" s="62" t="str">
        <f>N62</f>
        <v>10V/ns</v>
      </c>
      <c r="M76" s="31">
        <v>3</v>
      </c>
      <c r="O76" s="6" t="s">
        <v>86</v>
      </c>
      <c r="P76" s="11">
        <f>IF($C$94="Yes",Peak_Current*Peak_Current*U68+Peak_Current*U67+U66,RMS_Current*RMS_Current*U68+RMS_Current*U67+U66)</f>
        <v>2.5847199999999972E-4</v>
      </c>
      <c r="Q76" s="11">
        <f>IF($C$94="Yes",Peak_Current*Peak_Current*M68+Peak_Current*M67+M66,RMS_Current*RMS_Current*M68+RMS_Current*M67+M66)</f>
        <v>-1.1147280000000004E-3</v>
      </c>
      <c r="R76" s="11">
        <f>IF($C$94="Yes",Peak_Current*Peak_Current*N68+Peak_Current*N67+N66,RMS_Current*RMS_Current*N68+RMS_Current*N67+N66)</f>
        <v>2.5847199999999972E-4</v>
      </c>
      <c r="S76" s="11">
        <f>IF($C$94="Yes",Peak_Current*Peak_Current*O68+Peak_Current*O67+O66,RMS_Current*RMS_Current*O68+RMS_Current*O67+O66)</f>
        <v>6.2384399999999883E-5</v>
      </c>
      <c r="T76" s="11">
        <f>IF($C$94="Yes",Peak_Current*Peak_Current*P68+Peak_Current*P67+P66,RMS_Current*RMS_Current*P68+RMS_Current*P67+P66)</f>
        <v>3.3372571999999994E-4</v>
      </c>
      <c r="U76" s="122" t="s">
        <v>118</v>
      </c>
      <c r="V76" s="123">
        <f>DC_Voltage*DC_Voltage*R77+DC_Voltage*R76+R75</f>
        <v>1.3406308991999998</v>
      </c>
      <c r="W76" s="123">
        <f>DC_Voltage*DC_Voltage*R80+DC_Voltage*R79+R78</f>
        <v>11.520554316000002</v>
      </c>
    </row>
    <row r="77" spans="1:60" hidden="1" x14ac:dyDescent="0.35">
      <c r="A77" s="73"/>
      <c r="B77" s="80" t="s">
        <v>22</v>
      </c>
      <c r="C77" s="95" t="s">
        <v>23</v>
      </c>
      <c r="D77" s="80"/>
      <c r="E77" s="80"/>
      <c r="F77" s="80"/>
      <c r="G77" s="80"/>
      <c r="H77" s="80"/>
      <c r="I77"/>
      <c r="K77" s="209"/>
      <c r="L77" s="62" t="str">
        <f>O62</f>
        <v>20V/ns</v>
      </c>
      <c r="M77" s="31">
        <v>4</v>
      </c>
      <c r="O77" s="6" t="s">
        <v>87</v>
      </c>
      <c r="P77" s="11">
        <f>IF($C$94="Yes",Peak_Current*Peak_Current*U71+Peak_Current*U70+U69,RMS_Current*RMS_Current*U71+RMS_Current*U70+U69)</f>
        <v>1.1842671999999998E-5</v>
      </c>
      <c r="Q77" s="11">
        <f>IF($C$94="Yes",Peak_Current*Peak_Current*M71+Peak_Current*M70+M69,RMS_Current*RMS_Current*M71+RMS_Current*M70+M69)</f>
        <v>7.4175643999999989E-5</v>
      </c>
      <c r="R77" s="11">
        <f>IF($C$94="Yes",Peak_Current*Peak_Current*N71+Peak_Current*N70+N69,RMS_Current*RMS_Current*N71+RMS_Current*N70+N69)</f>
        <v>1.1842671999999998E-5</v>
      </c>
      <c r="S77" s="11">
        <f>IF($C$94="Yes",Peak_Current*Peak_Current*O71+Peak_Current*O70+O69,RMS_Current*RMS_Current*O71+RMS_Current*O70+O69)</f>
        <v>4.4377600000000007E-7</v>
      </c>
      <c r="T77" s="11">
        <f>IF($C$94="Yes",Peak_Current*Peak_Current*P71+Peak_Current*P70+P69,RMS_Current*RMS_Current*P71+RMS_Current*P70+P69)</f>
        <v>-7.7992199999999991E-7</v>
      </c>
      <c r="U77" s="122" t="s">
        <v>119</v>
      </c>
      <c r="V77" s="123">
        <f>DC_Voltage*DC_Voltage*S77+DC_Voltage*S76+S75</f>
        <v>0.17574875759999997</v>
      </c>
      <c r="W77" s="123">
        <f>DC_Voltage*DC_Voltage*S80+DC_Voltage*S79+S78</f>
        <v>8.3869324343999985</v>
      </c>
    </row>
    <row r="78" spans="1:60" ht="15" hidden="1" thickBot="1" x14ac:dyDescent="0.4">
      <c r="A78" s="73"/>
      <c r="B78" s="80" t="s">
        <v>21</v>
      </c>
      <c r="C78" s="95">
        <v>5</v>
      </c>
      <c r="D78" s="80"/>
      <c r="E78" s="80"/>
      <c r="F78" s="80"/>
      <c r="G78" s="80"/>
      <c r="H78" s="80"/>
      <c r="I78"/>
      <c r="K78" s="210"/>
      <c r="L78" s="63" t="str">
        <f>P62</f>
        <v>40V/ns</v>
      </c>
      <c r="M78" s="34">
        <v>5</v>
      </c>
      <c r="O78" s="6" t="s">
        <v>88</v>
      </c>
      <c r="P78" s="11">
        <f>IF($C$94="Yes",Peak_Current*Peak_Current*X2Eoff+Peak_Current*xEoff+mEoff,RMS_Current*RMS_Current*X2Eoff+RMS_Current*xEoff+mEoff)</f>
        <v>-8.6548639999999996E-2</v>
      </c>
      <c r="Q78" s="11">
        <f>IF($C$94="Yes",Peak_Current*Peak_Current*Q65+Peak_Current*Q64+Q63,RMS_Current*RMS_Current*Q65+RMS_Current*Q64+Q63)</f>
        <v>0.75974199999999992</v>
      </c>
      <c r="R78" s="11">
        <f>IF($C$94="Yes",Peak_Current*Peak_Current*R65+Peak_Current*R64+R63,RMS_Current*RMS_Current*R65+RMS_Current*R64+R63)</f>
        <v>-8.6548639999999996E-2</v>
      </c>
      <c r="S78" s="11">
        <f>IF($C$94="Yes",Peak_Current*Peak_Current*S65+Peak_Current*S64+S63,RMS_Current*RMS_Current*S65+RMS_Current*S64+S63)</f>
        <v>-0.1827684</v>
      </c>
      <c r="T78" s="11">
        <f>IF($C$94="Yes",Peak_Current*Peak_Current*T65+Peak_Current*T64+T63,RMS_Current*RMS_Current*T65+RMS_Current*T64+T63)</f>
        <v>-0.282777536</v>
      </c>
      <c r="U78" s="122" t="s">
        <v>120</v>
      </c>
      <c r="V78" s="123">
        <f>DC_Voltage*DC_Voltage*T77+DC_Voltage*T76+T75</f>
        <v>7.4237964999999989E-2</v>
      </c>
      <c r="W78" s="123">
        <f>DC_Voltage*DC_Voltage*T80+DC_Voltage*T79+T78</f>
        <v>7.0809107772039992</v>
      </c>
    </row>
    <row r="79" spans="1:60" hidden="1" x14ac:dyDescent="0.35">
      <c r="A79" s="73"/>
      <c r="B79" s="80"/>
      <c r="C79" s="95">
        <v>10</v>
      </c>
      <c r="D79" s="80"/>
      <c r="E79" s="80"/>
      <c r="F79" s="80"/>
      <c r="G79" s="80"/>
      <c r="H79" s="80"/>
      <c r="I79"/>
      <c r="K79" s="209" t="s">
        <v>77</v>
      </c>
      <c r="L79" s="62" t="str">
        <f>Q62</f>
        <v>5V/ns</v>
      </c>
      <c r="M79" s="31">
        <v>6</v>
      </c>
      <c r="O79" s="6" t="s">
        <v>89</v>
      </c>
      <c r="P79" s="11">
        <f>IF($C$94="Yes",Peak_Current*Peak_Current*V68+Peak_Current*V67+V66,RMS_Current*RMS_Current*V68+RMS_Current*V67+V66)</f>
        <v>1.4027682400000002E-2</v>
      </c>
      <c r="Q79" s="11">
        <f>IF($C$94="Yes",Peak_Current*Peak_Current*Q68+Peak_Current*Q67+Q66,RMS_Current*RMS_Current*Q68+RMS_Current*Q67+Q66)</f>
        <v>2.0363359999999988E-3</v>
      </c>
      <c r="R79" s="11">
        <f>IF($C$94="Yes",Peak_Current*Peak_Current*R68+Peak_Current*R67+R66,RMS_Current*RMS_Current*R68+RMS_Current*R67+R66)</f>
        <v>1.4027682400000002E-2</v>
      </c>
      <c r="S79" s="11">
        <f>IF($C$94="Yes",Peak_Current*Peak_Current*S68+Peak_Current*S67+S66,RMS_Current*RMS_Current*S68+RMS_Current*S67+S66)</f>
        <v>1.1319650800000001E-2</v>
      </c>
      <c r="T79" s="11">
        <f>IF($C$94="Yes",Peak_Current*Peak_Current*T68+Peak_Current*T67+T66,RMS_Current*RMS_Current*T68+RMS_Current*T67+T66)</f>
        <v>9.8855252000000001E-3</v>
      </c>
    </row>
    <row r="80" spans="1:60" hidden="1" x14ac:dyDescent="0.35">
      <c r="A80" s="73"/>
      <c r="B80" s="80"/>
      <c r="C80" s="95">
        <v>20</v>
      </c>
      <c r="D80" s="80"/>
      <c r="E80" s="80"/>
      <c r="F80" s="80"/>
      <c r="G80" s="80"/>
      <c r="H80" s="80"/>
      <c r="I80"/>
      <c r="K80" s="209"/>
      <c r="L80" s="62" t="str">
        <f>R62</f>
        <v>10V/ns</v>
      </c>
      <c r="M80" s="31">
        <v>7</v>
      </c>
      <c r="O80" s="6" t="s">
        <v>90</v>
      </c>
      <c r="P80" s="11">
        <f>IF($C$94="Yes",Peak_Current*Peak_Current*V71+Peak_Current*V70+V69,RMS_Current*RMS_Current*V71+RMS_Current*V70+V69)</f>
        <v>7.553092E-5</v>
      </c>
      <c r="Q80" s="11">
        <f>IF($C$94="Yes",Peak_Current*Peak_Current*Q71+Peak_Current*Q70+Q69,RMS_Current*RMS_Current*Q71+RMS_Current*Q70+Q69)</f>
        <v>1.3640668800000001E-4</v>
      </c>
      <c r="R80" s="11">
        <f>IF($C$94="Yes",Peak_Current*Peak_Current*R71+Peak_Current*R70+R69,RMS_Current*RMS_Current*R71+RMS_Current*R70+R69)</f>
        <v>7.553092E-5</v>
      </c>
      <c r="S80" s="11">
        <f>IF($C$94="Yes",Peak_Current*Peak_Current*S71+Peak_Current*S70+S69,RMS_Current*RMS_Current*S71+RMS_Current*S70+S69)</f>
        <v>5.2659823999999999E-5</v>
      </c>
      <c r="T80" s="11">
        <f>IF($C$94="Yes",Peak_Current*Peak_Current*T71+Peak_Current*T70+T69,RMS_Current*RMS_Current*T71+RMS_Current*T70+T69)</f>
        <v>4.4736477639999994E-5</v>
      </c>
    </row>
    <row r="81" spans="1:28" hidden="1" x14ac:dyDescent="0.35">
      <c r="A81" s="73"/>
      <c r="B81" s="80"/>
      <c r="C81" s="95">
        <v>40</v>
      </c>
      <c r="D81" s="80"/>
      <c r="E81" s="80"/>
      <c r="F81" s="80"/>
      <c r="G81" s="80"/>
      <c r="H81" s="80"/>
      <c r="I81"/>
      <c r="K81" s="209"/>
      <c r="L81" s="62" t="str">
        <f>S62</f>
        <v>20V/ns</v>
      </c>
      <c r="M81" s="31">
        <v>8</v>
      </c>
    </row>
    <row r="82" spans="1:28" ht="15" hidden="1" thickBot="1" x14ac:dyDescent="0.4">
      <c r="A82" s="73"/>
      <c r="B82" s="80" t="s">
        <v>24</v>
      </c>
      <c r="C82" s="95">
        <v>60</v>
      </c>
      <c r="D82" s="80" t="s">
        <v>9</v>
      </c>
      <c r="E82" s="80"/>
      <c r="F82" s="80"/>
      <c r="G82" s="80"/>
      <c r="H82" s="80"/>
      <c r="I82"/>
      <c r="K82" s="210"/>
      <c r="L82" s="63" t="str">
        <f>T62</f>
        <v>40V/ns</v>
      </c>
      <c r="M82" s="34">
        <v>9</v>
      </c>
    </row>
    <row r="83" spans="1:28" hidden="1" x14ac:dyDescent="0.35">
      <c r="A83" s="73"/>
      <c r="B83" s="80" t="s">
        <v>105</v>
      </c>
      <c r="C83" s="95" t="s">
        <v>25</v>
      </c>
      <c r="D83" s="80"/>
      <c r="E83" s="80"/>
      <c r="F83" s="80"/>
      <c r="G83" s="80"/>
      <c r="H83" s="80"/>
      <c r="I83"/>
    </row>
    <row r="84" spans="1:28" hidden="1" x14ac:dyDescent="0.35">
      <c r="A84" s="73"/>
      <c r="B84" s="80" t="str">
        <f>IF(C83="Yes","How many internal LDOs are available that can be used externally?","")</f>
        <v/>
      </c>
      <c r="C84" s="95">
        <v>1</v>
      </c>
      <c r="D84" s="80"/>
      <c r="E84" s="80"/>
      <c r="F84" s="80"/>
      <c r="G84" s="80"/>
      <c r="H84" s="80"/>
      <c r="I84"/>
      <c r="L84" s="6" t="s">
        <v>84</v>
      </c>
    </row>
    <row r="85" spans="1:28" ht="15" hidden="1" thickBot="1" x14ac:dyDescent="0.4">
      <c r="A85" s="73"/>
      <c r="B85" s="80" t="str">
        <f>IF(C83="Yes",_xlfn.CONCAT("Device pin name for available internal LDO",IF(C84=2," with highest output voltage","")),"")</f>
        <v/>
      </c>
      <c r="C85" s="95" t="s">
        <v>104</v>
      </c>
      <c r="D85" s="80"/>
      <c r="E85" s="80"/>
      <c r="F85" s="80"/>
      <c r="G85" s="80"/>
      <c r="H85" s="80"/>
      <c r="I85"/>
      <c r="L85" s="6">
        <v>1</v>
      </c>
      <c r="M85" s="6">
        <v>2</v>
      </c>
      <c r="N85" s="6">
        <v>3</v>
      </c>
      <c r="O85" s="6">
        <v>4</v>
      </c>
      <c r="P85" s="6">
        <v>5</v>
      </c>
      <c r="Q85" s="6">
        <v>6</v>
      </c>
      <c r="R85" s="6">
        <v>7</v>
      </c>
      <c r="S85" s="6">
        <v>8</v>
      </c>
      <c r="T85" s="6">
        <v>9</v>
      </c>
      <c r="U85" s="6">
        <v>10</v>
      </c>
      <c r="V85" s="6">
        <v>11</v>
      </c>
      <c r="W85" s="6">
        <v>12</v>
      </c>
      <c r="X85" s="6">
        <v>13</v>
      </c>
      <c r="Y85" s="6">
        <v>14</v>
      </c>
      <c r="Z85" s="6">
        <v>15</v>
      </c>
      <c r="AA85" s="6">
        <v>16</v>
      </c>
      <c r="AB85" s="6">
        <v>17</v>
      </c>
    </row>
    <row r="86" spans="1:28" ht="15" hidden="1" thickBot="1" x14ac:dyDescent="0.4">
      <c r="A86" s="73"/>
      <c r="B86" s="80" t="str">
        <f>IF(C83="Yes",_xlfn.CONCAT(C85," output voltage"),"")</f>
        <v/>
      </c>
      <c r="C86" s="95">
        <v>5</v>
      </c>
      <c r="D86" s="80" t="str">
        <f>IF(B86 &lt;&gt; "","V","")</f>
        <v/>
      </c>
      <c r="E86" s="80"/>
      <c r="F86" s="80"/>
      <c r="G86" s="80"/>
      <c r="H86" s="80"/>
      <c r="I86"/>
      <c r="M86" s="220" t="s">
        <v>77</v>
      </c>
      <c r="N86" s="235"/>
      <c r="O86" s="235"/>
      <c r="P86" s="235"/>
      <c r="Q86" s="235"/>
      <c r="R86" s="235"/>
      <c r="S86" s="235"/>
      <c r="T86" s="221"/>
      <c r="U86" s="220" t="s">
        <v>76</v>
      </c>
      <c r="V86" s="235"/>
      <c r="W86" s="235"/>
      <c r="X86" s="235"/>
      <c r="Y86" s="235"/>
      <c r="Z86" s="235"/>
      <c r="AA86" s="235"/>
      <c r="AB86" s="221"/>
    </row>
    <row r="87" spans="1:28" ht="15" hidden="1" thickBot="1" x14ac:dyDescent="0.4">
      <c r="A87" s="73"/>
      <c r="B87" s="80" t="str">
        <f>IF(C83="Yes",_xlfn.CONCAT("Max allowable external ",C85," current",""),"")</f>
        <v/>
      </c>
      <c r="C87" s="95">
        <v>30</v>
      </c>
      <c r="D87" s="80" t="str">
        <f>IF(B87 &lt;&gt; "","mA","")</f>
        <v/>
      </c>
      <c r="E87" s="80"/>
      <c r="F87" s="80"/>
      <c r="G87" s="80"/>
      <c r="H87" s="80"/>
      <c r="I87"/>
      <c r="K87" s="6" t="s">
        <v>116</v>
      </c>
      <c r="L87" s="25" t="s">
        <v>80</v>
      </c>
      <c r="M87" s="25">
        <f>$AH$9</f>
        <v>0</v>
      </c>
      <c r="N87" s="25">
        <f>$AI$9</f>
        <v>0.1</v>
      </c>
      <c r="O87" s="25">
        <f>$AJ$9</f>
        <v>0.25</v>
      </c>
      <c r="P87" s="25">
        <f>$AK$9</f>
        <v>0.5</v>
      </c>
      <c r="Q87" s="25">
        <f>$AL$9</f>
        <v>0.7</v>
      </c>
      <c r="R87" s="25">
        <f>$AM$9</f>
        <v>1</v>
      </c>
      <c r="S87" s="25">
        <f>$AN$9</f>
        <v>2.5</v>
      </c>
      <c r="T87" s="24">
        <f>$AO$9</f>
        <v>4</v>
      </c>
      <c r="U87" s="25">
        <f>$AP$9</f>
        <v>0</v>
      </c>
      <c r="V87" s="25">
        <f>$AQ$9</f>
        <v>0.1</v>
      </c>
      <c r="W87" s="25">
        <f>$AR$9</f>
        <v>0.25</v>
      </c>
      <c r="X87" s="25">
        <f>$AS$9</f>
        <v>0.5</v>
      </c>
      <c r="Y87" s="25">
        <f>$AT$9</f>
        <v>0.7</v>
      </c>
      <c r="Z87" s="25">
        <f>$AU$9</f>
        <v>1</v>
      </c>
      <c r="AA87" s="25">
        <f>$AV$9</f>
        <v>2.5</v>
      </c>
      <c r="AB87" s="24">
        <f>$AW$9</f>
        <v>4</v>
      </c>
    </row>
    <row r="88" spans="1:28" hidden="1" x14ac:dyDescent="0.35">
      <c r="A88" s="73"/>
      <c r="B88" s="80" t="str">
        <f>IF(B89="","","Device pin name for available internal LDO 2")</f>
        <v/>
      </c>
      <c r="C88" s="95" t="s">
        <v>26</v>
      </c>
      <c r="D88" s="80"/>
      <c r="E88" s="80"/>
      <c r="F88" s="80"/>
      <c r="G88" s="80"/>
      <c r="H88" s="80"/>
      <c r="I88"/>
      <c r="K88" s="232" t="str">
        <f>_xlfn.CONCAT(C78,slew_rate_unit)</f>
        <v>5V/ns</v>
      </c>
      <c r="L88" s="49" t="s">
        <v>81</v>
      </c>
      <c r="M88" s="64">
        <f>L141</f>
        <v>0</v>
      </c>
      <c r="N88" s="64">
        <f t="shared" ref="N88:T88" si="286">M141</f>
        <v>0</v>
      </c>
      <c r="O88" s="64">
        <f t="shared" si="286"/>
        <v>0</v>
      </c>
      <c r="P88" s="64">
        <f t="shared" si="286"/>
        <v>5.9700000000000003E-2</v>
      </c>
      <c r="Q88" s="64">
        <f t="shared" si="286"/>
        <v>0.3</v>
      </c>
      <c r="R88" s="64">
        <f t="shared" si="286"/>
        <v>0.122</v>
      </c>
      <c r="S88" s="64">
        <f t="shared" si="286"/>
        <v>1.05</v>
      </c>
      <c r="T88" s="64">
        <f t="shared" si="286"/>
        <v>1.0900000000000001</v>
      </c>
      <c r="U88" s="64">
        <f>V141</f>
        <v>-0.26100000000000001</v>
      </c>
      <c r="V88" s="64">
        <f t="shared" ref="V88:AB88" si="287">W141</f>
        <v>7.5300000000000006E-2</v>
      </c>
      <c r="W88" s="64">
        <f t="shared" si="287"/>
        <v>7.2300000000000003E-3</v>
      </c>
      <c r="X88" s="64">
        <f t="shared" si="287"/>
        <v>0.35799999999999998</v>
      </c>
      <c r="Y88" s="64">
        <f t="shared" si="287"/>
        <v>0.69299999999999995</v>
      </c>
      <c r="Z88" s="64">
        <f t="shared" si="287"/>
        <v>0.878</v>
      </c>
      <c r="AA88" s="64">
        <f t="shared" si="287"/>
        <v>2.13</v>
      </c>
      <c r="AB88" s="64">
        <f t="shared" si="287"/>
        <v>2.92</v>
      </c>
    </row>
    <row r="89" spans="1:28" hidden="1" x14ac:dyDescent="0.35">
      <c r="A89" s="73"/>
      <c r="B89" s="80" t="str">
        <f>IF(AND(C83="Yes",C84=2),_xlfn.CONCAT(C88," output voltage"),"")</f>
        <v/>
      </c>
      <c r="C89" s="95">
        <v>3.3</v>
      </c>
      <c r="D89" s="80" t="str">
        <f>IF(B89 &lt;&gt; "","V","")</f>
        <v/>
      </c>
      <c r="E89" s="80"/>
      <c r="F89" s="80"/>
      <c r="G89" s="80"/>
      <c r="H89" s="80"/>
      <c r="I89"/>
      <c r="K89" s="233"/>
      <c r="L89" s="49" t="s">
        <v>82</v>
      </c>
      <c r="M89" s="64">
        <f t="shared" ref="M89:T89" si="288">L142</f>
        <v>0</v>
      </c>
      <c r="N89" s="64">
        <f t="shared" si="288"/>
        <v>0</v>
      </c>
      <c r="O89" s="64">
        <f t="shared" si="288"/>
        <v>0</v>
      </c>
      <c r="P89" s="64">
        <f t="shared" si="288"/>
        <v>-4.55E-4</v>
      </c>
      <c r="Q89" s="64">
        <f t="shared" si="288"/>
        <v>-2E-3</v>
      </c>
      <c r="R89" s="64">
        <f t="shared" si="288"/>
        <v>1.82E-3</v>
      </c>
      <c r="S89" s="64">
        <f t="shared" si="288"/>
        <v>1.83E-2</v>
      </c>
      <c r="T89" s="64">
        <f t="shared" si="288"/>
        <v>7.0300000000000001E-2</v>
      </c>
      <c r="U89" s="64">
        <f t="shared" ref="U89:AB89" si="289">V142</f>
        <v>5.9100000000000003E-3</v>
      </c>
      <c r="V89" s="64">
        <f t="shared" si="289"/>
        <v>4.1799999999999997E-3</v>
      </c>
      <c r="W89" s="64">
        <f t="shared" si="289"/>
        <v>5.7299999999999999E-3</v>
      </c>
      <c r="X89" s="64">
        <f t="shared" si="289"/>
        <v>4.2700000000000004E-3</v>
      </c>
      <c r="Y89" s="64">
        <f t="shared" si="289"/>
        <v>2.64E-3</v>
      </c>
      <c r="Z89" s="64">
        <f t="shared" si="289"/>
        <v>3.1800000000000001E-3</v>
      </c>
      <c r="AA89" s="64">
        <f t="shared" si="289"/>
        <v>1.2200000000000001E-2</v>
      </c>
      <c r="AB89" s="64">
        <f t="shared" si="289"/>
        <v>4.99E-2</v>
      </c>
    </row>
    <row r="90" spans="1:28" ht="15" hidden="1" thickBot="1" x14ac:dyDescent="0.4">
      <c r="A90" s="73"/>
      <c r="B90" s="80" t="str">
        <f>IF(B89="","",_xlfn.CONCAT("Max allowable external current for ",C88))</f>
        <v/>
      </c>
      <c r="C90" s="95">
        <v>30</v>
      </c>
      <c r="D90" s="80" t="str">
        <f>IF(B90 &lt;&gt; "","mA","")</f>
        <v/>
      </c>
      <c r="E90" s="80"/>
      <c r="F90" s="80"/>
      <c r="G90" s="80"/>
      <c r="H90" s="80"/>
      <c r="I90"/>
      <c r="K90" s="234"/>
      <c r="L90" s="55" t="s">
        <v>83</v>
      </c>
      <c r="M90" s="64">
        <f t="shared" ref="M90:T90" si="290">L143</f>
        <v>0</v>
      </c>
      <c r="N90" s="64">
        <f t="shared" si="290"/>
        <v>0</v>
      </c>
      <c r="O90" s="64">
        <f t="shared" si="290"/>
        <v>0</v>
      </c>
      <c r="P90" s="64">
        <f t="shared" si="290"/>
        <v>1.7399999999999999E-5</v>
      </c>
      <c r="Q90" s="64">
        <f t="shared" si="290"/>
        <v>4.0000000000000003E-5</v>
      </c>
      <c r="R90" s="64">
        <f t="shared" si="290"/>
        <v>6.7999999999999999E-5</v>
      </c>
      <c r="S90" s="64">
        <f t="shared" si="290"/>
        <v>2.43E-4</v>
      </c>
      <c r="T90" s="64">
        <f t="shared" si="290"/>
        <v>3.77E-4</v>
      </c>
      <c r="U90" s="64">
        <f t="shared" ref="U90:AB90" si="291">V143</f>
        <v>3.5099999999999999E-5</v>
      </c>
      <c r="V90" s="64">
        <f t="shared" si="291"/>
        <v>4.9599999999999999E-5</v>
      </c>
      <c r="W90" s="64">
        <f t="shared" si="291"/>
        <v>6.3299999999999994E-5</v>
      </c>
      <c r="X90" s="64">
        <f t="shared" si="291"/>
        <v>9.3399999999999993E-5</v>
      </c>
      <c r="Y90" s="64">
        <f t="shared" si="291"/>
        <v>1.1900000000000001E-4</v>
      </c>
      <c r="Z90" s="64">
        <f t="shared" si="291"/>
        <v>1.5200000000000001E-4</v>
      </c>
      <c r="AA90" s="64">
        <f t="shared" si="291"/>
        <v>3.3500000000000001E-4</v>
      </c>
      <c r="AB90" s="64">
        <f t="shared" si="291"/>
        <v>5.2099999999999998E-4</v>
      </c>
    </row>
    <row r="91" spans="1:28" hidden="1" x14ac:dyDescent="0.35">
      <c r="A91" s="73"/>
      <c r="B91" s="80" t="str">
        <f>IF(B90="","",_xlfn.CONCAT("Is ",C88, " powered from ", C85,"?"))</f>
        <v/>
      </c>
      <c r="C91" s="95" t="s">
        <v>61</v>
      </c>
      <c r="D91" s="80"/>
      <c r="E91" s="80"/>
      <c r="F91" s="80"/>
      <c r="G91" s="80"/>
      <c r="H91" s="80"/>
      <c r="I91"/>
      <c r="K91" s="232" t="str">
        <f>_xlfn.CONCAT(C79,slew_rate_unit)</f>
        <v>10V/ns</v>
      </c>
      <c r="L91" s="49" t="s">
        <v>81</v>
      </c>
      <c r="M91" s="64">
        <f t="shared" ref="M91:S93" si="292">L180</f>
        <v>0</v>
      </c>
      <c r="N91" s="64">
        <f t="shared" si="292"/>
        <v>0</v>
      </c>
      <c r="O91" s="64">
        <f t="shared" si="292"/>
        <v>0</v>
      </c>
      <c r="P91" s="64">
        <f t="shared" si="292"/>
        <v>2.47E-2</v>
      </c>
      <c r="Q91" s="64">
        <f t="shared" si="292"/>
        <v>-7.5300000000000006E-2</v>
      </c>
      <c r="R91" s="64">
        <f t="shared" si="292"/>
        <v>0.17799999999999999</v>
      </c>
      <c r="S91" s="64">
        <f t="shared" si="292"/>
        <v>0.61399999999999999</v>
      </c>
      <c r="T91" s="64">
        <f>S180</f>
        <v>0.94599999999999995</v>
      </c>
      <c r="U91" s="64">
        <f>V180</f>
        <v>-0.26100000000000001</v>
      </c>
      <c r="V91" s="64">
        <f t="shared" ref="V91:AB91" si="293">W180</f>
        <v>-0.249</v>
      </c>
      <c r="W91" s="64">
        <f t="shared" si="293"/>
        <v>-0.129</v>
      </c>
      <c r="X91" s="64">
        <f t="shared" si="293"/>
        <v>-5.0599999999999999E-2</v>
      </c>
      <c r="Y91" s="64">
        <f t="shared" si="293"/>
        <v>-7.5300000000000006E-2</v>
      </c>
      <c r="Z91" s="64">
        <f t="shared" si="293"/>
        <v>3.9199999999999999E-2</v>
      </c>
      <c r="AA91" s="64">
        <f t="shared" si="293"/>
        <v>0.23499999999999999</v>
      </c>
      <c r="AB91" s="64">
        <f t="shared" si="293"/>
        <v>1.19</v>
      </c>
    </row>
    <row r="92" spans="1:28" hidden="1" x14ac:dyDescent="0.35">
      <c r="A92" s="73"/>
      <c r="B92" s="80"/>
      <c r="C92" s="80"/>
      <c r="D92" s="80"/>
      <c r="E92" s="80"/>
      <c r="F92" s="80"/>
      <c r="G92" s="80"/>
      <c r="H92" s="80"/>
      <c r="I92"/>
      <c r="K92" s="233"/>
      <c r="L92" s="49" t="s">
        <v>82</v>
      </c>
      <c r="M92" s="64">
        <f t="shared" si="292"/>
        <v>0</v>
      </c>
      <c r="N92" s="64">
        <f t="shared" si="292"/>
        <v>0</v>
      </c>
      <c r="O92" s="64">
        <f t="shared" si="292"/>
        <v>0</v>
      </c>
      <c r="P92" s="64">
        <f t="shared" si="292"/>
        <v>6.3599999999999996E-4</v>
      </c>
      <c r="Q92" s="64">
        <f t="shared" si="292"/>
        <v>2.64E-3</v>
      </c>
      <c r="R92" s="64">
        <f t="shared" si="292"/>
        <v>1.8200000000000001E-4</v>
      </c>
      <c r="S92" s="64">
        <f t="shared" si="292"/>
        <v>5.2700000000000004E-3</v>
      </c>
      <c r="T92" s="64">
        <f t="shared" ref="T92:T93" si="294">S181</f>
        <v>2.1600000000000001E-2</v>
      </c>
      <c r="U92" s="64">
        <f t="shared" ref="U92:AB92" si="295">V181</f>
        <v>5.9100000000000003E-3</v>
      </c>
      <c r="V92" s="64">
        <f t="shared" si="295"/>
        <v>7.3600000000000002E-3</v>
      </c>
      <c r="W92" s="64">
        <f t="shared" si="295"/>
        <v>7.45E-3</v>
      </c>
      <c r="X92" s="64">
        <f t="shared" si="295"/>
        <v>9.6399999999999993E-3</v>
      </c>
      <c r="Y92" s="64">
        <f t="shared" si="295"/>
        <v>1.18E-2</v>
      </c>
      <c r="Z92" s="64">
        <f t="shared" si="295"/>
        <v>1.41E-2</v>
      </c>
      <c r="AA92" s="64">
        <f t="shared" si="295"/>
        <v>3.5200000000000002E-2</v>
      </c>
      <c r="AB92" s="64">
        <f t="shared" si="295"/>
        <v>5.3999999999999999E-2</v>
      </c>
    </row>
    <row r="93" spans="1:28" ht="15" hidden="1" thickBot="1" x14ac:dyDescent="0.4">
      <c r="A93" s="73"/>
      <c r="B93" s="80" t="s">
        <v>62</v>
      </c>
      <c r="C93" s="95" t="s">
        <v>61</v>
      </c>
      <c r="D93" s="80"/>
      <c r="E93" s="80"/>
      <c r="F93" s="80"/>
      <c r="G93" s="80"/>
      <c r="H93" s="80"/>
      <c r="I93"/>
      <c r="K93" s="234"/>
      <c r="L93" s="55" t="s">
        <v>83</v>
      </c>
      <c r="M93" s="64">
        <f t="shared" si="292"/>
        <v>0</v>
      </c>
      <c r="N93" s="64">
        <f t="shared" si="292"/>
        <v>0</v>
      </c>
      <c r="O93" s="64">
        <f t="shared" si="292"/>
        <v>0</v>
      </c>
      <c r="P93" s="64">
        <f t="shared" si="292"/>
        <v>-5.13E-7</v>
      </c>
      <c r="Q93" s="64">
        <f t="shared" si="292"/>
        <v>-5.13E-7</v>
      </c>
      <c r="R93" s="64">
        <f t="shared" si="292"/>
        <v>1.2E-5</v>
      </c>
      <c r="S93" s="64">
        <f t="shared" si="292"/>
        <v>7.5599999999999994E-5</v>
      </c>
      <c r="T93" s="64">
        <f t="shared" si="294"/>
        <v>1.3799999999999999E-4</v>
      </c>
      <c r="U93" s="64">
        <f t="shared" ref="U93:AB93" si="296">V182</f>
        <v>3.5099999999999999E-5</v>
      </c>
      <c r="V93" s="64">
        <f t="shared" si="296"/>
        <v>3.9199999999999997E-5</v>
      </c>
      <c r="W93" s="64">
        <f t="shared" si="296"/>
        <v>4.88E-5</v>
      </c>
      <c r="X93" s="64">
        <f t="shared" si="296"/>
        <v>6.0800000000000001E-5</v>
      </c>
      <c r="Y93" s="64">
        <f t="shared" si="296"/>
        <v>7.0400000000000004E-5</v>
      </c>
      <c r="Z93" s="64">
        <f t="shared" si="296"/>
        <v>8.6000000000000003E-5</v>
      </c>
      <c r="AA93" s="64">
        <f t="shared" si="296"/>
        <v>1.54E-4</v>
      </c>
      <c r="AB93" s="64">
        <f t="shared" si="296"/>
        <v>2.5000000000000001E-4</v>
      </c>
    </row>
    <row r="94" spans="1:28" ht="29" hidden="1" x14ac:dyDescent="0.35">
      <c r="A94" s="73"/>
      <c r="B94" s="96" t="s">
        <v>63</v>
      </c>
      <c r="C94" s="97" t="s">
        <v>25</v>
      </c>
      <c r="D94" s="80"/>
      <c r="E94" s="80"/>
      <c r="F94" s="80"/>
      <c r="G94" s="80"/>
      <c r="H94" s="80"/>
      <c r="I94"/>
      <c r="K94" s="232" t="str">
        <f>_xlfn.CONCAT(C80,slew_rate_unit)</f>
        <v>20V/ns</v>
      </c>
      <c r="L94" s="49" t="s">
        <v>81</v>
      </c>
      <c r="M94" s="64">
        <f>L219</f>
        <v>0</v>
      </c>
      <c r="N94" s="64">
        <f t="shared" ref="N94:T94" si="297">M219</f>
        <v>0</v>
      </c>
      <c r="O94" s="64">
        <f t="shared" si="297"/>
        <v>0</v>
      </c>
      <c r="P94" s="64">
        <f t="shared" si="297"/>
        <v>0</v>
      </c>
      <c r="Q94" s="64">
        <f t="shared" si="297"/>
        <v>0.1</v>
      </c>
      <c r="R94" s="64">
        <f t="shared" si="297"/>
        <v>0.215</v>
      </c>
      <c r="S94" s="64">
        <f t="shared" si="297"/>
        <v>0.183</v>
      </c>
      <c r="T94" s="64">
        <f t="shared" si="297"/>
        <v>0.152</v>
      </c>
      <c r="U94" s="64">
        <f>V219</f>
        <v>-0.26100000000000001</v>
      </c>
      <c r="V94" s="64">
        <f t="shared" ref="V94:AB94" si="298">W219</f>
        <v>-0.23200000000000001</v>
      </c>
      <c r="W94" s="64">
        <f t="shared" si="298"/>
        <v>-0.17100000000000001</v>
      </c>
      <c r="X94" s="64">
        <f t="shared" si="298"/>
        <v>-0.18099999999999999</v>
      </c>
      <c r="Y94" s="64">
        <f t="shared" si="298"/>
        <v>-0.22500000000000001</v>
      </c>
      <c r="Z94" s="64">
        <f t="shared" si="298"/>
        <v>-0.186</v>
      </c>
      <c r="AA94" s="64">
        <f t="shared" si="298"/>
        <v>-0.19</v>
      </c>
      <c r="AB94" s="64">
        <f t="shared" si="298"/>
        <v>-0.35099999999999998</v>
      </c>
    </row>
    <row r="95" spans="1:28" hidden="1" x14ac:dyDescent="0.35">
      <c r="A95" s="73"/>
      <c r="B95" s="80"/>
      <c r="C95" s="80"/>
      <c r="D95" s="80"/>
      <c r="E95" s="80"/>
      <c r="F95" s="80"/>
      <c r="G95" s="80"/>
      <c r="H95" s="80"/>
      <c r="I95"/>
      <c r="K95" s="233"/>
      <c r="L95" s="49" t="s">
        <v>82</v>
      </c>
      <c r="M95" s="64">
        <f t="shared" ref="M95:T95" si="299">L220</f>
        <v>0</v>
      </c>
      <c r="N95" s="64">
        <f t="shared" si="299"/>
        <v>0</v>
      </c>
      <c r="O95" s="64">
        <f t="shared" si="299"/>
        <v>0</v>
      </c>
      <c r="P95" s="64">
        <f t="shared" si="299"/>
        <v>0</v>
      </c>
      <c r="Q95" s="64">
        <f t="shared" si="299"/>
        <v>-1.0599999999999999E-18</v>
      </c>
      <c r="R95" s="64">
        <f t="shared" si="299"/>
        <v>4.55E-4</v>
      </c>
      <c r="S95" s="64">
        <f t="shared" si="299"/>
        <v>2.9099999999999998E-3</v>
      </c>
      <c r="T95" s="64">
        <f t="shared" si="299"/>
        <v>9.8200000000000006E-3</v>
      </c>
      <c r="U95" s="64">
        <f t="shared" ref="U95:AB95" si="300">V220</f>
        <v>5.9100000000000003E-3</v>
      </c>
      <c r="V95" s="64">
        <f t="shared" si="300"/>
        <v>6.6400000000000001E-3</v>
      </c>
      <c r="W95" s="64">
        <f t="shared" si="300"/>
        <v>7.3600000000000002E-3</v>
      </c>
      <c r="X95" s="64">
        <f t="shared" si="300"/>
        <v>8.8199999999999997E-3</v>
      </c>
      <c r="Y95" s="64">
        <f t="shared" si="300"/>
        <v>1.0200000000000001E-2</v>
      </c>
      <c r="Z95" s="64">
        <f t="shared" si="300"/>
        <v>1.23E-2</v>
      </c>
      <c r="AA95" s="64">
        <f t="shared" si="300"/>
        <v>2.5399999999999999E-2</v>
      </c>
      <c r="AB95" s="64">
        <f t="shared" si="300"/>
        <v>4.2500000000000003E-2</v>
      </c>
    </row>
    <row r="96" spans="1:28" ht="15" hidden="1" thickBot="1" x14ac:dyDescent="0.4">
      <c r="A96" s="73"/>
      <c r="B96" s="80" t="s">
        <v>64</v>
      </c>
      <c r="C96" s="80" t="s">
        <v>66</v>
      </c>
      <c r="D96" s="80"/>
      <c r="E96" s="80"/>
      <c r="F96" s="80"/>
      <c r="G96" s="80"/>
      <c r="H96" s="80"/>
      <c r="I96"/>
      <c r="K96" s="234"/>
      <c r="L96" s="55" t="s">
        <v>83</v>
      </c>
      <c r="M96" s="64">
        <f t="shared" ref="M96:T96" si="301">L221</f>
        <v>0</v>
      </c>
      <c r="N96" s="64">
        <f t="shared" si="301"/>
        <v>0</v>
      </c>
      <c r="O96" s="64">
        <f t="shared" si="301"/>
        <v>0</v>
      </c>
      <c r="P96" s="64">
        <f t="shared" si="301"/>
        <v>0</v>
      </c>
      <c r="Q96" s="64">
        <f t="shared" si="301"/>
        <v>-3.3900000000000001E-21</v>
      </c>
      <c r="R96" s="64">
        <f t="shared" si="301"/>
        <v>-6.06E-7</v>
      </c>
      <c r="S96" s="64">
        <f t="shared" si="301"/>
        <v>1.29E-5</v>
      </c>
      <c r="T96" s="64">
        <f t="shared" si="301"/>
        <v>3.4100000000000002E-5</v>
      </c>
      <c r="U96" s="64">
        <f t="shared" ref="U96:AB96" si="302">V221</f>
        <v>3.5099999999999999E-5</v>
      </c>
      <c r="V96" s="64">
        <f t="shared" si="302"/>
        <v>3.7200000000000003E-5</v>
      </c>
      <c r="W96" s="64">
        <f t="shared" si="302"/>
        <v>4.0299999999999997E-5</v>
      </c>
      <c r="X96" s="64">
        <f t="shared" si="302"/>
        <v>4.5500000000000001E-5</v>
      </c>
      <c r="Y96" s="64">
        <f t="shared" si="302"/>
        <v>4.9599999999999999E-5</v>
      </c>
      <c r="Z96" s="64">
        <f t="shared" si="302"/>
        <v>5.5600000000000003E-5</v>
      </c>
      <c r="AA96" s="64">
        <f t="shared" si="302"/>
        <v>8.3900000000000006E-5</v>
      </c>
      <c r="AB96" s="64">
        <f t="shared" si="302"/>
        <v>1.1E-4</v>
      </c>
    </row>
    <row r="97" spans="1:42" hidden="1" x14ac:dyDescent="0.35">
      <c r="A97" s="73"/>
      <c r="B97" s="80"/>
      <c r="C97" s="80" t="s">
        <v>65</v>
      </c>
      <c r="D97" s="80"/>
      <c r="E97" s="80"/>
      <c r="F97" s="80"/>
      <c r="G97" s="80"/>
      <c r="H97" s="80"/>
      <c r="I97"/>
      <c r="K97" s="232" t="str">
        <f>_xlfn.CONCAT(C81,slew_rate_unit)</f>
        <v>40V/ns</v>
      </c>
      <c r="L97" s="49" t="s">
        <v>81</v>
      </c>
      <c r="M97" s="64">
        <f>L258</f>
        <v>0</v>
      </c>
      <c r="N97" s="64">
        <f t="shared" ref="N97:T97" si="303">M258</f>
        <v>0</v>
      </c>
      <c r="O97" s="64">
        <f t="shared" si="303"/>
        <v>0</v>
      </c>
      <c r="P97" s="64">
        <f t="shared" si="303"/>
        <v>0</v>
      </c>
      <c r="Q97" s="64">
        <f t="shared" si="303"/>
        <v>0</v>
      </c>
      <c r="R97" s="64">
        <f t="shared" si="303"/>
        <v>0.1</v>
      </c>
      <c r="S97" s="64">
        <f t="shared" si="303"/>
        <v>0.14299999999999999</v>
      </c>
      <c r="T97" s="64">
        <f t="shared" si="303"/>
        <v>0.22700000000000001</v>
      </c>
      <c r="U97" s="64">
        <f>V258</f>
        <v>-0.186</v>
      </c>
      <c r="V97" s="64">
        <f t="shared" ref="V97:AB97" si="304">W258</f>
        <v>-0.128</v>
      </c>
      <c r="W97" s="64">
        <f t="shared" si="304"/>
        <v>-0.33600000000000002</v>
      </c>
      <c r="X97" s="64">
        <f t="shared" si="304"/>
        <v>-0.16800000000000001</v>
      </c>
      <c r="Y97" s="64">
        <f t="shared" si="304"/>
        <v>-0.193</v>
      </c>
      <c r="Z97" s="64">
        <f t="shared" si="304"/>
        <v>-0.41</v>
      </c>
      <c r="AA97" s="64">
        <f t="shared" si="304"/>
        <v>-0.44600000000000001</v>
      </c>
      <c r="AB97" s="64">
        <f t="shared" si="304"/>
        <v>-0.68100000000000005</v>
      </c>
    </row>
    <row r="98" spans="1:42" hidden="1" x14ac:dyDescent="0.35">
      <c r="A98" s="73"/>
      <c r="B98" s="80"/>
      <c r="C98" s="80" t="s">
        <v>67</v>
      </c>
      <c r="D98" s="80"/>
      <c r="E98" s="80"/>
      <c r="F98" s="80"/>
      <c r="G98" s="80"/>
      <c r="H98" s="80"/>
      <c r="I98"/>
      <c r="K98" s="233"/>
      <c r="L98" s="49" t="s">
        <v>82</v>
      </c>
      <c r="M98" s="64">
        <f t="shared" ref="M98:T98" si="305">L259</f>
        <v>0</v>
      </c>
      <c r="N98" s="64">
        <f t="shared" si="305"/>
        <v>0</v>
      </c>
      <c r="O98" s="64">
        <f t="shared" si="305"/>
        <v>0</v>
      </c>
      <c r="P98" s="64">
        <f t="shared" si="305"/>
        <v>0</v>
      </c>
      <c r="Q98" s="64">
        <f t="shared" si="305"/>
        <v>0</v>
      </c>
      <c r="R98" s="64">
        <f t="shared" si="305"/>
        <v>-1.0599999999999999E-18</v>
      </c>
      <c r="S98" s="64">
        <f t="shared" si="305"/>
        <v>2E-3</v>
      </c>
      <c r="T98" s="64">
        <f t="shared" si="305"/>
        <v>2.5500000000000002E-3</v>
      </c>
      <c r="U98" s="64">
        <f t="shared" ref="U98:AB98" si="306">V259</f>
        <v>5.2700000000000004E-3</v>
      </c>
      <c r="V98" s="64">
        <f t="shared" si="306"/>
        <v>5.3600000000000002E-3</v>
      </c>
      <c r="W98" s="64">
        <f t="shared" si="306"/>
        <v>7.9100000000000004E-3</v>
      </c>
      <c r="X98" s="64">
        <f t="shared" si="306"/>
        <v>7.3600000000000002E-3</v>
      </c>
      <c r="Y98" s="64">
        <f t="shared" si="306"/>
        <v>8.7299999999999999E-3</v>
      </c>
      <c r="Z98" s="64">
        <f t="shared" si="306"/>
        <v>1.15E-2</v>
      </c>
      <c r="AA98" s="64">
        <f t="shared" si="306"/>
        <v>2.0400000000000001E-2</v>
      </c>
      <c r="AB98" s="64">
        <f t="shared" si="306"/>
        <v>3.4000000000000002E-2</v>
      </c>
    </row>
    <row r="99" spans="1:42" ht="15" hidden="1" thickBot="1" x14ac:dyDescent="0.4">
      <c r="A99" s="73"/>
      <c r="B99" s="80" t="s">
        <v>93</v>
      </c>
      <c r="C99" s="80" t="s">
        <v>25</v>
      </c>
      <c r="D99" s="80"/>
      <c r="E99" s="80"/>
      <c r="F99" s="80"/>
      <c r="G99" s="80"/>
      <c r="H99" s="80"/>
      <c r="I99"/>
      <c r="K99" s="234"/>
      <c r="L99" s="55" t="s">
        <v>83</v>
      </c>
      <c r="M99" s="64">
        <f t="shared" ref="M99:T99" si="307">L260</f>
        <v>0</v>
      </c>
      <c r="N99" s="64">
        <f t="shared" si="307"/>
        <v>0</v>
      </c>
      <c r="O99" s="64">
        <f t="shared" si="307"/>
        <v>0</v>
      </c>
      <c r="P99" s="64">
        <f t="shared" si="307"/>
        <v>0</v>
      </c>
      <c r="Q99" s="64">
        <f t="shared" si="307"/>
        <v>0</v>
      </c>
      <c r="R99" s="64">
        <f t="shared" si="307"/>
        <v>-3.3900000000000001E-21</v>
      </c>
      <c r="S99" s="64">
        <f t="shared" si="307"/>
        <v>-2.2400000000000002E-6</v>
      </c>
      <c r="T99" s="64">
        <f t="shared" si="307"/>
        <v>1.68E-6</v>
      </c>
      <c r="U99" s="64">
        <f t="shared" ref="U99:AB99" si="308">V260</f>
        <v>3.5599999999999998E-5</v>
      </c>
      <c r="V99" s="64">
        <f t="shared" si="308"/>
        <v>3.8099999999999998E-5</v>
      </c>
      <c r="W99" s="64">
        <f t="shared" si="308"/>
        <v>3.6399999999999997E-5</v>
      </c>
      <c r="X99" s="64">
        <f t="shared" si="308"/>
        <v>4.2799999999999997E-5</v>
      </c>
      <c r="Y99" s="64">
        <f t="shared" si="308"/>
        <v>4.3300000000000002E-5</v>
      </c>
      <c r="Z99" s="64">
        <f t="shared" si="308"/>
        <v>4.5200000000000001E-5</v>
      </c>
      <c r="AA99" s="64">
        <f t="shared" si="308"/>
        <v>6.1600000000000007E-5</v>
      </c>
      <c r="AB99" s="64">
        <f t="shared" si="308"/>
        <v>7.6500000000000003E-5</v>
      </c>
    </row>
    <row r="100" spans="1:42" hidden="1" x14ac:dyDescent="0.35">
      <c r="A100" s="73"/>
      <c r="B100" s="80" t="str">
        <f>IF(C99="No","Device deadtime","")</f>
        <v>Device deadtime</v>
      </c>
      <c r="C100" s="95">
        <v>200</v>
      </c>
      <c r="D100" s="80" t="s">
        <v>41</v>
      </c>
      <c r="E100" s="80"/>
      <c r="F100" s="80"/>
      <c r="G100" s="80"/>
      <c r="H100" s="80"/>
      <c r="I100"/>
      <c r="L100" s="6" t="s">
        <v>130</v>
      </c>
      <c r="Q100" s="11"/>
    </row>
    <row r="101" spans="1:42" ht="21.65" hidden="1" customHeight="1" x14ac:dyDescent="0.35">
      <c r="A101" s="73"/>
      <c r="B101" s="80" t="s">
        <v>136</v>
      </c>
      <c r="C101" s="127" t="s">
        <v>137</v>
      </c>
      <c r="D101" s="80"/>
      <c r="E101" s="80"/>
      <c r="F101" s="80"/>
      <c r="G101" s="80"/>
      <c r="H101" s="80"/>
      <c r="I101"/>
      <c r="K101" s="6" t="str">
        <f>_xlfn.CONCAT(C78,slew_rate_unit)</f>
        <v>5V/ns</v>
      </c>
      <c r="L101" s="6">
        <f>AVERAGE(BG10:BG24)</f>
        <v>2.9565217189755585E-3</v>
      </c>
    </row>
    <row r="102" spans="1:42" hidden="1" x14ac:dyDescent="0.35">
      <c r="A102" s="73"/>
      <c r="B102" s="80"/>
      <c r="C102" s="127" t="s">
        <v>138</v>
      </c>
      <c r="D102" s="80"/>
      <c r="E102" s="80"/>
      <c r="F102" s="80"/>
      <c r="G102" s="80" t="s">
        <v>68</v>
      </c>
      <c r="H102" s="80"/>
      <c r="I102"/>
      <c r="K102" s="6" t="str">
        <f>_xlfn.CONCAT(C79,slew_rate_unit)</f>
        <v>10V/ns</v>
      </c>
      <c r="L102" s="6">
        <f>AVERAGE(BG25:BG39)</f>
        <v>3.9340146408639561E-3</v>
      </c>
    </row>
    <row r="103" spans="1:42" ht="15" hidden="1" thickBot="1" x14ac:dyDescent="0.4">
      <c r="A103" s="73"/>
      <c r="B103" s="80" t="s">
        <v>142</v>
      </c>
      <c r="C103" s="80"/>
      <c r="D103" s="80"/>
      <c r="E103" s="80"/>
      <c r="F103" s="80"/>
      <c r="G103" s="80" t="s">
        <v>69</v>
      </c>
      <c r="H103" s="80"/>
      <c r="I103"/>
      <c r="K103" s="6" t="str">
        <f>_xlfn.CONCAT(C80,slew_rate_unit)</f>
        <v>20V/ns</v>
      </c>
      <c r="L103" s="6">
        <f>AVERAGE(BG41:BG55)</f>
        <v>5.5597609111755451E-3</v>
      </c>
    </row>
    <row r="104" spans="1:42" ht="15" hidden="1" thickBot="1" x14ac:dyDescent="0.4">
      <c r="A104" s="73"/>
      <c r="B104" s="127" t="s">
        <v>143</v>
      </c>
      <c r="C104" s="80">
        <v>2</v>
      </c>
      <c r="D104" s="80"/>
      <c r="E104" s="80"/>
      <c r="F104" s="80"/>
      <c r="G104" s="80"/>
      <c r="H104" s="80"/>
      <c r="I104"/>
      <c r="K104" s="6" t="str">
        <f>_xlfn.CONCAT(C81,slew_rate_unit)</f>
        <v>40V/ns</v>
      </c>
      <c r="L104" s="6">
        <f>AVERAGE(BG55:BG69)</f>
        <v>5.7904761904761914E-3</v>
      </c>
      <c r="AE104" s="24" t="str">
        <f>_xlfn.CONCAT("Eoff (",$C$78,slew_rate_unit,")")</f>
        <v>Eoff (5V/ns)</v>
      </c>
      <c r="AF104" s="25"/>
      <c r="AG104" s="24" t="s">
        <v>81</v>
      </c>
      <c r="AH104" s="47" t="s">
        <v>82</v>
      </c>
      <c r="AI104" s="48" t="s">
        <v>83</v>
      </c>
      <c r="AL104" s="24" t="str">
        <f>_xlfn.CONCAT("Eon (",$C$78,slew_rate_unit,")")</f>
        <v>Eon (5V/ns)</v>
      </c>
      <c r="AM104" s="25"/>
      <c r="AN104" s="24" t="s">
        <v>81</v>
      </c>
      <c r="AO104" s="47" t="s">
        <v>82</v>
      </c>
      <c r="AP104" s="48" t="s">
        <v>83</v>
      </c>
    </row>
    <row r="105" spans="1:42" hidden="1" x14ac:dyDescent="0.35">
      <c r="A105" s="73"/>
      <c r="B105" s="80"/>
      <c r="C105" s="80">
        <v>4</v>
      </c>
      <c r="D105" s="80"/>
      <c r="E105" s="80"/>
      <c r="F105" s="80"/>
      <c r="G105" s="80"/>
      <c r="H105" s="80"/>
      <c r="I105"/>
      <c r="AE105" s="208"/>
      <c r="AF105" s="49" t="s">
        <v>123</v>
      </c>
      <c r="AG105" s="119">
        <v>-9.8900000000000002E-2</v>
      </c>
      <c r="AH105" s="117">
        <v>0.50600000000000001</v>
      </c>
      <c r="AI105" s="117">
        <v>-4.8599999999999997E-2</v>
      </c>
      <c r="AL105" s="208"/>
      <c r="AM105" s="49" t="s">
        <v>123</v>
      </c>
      <c r="AN105" s="119">
        <v>-0.186</v>
      </c>
      <c r="AO105" s="117">
        <v>1.19</v>
      </c>
      <c r="AP105" s="117">
        <v>-0.105</v>
      </c>
    </row>
    <row r="106" spans="1:42" hidden="1" x14ac:dyDescent="0.35">
      <c r="A106" s="73"/>
      <c r="B106" s="80"/>
      <c r="C106" s="80"/>
      <c r="D106" s="80"/>
      <c r="E106" s="80"/>
      <c r="F106" s="80"/>
      <c r="G106" s="80"/>
      <c r="H106" s="80"/>
      <c r="I106"/>
      <c r="AE106" s="209"/>
      <c r="AF106" s="49" t="s">
        <v>122</v>
      </c>
      <c r="AG106" s="117">
        <v>1.2199999999999999E-3</v>
      </c>
      <c r="AH106" s="117">
        <v>-8.1499999999999993E-3</v>
      </c>
      <c r="AI106" s="117">
        <v>6.3200000000000001E-3</v>
      </c>
      <c r="AL106" s="209"/>
      <c r="AM106" s="49" t="s">
        <v>122</v>
      </c>
      <c r="AN106" s="117">
        <v>6.8199999999999997E-3</v>
      </c>
      <c r="AO106" s="117">
        <v>-0.01</v>
      </c>
      <c r="AP106" s="117">
        <v>5.1599999999999997E-3</v>
      </c>
    </row>
    <row r="107" spans="1:42" ht="15" hidden="1" thickBot="1" x14ac:dyDescent="0.4">
      <c r="A107" s="73"/>
      <c r="B107" s="80" t="s">
        <v>144</v>
      </c>
      <c r="C107" s="80">
        <v>1</v>
      </c>
      <c r="D107" s="80"/>
      <c r="E107" s="80"/>
      <c r="F107" s="80"/>
      <c r="G107" s="80"/>
      <c r="H107" s="80"/>
      <c r="I107"/>
      <c r="AE107" s="210"/>
      <c r="AF107" s="55" t="s">
        <v>121</v>
      </c>
      <c r="AG107" s="118">
        <v>-1.6200000000000001E-5</v>
      </c>
      <c r="AH107" s="118">
        <v>9.0299999999999999E-5</v>
      </c>
      <c r="AI107" s="118">
        <v>2.39E-6</v>
      </c>
      <c r="AL107" s="210"/>
      <c r="AM107" s="55" t="s">
        <v>121</v>
      </c>
      <c r="AN107" s="118">
        <v>3.57E-5</v>
      </c>
      <c r="AO107" s="118">
        <v>1.16E-4</v>
      </c>
      <c r="AP107" s="118">
        <v>1.28E-6</v>
      </c>
    </row>
    <row r="108" spans="1:42" hidden="1" x14ac:dyDescent="0.35">
      <c r="A108" s="73"/>
      <c r="B108" s="80"/>
      <c r="C108" s="80">
        <v>2</v>
      </c>
      <c r="D108" s="80"/>
      <c r="E108" s="80"/>
      <c r="F108" s="80"/>
      <c r="G108" s="80"/>
      <c r="H108" s="80"/>
      <c r="I108"/>
    </row>
    <row r="109" spans="1:42" ht="27.65" hidden="1" customHeight="1" x14ac:dyDescent="0.35">
      <c r="A109" s="73"/>
      <c r="B109" s="80"/>
      <c r="C109" s="80">
        <v>3</v>
      </c>
      <c r="D109" s="80"/>
      <c r="E109" s="80"/>
      <c r="F109" s="80"/>
      <c r="G109" s="80"/>
      <c r="H109" s="80"/>
    </row>
    <row r="110" spans="1:42" hidden="1" x14ac:dyDescent="0.35">
      <c r="B110" s="80" t="s">
        <v>145</v>
      </c>
      <c r="C110" s="80">
        <v>8</v>
      </c>
      <c r="D110" s="80"/>
      <c r="E110" s="80"/>
      <c r="F110" s="80"/>
      <c r="G110" s="80"/>
    </row>
    <row r="111" spans="1:42" hidden="1" x14ac:dyDescent="0.35">
      <c r="B111" s="80"/>
      <c r="C111" s="80">
        <v>32</v>
      </c>
      <c r="D111" s="80"/>
      <c r="E111" s="80"/>
      <c r="F111" s="80"/>
      <c r="G111" s="80"/>
    </row>
    <row r="112" spans="1:42" hidden="1" x14ac:dyDescent="0.35">
      <c r="B112" s="80"/>
      <c r="C112" s="80">
        <v>64</v>
      </c>
      <c r="D112" s="80"/>
      <c r="E112" s="80"/>
      <c r="F112" s="80"/>
      <c r="G112" s="80"/>
    </row>
    <row r="113" spans="2:7" hidden="1" x14ac:dyDescent="0.35">
      <c r="B113" s="80"/>
      <c r="C113" s="80">
        <v>100</v>
      </c>
      <c r="D113" s="80"/>
      <c r="E113" s="80"/>
      <c r="F113" s="80"/>
      <c r="G113" s="80"/>
    </row>
    <row r="114" spans="2:7" hidden="1" x14ac:dyDescent="0.35">
      <c r="B114" s="80"/>
      <c r="C114" s="80">
        <v>128</v>
      </c>
      <c r="D114" s="80"/>
      <c r="E114" s="80"/>
      <c r="F114" s="80"/>
      <c r="G114" s="80"/>
    </row>
    <row r="115" spans="2:7" hidden="1" x14ac:dyDescent="0.35">
      <c r="B115" s="80"/>
      <c r="C115" s="80"/>
      <c r="D115" s="80"/>
      <c r="E115" s="80"/>
      <c r="F115" s="80"/>
      <c r="G115" s="80"/>
    </row>
    <row r="116" spans="2:7" hidden="1" x14ac:dyDescent="0.35">
      <c r="B116" s="80"/>
      <c r="C116" s="80"/>
      <c r="D116" s="80"/>
      <c r="E116" s="89"/>
      <c r="F116" s="80"/>
      <c r="G116" s="80"/>
    </row>
    <row r="117" spans="2:7" hidden="1" x14ac:dyDescent="0.35"/>
    <row r="118" spans="2:7" hidden="1" x14ac:dyDescent="0.35"/>
    <row r="119" spans="2:7" hidden="1" x14ac:dyDescent="0.35"/>
    <row r="120" spans="2:7" hidden="1" x14ac:dyDescent="0.35"/>
    <row r="121" spans="2:7" hidden="1" x14ac:dyDescent="0.35"/>
    <row r="122" spans="2:7" hidden="1" x14ac:dyDescent="0.35"/>
    <row r="123" spans="2:7" hidden="1" x14ac:dyDescent="0.35"/>
    <row r="124" spans="2:7" hidden="1" x14ac:dyDescent="0.35"/>
    <row r="125" spans="2:7" hidden="1" x14ac:dyDescent="0.35"/>
    <row r="126" spans="2:7" hidden="1" x14ac:dyDescent="0.35"/>
    <row r="127" spans="2:7" hidden="1" x14ac:dyDescent="0.35"/>
    <row r="128" spans="2:7" hidden="1" x14ac:dyDescent="0.35"/>
    <row r="129" spans="2:42" ht="15" hidden="1" thickBot="1" x14ac:dyDescent="0.4"/>
    <row r="130" spans="2:42" ht="15" hidden="1" thickBot="1" x14ac:dyDescent="0.4">
      <c r="AE130" s="24" t="str">
        <f>_xlfn.CONCAT("Eoff (",$C$79,slew_rate_unit,")")</f>
        <v>Eoff (10V/ns)</v>
      </c>
      <c r="AF130" s="25"/>
      <c r="AG130" s="24" t="s">
        <v>81</v>
      </c>
      <c r="AH130" s="47" t="s">
        <v>82</v>
      </c>
      <c r="AI130" s="48" t="s">
        <v>83</v>
      </c>
      <c r="AL130" s="24" t="str">
        <f>_xlfn.CONCAT("Eon (",$C$79,slew_rate_unit,")")</f>
        <v>Eon (10V/ns)</v>
      </c>
      <c r="AM130" s="25"/>
      <c r="AN130" s="24" t="s">
        <v>81</v>
      </c>
      <c r="AO130" s="47" t="s">
        <v>82</v>
      </c>
      <c r="AP130" s="48" t="s">
        <v>83</v>
      </c>
    </row>
    <row r="131" spans="2:42" hidden="1" x14ac:dyDescent="0.35">
      <c r="AE131" s="208"/>
      <c r="AF131" s="49" t="s">
        <v>123</v>
      </c>
      <c r="AG131" s="119">
        <v>-5.7599999999999998E-2</v>
      </c>
      <c r="AH131" s="117">
        <v>0.19600000000000001</v>
      </c>
      <c r="AI131" s="117">
        <v>1.55E-2</v>
      </c>
      <c r="AL131" s="208"/>
      <c r="AM131" s="49" t="s">
        <v>123</v>
      </c>
      <c r="AN131" s="119">
        <v>-0.17699999999999999</v>
      </c>
      <c r="AO131" s="117">
        <v>4.36E-2</v>
      </c>
      <c r="AP131" s="117">
        <v>7.1599999999999997E-2</v>
      </c>
    </row>
    <row r="132" spans="2:42" hidden="1" x14ac:dyDescent="0.35">
      <c r="AE132" s="209"/>
      <c r="AF132" s="49" t="s">
        <v>122</v>
      </c>
      <c r="AG132" s="117">
        <v>8.1300000000000003E-4</v>
      </c>
      <c r="AH132" s="117">
        <v>-2.2100000000000002E-3</v>
      </c>
      <c r="AI132" s="117">
        <v>1.82E-3</v>
      </c>
      <c r="AL132" s="209"/>
      <c r="AM132" s="49" t="s">
        <v>122</v>
      </c>
      <c r="AN132" s="117">
        <v>5.3099999999999996E-3</v>
      </c>
      <c r="AO132" s="117">
        <v>9.5399999999999999E-3</v>
      </c>
      <c r="AP132" s="117">
        <v>6.9399999999999996E-4</v>
      </c>
    </row>
    <row r="133" spans="2:42" ht="15" hidden="1" thickBot="1" x14ac:dyDescent="0.4">
      <c r="AE133" s="210"/>
      <c r="AF133" s="55" t="s">
        <v>121</v>
      </c>
      <c r="AG133" s="118">
        <v>-5.2499999999999997E-6</v>
      </c>
      <c r="AH133" s="118">
        <v>1.5299999999999999E-5</v>
      </c>
      <c r="AI133" s="118">
        <v>5.3199999999999999E-6</v>
      </c>
      <c r="AL133" s="210"/>
      <c r="AM133" s="55" t="s">
        <v>121</v>
      </c>
      <c r="AN133" s="118">
        <v>3.7499999999999997E-5</v>
      </c>
      <c r="AO133" s="118">
        <v>4.1900000000000002E-5</v>
      </c>
      <c r="AP133" s="118">
        <v>2.7E-6</v>
      </c>
    </row>
    <row r="134" spans="2:42" ht="15" hidden="1" thickBot="1" x14ac:dyDescent="0.4">
      <c r="B134" s="135" t="s">
        <v>147</v>
      </c>
      <c r="C134" s="136" t="s">
        <v>148</v>
      </c>
      <c r="D134" s="98" t="s">
        <v>149</v>
      </c>
    </row>
    <row r="135" spans="2:42" hidden="1" x14ac:dyDescent="0.35">
      <c r="B135" s="133" t="str">
        <f>_xlfn.CONCAT($C$104,",",$C$107,",",C110)</f>
        <v>2,1,8</v>
      </c>
      <c r="C135" s="130">
        <v>37.4</v>
      </c>
      <c r="D135" s="98">
        <v>1</v>
      </c>
      <c r="E135" s="98">
        <v>8</v>
      </c>
    </row>
    <row r="136" spans="2:42" hidden="1" x14ac:dyDescent="0.35">
      <c r="B136" s="129" t="str">
        <f>_xlfn.CONCAT($C$104,",",$C$107,",",C111)</f>
        <v>2,1,32</v>
      </c>
      <c r="C136" s="130">
        <v>25.5</v>
      </c>
      <c r="D136" s="98">
        <v>1</v>
      </c>
      <c r="E136" s="98">
        <v>32</v>
      </c>
    </row>
    <row r="137" spans="2:42" hidden="1" x14ac:dyDescent="0.35">
      <c r="B137" s="129" t="str">
        <f>_xlfn.CONCAT($C$104,",",$C$107,",",C112)</f>
        <v>2,1,64</v>
      </c>
      <c r="C137" s="130">
        <v>23.1</v>
      </c>
      <c r="D137" s="98">
        <v>1</v>
      </c>
      <c r="E137" s="98">
        <v>64</v>
      </c>
    </row>
    <row r="138" spans="2:42" hidden="1" x14ac:dyDescent="0.35">
      <c r="B138" s="129" t="str">
        <f>_xlfn.CONCAT($C$104,",",$C$107,",",C113)</f>
        <v>2,1,100</v>
      </c>
      <c r="C138" s="130">
        <v>22.4</v>
      </c>
      <c r="D138" s="98">
        <v>1</v>
      </c>
      <c r="E138" s="98">
        <v>100</v>
      </c>
    </row>
    <row r="139" spans="2:42" ht="15" hidden="1" thickBot="1" x14ac:dyDescent="0.4">
      <c r="B139" s="129" t="str">
        <f>_xlfn.CONCAT($C$104,",",$C$107,",",C114)</f>
        <v>2,1,128</v>
      </c>
      <c r="C139" s="130">
        <v>22.1</v>
      </c>
      <c r="D139" s="98">
        <v>1</v>
      </c>
      <c r="E139" s="98">
        <v>128</v>
      </c>
    </row>
    <row r="140" spans="2:42" ht="15" hidden="1" thickBot="1" x14ac:dyDescent="0.4">
      <c r="B140" s="129" t="str">
        <f>_xlfn.CONCAT($C$104,",",$C$108,",",C110)</f>
        <v>2,2,8</v>
      </c>
      <c r="C140" s="130">
        <v>34.1</v>
      </c>
      <c r="D140" s="98">
        <v>2</v>
      </c>
      <c r="E140" s="98">
        <v>8</v>
      </c>
      <c r="J140" s="24" t="s">
        <v>116</v>
      </c>
      <c r="K140" s="25" t="s">
        <v>80</v>
      </c>
      <c r="L140" s="25">
        <f>$AH$9</f>
        <v>0</v>
      </c>
      <c r="M140" s="25">
        <f>$AI$9</f>
        <v>0.1</v>
      </c>
      <c r="N140" s="25">
        <f>$AJ$9</f>
        <v>0.25</v>
      </c>
      <c r="O140" s="25">
        <f>$AK$9</f>
        <v>0.5</v>
      </c>
      <c r="P140" s="25">
        <f>$AL$9</f>
        <v>0.7</v>
      </c>
      <c r="Q140" s="25">
        <f>$AM$9</f>
        <v>1</v>
      </c>
      <c r="R140" s="25">
        <f>$AN$9</f>
        <v>2.5</v>
      </c>
      <c r="S140" s="24">
        <f>$AO$9</f>
        <v>4</v>
      </c>
      <c r="T140" s="24" t="s">
        <v>116</v>
      </c>
      <c r="U140" s="25" t="s">
        <v>80</v>
      </c>
      <c r="V140" s="25">
        <f>$AP$9</f>
        <v>0</v>
      </c>
      <c r="W140" s="25">
        <f>$AQ$9</f>
        <v>0.1</v>
      </c>
      <c r="X140" s="25">
        <f>$AR$9</f>
        <v>0.25</v>
      </c>
      <c r="Y140" s="25">
        <f>$AS$9</f>
        <v>0.5</v>
      </c>
      <c r="Z140" s="25">
        <f>$AT$9</f>
        <v>0.7</v>
      </c>
      <c r="AA140" s="25">
        <f>$AU$9</f>
        <v>1</v>
      </c>
      <c r="AB140" s="25">
        <f>$AV$9</f>
        <v>2.5</v>
      </c>
      <c r="AC140" s="24">
        <f>$AW$9</f>
        <v>4</v>
      </c>
    </row>
    <row r="141" spans="2:42" hidden="1" x14ac:dyDescent="0.35">
      <c r="B141" s="129" t="str">
        <f>_xlfn.CONCAT($C$104,",",$C$108,",",C111)</f>
        <v>2,2,32</v>
      </c>
      <c r="C141" s="130">
        <v>20.3</v>
      </c>
      <c r="D141" s="98">
        <v>2</v>
      </c>
      <c r="E141" s="98">
        <v>32</v>
      </c>
      <c r="J141" s="232" t="str">
        <f>K88</f>
        <v>5V/ns</v>
      </c>
      <c r="K141" s="49" t="s">
        <v>81</v>
      </c>
      <c r="L141" s="64">
        <v>0</v>
      </c>
      <c r="M141" s="64">
        <v>0</v>
      </c>
      <c r="N141" s="65">
        <v>0</v>
      </c>
      <c r="O141" s="65">
        <v>5.9700000000000003E-2</v>
      </c>
      <c r="P141" s="65">
        <v>0.3</v>
      </c>
      <c r="Q141" s="65">
        <v>0.122</v>
      </c>
      <c r="R141" s="65">
        <v>1.05</v>
      </c>
      <c r="S141" s="114">
        <v>1.0900000000000001</v>
      </c>
      <c r="T141" s="232" t="str">
        <f>K88</f>
        <v>5V/ns</v>
      </c>
      <c r="U141" s="49" t="s">
        <v>81</v>
      </c>
      <c r="V141" s="64">
        <v>-0.26100000000000001</v>
      </c>
      <c r="W141" s="64">
        <v>7.5300000000000006E-2</v>
      </c>
      <c r="X141" s="65">
        <v>7.2300000000000003E-3</v>
      </c>
      <c r="Y141" s="65">
        <v>0.35799999999999998</v>
      </c>
      <c r="Z141" s="65">
        <v>0.69299999999999995</v>
      </c>
      <c r="AA141" s="65">
        <v>0.878</v>
      </c>
      <c r="AB141" s="65">
        <v>2.13</v>
      </c>
      <c r="AC141" s="114">
        <v>2.92</v>
      </c>
    </row>
    <row r="142" spans="2:42" hidden="1" x14ac:dyDescent="0.35">
      <c r="B142" s="129" t="str">
        <f>_xlfn.CONCAT($C$104,",",$C$108,",",C112)</f>
        <v>2,2,64</v>
      </c>
      <c r="C142" s="130">
        <v>17.2</v>
      </c>
      <c r="D142" s="98">
        <v>2</v>
      </c>
      <c r="E142" s="98">
        <v>64</v>
      </c>
      <c r="J142" s="233"/>
      <c r="K142" s="49" t="s">
        <v>82</v>
      </c>
      <c r="L142" s="66">
        <v>0</v>
      </c>
      <c r="M142" s="66">
        <v>0</v>
      </c>
      <c r="N142" s="67">
        <v>0</v>
      </c>
      <c r="O142" s="67">
        <v>-4.55E-4</v>
      </c>
      <c r="P142" s="67">
        <v>-2E-3</v>
      </c>
      <c r="Q142" s="67">
        <v>1.82E-3</v>
      </c>
      <c r="R142" s="67">
        <v>1.83E-2</v>
      </c>
      <c r="S142" s="115">
        <v>7.0300000000000001E-2</v>
      </c>
      <c r="T142" s="233"/>
      <c r="U142" s="49" t="s">
        <v>82</v>
      </c>
      <c r="V142" s="66">
        <v>5.9100000000000003E-3</v>
      </c>
      <c r="W142" s="66">
        <v>4.1799999999999997E-3</v>
      </c>
      <c r="X142" s="67">
        <v>5.7299999999999999E-3</v>
      </c>
      <c r="Y142" s="67">
        <v>4.2700000000000004E-3</v>
      </c>
      <c r="Z142" s="67">
        <v>2.64E-3</v>
      </c>
      <c r="AA142" s="67">
        <v>3.1800000000000001E-3</v>
      </c>
      <c r="AB142" s="67">
        <v>1.2200000000000001E-2</v>
      </c>
      <c r="AC142" s="115">
        <v>4.99E-2</v>
      </c>
    </row>
    <row r="143" spans="2:42" ht="15" hidden="1" thickBot="1" x14ac:dyDescent="0.4">
      <c r="B143" s="129" t="str">
        <f>_xlfn.CONCAT($C$104,",",$C$108,",",C113)</f>
        <v>2,2,100</v>
      </c>
      <c r="C143" s="130">
        <v>16.100000000000001</v>
      </c>
      <c r="D143" s="98">
        <v>2</v>
      </c>
      <c r="E143" s="98">
        <v>100</v>
      </c>
      <c r="I143" s="5"/>
      <c r="J143" s="234"/>
      <c r="K143" s="55" t="s">
        <v>83</v>
      </c>
      <c r="L143" s="70">
        <v>0</v>
      </c>
      <c r="M143" s="70">
        <v>0</v>
      </c>
      <c r="N143" s="69">
        <v>0</v>
      </c>
      <c r="O143" s="69">
        <v>1.7399999999999999E-5</v>
      </c>
      <c r="P143" s="69">
        <v>4.0000000000000003E-5</v>
      </c>
      <c r="Q143" s="69">
        <v>6.7999999999999999E-5</v>
      </c>
      <c r="R143" s="69">
        <v>2.43E-4</v>
      </c>
      <c r="S143" s="116">
        <v>3.77E-4</v>
      </c>
      <c r="T143" s="234"/>
      <c r="U143" s="55" t="s">
        <v>83</v>
      </c>
      <c r="V143" s="70">
        <v>3.5099999999999999E-5</v>
      </c>
      <c r="W143" s="70">
        <v>4.9599999999999999E-5</v>
      </c>
      <c r="X143" s="69">
        <v>6.3299999999999994E-5</v>
      </c>
      <c r="Y143" s="69">
        <v>9.3399999999999993E-5</v>
      </c>
      <c r="Z143" s="69">
        <v>1.1900000000000001E-4</v>
      </c>
      <c r="AA143" s="69">
        <v>1.5200000000000001E-4</v>
      </c>
      <c r="AB143" s="69">
        <v>3.3500000000000001E-4</v>
      </c>
      <c r="AC143" s="116">
        <v>5.2099999999999998E-4</v>
      </c>
    </row>
    <row r="144" spans="2:42" hidden="1" x14ac:dyDescent="0.35">
      <c r="B144" s="129" t="str">
        <f>_xlfn.CONCAT($C$104,",",$C$108,",",C114)</f>
        <v>2,2,128</v>
      </c>
      <c r="C144" s="130">
        <v>15.6</v>
      </c>
      <c r="D144" s="98">
        <v>2</v>
      </c>
      <c r="E144" s="98">
        <v>128</v>
      </c>
    </row>
    <row r="145" spans="2:42" hidden="1" x14ac:dyDescent="0.35">
      <c r="B145" s="129" t="str">
        <f>_xlfn.CONCAT($C$104,",",$C$109,",",C110)</f>
        <v>2,3,8</v>
      </c>
      <c r="C145" s="130">
        <v>32.799999999999997</v>
      </c>
      <c r="D145" s="98">
        <v>3</v>
      </c>
      <c r="E145" s="98">
        <v>8</v>
      </c>
    </row>
    <row r="146" spans="2:42" hidden="1" x14ac:dyDescent="0.35">
      <c r="B146" s="129" t="str">
        <f>_xlfn.CONCAT($C$104,",",$C$109,",",C111)</f>
        <v>2,3,32</v>
      </c>
      <c r="C146" s="130">
        <v>18.3</v>
      </c>
      <c r="D146" s="98">
        <v>3</v>
      </c>
      <c r="E146" s="98">
        <v>32</v>
      </c>
    </row>
    <row r="147" spans="2:42" hidden="1" x14ac:dyDescent="0.35">
      <c r="B147" s="129" t="str">
        <f>_xlfn.CONCAT($C$104,",",$C$109,",",C112)</f>
        <v>2,3,64</v>
      </c>
      <c r="C147" s="130">
        <v>14.8</v>
      </c>
      <c r="D147" s="98">
        <v>3</v>
      </c>
      <c r="E147" s="98">
        <v>64</v>
      </c>
    </row>
    <row r="148" spans="2:42" hidden="1" x14ac:dyDescent="0.35">
      <c r="B148" s="129" t="str">
        <f>_xlfn.CONCAT($C$104,",",$C$109,",",C113)</f>
        <v>2,3,100</v>
      </c>
      <c r="C148" s="130">
        <v>13.5</v>
      </c>
      <c r="D148" s="98">
        <v>3</v>
      </c>
      <c r="E148" s="98">
        <v>100</v>
      </c>
      <c r="G148" s="99"/>
      <c r="H148" s="99"/>
    </row>
    <row r="149" spans="2:42" ht="15" hidden="1" thickBot="1" x14ac:dyDescent="0.4">
      <c r="B149" s="129" t="str">
        <f>_xlfn.CONCAT($C$104,",",$C$109,",",C114)</f>
        <v>2,3,128</v>
      </c>
      <c r="C149" s="132">
        <v>13</v>
      </c>
      <c r="D149" s="98">
        <v>3</v>
      </c>
      <c r="E149" s="98">
        <v>128</v>
      </c>
    </row>
    <row r="150" spans="2:42" hidden="1" x14ac:dyDescent="0.35">
      <c r="B150" s="129" t="str">
        <f>_xlfn.CONCAT($C$105,",",$C$107,",",C110)</f>
        <v>4,1,8</v>
      </c>
      <c r="C150" s="134">
        <v>33.299999999999997</v>
      </c>
      <c r="D150" s="98">
        <v>1</v>
      </c>
      <c r="E150" s="98">
        <v>8</v>
      </c>
    </row>
    <row r="151" spans="2:42" hidden="1" x14ac:dyDescent="0.35">
      <c r="B151" s="129" t="str">
        <f>_xlfn.CONCAT($C$105,",",$C$107,",",C111)</f>
        <v>4,1,32</v>
      </c>
      <c r="C151" s="130">
        <v>19.5</v>
      </c>
      <c r="D151" s="98">
        <v>1</v>
      </c>
      <c r="E151" s="98">
        <v>32</v>
      </c>
      <c r="L151" s="6">
        <v>200</v>
      </c>
    </row>
    <row r="152" spans="2:42" hidden="1" x14ac:dyDescent="0.35">
      <c r="B152" s="129" t="str">
        <f>_xlfn.CONCAT($C$105,",",$C$107,",",C112)</f>
        <v>4,1,64</v>
      </c>
      <c r="C152" s="130">
        <v>16.2</v>
      </c>
      <c r="D152" s="98">
        <v>1</v>
      </c>
      <c r="E152" s="98">
        <v>64</v>
      </c>
    </row>
    <row r="153" spans="2:42" ht="15" hidden="1" thickBot="1" x14ac:dyDescent="0.4">
      <c r="B153" s="129" t="str">
        <f>_xlfn.CONCAT($C$105,",",$C$107,",",C113)</f>
        <v>4,1,100</v>
      </c>
      <c r="C153" s="130">
        <v>14.9</v>
      </c>
      <c r="D153" s="98">
        <v>1</v>
      </c>
      <c r="E153" s="98">
        <v>100</v>
      </c>
      <c r="M153" s="6">
        <f>L151*I144*0.5*L151/5*0.000000001</f>
        <v>0</v>
      </c>
      <c r="N153" s="7">
        <f>M153+L154</f>
        <v>0</v>
      </c>
    </row>
    <row r="154" spans="2:42" ht="15" hidden="1" thickBot="1" x14ac:dyDescent="0.4">
      <c r="B154" s="129" t="str">
        <f>_xlfn.CONCAT($C$105,",",$C$107,",",C114)</f>
        <v>4,1,128</v>
      </c>
      <c r="C154" s="130">
        <v>14.4</v>
      </c>
      <c r="D154" s="98">
        <v>1</v>
      </c>
      <c r="E154" s="98">
        <v>128</v>
      </c>
      <c r="AE154" s="24" t="str">
        <f>_xlfn.CONCAT("Eoff (",$C$80,slew_rate_unit,")")</f>
        <v>Eoff (20V/ns)</v>
      </c>
      <c r="AF154" s="25"/>
      <c r="AG154" s="24" t="s">
        <v>81</v>
      </c>
      <c r="AH154" s="47" t="s">
        <v>82</v>
      </c>
      <c r="AI154" s="48" t="s">
        <v>83</v>
      </c>
      <c r="AL154" s="24" t="str">
        <f>_xlfn.CONCAT("Eon (",$C$80,slew_rate_unit,")")</f>
        <v>Eon (20V/ns)</v>
      </c>
      <c r="AM154" s="25"/>
      <c r="AN154" s="24" t="s">
        <v>81</v>
      </c>
      <c r="AO154" s="47" t="s">
        <v>82</v>
      </c>
      <c r="AP154" s="48" t="s">
        <v>83</v>
      </c>
    </row>
    <row r="155" spans="2:42" hidden="1" x14ac:dyDescent="0.35">
      <c r="B155" s="129" t="str">
        <f>_xlfn.CONCAT($C$105,",",$C$108,",",C110)</f>
        <v>4,2,8</v>
      </c>
      <c r="C155" s="130">
        <v>31.8</v>
      </c>
      <c r="D155" s="98">
        <v>2</v>
      </c>
      <c r="E155" s="98">
        <v>8</v>
      </c>
      <c r="AE155" s="208"/>
      <c r="AF155" s="49" t="s">
        <v>123</v>
      </c>
      <c r="AG155" s="119">
        <v>-2.07E-2</v>
      </c>
      <c r="AH155" s="117">
        <v>0.188</v>
      </c>
      <c r="AI155" s="117">
        <v>-3.6799999999999999E-2</v>
      </c>
      <c r="AL155" s="208"/>
      <c r="AM155" s="49" t="s">
        <v>123</v>
      </c>
      <c r="AN155" s="119">
        <v>-0.23699999999999999</v>
      </c>
      <c r="AO155" s="117">
        <v>8.7999999999999995E-2</v>
      </c>
      <c r="AP155" s="117">
        <v>-2.9000000000000001E-2</v>
      </c>
    </row>
    <row r="156" spans="2:42" hidden="1" x14ac:dyDescent="0.35">
      <c r="B156" s="129" t="str">
        <f>_xlfn.CONCAT($C$105,",",$C$108,",",C111)</f>
        <v>4,2,32</v>
      </c>
      <c r="C156" s="130">
        <v>17.5</v>
      </c>
      <c r="D156" s="98">
        <v>2</v>
      </c>
      <c r="E156" s="98">
        <v>32</v>
      </c>
      <c r="AE156" s="209"/>
      <c r="AF156" s="49" t="s">
        <v>122</v>
      </c>
      <c r="AG156" s="117">
        <v>1.2899999999999999E-4</v>
      </c>
      <c r="AH156" s="117">
        <v>-7.5600000000000005E-4</v>
      </c>
      <c r="AI156" s="117">
        <v>7.8899999999999999E-4</v>
      </c>
      <c r="AL156" s="209"/>
      <c r="AM156" s="49" t="s">
        <v>122</v>
      </c>
      <c r="AN156" s="117">
        <v>5.9500000000000004E-3</v>
      </c>
      <c r="AO156" s="117">
        <v>5.45E-3</v>
      </c>
      <c r="AP156" s="117">
        <v>9.2299999999999999E-4</v>
      </c>
    </row>
    <row r="157" spans="2:42" ht="15" hidden="1" thickBot="1" x14ac:dyDescent="0.4">
      <c r="B157" s="129" t="str">
        <f>_xlfn.CONCAT($C$105,",",$C$108,",",C112)</f>
        <v>4,2,64</v>
      </c>
      <c r="C157" s="130">
        <v>14</v>
      </c>
      <c r="D157" s="98">
        <v>2</v>
      </c>
      <c r="E157" s="98">
        <v>64</v>
      </c>
      <c r="AE157" s="210"/>
      <c r="AF157" s="55" t="s">
        <v>121</v>
      </c>
      <c r="AG157" s="118">
        <v>-7.3599999999999997E-8</v>
      </c>
      <c r="AH157" s="118">
        <v>-1.5999999999999999E-6</v>
      </c>
      <c r="AI157" s="118">
        <v>2.5600000000000001E-6</v>
      </c>
      <c r="AL157" s="210"/>
      <c r="AM157" s="55" t="s">
        <v>121</v>
      </c>
      <c r="AN157" s="118">
        <v>3.5099999999999999E-5</v>
      </c>
      <c r="AO157" s="118">
        <v>2.09E-5</v>
      </c>
      <c r="AP157" s="118">
        <v>-5.6000000000000004E-7</v>
      </c>
    </row>
    <row r="158" spans="2:42" hidden="1" x14ac:dyDescent="0.35">
      <c r="B158" s="129" t="str">
        <f>_xlfn.CONCAT($C$105,",",$C$108,",",C113)</f>
        <v>4,2,100</v>
      </c>
      <c r="C158" s="130">
        <v>12.5</v>
      </c>
      <c r="D158" s="98">
        <v>2</v>
      </c>
      <c r="E158" s="98">
        <v>100</v>
      </c>
    </row>
    <row r="159" spans="2:42" hidden="1" x14ac:dyDescent="0.35">
      <c r="B159" s="129" t="str">
        <f>_xlfn.CONCAT($C$105,",",$C$108,",",C114)</f>
        <v>4,2,128</v>
      </c>
      <c r="C159" s="130">
        <v>12</v>
      </c>
      <c r="D159" s="98">
        <v>2</v>
      </c>
      <c r="E159" s="98">
        <v>128</v>
      </c>
    </row>
    <row r="160" spans="2:42" hidden="1" x14ac:dyDescent="0.35">
      <c r="B160" s="129" t="str">
        <f>_xlfn.CONCAT($C$105,",",$C$109,",",C110)</f>
        <v>4,3,8</v>
      </c>
      <c r="C160" s="130">
        <v>31.1</v>
      </c>
      <c r="D160" s="98">
        <v>3</v>
      </c>
      <c r="E160" s="98">
        <v>8</v>
      </c>
    </row>
    <row r="161" spans="2:5" hidden="1" x14ac:dyDescent="0.35">
      <c r="B161" s="129" t="str">
        <f>_xlfn.CONCAT($C$105,",",$C$109,",",C111)</f>
        <v>4,3,32</v>
      </c>
      <c r="C161" s="130">
        <v>16.5</v>
      </c>
      <c r="D161" s="98">
        <v>3</v>
      </c>
      <c r="E161" s="98">
        <v>32</v>
      </c>
    </row>
    <row r="162" spans="2:5" hidden="1" x14ac:dyDescent="0.35">
      <c r="B162" s="129" t="str">
        <f>_xlfn.CONCAT($C$105,",",$C$109,",",C112)</f>
        <v>4,3,64</v>
      </c>
      <c r="C162" s="130">
        <v>12.8</v>
      </c>
      <c r="D162" s="98">
        <v>3</v>
      </c>
      <c r="E162" s="98">
        <v>64</v>
      </c>
    </row>
    <row r="163" spans="2:5" hidden="1" x14ac:dyDescent="0.35">
      <c r="B163" s="129" t="str">
        <f>_xlfn.CONCAT($C$105,",",$C$109,",",C113)</f>
        <v>4,3,100</v>
      </c>
      <c r="C163" s="130">
        <v>11.3</v>
      </c>
      <c r="D163" s="98">
        <v>3</v>
      </c>
      <c r="E163" s="98">
        <v>100</v>
      </c>
    </row>
    <row r="164" spans="2:5" ht="15" hidden="1" thickBot="1" x14ac:dyDescent="0.4">
      <c r="B164" s="131" t="str">
        <f>_xlfn.CONCAT($C$105,",",$C$109,",",C114)</f>
        <v>4,3,128</v>
      </c>
      <c r="C164" s="130">
        <v>10.7</v>
      </c>
      <c r="D164" s="98">
        <v>3</v>
      </c>
      <c r="E164" s="98">
        <v>128</v>
      </c>
    </row>
    <row r="165" spans="2:5" hidden="1" x14ac:dyDescent="0.35"/>
    <row r="166" spans="2:5" hidden="1" x14ac:dyDescent="0.35"/>
    <row r="167" spans="2:5" hidden="1" x14ac:dyDescent="0.35"/>
    <row r="168" spans="2:5" hidden="1" x14ac:dyDescent="0.35"/>
    <row r="169" spans="2:5" hidden="1" x14ac:dyDescent="0.35"/>
    <row r="170" spans="2:5" hidden="1" x14ac:dyDescent="0.35"/>
    <row r="171" spans="2:5" hidden="1" x14ac:dyDescent="0.35"/>
    <row r="172" spans="2:5" hidden="1" x14ac:dyDescent="0.35"/>
    <row r="173" spans="2:5" hidden="1" x14ac:dyDescent="0.35"/>
    <row r="174" spans="2:5" hidden="1" x14ac:dyDescent="0.35"/>
    <row r="175" spans="2:5" hidden="1" x14ac:dyDescent="0.35"/>
    <row r="176" spans="2:5" hidden="1" x14ac:dyDescent="0.35"/>
    <row r="177" spans="10:42" ht="15" hidden="1" thickBot="1" x14ac:dyDescent="0.4"/>
    <row r="178" spans="10:42" ht="15" hidden="1" thickBot="1" x14ac:dyDescent="0.4">
      <c r="AE178" s="24" t="str">
        <f>_xlfn.CONCAT("Eoff (",$C$81,slew_rate_unit,")")</f>
        <v>Eoff (40V/ns)</v>
      </c>
      <c r="AF178" s="25"/>
      <c r="AG178" s="24" t="s">
        <v>81</v>
      </c>
      <c r="AH178" s="47" t="s">
        <v>82</v>
      </c>
      <c r="AI178" s="48" t="s">
        <v>83</v>
      </c>
      <c r="AL178" s="24" t="str">
        <f>_xlfn.CONCAT("Eon (",$C$81,slew_rate_unit,")")</f>
        <v>Eon (40V/ns)</v>
      </c>
      <c r="AM178" s="25"/>
      <c r="AN178" s="24" t="s">
        <v>81</v>
      </c>
      <c r="AO178" s="47" t="s">
        <v>82</v>
      </c>
      <c r="AP178" s="48" t="s">
        <v>83</v>
      </c>
    </row>
    <row r="179" spans="10:42" ht="15" hidden="1" thickBot="1" x14ac:dyDescent="0.4">
      <c r="J179" s="24" t="s">
        <v>116</v>
      </c>
      <c r="K179" s="25" t="s">
        <v>80</v>
      </c>
      <c r="L179" s="25">
        <f>$AH$9</f>
        <v>0</v>
      </c>
      <c r="M179" s="25">
        <f>$AI$9</f>
        <v>0.1</v>
      </c>
      <c r="N179" s="25">
        <f>$AJ$9</f>
        <v>0.25</v>
      </c>
      <c r="O179" s="25">
        <f>$AK$9</f>
        <v>0.5</v>
      </c>
      <c r="P179" s="25">
        <f>$AL$9</f>
        <v>0.7</v>
      </c>
      <c r="Q179" s="25">
        <f>$AM$9</f>
        <v>1</v>
      </c>
      <c r="R179" s="25">
        <f>$AN$9</f>
        <v>2.5</v>
      </c>
      <c r="S179" s="24">
        <f>$AO$9</f>
        <v>4</v>
      </c>
      <c r="T179" s="24" t="s">
        <v>116</v>
      </c>
      <c r="U179" s="25" t="s">
        <v>80</v>
      </c>
      <c r="V179" s="25">
        <f>$AP$9</f>
        <v>0</v>
      </c>
      <c r="W179" s="25">
        <f>$AQ$9</f>
        <v>0.1</v>
      </c>
      <c r="X179" s="25">
        <f>$AR$9</f>
        <v>0.25</v>
      </c>
      <c r="Y179" s="25">
        <f>$AS$9</f>
        <v>0.5</v>
      </c>
      <c r="Z179" s="25">
        <f>$AT$9</f>
        <v>0.7</v>
      </c>
      <c r="AA179" s="25">
        <f>$AU$9</f>
        <v>1</v>
      </c>
      <c r="AB179" s="25">
        <f>$AV$9</f>
        <v>2.5</v>
      </c>
      <c r="AC179" s="24">
        <f>$AW$9</f>
        <v>4</v>
      </c>
      <c r="AE179" s="208"/>
      <c r="AF179" s="49" t="s">
        <v>123</v>
      </c>
      <c r="AG179" s="119">
        <v>-1.3299999999999999E-2</v>
      </c>
      <c r="AH179" s="117">
        <v>7.0999999999999994E-2</v>
      </c>
      <c r="AI179" s="117">
        <v>-2.7399999999999998E-3</v>
      </c>
      <c r="AL179" s="208"/>
      <c r="AM179" s="49" t="s">
        <v>123</v>
      </c>
      <c r="AN179" s="119">
        <v>-0.184</v>
      </c>
      <c r="AO179" s="117">
        <v>-0.113</v>
      </c>
      <c r="AP179" s="117">
        <v>-2.16E-3</v>
      </c>
    </row>
    <row r="180" spans="10:42" hidden="1" x14ac:dyDescent="0.35">
      <c r="J180" s="232" t="str">
        <f>K91</f>
        <v>10V/ns</v>
      </c>
      <c r="K180" s="49" t="s">
        <v>81</v>
      </c>
      <c r="L180" s="64">
        <v>0</v>
      </c>
      <c r="M180" s="64">
        <v>0</v>
      </c>
      <c r="N180" s="65">
        <v>0</v>
      </c>
      <c r="O180" s="65">
        <v>2.47E-2</v>
      </c>
      <c r="P180" s="65">
        <v>-7.5300000000000006E-2</v>
      </c>
      <c r="Q180" s="65">
        <v>0.17799999999999999</v>
      </c>
      <c r="R180" s="65">
        <v>0.61399999999999999</v>
      </c>
      <c r="S180" s="114">
        <v>0.94599999999999995</v>
      </c>
      <c r="T180" s="232" t="str">
        <f>K91</f>
        <v>10V/ns</v>
      </c>
      <c r="U180" s="49" t="s">
        <v>81</v>
      </c>
      <c r="V180" s="64">
        <v>-0.26100000000000001</v>
      </c>
      <c r="W180" s="64">
        <v>-0.249</v>
      </c>
      <c r="X180" s="65">
        <v>-0.129</v>
      </c>
      <c r="Y180" s="65">
        <v>-5.0599999999999999E-2</v>
      </c>
      <c r="Z180" s="65">
        <v>-7.5300000000000006E-2</v>
      </c>
      <c r="AA180" s="65">
        <v>3.9199999999999999E-2</v>
      </c>
      <c r="AB180" s="65">
        <v>0.23499999999999999</v>
      </c>
      <c r="AC180" s="114">
        <v>1.19</v>
      </c>
      <c r="AE180" s="209"/>
      <c r="AF180" s="49" t="s">
        <v>122</v>
      </c>
      <c r="AG180" s="117">
        <v>-2.1100000000000001E-4</v>
      </c>
      <c r="AH180" s="117">
        <v>6.0700000000000001E-4</v>
      </c>
      <c r="AI180" s="117">
        <v>3.0700000000000001E-5</v>
      </c>
      <c r="AL180" s="209"/>
      <c r="AM180" s="49" t="s">
        <v>122</v>
      </c>
      <c r="AN180" s="117">
        <v>5.5100000000000001E-3</v>
      </c>
      <c r="AO180" s="117">
        <v>4.5399999999999998E-3</v>
      </c>
      <c r="AP180" s="117">
        <v>6.3699999999999998E-4</v>
      </c>
    </row>
    <row r="181" spans="10:42" ht="15" hidden="1" thickBot="1" x14ac:dyDescent="0.4">
      <c r="J181" s="233"/>
      <c r="K181" s="49" t="s">
        <v>82</v>
      </c>
      <c r="L181" s="66">
        <v>0</v>
      </c>
      <c r="M181" s="66">
        <v>0</v>
      </c>
      <c r="N181" s="67">
        <v>0</v>
      </c>
      <c r="O181" s="67">
        <v>6.3599999999999996E-4</v>
      </c>
      <c r="P181" s="67">
        <v>2.64E-3</v>
      </c>
      <c r="Q181" s="67">
        <v>1.8200000000000001E-4</v>
      </c>
      <c r="R181" s="67">
        <v>5.2700000000000004E-3</v>
      </c>
      <c r="S181" s="115">
        <v>2.1600000000000001E-2</v>
      </c>
      <c r="T181" s="233"/>
      <c r="U181" s="49" t="s">
        <v>82</v>
      </c>
      <c r="V181" s="66">
        <v>5.9100000000000003E-3</v>
      </c>
      <c r="W181" s="66">
        <v>7.3600000000000002E-3</v>
      </c>
      <c r="X181" s="67">
        <v>7.45E-3</v>
      </c>
      <c r="Y181" s="67">
        <v>9.6399999999999993E-3</v>
      </c>
      <c r="Z181" s="67">
        <v>1.18E-2</v>
      </c>
      <c r="AA181" s="67">
        <v>1.41E-2</v>
      </c>
      <c r="AB181" s="67">
        <v>3.5200000000000002E-2</v>
      </c>
      <c r="AC181" s="115">
        <v>5.3999999999999999E-2</v>
      </c>
      <c r="AE181" s="210"/>
      <c r="AF181" s="55" t="s">
        <v>121</v>
      </c>
      <c r="AG181" s="118">
        <v>5.6400000000000002E-7</v>
      </c>
      <c r="AH181" s="118">
        <v>-2.04E-6</v>
      </c>
      <c r="AI181" s="118">
        <v>5.5499999999999998E-7</v>
      </c>
      <c r="AL181" s="210"/>
      <c r="AM181" s="55" t="s">
        <v>121</v>
      </c>
      <c r="AN181" s="118">
        <v>3.5899999999999998E-5</v>
      </c>
      <c r="AO181" s="118">
        <v>1.03E-5</v>
      </c>
      <c r="AP181" s="118">
        <v>-2.9099999999999999E-8</v>
      </c>
    </row>
    <row r="182" spans="10:42" ht="15" hidden="1" thickBot="1" x14ac:dyDescent="0.4">
      <c r="J182" s="234"/>
      <c r="K182" s="55" t="s">
        <v>83</v>
      </c>
      <c r="L182" s="68">
        <v>0</v>
      </c>
      <c r="M182" s="68">
        <v>0</v>
      </c>
      <c r="N182" s="69">
        <v>0</v>
      </c>
      <c r="O182" s="69">
        <v>-5.13E-7</v>
      </c>
      <c r="P182" s="69">
        <v>-5.13E-7</v>
      </c>
      <c r="Q182" s="69">
        <v>1.2E-5</v>
      </c>
      <c r="R182" s="69">
        <v>7.5599999999999994E-5</v>
      </c>
      <c r="S182" s="116">
        <v>1.3799999999999999E-4</v>
      </c>
      <c r="T182" s="234"/>
      <c r="U182" s="55" t="s">
        <v>83</v>
      </c>
      <c r="V182" s="70">
        <v>3.5099999999999999E-5</v>
      </c>
      <c r="W182" s="70">
        <v>3.9199999999999997E-5</v>
      </c>
      <c r="X182" s="69">
        <v>4.88E-5</v>
      </c>
      <c r="Y182" s="69">
        <v>6.0800000000000001E-5</v>
      </c>
      <c r="Z182" s="69">
        <v>7.0400000000000004E-5</v>
      </c>
      <c r="AA182" s="69">
        <v>8.6000000000000003E-5</v>
      </c>
      <c r="AB182" s="69">
        <v>1.54E-4</v>
      </c>
      <c r="AC182" s="116">
        <v>2.5000000000000001E-4</v>
      </c>
    </row>
    <row r="183" spans="10:42" hidden="1" x14ac:dyDescent="0.35"/>
    <row r="184" spans="10:42" hidden="1" x14ac:dyDescent="0.35"/>
    <row r="185" spans="10:42" hidden="1" x14ac:dyDescent="0.35"/>
    <row r="186" spans="10:42" hidden="1" x14ac:dyDescent="0.35"/>
    <row r="187" spans="10:42" hidden="1" x14ac:dyDescent="0.35"/>
    <row r="188" spans="10:42" hidden="1" x14ac:dyDescent="0.35"/>
    <row r="189" spans="10:42" hidden="1" x14ac:dyDescent="0.35"/>
    <row r="190" spans="10:42" hidden="1" x14ac:dyDescent="0.35"/>
    <row r="191" spans="10:42" hidden="1" x14ac:dyDescent="0.35"/>
    <row r="192" spans="10:42" hidden="1" x14ac:dyDescent="0.35"/>
    <row r="193" hidden="1" x14ac:dyDescent="0.35"/>
    <row r="194" hidden="1" x14ac:dyDescent="0.35"/>
    <row r="195" hidden="1" x14ac:dyDescent="0.35"/>
    <row r="196" hidden="1" x14ac:dyDescent="0.35"/>
    <row r="197" hidden="1" x14ac:dyDescent="0.35"/>
    <row r="198" hidden="1" x14ac:dyDescent="0.35"/>
    <row r="199" hidden="1" x14ac:dyDescent="0.35"/>
    <row r="200" hidden="1" x14ac:dyDescent="0.35"/>
    <row r="201" hidden="1" x14ac:dyDescent="0.35"/>
    <row r="202" hidden="1" x14ac:dyDescent="0.35"/>
    <row r="203" hidden="1" x14ac:dyDescent="0.35"/>
    <row r="204" hidden="1" x14ac:dyDescent="0.35"/>
    <row r="205" hidden="1" x14ac:dyDescent="0.35"/>
    <row r="206" hidden="1" x14ac:dyDescent="0.35"/>
    <row r="207" hidden="1" x14ac:dyDescent="0.35"/>
    <row r="208" hidden="1" x14ac:dyDescent="0.35"/>
    <row r="209" spans="10:29" hidden="1" x14ac:dyDescent="0.35"/>
    <row r="210" spans="10:29" hidden="1" x14ac:dyDescent="0.35"/>
    <row r="211" spans="10:29" hidden="1" x14ac:dyDescent="0.35"/>
    <row r="212" spans="10:29" hidden="1" x14ac:dyDescent="0.35"/>
    <row r="213" spans="10:29" hidden="1" x14ac:dyDescent="0.35"/>
    <row r="214" spans="10:29" hidden="1" x14ac:dyDescent="0.35"/>
    <row r="215" spans="10:29" hidden="1" x14ac:dyDescent="0.35"/>
    <row r="216" spans="10:29" hidden="1" x14ac:dyDescent="0.35"/>
    <row r="217" spans="10:29" ht="15" hidden="1" thickBot="1" x14ac:dyDescent="0.4"/>
    <row r="218" spans="10:29" ht="15" hidden="1" thickBot="1" x14ac:dyDescent="0.4">
      <c r="J218" s="24" t="s">
        <v>116</v>
      </c>
      <c r="K218" s="25" t="s">
        <v>80</v>
      </c>
      <c r="L218" s="25">
        <f>$AH$9</f>
        <v>0</v>
      </c>
      <c r="M218" s="25">
        <f>$AI$9</f>
        <v>0.1</v>
      </c>
      <c r="N218" s="25">
        <f>$AJ$9</f>
        <v>0.25</v>
      </c>
      <c r="O218" s="25">
        <f>$AK$9</f>
        <v>0.5</v>
      </c>
      <c r="P218" s="25">
        <f>$AL$9</f>
        <v>0.7</v>
      </c>
      <c r="Q218" s="25">
        <f>$AM$9</f>
        <v>1</v>
      </c>
      <c r="R218" s="25">
        <f>$AN$9</f>
        <v>2.5</v>
      </c>
      <c r="S218" s="24">
        <f>$AO$9</f>
        <v>4</v>
      </c>
      <c r="T218" s="24" t="s">
        <v>116</v>
      </c>
      <c r="U218" s="25" t="s">
        <v>80</v>
      </c>
      <c r="V218" s="25">
        <f>$AP$9</f>
        <v>0</v>
      </c>
      <c r="W218" s="25">
        <f>$AQ$9</f>
        <v>0.1</v>
      </c>
      <c r="X218" s="25">
        <f>$AR$9</f>
        <v>0.25</v>
      </c>
      <c r="Y218" s="25">
        <f>$AS$9</f>
        <v>0.5</v>
      </c>
      <c r="Z218" s="25">
        <f>$AT$9</f>
        <v>0.7</v>
      </c>
      <c r="AA218" s="25">
        <f>$AU$9</f>
        <v>1</v>
      </c>
      <c r="AB218" s="25">
        <f>$AV$9</f>
        <v>2.5</v>
      </c>
      <c r="AC218" s="24">
        <f>$AW$9</f>
        <v>4</v>
      </c>
    </row>
    <row r="219" spans="10:29" hidden="1" x14ac:dyDescent="0.35">
      <c r="J219" s="232" t="str">
        <f>K94</f>
        <v>20V/ns</v>
      </c>
      <c r="K219" s="49" t="s">
        <v>81</v>
      </c>
      <c r="L219" s="64">
        <v>0</v>
      </c>
      <c r="M219" s="64">
        <v>0</v>
      </c>
      <c r="N219" s="65">
        <v>0</v>
      </c>
      <c r="O219" s="65">
        <v>0</v>
      </c>
      <c r="P219" s="65">
        <v>0.1</v>
      </c>
      <c r="Q219" s="65">
        <v>0.215</v>
      </c>
      <c r="R219" s="65">
        <v>0.183</v>
      </c>
      <c r="S219" s="114">
        <v>0.152</v>
      </c>
      <c r="T219" s="232" t="str">
        <f>K94</f>
        <v>20V/ns</v>
      </c>
      <c r="U219" s="49" t="s">
        <v>81</v>
      </c>
      <c r="V219" s="64">
        <v>-0.26100000000000001</v>
      </c>
      <c r="W219" s="64">
        <v>-0.23200000000000001</v>
      </c>
      <c r="X219" s="65">
        <v>-0.17100000000000001</v>
      </c>
      <c r="Y219" s="65">
        <v>-0.18099999999999999</v>
      </c>
      <c r="Z219" s="65">
        <v>-0.22500000000000001</v>
      </c>
      <c r="AA219" s="65">
        <v>-0.186</v>
      </c>
      <c r="AB219" s="65">
        <v>-0.19</v>
      </c>
      <c r="AC219" s="114">
        <v>-0.35099999999999998</v>
      </c>
    </row>
    <row r="220" spans="10:29" hidden="1" x14ac:dyDescent="0.35">
      <c r="J220" s="233"/>
      <c r="K220" s="49" t="s">
        <v>82</v>
      </c>
      <c r="L220" s="66">
        <v>0</v>
      </c>
      <c r="M220" s="66">
        <v>0</v>
      </c>
      <c r="N220" s="67">
        <v>0</v>
      </c>
      <c r="O220" s="67">
        <v>0</v>
      </c>
      <c r="P220" s="67">
        <v>-1.0599999999999999E-18</v>
      </c>
      <c r="Q220" s="67">
        <v>4.55E-4</v>
      </c>
      <c r="R220" s="67">
        <v>2.9099999999999998E-3</v>
      </c>
      <c r="S220" s="115">
        <v>9.8200000000000006E-3</v>
      </c>
      <c r="T220" s="233"/>
      <c r="U220" s="49" t="s">
        <v>82</v>
      </c>
      <c r="V220" s="66">
        <v>5.9100000000000003E-3</v>
      </c>
      <c r="W220" s="66">
        <v>6.6400000000000001E-3</v>
      </c>
      <c r="X220" s="67">
        <v>7.3600000000000002E-3</v>
      </c>
      <c r="Y220" s="67">
        <v>8.8199999999999997E-3</v>
      </c>
      <c r="Z220" s="67">
        <v>1.0200000000000001E-2</v>
      </c>
      <c r="AA220" s="67">
        <v>1.23E-2</v>
      </c>
      <c r="AB220" s="67">
        <v>2.5399999999999999E-2</v>
      </c>
      <c r="AC220" s="115">
        <v>4.2500000000000003E-2</v>
      </c>
    </row>
    <row r="221" spans="10:29" ht="15" hidden="1" thickBot="1" x14ac:dyDescent="0.4">
      <c r="J221" s="234"/>
      <c r="K221" s="55" t="s">
        <v>83</v>
      </c>
      <c r="L221" s="68">
        <v>0</v>
      </c>
      <c r="M221" s="68">
        <v>0</v>
      </c>
      <c r="N221" s="69">
        <v>0</v>
      </c>
      <c r="O221" s="69">
        <v>0</v>
      </c>
      <c r="P221" s="69">
        <v>-3.3900000000000001E-21</v>
      </c>
      <c r="Q221" s="69">
        <v>-6.06E-7</v>
      </c>
      <c r="R221" s="69">
        <v>1.29E-5</v>
      </c>
      <c r="S221" s="116">
        <v>3.4100000000000002E-5</v>
      </c>
      <c r="T221" s="234"/>
      <c r="U221" s="55" t="s">
        <v>83</v>
      </c>
      <c r="V221" s="70">
        <v>3.5099999999999999E-5</v>
      </c>
      <c r="W221" s="70">
        <v>3.7200000000000003E-5</v>
      </c>
      <c r="X221" s="69">
        <v>4.0299999999999997E-5</v>
      </c>
      <c r="Y221" s="69">
        <v>4.5500000000000001E-5</v>
      </c>
      <c r="Z221" s="69">
        <v>4.9599999999999999E-5</v>
      </c>
      <c r="AA221" s="69">
        <v>5.5600000000000003E-5</v>
      </c>
      <c r="AB221" s="69">
        <v>8.3900000000000006E-5</v>
      </c>
      <c r="AC221" s="116">
        <v>1.1E-4</v>
      </c>
    </row>
    <row r="222" spans="10:29" hidden="1" x14ac:dyDescent="0.35"/>
    <row r="223" spans="10:29" hidden="1" x14ac:dyDescent="0.35"/>
    <row r="224" spans="10:29" hidden="1" x14ac:dyDescent="0.35"/>
    <row r="225" spans="2:5" hidden="1" x14ac:dyDescent="0.35">
      <c r="B225" s="98" t="s">
        <v>167</v>
      </c>
    </row>
    <row r="226" spans="2:5" hidden="1" x14ac:dyDescent="0.35">
      <c r="B226" s="98" t="s">
        <v>168</v>
      </c>
      <c r="C226" s="98">
        <v>50</v>
      </c>
      <c r="D226" s="98" t="s">
        <v>170</v>
      </c>
      <c r="E226" s="98" t="s">
        <v>174</v>
      </c>
    </row>
    <row r="227" spans="2:5" hidden="1" x14ac:dyDescent="0.35">
      <c r="B227" s="98" t="s">
        <v>169</v>
      </c>
      <c r="C227" s="98">
        <f>C226*0.000000000001*DC_Voltage/(DC_Voltage*0.000000001/C13)</f>
        <v>0.5</v>
      </c>
      <c r="D227" s="98" t="s">
        <v>171</v>
      </c>
    </row>
    <row r="228" spans="2:5" hidden="1" x14ac:dyDescent="0.35">
      <c r="B228" s="98" t="s">
        <v>175</v>
      </c>
      <c r="C228" s="98">
        <f>DC_Voltage/C13*0.000000001</f>
        <v>3.1E-8</v>
      </c>
      <c r="D228" s="98" t="s">
        <v>172</v>
      </c>
    </row>
    <row r="229" spans="2:5" hidden="1" x14ac:dyDescent="0.35">
      <c r="B229" s="98" t="s">
        <v>176</v>
      </c>
      <c r="C229" s="98">
        <f>C226*0.000000000001*DC_Voltage</f>
        <v>1.55E-8</v>
      </c>
      <c r="D229" s="98" t="s">
        <v>173</v>
      </c>
    </row>
    <row r="230" spans="2:5" hidden="1" x14ac:dyDescent="0.35">
      <c r="B230" s="98" t="s">
        <v>177</v>
      </c>
      <c r="C230" s="98">
        <f>C229/C228</f>
        <v>0.5</v>
      </c>
      <c r="D230" s="98" t="s">
        <v>6</v>
      </c>
    </row>
    <row r="231" spans="2:5" hidden="1" x14ac:dyDescent="0.35">
      <c r="C231" s="98">
        <f>C13*C226*0.001</f>
        <v>0.5</v>
      </c>
    </row>
    <row r="232" spans="2:5" hidden="1" x14ac:dyDescent="0.35">
      <c r="B232" s="98" t="s">
        <v>178</v>
      </c>
      <c r="C232" s="195">
        <f>DC_Voltage/2*C230*C228</f>
        <v>2.4024999999999999E-6</v>
      </c>
    </row>
    <row r="233" spans="2:5" hidden="1" x14ac:dyDescent="0.35"/>
    <row r="234" spans="2:5" hidden="1" x14ac:dyDescent="0.35"/>
    <row r="256" ht="15" thickBot="1" x14ac:dyDescent="0.4"/>
    <row r="257" spans="10:29" ht="15" thickBot="1" x14ac:dyDescent="0.4">
      <c r="J257" s="24" t="s">
        <v>116</v>
      </c>
      <c r="K257" s="25" t="s">
        <v>80</v>
      </c>
      <c r="L257" s="25">
        <f>$AH$9</f>
        <v>0</v>
      </c>
      <c r="M257" s="25">
        <f>$AI$9</f>
        <v>0.1</v>
      </c>
      <c r="N257" s="25">
        <f>$AJ$9</f>
        <v>0.25</v>
      </c>
      <c r="O257" s="25">
        <f>$AK$9</f>
        <v>0.5</v>
      </c>
      <c r="P257" s="25">
        <f>$AL$9</f>
        <v>0.7</v>
      </c>
      <c r="Q257" s="25">
        <f>$AM$9</f>
        <v>1</v>
      </c>
      <c r="R257" s="25">
        <f>$AN$9</f>
        <v>2.5</v>
      </c>
      <c r="S257" s="24">
        <f>$AO$9</f>
        <v>4</v>
      </c>
      <c r="T257" s="24" t="s">
        <v>116</v>
      </c>
      <c r="U257" s="25" t="s">
        <v>80</v>
      </c>
      <c r="V257" s="25">
        <f>$AP$9</f>
        <v>0</v>
      </c>
      <c r="W257" s="25">
        <f>$AQ$9</f>
        <v>0.1</v>
      </c>
      <c r="X257" s="25">
        <f>$AR$9</f>
        <v>0.25</v>
      </c>
      <c r="Y257" s="25">
        <f>$AS$9</f>
        <v>0.5</v>
      </c>
      <c r="Z257" s="25">
        <f>$AT$9</f>
        <v>0.7</v>
      </c>
      <c r="AA257" s="25">
        <f>$AU$9</f>
        <v>1</v>
      </c>
      <c r="AB257" s="25">
        <f>$AV$9</f>
        <v>2.5</v>
      </c>
      <c r="AC257" s="24">
        <f>$AW$9</f>
        <v>4</v>
      </c>
    </row>
    <row r="258" spans="10:29" x14ac:dyDescent="0.35">
      <c r="J258" s="232" t="str">
        <f>K97</f>
        <v>40V/ns</v>
      </c>
      <c r="K258" s="49" t="s">
        <v>81</v>
      </c>
      <c r="L258" s="64">
        <v>0</v>
      </c>
      <c r="M258" s="64">
        <v>0</v>
      </c>
      <c r="N258" s="65">
        <v>0</v>
      </c>
      <c r="O258" s="65">
        <v>0</v>
      </c>
      <c r="P258" s="65">
        <v>0</v>
      </c>
      <c r="Q258" s="65">
        <v>0.1</v>
      </c>
      <c r="R258" s="65">
        <v>0.14299999999999999</v>
      </c>
      <c r="S258" s="114">
        <v>0.22700000000000001</v>
      </c>
      <c r="T258" s="232" t="str">
        <f>K97</f>
        <v>40V/ns</v>
      </c>
      <c r="U258" s="49" t="s">
        <v>81</v>
      </c>
      <c r="V258" s="64">
        <v>-0.186</v>
      </c>
      <c r="W258" s="64">
        <v>-0.128</v>
      </c>
      <c r="X258" s="65">
        <v>-0.33600000000000002</v>
      </c>
      <c r="Y258" s="65">
        <v>-0.16800000000000001</v>
      </c>
      <c r="Z258" s="65">
        <v>-0.193</v>
      </c>
      <c r="AA258" s="65">
        <v>-0.41</v>
      </c>
      <c r="AB258" s="65">
        <v>-0.44600000000000001</v>
      </c>
      <c r="AC258" s="114">
        <v>-0.68100000000000005</v>
      </c>
    </row>
    <row r="259" spans="10:29" x14ac:dyDescent="0.35">
      <c r="J259" s="233"/>
      <c r="K259" s="49" t="s">
        <v>82</v>
      </c>
      <c r="L259" s="66">
        <v>0</v>
      </c>
      <c r="M259" s="66">
        <v>0</v>
      </c>
      <c r="N259" s="67">
        <v>0</v>
      </c>
      <c r="O259" s="67">
        <v>0</v>
      </c>
      <c r="P259" s="67">
        <v>0</v>
      </c>
      <c r="Q259" s="67">
        <v>-1.0599999999999999E-18</v>
      </c>
      <c r="R259" s="67">
        <v>2E-3</v>
      </c>
      <c r="S259" s="115">
        <v>2.5500000000000002E-3</v>
      </c>
      <c r="T259" s="233"/>
      <c r="U259" s="49" t="s">
        <v>82</v>
      </c>
      <c r="V259" s="66">
        <v>5.2700000000000004E-3</v>
      </c>
      <c r="W259" s="66">
        <v>5.3600000000000002E-3</v>
      </c>
      <c r="X259" s="67">
        <v>7.9100000000000004E-3</v>
      </c>
      <c r="Y259" s="67">
        <v>7.3600000000000002E-3</v>
      </c>
      <c r="Z259" s="67">
        <v>8.7299999999999999E-3</v>
      </c>
      <c r="AA259" s="67">
        <v>1.15E-2</v>
      </c>
      <c r="AB259" s="67">
        <v>2.0400000000000001E-2</v>
      </c>
      <c r="AC259" s="115">
        <v>3.4000000000000002E-2</v>
      </c>
    </row>
    <row r="260" spans="10:29" ht="15" thickBot="1" x14ac:dyDescent="0.4">
      <c r="J260" s="234"/>
      <c r="K260" s="55" t="s">
        <v>83</v>
      </c>
      <c r="L260" s="68">
        <v>0</v>
      </c>
      <c r="M260" s="68">
        <v>0</v>
      </c>
      <c r="N260" s="69">
        <v>0</v>
      </c>
      <c r="O260" s="69">
        <v>0</v>
      </c>
      <c r="P260" s="69">
        <v>0</v>
      </c>
      <c r="Q260" s="69">
        <v>-3.3900000000000001E-21</v>
      </c>
      <c r="R260" s="69">
        <v>-2.2400000000000002E-6</v>
      </c>
      <c r="S260" s="116">
        <v>1.68E-6</v>
      </c>
      <c r="T260" s="234"/>
      <c r="U260" s="55" t="s">
        <v>83</v>
      </c>
      <c r="V260" s="70">
        <v>3.5599999999999998E-5</v>
      </c>
      <c r="W260" s="70">
        <v>3.8099999999999998E-5</v>
      </c>
      <c r="X260" s="69">
        <v>3.6399999999999997E-5</v>
      </c>
      <c r="Y260" s="69">
        <v>4.2799999999999997E-5</v>
      </c>
      <c r="Z260" s="69">
        <v>4.3300000000000002E-5</v>
      </c>
      <c r="AA260" s="69">
        <v>4.5200000000000001E-5</v>
      </c>
      <c r="AB260" s="69">
        <v>6.1600000000000007E-5</v>
      </c>
      <c r="AC260" s="116">
        <v>7.6500000000000003E-5</v>
      </c>
    </row>
  </sheetData>
  <sheetProtection algorithmName="SHA-512" hashValue="ROkEZ4HPH8s27l3qt8HWuI0JYFXZSEuseLDnCRMZXPfdP1toBMEAjzIrmEkzlFUOAAuflqMI6rXNn6crC1jMOQ==" saltValue="FWl1YDsyImzm6PFxNZ+0+g==" spinCount="100000" sheet="1" objects="1" selectLockedCells="1"/>
  <mergeCells count="54">
    <mergeCell ref="C21:C22"/>
    <mergeCell ref="B6:D6"/>
    <mergeCell ref="B5:D5"/>
    <mergeCell ref="F26:H26"/>
    <mergeCell ref="AL155:AL157"/>
    <mergeCell ref="AE179:AE181"/>
    <mergeCell ref="AL179:AL181"/>
    <mergeCell ref="AL105:AL107"/>
    <mergeCell ref="AE131:AE133"/>
    <mergeCell ref="AL131:AL133"/>
    <mergeCell ref="J258:J260"/>
    <mergeCell ref="T258:T260"/>
    <mergeCell ref="AE105:AE107"/>
    <mergeCell ref="AE155:AE157"/>
    <mergeCell ref="J141:J143"/>
    <mergeCell ref="T141:T143"/>
    <mergeCell ref="J180:J182"/>
    <mergeCell ref="T180:T182"/>
    <mergeCell ref="J219:J221"/>
    <mergeCell ref="T219:T221"/>
    <mergeCell ref="K88:K90"/>
    <mergeCell ref="K91:K93"/>
    <mergeCell ref="K94:K96"/>
    <mergeCell ref="K97:K99"/>
    <mergeCell ref="U86:AB86"/>
    <mergeCell ref="M86:T86"/>
    <mergeCell ref="M61:P61"/>
    <mergeCell ref="AH8:AO8"/>
    <mergeCell ref="AP8:AW8"/>
    <mergeCell ref="B31:D31"/>
    <mergeCell ref="U24:W24"/>
    <mergeCell ref="R24:T24"/>
    <mergeCell ref="X24:Z24"/>
    <mergeCell ref="AA24:AB24"/>
    <mergeCell ref="D21:D22"/>
    <mergeCell ref="F17:H17"/>
    <mergeCell ref="F20:H20"/>
    <mergeCell ref="D35:H35"/>
    <mergeCell ref="Q61:T61"/>
    <mergeCell ref="B32:D33"/>
    <mergeCell ref="B36:B38"/>
    <mergeCell ref="B21:B22"/>
    <mergeCell ref="K75:K78"/>
    <mergeCell ref="K79:K82"/>
    <mergeCell ref="K63:K65"/>
    <mergeCell ref="K66:K68"/>
    <mergeCell ref="K69:K71"/>
    <mergeCell ref="F2:H2"/>
    <mergeCell ref="F3:H3"/>
    <mergeCell ref="F21:F22"/>
    <mergeCell ref="G21:G22"/>
    <mergeCell ref="H21:H22"/>
    <mergeCell ref="F5:H5"/>
    <mergeCell ref="F7:H7"/>
  </mergeCells>
  <conditionalFormatting sqref="G18:G19">
    <cfRule type="cellIs" dxfId="13" priority="6" operator="lessThan">
      <formula>120</formula>
    </cfRule>
    <cfRule type="cellIs" dxfId="12" priority="7" operator="greaterThan">
      <formula>145</formula>
    </cfRule>
  </conditionalFormatting>
  <conditionalFormatting sqref="C84:C90">
    <cfRule type="expression" dxfId="11" priority="20">
      <formula>$B$87=""</formula>
    </cfRule>
  </conditionalFormatting>
  <conditionalFormatting sqref="C16">
    <cfRule type="expression" dxfId="10" priority="19">
      <formula>$B$16=""</formula>
    </cfRule>
  </conditionalFormatting>
  <conditionalFormatting sqref="C74:C76">
    <cfRule type="expression" dxfId="9" priority="17">
      <formula>$C$73="No"</formula>
    </cfRule>
  </conditionalFormatting>
  <conditionalFormatting sqref="C88:C91">
    <cfRule type="expression" dxfId="8" priority="15">
      <formula>$B$88=""</formula>
    </cfRule>
  </conditionalFormatting>
  <conditionalFormatting sqref="C15">
    <cfRule type="expression" dxfId="7" priority="14">
      <formula>$B$15=""</formula>
    </cfRule>
  </conditionalFormatting>
  <conditionalFormatting sqref="M53">
    <cfRule type="expression" dxfId="6" priority="13">
      <formula>$L$53=""</formula>
    </cfRule>
  </conditionalFormatting>
  <conditionalFormatting sqref="M54">
    <cfRule type="expression" dxfId="5" priority="12">
      <formula>$L$54=""</formula>
    </cfRule>
  </conditionalFormatting>
  <conditionalFormatting sqref="E99 C100:D100">
    <cfRule type="expression" dxfId="4" priority="23">
      <formula>$B$100=""</formula>
    </cfRule>
  </conditionalFormatting>
  <conditionalFormatting sqref="B30:D30">
    <cfRule type="expression" dxfId="3" priority="5">
      <formula>$C$25="Estimate based on PCB parameters"</formula>
    </cfRule>
  </conditionalFormatting>
  <conditionalFormatting sqref="B26:D29">
    <cfRule type="expression" dxfId="2" priority="4">
      <formula>$C$25="Manually enter PCB Theta JA"</formula>
    </cfRule>
  </conditionalFormatting>
  <conditionalFormatting sqref="F20:H22">
    <cfRule type="expression" dxfId="1" priority="3">
      <formula>$C$19=""</formula>
    </cfRule>
  </conditionalFormatting>
  <conditionalFormatting sqref="I18">
    <cfRule type="expression" dxfId="0" priority="1">
      <formula>OR($G$18&lt;125)</formula>
    </cfRule>
  </conditionalFormatting>
  <dataValidations count="21">
    <dataValidation type="decimal" allowBlank="1" showInputMessage="1" showErrorMessage="1" error="This voltage is outside the recommended voltage range for this calculator. " sqref="C8" xr:uid="{2784D5A3-38D7-45B6-AE69-8965A8E4216A}">
      <formula1>VM_MIN</formula1>
      <formula2>VM_MAX</formula2>
    </dataValidation>
    <dataValidation type="list" allowBlank="1" showInputMessage="1" showErrorMessage="1" prompt="Select an output slew rate setting" sqref="C13" xr:uid="{FC5C6F63-927D-47C8-92E6-EB882B50E076}">
      <formula1>Slew_rate_options</formula1>
    </dataValidation>
    <dataValidation type="decimal" allowBlank="1" showInputMessage="1" showErrorMessage="1" error="AVDD output current out of range" prompt="Enter the AVDD output load current between 0 to 30mA" sqref="C16" xr:uid="{C201BF61-E79C-4B5C-8167-BFE1510B0726}">
      <formula1>0</formula1>
      <formula2>30</formula2>
    </dataValidation>
    <dataValidation type="list" allowBlank="1" showInputMessage="1" showErrorMessage="1" sqref="C99 C73 C83 C91 C93:C94" xr:uid="{97F314EC-FD86-47EB-9A92-86FA518A2821}">
      <formula1>"Yes, No"</formula1>
    </dataValidation>
    <dataValidation allowBlank="1" showInputMessage="1" showErrorMessage="1" prompt="Enter the operating ambient temperature" sqref="M25 M27 M29:M30 M32" xr:uid="{D2C4E287-9A74-4199-810E-EFBB4407E76D}"/>
    <dataValidation type="list" allowBlank="1" showInputMessage="1" showErrorMessage="1" prompt="Select copper thickness of top/bottom layers (oz)" sqref="C28" xr:uid="{6B559D07-8164-4984-BDF5-9F01C2B9A19A}">
      <formula1>$C$110:$C$114</formula1>
    </dataValidation>
    <dataValidation type="list" allowBlank="1" showInputMessage="1" showErrorMessage="1" sqref="C67" xr:uid="{B7218177-D41A-4CCD-BC7F-6BCDBA5EEEF6}">
      <formula1>"GaN, Silicon"</formula1>
    </dataValidation>
    <dataValidation type="list" allowBlank="1" showInputMessage="1" showErrorMessage="1" sqref="C84" xr:uid="{28FF1AED-47AE-451B-93F3-573C124487B0}">
      <formula1>"1,2"</formula1>
    </dataValidation>
    <dataValidation type="list" allowBlank="1" showInputMessage="1" showErrorMessage="1" sqref="C25" xr:uid="{3E062BD3-A01A-48A8-841D-A5BD398D2D97}">
      <formula1>"Manually enter PCB Theta JA, Estimate based on PCB parameters"</formula1>
    </dataValidation>
    <dataValidation type="whole" allowBlank="1" showInputMessage="1" showErrorMessage="1" error="Deadtime cannot be larger than the PWM period" sqref="C14" xr:uid="{D209E9D7-6297-4977-A0A4-7E7D6AE9432E}">
      <formula1>0</formula1>
      <formula2>1000000/(C12)</formula2>
    </dataValidation>
    <dataValidation type="decimal" allowBlank="1" showInputMessage="1" showErrorMessage="1" error="Must be a positive number" sqref="C30" xr:uid="{1EE5D40C-7E84-4706-9B5C-2AE90C282C26}">
      <formula1>0</formula1>
      <formula2>100000000</formula2>
    </dataValidation>
    <dataValidation type="list" allowBlank="1" showInputMessage="1" showErrorMessage="1" prompt="Select # of PCB Layers" sqref="C26" xr:uid="{5A012837-D000-4D87-8073-9ED4BD8E33E9}">
      <formula1>$C$104:$C$105</formula1>
    </dataValidation>
    <dataValidation type="list" allowBlank="1" showInputMessage="1" showErrorMessage="1" prompt="Select PWM modulation type" sqref="C11" xr:uid="{21C0E5F2-1AF6-43FD-9BC9-63E8BE5A0494}">
      <formula1>$C$96:$C$98</formula1>
    </dataValidation>
    <dataValidation type="list" allowBlank="1" showInputMessage="1" showErrorMessage="1" prompt="Select copper thickness of top/bottom layers (oz)" sqref="C27" xr:uid="{A182D9F0-FF76-424B-B875-AA3E342AF75D}">
      <formula1>$C$107:$C$109</formula1>
    </dataValidation>
    <dataValidation type="list" allowBlank="1" showInputMessage="1" showErrorMessage="1" prompt="Select PCB area (cm2)" sqref="C28" xr:uid="{ED5D428B-67DC-4288-AA8C-3CD574A4A5AE}">
      <formula1>$C$110:$C$114</formula1>
    </dataValidation>
    <dataValidation type="decimal" allowBlank="1" showInputMessage="1" showErrorMessage="1" error="Entered PWM switching frequency is greater than the maximum allowable PWM switching frequency for this device" sqref="C12" xr:uid="{6CEE3087-4732-46FF-98AF-06EEF9C6AFC3}">
      <formula1>1</formula1>
      <formula2>C82</formula2>
    </dataValidation>
    <dataValidation type="decimal" allowBlank="1" showInputMessage="1" showErrorMessage="1" error="Larger than recommended RMS current" sqref="C10" xr:uid="{105A31E9-051C-47A6-964B-568E26BE35D8}">
      <formula1>0</formula1>
      <formula2>C72</formula2>
    </dataValidation>
    <dataValidation type="decimal" allowBlank="1" showInputMessage="1" showErrorMessage="1" error="This ambient temperature is outside the operating range of the device" sqref="C18" xr:uid="{B16B0A02-1B35-4F30-A26B-E947667BB706}">
      <formula1>-40</formula1>
      <formula2>C68</formula2>
    </dataValidation>
    <dataValidation type="list" allowBlank="1" showInputMessage="1" showErrorMessage="1" error="This ambient temperature is outside the operating range of the device" sqref="C21" xr:uid="{3242925E-E028-4413-BF89-F2DC454BA0DB}">
      <formula1>$C$101:$C$102</formula1>
    </dataValidation>
    <dataValidation type="decimal" allowBlank="1" showInputMessage="1" showErrorMessage="1" error="This device junction temperature is either outside the operating range of the device or is less than the ambient temperature" sqref="C19" xr:uid="{E3A025C0-DF73-460B-AF5B-A5039F02F1D0}">
      <formula1>C18</formula1>
      <formula2>C69</formula2>
    </dataValidation>
    <dataValidation type="decimal" errorStyle="warning" allowBlank="1" showInputMessage="1" showErrorMessage="1" error="Consider minimizing PCB theta JA to reduce junction temperature" sqref="G18" xr:uid="{1B75BE41-7C94-48F3-AFBE-CAB0E0383950}">
      <formula1>-55</formula1>
      <formula2>150</formula2>
    </dataValidation>
  </dataValidations>
  <hyperlinks>
    <hyperlink ref="F2" r:id="rId1" xr:uid="{649AFECF-CC4A-49BD-A422-ED16EB3D7776}"/>
    <hyperlink ref="F3" r:id="rId2" xr:uid="{2DE5AA01-34C5-436A-904F-BA72CC6C9434}"/>
    <hyperlink ref="F2:H2" r:id="rId3" display="For any support needs, please post your question on e2e.ti.com" xr:uid="{A5F2A851-9B36-43EA-8551-079D16D0DDD7}"/>
  </hyperlinks>
  <pageMargins left="0.7" right="0.7" top="0.75" bottom="0.75" header="0.3" footer="0.3"/>
  <pageSetup orientation="portrait" r:id="rId4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860640-20A8-4E1E-A795-594664459FA6}">
  <dimension ref="B2:D18"/>
  <sheetViews>
    <sheetView workbookViewId="0">
      <selection activeCell="D7" sqref="D7"/>
    </sheetView>
  </sheetViews>
  <sheetFormatPr defaultRowHeight="14.5" x14ac:dyDescent="0.35"/>
  <cols>
    <col min="2" max="2" width="9.453125" bestFit="1" customWidth="1"/>
    <col min="3" max="3" width="14.26953125" bestFit="1" customWidth="1"/>
    <col min="4" max="4" width="37.6328125" bestFit="1" customWidth="1"/>
  </cols>
  <sheetData>
    <row r="2" spans="2:4" ht="15" thickBot="1" x14ac:dyDescent="0.4"/>
    <row r="3" spans="2:4" ht="15.5" thickTop="1" thickBot="1" x14ac:dyDescent="0.4">
      <c r="B3" s="265" t="s">
        <v>195</v>
      </c>
      <c r="C3" s="266"/>
      <c r="D3" s="267"/>
    </row>
    <row r="4" spans="2:4" ht="15" thickBot="1" x14ac:dyDescent="0.4">
      <c r="B4" s="268" t="s">
        <v>196</v>
      </c>
      <c r="C4" s="262" t="s">
        <v>197</v>
      </c>
      <c r="D4" s="269" t="s">
        <v>198</v>
      </c>
    </row>
    <row r="5" spans="2:4" x14ac:dyDescent="0.35">
      <c r="B5" s="270">
        <v>45796</v>
      </c>
      <c r="C5" s="263" t="s">
        <v>199</v>
      </c>
      <c r="D5" s="271" t="s">
        <v>200</v>
      </c>
    </row>
    <row r="6" spans="2:4" ht="58" x14ac:dyDescent="0.35">
      <c r="B6" s="272">
        <v>45898</v>
      </c>
      <c r="C6" s="264" t="s">
        <v>194</v>
      </c>
      <c r="D6" s="273" t="s">
        <v>201</v>
      </c>
    </row>
    <row r="7" spans="2:4" ht="29" x14ac:dyDescent="0.35">
      <c r="B7" s="272">
        <v>45929</v>
      </c>
      <c r="C7" s="264" t="s">
        <v>202</v>
      </c>
      <c r="D7" s="273" t="s">
        <v>203</v>
      </c>
    </row>
    <row r="8" spans="2:4" x14ac:dyDescent="0.35">
      <c r="B8" s="274"/>
      <c r="C8" s="264"/>
      <c r="D8" s="275"/>
    </row>
    <row r="9" spans="2:4" x14ac:dyDescent="0.35">
      <c r="B9" s="274"/>
      <c r="C9" s="264"/>
      <c r="D9" s="275"/>
    </row>
    <row r="10" spans="2:4" x14ac:dyDescent="0.35">
      <c r="B10" s="274"/>
      <c r="C10" s="264"/>
      <c r="D10" s="275"/>
    </row>
    <row r="11" spans="2:4" x14ac:dyDescent="0.35">
      <c r="B11" s="274"/>
      <c r="C11" s="264"/>
      <c r="D11" s="275"/>
    </row>
    <row r="12" spans="2:4" x14ac:dyDescent="0.35">
      <c r="B12" s="274"/>
      <c r="C12" s="264"/>
      <c r="D12" s="275"/>
    </row>
    <row r="13" spans="2:4" x14ac:dyDescent="0.35">
      <c r="B13" s="274"/>
      <c r="C13" s="264"/>
      <c r="D13" s="275"/>
    </row>
    <row r="14" spans="2:4" x14ac:dyDescent="0.35">
      <c r="B14" s="274"/>
      <c r="C14" s="264"/>
      <c r="D14" s="275"/>
    </row>
    <row r="15" spans="2:4" x14ac:dyDescent="0.35">
      <c r="B15" s="274"/>
      <c r="C15" s="264"/>
      <c r="D15" s="275"/>
    </row>
    <row r="16" spans="2:4" x14ac:dyDescent="0.35">
      <c r="B16" s="274"/>
      <c r="C16" s="264"/>
      <c r="D16" s="275"/>
    </row>
    <row r="17" spans="2:4" ht="15" thickBot="1" x14ac:dyDescent="0.4">
      <c r="B17" s="276"/>
      <c r="C17" s="277"/>
      <c r="D17" s="278"/>
    </row>
    <row r="18" spans="2:4" ht="15" thickTop="1" x14ac:dyDescent="0.35"/>
  </sheetData>
  <sheetProtection algorithmName="SHA-512" hashValue="FeGDI5dbNthmupnI04ATV1nTWYOsi87YNUktQZt89TK0vyjeeMK8RaPwT7NjDroe+H7+AXSdULmhx13VSrJadg==" saltValue="bybL0Eb1hRiFI/itnp2Cjg==" spinCount="100000" sheet="1" objects="1" scenarios="1"/>
  <mergeCells count="1">
    <mergeCell ref="B3:D3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890CF5D1712414994CF73E5254FE8C3" ma:contentTypeVersion="1" ma:contentTypeDescription="Create a new document." ma:contentTypeScope="" ma:versionID="ac4f493a9480fb403711dc4be70bc4e3">
  <xsd:schema xmlns:xsd="http://www.w3.org/2001/XMLSchema" xmlns:xs="http://www.w3.org/2001/XMLSchema" xmlns:p="http://schemas.microsoft.com/office/2006/metadata/properties" xmlns:ns2="6f2f0605-bfee-4698-a78a-575fc242f63d" targetNamespace="http://schemas.microsoft.com/office/2006/metadata/properties" ma:root="true" ma:fieldsID="a99885eb63a62de0bdef9ae51f933929" ns2:_="">
    <xsd:import namespace="6f2f0605-bfee-4698-a78a-575fc242f63d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2f0605-bfee-4698-a78a-575fc242f63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3F1D97D-AA51-4E28-8146-3D246052FFD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03AD599-74B6-4A9C-8A59-24B42D737160}">
  <ds:schemaRefs>
    <ds:schemaRef ds:uri="http://www.w3.org/XML/1998/namespace"/>
    <ds:schemaRef ds:uri="http://schemas.microsoft.com/office/2006/documentManagement/types"/>
    <ds:schemaRef ds:uri="http://purl.org/dc/elements/1.1/"/>
    <ds:schemaRef ds:uri="http://purl.org/dc/dcmitype/"/>
    <ds:schemaRef ds:uri="http://schemas.microsoft.com/office/2006/metadata/properties"/>
    <ds:schemaRef ds:uri="http://schemas.microsoft.com/office/infopath/2007/PartnerControls"/>
    <ds:schemaRef ds:uri="6f2f0605-bfee-4698-a78a-575fc242f63d"/>
    <ds:schemaRef ds:uri="http://schemas.openxmlformats.org/package/2006/metadata/core-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DFF33E0A-041F-4887-9DA5-EC3E8233986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f2f0605-bfee-4698-a78a-575fc242f6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45</vt:i4>
      </vt:variant>
    </vt:vector>
  </HeadingPairs>
  <TitlesOfParts>
    <vt:vector size="47" baseType="lpstr">
      <vt:lpstr>DRV7308 Thermal Calculator</vt:lpstr>
      <vt:lpstr>Revision History</vt:lpstr>
      <vt:lpstr>a_eoff</vt:lpstr>
      <vt:lpstr>a_eon</vt:lpstr>
      <vt:lpstr>Ambient_temp</vt:lpstr>
      <vt:lpstr>ambient_temp_device_max</vt:lpstr>
      <vt:lpstr>b1_eoff</vt:lpstr>
      <vt:lpstr>b1_eon</vt:lpstr>
      <vt:lpstr>b1A</vt:lpstr>
      <vt:lpstr>b2_eoff</vt:lpstr>
      <vt:lpstr>b2_eon</vt:lpstr>
      <vt:lpstr>b4A</vt:lpstr>
      <vt:lpstr>DC_Voltage</vt:lpstr>
      <vt:lpstr>Device_name</vt:lpstr>
      <vt:lpstr>diode_losses</vt:lpstr>
      <vt:lpstr>dRon_scaling</vt:lpstr>
      <vt:lpstr>E_Cpcb</vt:lpstr>
      <vt:lpstr>E_Cpcb_actual</vt:lpstr>
      <vt:lpstr>Eoff</vt:lpstr>
      <vt:lpstr>Eon</vt:lpstr>
      <vt:lpstr>LDO1_losses</vt:lpstr>
      <vt:lpstr>LDO2_losses</vt:lpstr>
      <vt:lpstr>m</vt:lpstr>
      <vt:lpstr>m1A</vt:lpstr>
      <vt:lpstr>mEoff</vt:lpstr>
      <vt:lpstr>mEon</vt:lpstr>
      <vt:lpstr>Nominal</vt:lpstr>
      <vt:lpstr>Nominal_or_worst</vt:lpstr>
      <vt:lpstr>PCB_capacitance</vt:lpstr>
      <vt:lpstr>PCB_capacitance_pF</vt:lpstr>
      <vt:lpstr>PWM_Modulation_selection</vt:lpstr>
      <vt:lpstr>Rdson_25C</vt:lpstr>
      <vt:lpstr>Rdson_scaling</vt:lpstr>
      <vt:lpstr>RMS_Current</vt:lpstr>
      <vt:lpstr>slew_rate</vt:lpstr>
      <vt:lpstr>Slew_rate_options</vt:lpstr>
      <vt:lpstr>slew_rate_unit</vt:lpstr>
      <vt:lpstr>slew_rate_V_per_ns</vt:lpstr>
      <vt:lpstr>standby_power</vt:lpstr>
      <vt:lpstr>Theta_JA</vt:lpstr>
      <vt:lpstr>VM_MAX</vt:lpstr>
      <vt:lpstr>VM_MIN</vt:lpstr>
      <vt:lpstr>Worst</vt:lpstr>
      <vt:lpstr>X2Eoff</vt:lpstr>
      <vt:lpstr>x2Eon</vt:lpstr>
      <vt:lpstr>xEoff</vt:lpstr>
      <vt:lpstr>xEon</vt:lpstr>
    </vt:vector>
  </TitlesOfParts>
  <Company>Texas Instruments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Lodi, Anthony</dc:creator>
  <cp:lastModifiedBy>Lodi, Anthony</cp:lastModifiedBy>
  <dcterms:created xsi:type="dcterms:W3CDTF">2025-04-21T18:21:02Z</dcterms:created>
  <dcterms:modified xsi:type="dcterms:W3CDTF">2025-09-29T17:36:25Z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0x010100A890CF5D1712414994CF73E5254FE8C3</vt:lpwstr>
  </property>
</Properties>
</file>