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0510856\Desktop\EVMs and calculators\released ver\"/>
    </mc:Choice>
  </mc:AlternateContent>
  <xr:revisionPtr revIDLastSave="0" documentId="13_ncr:1_{D32543AD-FCD6-4784-A5C2-A91D1C3663E3}" xr6:coauthVersionLast="47" xr6:coauthVersionMax="47" xr10:uidLastSave="{00000000-0000-0000-0000-000000000000}"/>
  <bookViews>
    <workbookView xWindow="-98" yWindow="-98" windowWidth="19396" windowHeight="11475" tabRatio="836" xr2:uid="{9A281264-A3AB-47BD-AFC6-8AAAB03328B3}"/>
  </bookViews>
  <sheets>
    <sheet name="Power Circuit Design" sheetId="1" r:id="rId1"/>
    <sheet name="Compensator Circuit Design " sheetId="9" r:id="rId2"/>
    <sheet name="Device Pin Programming" sheetId="8" r:id="rId3"/>
    <sheet name="Data" sheetId="2" state="hidden" r:id="rId4"/>
    <sheet name="Schematics" sheetId="3" r:id="rId5"/>
    <sheet name="Plant Transfer Function" sheetId="7" state="hidden" r:id="rId6"/>
  </sheets>
  <definedNames>
    <definedName name="Acore">'Power Circuit Design'!$C$62</definedName>
    <definedName name="arg_Hfc_used">#REF!</definedName>
    <definedName name="Bmax">'Power Circuit Design'!$C$63</definedName>
    <definedName name="Boost">#REF!</definedName>
    <definedName name="C_1_actual">#REF!</definedName>
    <definedName name="C_3_actual">#REF!</definedName>
    <definedName name="Cbulk\3">Data!$G$55</definedName>
    <definedName name="Cbulk_recom">'Power Circuit Design'!#REF!</definedName>
    <definedName name="Cbulk2\3">Data!$G$56</definedName>
    <definedName name="Cfb">#REF!</definedName>
    <definedName name="Copto">#REF!</definedName>
    <definedName name="Cout_actual">'Power Circuit Design'!$C$95</definedName>
    <definedName name="Cout_ripple">Data!$G$32</definedName>
    <definedName name="Cout_tran">Data!$G$31</definedName>
    <definedName name="Cp">#REF!</definedName>
    <definedName name="Csn_actual">'Power Circuit Design'!#REF!</definedName>
    <definedName name="Csn_recom">'Power Circuit Design'!$C$80</definedName>
    <definedName name="CTR_min">#REF!</definedName>
    <definedName name="Device">'Power Circuit Design'!$C$17</definedName>
    <definedName name="Dmax">'Power Circuit Design'!$C$47</definedName>
    <definedName name="efficiency">'Power Circuit Design'!$C$28</definedName>
    <definedName name="fc">'Power Circuit Design'!$C$92</definedName>
    <definedName name="fc_used">#REF!</definedName>
    <definedName name="Fclamp">'Power Circuit Design'!$C$51</definedName>
    <definedName name="fline_max">'Power Circuit Design'!#REF!</definedName>
    <definedName name="fline_min">'Power Circuit Design'!#REF!</definedName>
    <definedName name="fopto">#REF!</definedName>
    <definedName name="fp_0">#REF!</definedName>
    <definedName name="fp_1">#REF!</definedName>
    <definedName name="fp_2">#REF!</definedName>
    <definedName name="Fsw_actual_LLFL">Data!$G$30</definedName>
    <definedName name="Fsw_desired_LLFL">'Power Circuit Design'!$C$52</definedName>
    <definedName name="fz_1">#REF!</definedName>
    <definedName name="fz_2">#REF!</definedName>
    <definedName name="G_net">#REF!</definedName>
    <definedName name="H_fc_used">#REF!</definedName>
    <definedName name="Ibias">#REF!</definedName>
    <definedName name="Icbulk_rms">Data!$G$54</definedName>
    <definedName name="Idbr_pk">Data!$G$50</definedName>
    <definedName name="Iin_avg">Data!$G$53</definedName>
    <definedName name="Iin_min">Data!$G$48</definedName>
    <definedName name="Ipk_error">Data!$G$39</definedName>
    <definedName name="Ipk_max">'Power Circuit Design'!$C$48</definedName>
    <definedName name="Ipk_recom">Data!$G$40</definedName>
    <definedName name="Ipk_recom_calc1">Data!$G$39</definedName>
    <definedName name="Ipk_set">'Power Circuit Design'!$C$50</definedName>
    <definedName name="Ipri_pk">'Power Circuit Design'!$C$67</definedName>
    <definedName name="Isec_pk">'Power Circuit Design'!$C$70</definedName>
    <definedName name="Isec_rms">'Power Circuit Design'!$C$71</definedName>
    <definedName name="Llk">'Power Circuit Design'!$C$61</definedName>
    <definedName name="Lm">Data!$G$34</definedName>
    <definedName name="Lm_actual">'Power Circuit Design'!$C$56</definedName>
    <definedName name="Lm_max_datasheet">Data!$G$36</definedName>
    <definedName name="Lm_min_datasheet">Data!$G$35</definedName>
    <definedName name="nF">'Power Circuit Design'!$D$80</definedName>
    <definedName name="Np">'Power Circuit Design'!$C$64</definedName>
    <definedName name="Np_actual">#REF!</definedName>
    <definedName name="Nps_actual">Data!#REF!</definedName>
    <definedName name="Nps_calc">'Power Circuit Design'!$C$44</definedName>
    <definedName name="Nps_max">'Power Circuit Design'!$C$40</definedName>
    <definedName name="Nps_recom">'Power Circuit Design'!$C$41</definedName>
    <definedName name="Nps_sel">'Power Circuit Design'!$C$45</definedName>
    <definedName name="Ns">'Power Circuit Design'!$C$65</definedName>
    <definedName name="Ns_actual">#REF!</definedName>
    <definedName name="Over_Under_Shoot">'Power Circuit Design'!$C$90</definedName>
    <definedName name="p">'Power Circuit Design'!$C$78</definedName>
    <definedName name="Pin">'Power Circuit Design'!$C$29</definedName>
    <definedName name="PM">#REF!</definedName>
    <definedName name="Pout_max">'Power Circuit Design'!$C$26</definedName>
    <definedName name="Psn">'Power Circuit Design'!$C$77</definedName>
    <definedName name="R_1_actual">#REF!</definedName>
    <definedName name="R_2_actual">#REF!</definedName>
    <definedName name="R_3_actual">#REF!</definedName>
    <definedName name="Rbias">#REF!</definedName>
    <definedName name="Rcdx">'Device Pin Programming'!$C$24</definedName>
    <definedName name="Resr_actual">'Power Circuit Design'!$C$100</definedName>
    <definedName name="Rfcl">'Device Pin Programming'!$C$18</definedName>
    <definedName name="Ripk">'Device Pin Programming'!$C$13</definedName>
    <definedName name="Rlead_max">'Compensator Circuit Design '!$C$30</definedName>
    <definedName name="Rled_actual">#REF!</definedName>
    <definedName name="Rled_max">#REF!</definedName>
    <definedName name="Rload">Data!$G$33</definedName>
    <definedName name="Rlower_actual">#REF!</definedName>
    <definedName name="Rpullup">#REF!</definedName>
    <definedName name="Rsn_actual">'Power Circuit Design'!#REF!</definedName>
    <definedName name="Rsn_recom">'Power Circuit Design'!$C$79</definedName>
    <definedName name="Rtr">'Device Pin Programming'!$C$7</definedName>
    <definedName name="Sdiode">Data!$G$51</definedName>
    <definedName name="tcharge">Data!$G$46</definedName>
    <definedName name="Tdiode_cond">Data!$G$52</definedName>
    <definedName name="Tdischarge">Data!$G$45</definedName>
    <definedName name="Tline">Data!$G$26</definedName>
    <definedName name="TR">'Power Circuit Design'!$C$43</definedName>
    <definedName name="TR_actual">'Power Circuit Design'!$C$43</definedName>
    <definedName name="TR_calc">Data!$G$37</definedName>
    <definedName name="ucg28824_ipk">Data!$J$26:$J$28</definedName>
    <definedName name="ucg28826_ipk">Data!$N$26:$N$28</definedName>
    <definedName name="ucg28828_ipk">Data!$O$26:$O$28</definedName>
    <definedName name="Vbulk_max">Data!$G$28</definedName>
    <definedName name="Vbulk_min">Data!$G$27</definedName>
    <definedName name="Vbulk_min_desired">'Power Circuit Design'!#REF!</definedName>
    <definedName name="Vce_sat">#REF!</definedName>
    <definedName name="Vf_opto">#REF!</definedName>
    <definedName name="Vin_max">'Power Circuit Design'!$C$35</definedName>
    <definedName name="Vin_min">'Power Circuit Design'!$C$34</definedName>
    <definedName name="Vos">'Power Circuit Design'!$C$74</definedName>
    <definedName name="Vout_max">'Power Circuit Design'!$C$24</definedName>
    <definedName name="Vout_min">'Power Circuit Design'!$C$23</definedName>
    <definedName name="Vout_ripple">'Power Circuit Design'!$C$30</definedName>
    <definedName name="Vout_sel">#REF!</definedName>
    <definedName name="Vovp">'Power Circuit Design'!$C$25</definedName>
    <definedName name="Vref">#REF!</definedName>
    <definedName name="Vsn">'Power Circuit Design'!$C$75</definedName>
    <definedName name="Vsn_ripple">'Power Circuit Design'!$C$76</definedName>
    <definedName name="x">'Power Circuit Design'!#REF!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4" i="2" l="1"/>
  <c r="C44" i="1"/>
  <c r="G36" i="2"/>
  <c r="G35" i="2"/>
  <c r="J13" i="2"/>
  <c r="J16" i="2"/>
  <c r="J15" i="2"/>
  <c r="J14" i="2"/>
  <c r="C27" i="1"/>
  <c r="C29" i="1" l="1"/>
  <c r="C89" i="1"/>
  <c r="C34" i="3" l="1"/>
  <c r="C35" i="3"/>
  <c r="C48" i="3"/>
  <c r="C29" i="9"/>
  <c r="C30" i="9" s="1"/>
  <c r="C36" i="3"/>
  <c r="C54" i="3"/>
  <c r="C53" i="3"/>
  <c r="C52" i="3"/>
  <c r="C51" i="3"/>
  <c r="C50" i="3"/>
  <c r="C47" i="3"/>
  <c r="C42" i="3"/>
  <c r="C41" i="3"/>
  <c r="C72" i="9" l="1"/>
  <c r="C70" i="9"/>
  <c r="C69" i="9"/>
  <c r="C61" i="9"/>
  <c r="C68" i="9" s="1"/>
  <c r="C47" i="9"/>
  <c r="C49" i="9" s="1"/>
  <c r="C52" i="9" s="1"/>
  <c r="C45" i="9"/>
  <c r="C59" i="9" s="1"/>
  <c r="C43" i="9"/>
  <c r="C44" i="9" s="1"/>
  <c r="C36" i="9"/>
  <c r="C35" i="9"/>
  <c r="C32" i="9"/>
  <c r="C49" i="3" s="1"/>
  <c r="C57" i="9" l="1"/>
  <c r="C71" i="9"/>
  <c r="C64" i="9"/>
  <c r="C53" i="9"/>
  <c r="C62" i="9" s="1"/>
  <c r="C55" i="9"/>
  <c r="C46" i="1" l="1"/>
  <c r="E34" i="1"/>
  <c r="D34" i="1"/>
  <c r="B34" i="1"/>
  <c r="A34" i="1"/>
  <c r="J12" i="2"/>
  <c r="J11" i="2"/>
  <c r="J10" i="2"/>
  <c r="J9" i="2"/>
  <c r="J8" i="2"/>
  <c r="J7" i="2"/>
  <c r="J6" i="2"/>
  <c r="J5" i="2"/>
  <c r="L65" i="2"/>
  <c r="L72" i="2"/>
  <c r="L71" i="2"/>
  <c r="L67" i="2"/>
  <c r="L68" i="2"/>
  <c r="L69" i="2"/>
  <c r="L70" i="2"/>
  <c r="L66" i="2"/>
  <c r="G28" i="2" l="1"/>
  <c r="C83" i="1" l="1"/>
  <c r="C40" i="1"/>
  <c r="C41" i="1"/>
  <c r="G37" i="2" s="1"/>
  <c r="E42" i="1" s="1"/>
  <c r="C75" i="1"/>
  <c r="C42" i="1" l="1"/>
  <c r="C64" i="1"/>
  <c r="C65" i="1" l="1"/>
  <c r="G31" i="2" l="1"/>
  <c r="G26" i="2" l="1"/>
  <c r="G45" i="2" s="1"/>
  <c r="C60" i="1" l="1"/>
  <c r="C24" i="8" l="1" a="1"/>
  <c r="C24" i="8" s="1"/>
  <c r="C43" i="3" s="1"/>
  <c r="C10" i="8"/>
  <c r="C6" i="8"/>
  <c r="C7" i="8" s="1"/>
  <c r="C46" i="3" s="1"/>
  <c r="C16" i="8"/>
  <c r="C18" i="8" s="1" a="1"/>
  <c r="C18" i="8" s="1"/>
  <c r="C44" i="3" s="1"/>
  <c r="N10" i="7"/>
  <c r="H7" i="7" l="1"/>
  <c r="H6" i="7"/>
  <c r="H5" i="7"/>
  <c r="H4" i="7"/>
  <c r="N9" i="7"/>
  <c r="C5" i="7"/>
  <c r="C4" i="7"/>
  <c r="G6" i="7"/>
  <c r="G7" i="7" s="1"/>
  <c r="G8" i="7" s="1"/>
  <c r="G9" i="7" s="1"/>
  <c r="G10" i="7" s="1"/>
  <c r="G11" i="7" s="1"/>
  <c r="G12" i="7" s="1"/>
  <c r="G13" i="7" s="1"/>
  <c r="G14" i="7" s="1"/>
  <c r="G15" i="7" s="1"/>
  <c r="G16" i="7" s="1"/>
  <c r="G17" i="7" s="1"/>
  <c r="H17" i="7" s="1"/>
  <c r="B7" i="7"/>
  <c r="B8" i="7" s="1"/>
  <c r="B9" i="7" s="1"/>
  <c r="B10" i="7" s="1"/>
  <c r="B11" i="7" s="1"/>
  <c r="B12" i="7" s="1"/>
  <c r="B13" i="7" s="1"/>
  <c r="B14" i="7" s="1"/>
  <c r="B6" i="7"/>
  <c r="C6" i="7" s="1"/>
  <c r="B15" i="7" l="1"/>
  <c r="C14" i="7"/>
  <c r="H10" i="7"/>
  <c r="H12" i="7"/>
  <c r="H13" i="7"/>
  <c r="C7" i="7"/>
  <c r="H14" i="7"/>
  <c r="C8" i="7"/>
  <c r="H15" i="7"/>
  <c r="C9" i="7"/>
  <c r="H16" i="7"/>
  <c r="C11" i="7"/>
  <c r="C12" i="7"/>
  <c r="C13" i="7"/>
  <c r="H8" i="7"/>
  <c r="H9" i="7"/>
  <c r="H11" i="7"/>
  <c r="C10" i="7"/>
  <c r="C96" i="1"/>
  <c r="G33" i="2"/>
  <c r="C86" i="1"/>
  <c r="E35" i="1"/>
  <c r="D35" i="1"/>
  <c r="B35" i="1"/>
  <c r="A35" i="1"/>
  <c r="G48" i="2"/>
  <c r="B16" i="7" l="1"/>
  <c r="C15" i="7"/>
  <c r="C13" i="8" a="1"/>
  <c r="C13" i="8" s="1"/>
  <c r="C45" i="3" s="1"/>
  <c r="B17" i="7" l="1"/>
  <c r="C17" i="7" s="1"/>
  <c r="C16" i="7"/>
  <c r="C69" i="1"/>
  <c r="E45" i="1" l="1"/>
  <c r="G55" i="2" l="1"/>
  <c r="G56" i="2" l="1"/>
  <c r="C66" i="1" l="1"/>
  <c r="E46" i="1" l="1"/>
  <c r="G46" i="2"/>
  <c r="L62" i="2"/>
  <c r="L61" i="2" l="1"/>
  <c r="G49" i="2"/>
  <c r="L59" i="2"/>
  <c r="G47" i="2"/>
  <c r="L60" i="2"/>
  <c r="L63" i="2"/>
  <c r="G27" i="2" l="1"/>
  <c r="G29" i="2" s="1"/>
  <c r="G50" i="2"/>
  <c r="G51" i="2" s="1"/>
  <c r="G52" i="2" s="1"/>
  <c r="G53" i="2" s="1"/>
  <c r="G54" i="2" s="1"/>
  <c r="C47" i="1" l="1"/>
  <c r="C48" i="1" s="1"/>
  <c r="C97" i="1" s="1"/>
  <c r="E50" i="1" l="1"/>
  <c r="C57" i="1"/>
  <c r="C67" i="1"/>
  <c r="C68" i="1" s="1"/>
  <c r="G34" i="2"/>
  <c r="G38" i="2"/>
  <c r="G39" i="2" s="1" a="1"/>
  <c r="G39" i="2" s="1"/>
  <c r="E48" i="1" s="1"/>
  <c r="G30" i="2"/>
  <c r="C99" i="1"/>
  <c r="C70" i="1"/>
  <c r="C84" i="1" s="1"/>
  <c r="G40" i="2" l="1"/>
  <c r="C49" i="1" s="1"/>
  <c r="C71" i="1"/>
  <c r="C98" i="1" s="1"/>
  <c r="E49" i="1"/>
  <c r="C77" i="1"/>
  <c r="C93" i="1"/>
  <c r="C91" i="1"/>
  <c r="G32" i="2"/>
  <c r="C94" i="1" s="1"/>
  <c r="C55" i="1"/>
  <c r="C53" i="1"/>
  <c r="C54" i="1"/>
  <c r="C85" i="1" l="1"/>
  <c r="C79" i="1"/>
  <c r="C40" i="3" s="1"/>
  <c r="C80" i="1"/>
  <c r="C3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<sst xmlns="http://schemas.openxmlformats.org/spreadsheetml/2006/main" count="692" uniqueCount="423">
  <si>
    <t xml:space="preserve">Please enter design parameters into </t>
  </si>
  <si>
    <t>shaded</t>
  </si>
  <si>
    <t>cells</t>
  </si>
  <si>
    <t>Device you are using</t>
  </si>
  <si>
    <t>Refer datasheet for detailed information</t>
  </si>
  <si>
    <t>DESIGN SPECIFICATIONS</t>
  </si>
  <si>
    <t>Design Parameter</t>
  </si>
  <si>
    <t>Symbol</t>
  </si>
  <si>
    <t>Values</t>
  </si>
  <si>
    <t>Unit</t>
  </si>
  <si>
    <t>Comment</t>
  </si>
  <si>
    <t>OUTPUT PARAMETERS</t>
  </si>
  <si>
    <t>V</t>
  </si>
  <si>
    <t>W</t>
  </si>
  <si>
    <t xml:space="preserve">Enter required maximum output power of converter </t>
  </si>
  <si>
    <t>A</t>
  </si>
  <si>
    <t>η</t>
  </si>
  <si>
    <t>Enter target efficiency at low line and maximum output power</t>
  </si>
  <si>
    <t>INPUT PARAMETERS</t>
  </si>
  <si>
    <t xml:space="preserve">Enter minimum ac input voltage </t>
  </si>
  <si>
    <t>Enter maximum ac input voltage</t>
  </si>
  <si>
    <t>Hz</t>
  </si>
  <si>
    <t>DESIGN CALCULATIONS</t>
  </si>
  <si>
    <t>FLYBACK STAGE</t>
  </si>
  <si>
    <t>Fclamp</t>
  </si>
  <si>
    <t>kHz</t>
  </si>
  <si>
    <t>Select maximum switching frequency</t>
  </si>
  <si>
    <t xml:space="preserve">Enter the desired nominal switching frequency </t>
  </si>
  <si>
    <t>μH</t>
  </si>
  <si>
    <t>Vout_max</t>
  </si>
  <si>
    <t>Pout_max</t>
  </si>
  <si>
    <t>Vin_min</t>
  </si>
  <si>
    <t>Vin_max</t>
  </si>
  <si>
    <t>Nps_max</t>
  </si>
  <si>
    <t>Nps_calc</t>
  </si>
  <si>
    <t>TR</t>
  </si>
  <si>
    <t>SNUBBER CIRCUIT (RCD)</t>
  </si>
  <si>
    <t>Vos</t>
  </si>
  <si>
    <t>Vsn</t>
  </si>
  <si>
    <t>Psn</t>
  </si>
  <si>
    <t>Rsn_recom</t>
  </si>
  <si>
    <t xml:space="preserve">kΩ </t>
  </si>
  <si>
    <t>Csn_recom</t>
  </si>
  <si>
    <t>nF</t>
  </si>
  <si>
    <t>mV</t>
  </si>
  <si>
    <t>Enter required maximum output voltage ripple</t>
  </si>
  <si>
    <t>Fsw_desired_LLFL</t>
  </si>
  <si>
    <t>WHERE APLICABLE, A RECOMMENDED VALUE IS GIVEN THAT WILL BE THE BEST CHOICE TO MEET THE GIVEN SPECIFICATION. IT IS IN THE BEST INTEREST OF THE USER TO USE A VALUE AS CLOSE AS POSSIBLE TO THE SUGGESTED VALUE. FOR ACCURATE RESULTS, THE USER MUST ENTER THE ACTUAL VALUE USED IN THE DESIGN IN THE APPROPRIATE CELL.</t>
  </si>
  <si>
    <t>FLYBACK TRANSFORMER</t>
  </si>
  <si>
    <t>Vpri</t>
  </si>
  <si>
    <t>Vsec</t>
  </si>
  <si>
    <t>FLYBACK OUTPUT RECTIFIER DIODE/SYNCHRONOUS RECTIFIER</t>
  </si>
  <si>
    <t xml:space="preserve">mΩ </t>
  </si>
  <si>
    <t>OUTPUT CAPCITOR SELECTION</t>
  </si>
  <si>
    <t>uF</t>
  </si>
  <si>
    <t>Enter the actual value of output capacitors used</t>
  </si>
  <si>
    <t>ESR used</t>
  </si>
  <si>
    <t>Enter the actual value of ESR of output capacitor</t>
  </si>
  <si>
    <t>Nps_sel</t>
  </si>
  <si>
    <t>Ipk_set</t>
  </si>
  <si>
    <t>Ipk_max</t>
  </si>
  <si>
    <t>Lm_recom</t>
  </si>
  <si>
    <t>Lm_min</t>
  </si>
  <si>
    <t>Lm_max</t>
  </si>
  <si>
    <t>Lm_actual</t>
  </si>
  <si>
    <t>mm2</t>
  </si>
  <si>
    <t>Bmax</t>
  </si>
  <si>
    <t>T</t>
  </si>
  <si>
    <t>Fsw_actual_LLFL</t>
  </si>
  <si>
    <t>Np</t>
  </si>
  <si>
    <t>Ns</t>
  </si>
  <si>
    <t>Acore</t>
  </si>
  <si>
    <t>Llk</t>
  </si>
  <si>
    <t>Adjust TR value to match Nps_calc with Nps_sel as close as possible</t>
  </si>
  <si>
    <t>Enter the expected leakage inducance (should be below 3% of Lm_actual)</t>
  </si>
  <si>
    <t>Units</t>
  </si>
  <si>
    <t>Dmax</t>
  </si>
  <si>
    <t>Parameters</t>
  </si>
  <si>
    <t>Vds_peak</t>
  </si>
  <si>
    <t>Id_peak</t>
  </si>
  <si>
    <t>Vout_ripple</t>
  </si>
  <si>
    <t>Cout_actual</t>
  </si>
  <si>
    <t>Resr_actual</t>
  </si>
  <si>
    <t>Resr_max.</t>
  </si>
  <si>
    <t>Icout_peak</t>
  </si>
  <si>
    <t>Cout_recom</t>
  </si>
  <si>
    <t>Voltage refrence</t>
  </si>
  <si>
    <t>TL431</t>
  </si>
  <si>
    <t>TLV431</t>
  </si>
  <si>
    <t>Ibias</t>
  </si>
  <si>
    <t>mA</t>
  </si>
  <si>
    <t>Rbias</t>
  </si>
  <si>
    <t>Rpullup</t>
  </si>
  <si>
    <t>Select the desired shunt regulator</t>
  </si>
  <si>
    <t>Vref</t>
  </si>
  <si>
    <t>PM</t>
  </si>
  <si>
    <t>degree</t>
  </si>
  <si>
    <t>Rled</t>
  </si>
  <si>
    <t>Rload</t>
  </si>
  <si>
    <t>Cout_transient</t>
  </si>
  <si>
    <t>Cout_ripple</t>
  </si>
  <si>
    <t>Ohms</t>
  </si>
  <si>
    <t>|G(fc)|</t>
  </si>
  <si>
    <t>Boost</t>
  </si>
  <si>
    <t>fopto</t>
  </si>
  <si>
    <t>Copto</t>
  </si>
  <si>
    <t>pF</t>
  </si>
  <si>
    <t>Cfb</t>
  </si>
  <si>
    <t>Cp</t>
  </si>
  <si>
    <t>fc_used</t>
  </si>
  <si>
    <t xml:space="preserve">Enter the targeted value of crossover frequency. </t>
  </si>
  <si>
    <t>fc_recom</t>
  </si>
  <si>
    <t>us</t>
  </si>
  <si>
    <t>T_response</t>
  </si>
  <si>
    <t>Controller Pin Discription</t>
  </si>
  <si>
    <t>Rtr</t>
  </si>
  <si>
    <t>Imax/Imin</t>
  </si>
  <si>
    <t>Select desired Imax/Imin value; refer datasheet</t>
  </si>
  <si>
    <t>EMI</t>
  </si>
  <si>
    <t>%</t>
  </si>
  <si>
    <t>Select desired EMI dethering settings; refer datasheet</t>
  </si>
  <si>
    <t>Ripk</t>
  </si>
  <si>
    <t>Frequency clamp</t>
  </si>
  <si>
    <t>Select desired fault setting; refer datasheet</t>
  </si>
  <si>
    <t>CCM</t>
  </si>
  <si>
    <t>Disabled</t>
  </si>
  <si>
    <t>Select desired CCM setting; refer datasheet</t>
  </si>
  <si>
    <t>Enabled</t>
  </si>
  <si>
    <t>Select desired X-cap discharge setting; refer datasheet</t>
  </si>
  <si>
    <t>Rcdx</t>
  </si>
  <si>
    <t>Latched</t>
  </si>
  <si>
    <t>Ipk_max/Ipk_min</t>
  </si>
  <si>
    <t>EXTOTP Fault and OVP Latched, rest auto retry</t>
  </si>
  <si>
    <t>All auto retry</t>
  </si>
  <si>
    <t>X-cap discharge</t>
  </si>
  <si>
    <t>V/ns</t>
  </si>
  <si>
    <t>Select desired SW Node Turn-On Slew Rate; refer datasheet</t>
  </si>
  <si>
    <t>Warning! If cells become red, please readjust compensator values entered above to have optimised values.</t>
  </si>
  <si>
    <t>TI Literature Number:                                                                                                                                                                                                                                                                                                               Version : Original</t>
  </si>
  <si>
    <t>Vovp</t>
  </si>
  <si>
    <t>Icbulk_rms</t>
  </si>
  <si>
    <t>Iin_min</t>
  </si>
  <si>
    <t>Iin_max</t>
  </si>
  <si>
    <t>Idbr_pk</t>
  </si>
  <si>
    <t>Sdiode</t>
  </si>
  <si>
    <t>Icbulk_pk</t>
  </si>
  <si>
    <t>Tline_max</t>
  </si>
  <si>
    <t>ms</t>
  </si>
  <si>
    <t>Tdiode_conduction</t>
  </si>
  <si>
    <t>Iin_avg</t>
  </si>
  <si>
    <t>Tdischarge</t>
  </si>
  <si>
    <t>Tcharge</t>
  </si>
  <si>
    <t>Ipri_rms</t>
  </si>
  <si>
    <t>Ipri_pk</t>
  </si>
  <si>
    <t>Isec_pk</t>
  </si>
  <si>
    <t>Isec_rms</t>
  </si>
  <si>
    <t>Enter required output OVP point</t>
  </si>
  <si>
    <t>Vovp_actual</t>
  </si>
  <si>
    <t>Including 15% margin</t>
  </si>
  <si>
    <t>Vout_min</t>
  </si>
  <si>
    <t>Enter the desired minimum output voltage of the converter</t>
  </si>
  <si>
    <t>Enter the desired maximum output voltage of the converter</t>
  </si>
  <si>
    <t>Comments</t>
  </si>
  <si>
    <t>Device</t>
  </si>
  <si>
    <t>Icout_rms</t>
  </si>
  <si>
    <t>Use a combination of capacitors that will meet this Peak current stress</t>
  </si>
  <si>
    <t>Use a combination of capacitors that will meet this ripple current stress</t>
  </si>
  <si>
    <t>Id_avg</t>
  </si>
  <si>
    <t>Id_rms</t>
  </si>
  <si>
    <t>2*Cbulk/3</t>
  </si>
  <si>
    <t>Cbulk/3</t>
  </si>
  <si>
    <t>Rfcl</t>
  </si>
  <si>
    <t>Please go to "Power Circuit Design" and "Controller Circuit Design" sheets for calculations!</t>
  </si>
  <si>
    <t>Vpfc_min</t>
  </si>
  <si>
    <r>
      <t>Δ</t>
    </r>
    <r>
      <rPr>
        <sz val="11"/>
        <color theme="1"/>
        <rFont val="Calibri"/>
        <family val="2"/>
        <scheme val="minor"/>
      </rPr>
      <t>Vsn</t>
    </r>
  </si>
  <si>
    <t>Enter the desired overshoot and undershoot value of Vout due to dynamic change in load</t>
  </si>
  <si>
    <t>Vovershoot</t>
  </si>
  <si>
    <t>Vcout_peak</t>
  </si>
  <si>
    <t>Enter the minimum output voltage of PFC</t>
  </si>
  <si>
    <t>Vpfc_max</t>
  </si>
  <si>
    <t>Vac</t>
  </si>
  <si>
    <t>Enter the maximum output voltage of PFC</t>
  </si>
  <si>
    <t>Vbulk_max</t>
  </si>
  <si>
    <t>Vbulk_min</t>
  </si>
  <si>
    <t>Symbols/values</t>
  </si>
  <si>
    <t>Note: Valid only for UCG28824/6</t>
  </si>
  <si>
    <t>Enter the effective cross-sectional area of the core</t>
  </si>
  <si>
    <t>Enter a value lesser than the saturation flux density of the core</t>
  </si>
  <si>
    <t>Fsw</t>
  </si>
  <si>
    <t>Gain (dB)</t>
  </si>
  <si>
    <t>Interpolation Data for UCG28824</t>
  </si>
  <si>
    <t>Fsw (Hz)</t>
  </si>
  <si>
    <t>Phase (degrees)</t>
  </si>
  <si>
    <t>Interpolation Data for UCG28826/28</t>
  </si>
  <si>
    <t>Log(Fsw)</t>
  </si>
  <si>
    <t>Estimated Values</t>
  </si>
  <si>
    <t xml:space="preserve">Gain </t>
  </si>
  <si>
    <t xml:space="preserve">Phase </t>
  </si>
  <si>
    <t>Calculated based on TR and Vovp settings</t>
  </si>
  <si>
    <r>
      <t xml:space="preserve">Recommended Component Values are in </t>
    </r>
    <r>
      <rPr>
        <b/>
        <sz val="10"/>
        <color rgb="FF00B050"/>
        <rFont val="Calibri"/>
        <family val="2"/>
        <scheme val="minor"/>
      </rPr>
      <t>GREEN</t>
    </r>
  </si>
  <si>
    <r>
      <rPr>
        <b/>
        <sz val="8"/>
        <color theme="1"/>
        <rFont val="Calibri"/>
        <family val="2"/>
        <scheme val="minor"/>
      </rPr>
      <t>DISCLAIMER</t>
    </r>
    <r>
      <rPr>
        <sz val="8"/>
        <color theme="1"/>
        <rFont val="Calibri"/>
        <family val="2"/>
        <scheme val="minor"/>
      </rPr>
      <t xml:space="preserve">
This product is designed as an aid for customers of Texas Instruments. No warranties, either expresses or implied, with respect to this software or its fitness for any particular purpose, are claimed by Texas Instruments or the author. The software is licensed solely on an "as is" basis. The entire risk to its quality and performance is with the customer.</t>
    </r>
  </si>
  <si>
    <t>Worst case overshoot voltage across primary side switch</t>
  </si>
  <si>
    <t>Minimum output voltage</t>
  </si>
  <si>
    <t>Maximum output voltage</t>
  </si>
  <si>
    <t>Output over voltage protection point</t>
  </si>
  <si>
    <t xml:space="preserve">Maximum output power </t>
  </si>
  <si>
    <t>Target full load efficiency</t>
  </si>
  <si>
    <t>Maximum output voltage ripple</t>
  </si>
  <si>
    <t>Minimum AC input voltage</t>
  </si>
  <si>
    <t>Minimum output voltage of the PFC</t>
  </si>
  <si>
    <t>Maximum AC input voltage</t>
  </si>
  <si>
    <t>Maximum output voltage of the PFC</t>
  </si>
  <si>
    <t>Maximum primary/secondary turns ratio</t>
  </si>
  <si>
    <t>Select TR value</t>
  </si>
  <si>
    <t>Calculated primary/secondary turns ratio</t>
  </si>
  <si>
    <t>Selected primary/secondary turns ratio</t>
  </si>
  <si>
    <t>Actual OVP point</t>
  </si>
  <si>
    <t>Maximum duty ratio</t>
  </si>
  <si>
    <t>Primary side maximum peak current</t>
  </si>
  <si>
    <t xml:space="preserve">Peak current setting of the device </t>
  </si>
  <si>
    <t>Clamp switching frequency of the device</t>
  </si>
  <si>
    <t>Desired minimum switching frequency at low line and full load</t>
  </si>
  <si>
    <t>Recommended magnetizing inductance</t>
  </si>
  <si>
    <t>Minimum magnetizing inductance</t>
  </si>
  <si>
    <t>Maximum magnetizing inductance</t>
  </si>
  <si>
    <t>Actual magnetizing inductance</t>
  </si>
  <si>
    <t>Actual minimum switching frequency at low line and full load</t>
  </si>
  <si>
    <t>Magnetizing inductance</t>
  </si>
  <si>
    <t>Primary side leakage inductance</t>
  </si>
  <si>
    <t>Select transformer core area</t>
  </si>
  <si>
    <t>Desired maximum operating core flux density</t>
  </si>
  <si>
    <t>Number of turns of the primary winding</t>
  </si>
  <si>
    <t>Number of turns of the secondary winding</t>
  </si>
  <si>
    <t>Primary winding peak voltage stress</t>
  </si>
  <si>
    <t>Primary winding peak current stress</t>
  </si>
  <si>
    <t>Primary winding RMS current stress</t>
  </si>
  <si>
    <t>Secondary winding peak voltage stress</t>
  </si>
  <si>
    <t>Secondary winding peak current stress</t>
  </si>
  <si>
    <t>Secondary winding RMS current stress</t>
  </si>
  <si>
    <t>Voltage across snubber capacitor</t>
  </si>
  <si>
    <t>Worst case ripple in snubber capacitor</t>
  </si>
  <si>
    <t>Worst case power dissipation in the snubber circuit</t>
  </si>
  <si>
    <t>Recommended snubber resistance</t>
  </si>
  <si>
    <t>Recommended snubber capacitance</t>
  </si>
  <si>
    <t>Peak voltage stress of SR FET/diode</t>
  </si>
  <si>
    <t>Peak current stress of SR FET/diode</t>
  </si>
  <si>
    <t>RMS current stress of SR FET/diode</t>
  </si>
  <si>
    <t>Average current stress of SR FET/diode</t>
  </si>
  <si>
    <t xml:space="preserve">Transient overshoot and undershoot voltage </t>
  </si>
  <si>
    <t>Recommended crossover frequency</t>
  </si>
  <si>
    <t>Used crossover frequency</t>
  </si>
  <si>
    <t>Approx response time to regulate output voltage</t>
  </si>
  <si>
    <t>Recommended output capacitor</t>
  </si>
  <si>
    <t>Used output capacitor</t>
  </si>
  <si>
    <t>Peak voltage stress of output capacitor</t>
  </si>
  <si>
    <t>Peak current stress of output capacitor</t>
  </si>
  <si>
    <t>RMS current stress of output capacitor</t>
  </si>
  <si>
    <t>Maximum ESR of output capacitor</t>
  </si>
  <si>
    <t>Selected TR value</t>
  </si>
  <si>
    <t>TR pin resistor value</t>
  </si>
  <si>
    <t>TR pin programming resistor setting</t>
  </si>
  <si>
    <t>IPK pin programming resistor setting</t>
  </si>
  <si>
    <t>Division ratio [Imax/Imin]</t>
  </si>
  <si>
    <t>EMI dithering depth (%)</t>
  </si>
  <si>
    <t>IPK pin resistor value</t>
  </si>
  <si>
    <t>FCL pin programming resistor setting</t>
  </si>
  <si>
    <t>Fault response</t>
  </si>
  <si>
    <t>FCL pin resistor value</t>
  </si>
  <si>
    <t>CDX pin programming resistor setting</t>
  </si>
  <si>
    <t>Select CCM setting</t>
  </si>
  <si>
    <t>Select SW node turn-on slew rate</t>
  </si>
  <si>
    <t>Select X-cap discharge setting</t>
  </si>
  <si>
    <t>CDX pin resistor value</t>
  </si>
  <si>
    <t>Shunt regulators</t>
  </si>
  <si>
    <t>Device variants</t>
  </si>
  <si>
    <t>TR prog. resistor values</t>
  </si>
  <si>
    <t>TR pin resistor (kΩ)</t>
  </si>
  <si>
    <t>Turns ratio</t>
  </si>
  <si>
    <t>IPK pin resistor (kΩ)</t>
  </si>
  <si>
    <t>Maximum peak current (A)</t>
  </si>
  <si>
    <t>EMI dithering depth(%)</t>
  </si>
  <si>
    <t>Note: Maximum peak current values changes with the device selected</t>
  </si>
  <si>
    <t xml:space="preserve">IPK programming resistor values for UCG2882x </t>
  </si>
  <si>
    <t>FCL pin programming resistor values</t>
  </si>
  <si>
    <t>FCL pin resistor value (kΩ)</t>
  </si>
  <si>
    <t>CDX resistor programming setting</t>
  </si>
  <si>
    <t>CDX pin resistor (kΩ)</t>
  </si>
  <si>
    <t>SW node turn-on slew rate (V/ns)</t>
  </si>
  <si>
    <t>Important design info</t>
  </si>
  <si>
    <t>UCG2882x peak current settings</t>
  </si>
  <si>
    <t>Cbulk parameter calculations</t>
  </si>
  <si>
    <t>Change in parameters for UCG2882x</t>
  </si>
  <si>
    <t>Lm</t>
  </si>
  <si>
    <r>
      <rPr>
        <sz val="11"/>
        <color theme="1"/>
        <rFont val="Calibri"/>
        <family val="2"/>
      </rPr>
      <t>µ</t>
    </r>
    <r>
      <rPr>
        <sz val="9.5500000000000007"/>
        <color theme="1"/>
        <rFont val="Calibri"/>
        <family val="2"/>
      </rPr>
      <t>H</t>
    </r>
  </si>
  <si>
    <t>UCG2882x min and max inductor setting</t>
  </si>
  <si>
    <t>Lm_min_datasheet</t>
  </si>
  <si>
    <t>Lm_max_datasheet</t>
  </si>
  <si>
    <t>UCG28828-1</t>
  </si>
  <si>
    <t>UCG28828-2</t>
  </si>
  <si>
    <t>UCG28824-1</t>
  </si>
  <si>
    <t>UCG28826-1</t>
  </si>
  <si>
    <t>UCG28826-3</t>
  </si>
  <si>
    <t>UCG28826-4</t>
  </si>
  <si>
    <t>UCG28826-5</t>
  </si>
  <si>
    <t>UCG2882-4</t>
  </si>
  <si>
    <t>UCG2882-5</t>
  </si>
  <si>
    <t>Recommended primary/secondary turns ratio</t>
  </si>
  <si>
    <t>Nps_recom</t>
  </si>
  <si>
    <t>Recommended TR value</t>
  </si>
  <si>
    <t>TR_recom</t>
  </si>
  <si>
    <t>TR_actual</t>
  </si>
  <si>
    <t>TR_calc</t>
  </si>
  <si>
    <t>Recommended peak current setting</t>
  </si>
  <si>
    <t>Ipk_set_recom</t>
  </si>
  <si>
    <t>Ipk_recom_calc</t>
  </si>
  <si>
    <t>Ipk_recom_calc1</t>
  </si>
  <si>
    <t>Ipk_recom</t>
  </si>
  <si>
    <t>OPTOCOUPLER FEEDBACK(Only for fixed Vout)</t>
  </si>
  <si>
    <t xml:space="preserve">Note: This is theoretical calculation based on ideal components. Fine tuning may be needed in the actual system </t>
  </si>
  <si>
    <t>Forward Voltage of an Optocoupler</t>
  </si>
  <si>
    <t>Vf(opto)</t>
  </si>
  <si>
    <t>Enter the forward voltage drop of an optocoupler used</t>
  </si>
  <si>
    <t>Saturation Voltage of an Optocoupler</t>
  </si>
  <si>
    <t>Vce(sat)</t>
  </si>
  <si>
    <t>Enter the collector-emitter saturation voltage of an optocoupler used</t>
  </si>
  <si>
    <t>Pull-up Resistor Value</t>
  </si>
  <si>
    <t>Fixed inside the device</t>
  </si>
  <si>
    <t>Minimum Value of Current Transfer Ratio of an Optocoupler</t>
  </si>
  <si>
    <t>CTR(min)</t>
  </si>
  <si>
    <t>Enter the minimum CTR value  based upon optocoupler characterisation done</t>
  </si>
  <si>
    <t>Select Shunt Voltage Regulator</t>
  </si>
  <si>
    <t>Reference Voltage of Selected Shunt Regulator</t>
  </si>
  <si>
    <t>Maximum Value of LED Resistor(Refer Figure(1))</t>
  </si>
  <si>
    <t>Rled(max)</t>
  </si>
  <si>
    <t>Minimum Required Bias Current for Shunt Regulator</t>
  </si>
  <si>
    <t>Enter the bias current of used shunt regulator (TLV431/TL431 or other)</t>
  </si>
  <si>
    <t>Bias Resistor Value to Provide Bias Current to Shunt Regulator</t>
  </si>
  <si>
    <t>Plant Transfer Function</t>
  </si>
  <si>
    <t>Pole Due to Load Resistor and Output Capacitor</t>
  </si>
  <si>
    <t>Fp(plant)</t>
  </si>
  <si>
    <t>Zero Due to Resr and Output Capacitor</t>
  </si>
  <si>
    <t>Fz(plant)</t>
  </si>
  <si>
    <t>Targeted Phase Margin</t>
  </si>
  <si>
    <t>Gain at Desired Cross Over Frequency (in dB) of Plant Transfer Function</t>
  </si>
  <si>
    <t>H(fc(used))</t>
  </si>
  <si>
    <t xml:space="preserve">Enter measured controlled to output gain at desired crossover frequency of plant transfer function </t>
  </si>
  <si>
    <t>Phase at Desired Cross Over Frequency (in degree) of Plant Transfer Function</t>
  </si>
  <si>
    <t>arg[H(fc(used))]</t>
  </si>
  <si>
    <t>Enter measured phase at desired crossover frequency of plant transfer function</t>
  </si>
  <si>
    <t>LED Resistor(Refer Figure (1))</t>
  </si>
  <si>
    <t>Enter actual value of Rled used; should be less than Rled(max)</t>
  </si>
  <si>
    <t>Compensation Transfer function</t>
  </si>
  <si>
    <t>Mid-band Gain at Desired Cross Over Frequency (in dB) of Compensator Transfer Function</t>
  </si>
  <si>
    <t>|G(fc(used))|</t>
  </si>
  <si>
    <t>Absolute Value of Mid-band Gain at Desired Cross Over Frequency of Compensator Transfer Function</t>
  </si>
  <si>
    <t>Required Boost at fc(used)</t>
  </si>
  <si>
    <t xml:space="preserve">First Pole /Low-Frequency Pole of an Optocoupler </t>
  </si>
  <si>
    <t>Enter the low frequency pole of an optocoupler based upon optocoupler characterisation done</t>
  </si>
  <si>
    <t>Optocoupler Capacitance</t>
  </si>
  <si>
    <t>Feedback Node Capacitance</t>
  </si>
  <si>
    <t>Enter the FB node capacitor value (minimum 100pF capacitor is required to cancel noise coupling between FB node and GND)</t>
  </si>
  <si>
    <t xml:space="preserve">Total Capacitor at Feedback Node </t>
  </si>
  <si>
    <t>First Pole of Compensator Due to R3 and C3</t>
  </si>
  <si>
    <t>fp1</t>
  </si>
  <si>
    <t>First Zero of Compensator Due to R2 and C1</t>
  </si>
  <si>
    <t>fz1</t>
  </si>
  <si>
    <t>Second Pole of Compensator Due to Rpullup and Cp</t>
  </si>
  <si>
    <t>fp2</t>
  </si>
  <si>
    <t>Second Zero of Compensator Due to (R1+R3) and C3</t>
  </si>
  <si>
    <t>fz2</t>
  </si>
  <si>
    <t>Upper Resistor(R1) Value of Resistor Divider to Make Vref</t>
  </si>
  <si>
    <t>R1</t>
  </si>
  <si>
    <t>Enter the desired value of upper resistor R1 of the resistor divider(refer figure(1))</t>
  </si>
  <si>
    <t>Recommended Lower Resistor(Rlower) Value of Resistor Divider to Make Vref</t>
  </si>
  <si>
    <t>Rlower(recom)</t>
  </si>
  <si>
    <t>Actual Lower Resistor(Rlower) Value of Resistor Divider to Make Vref</t>
  </si>
  <si>
    <t>Rlower</t>
  </si>
  <si>
    <t>Enter the actual value of lower resistor(Rlower) used in resistor divider circuit(refer figure(1))</t>
  </si>
  <si>
    <t>Recommended Value of Resistor R2</t>
  </si>
  <si>
    <t>R2(recom)</t>
  </si>
  <si>
    <t>Actual Value of Resistor R2</t>
  </si>
  <si>
    <t>R2</t>
  </si>
  <si>
    <t>Enter the actual value of resistor R2 used (refer figure (1)); select approx. same value as the recommended value</t>
  </si>
  <si>
    <t>Recommended Value of Capacitor C1</t>
  </si>
  <si>
    <t>C1(recom)</t>
  </si>
  <si>
    <t>Actual Value of Capacitor C1</t>
  </si>
  <si>
    <t>C1</t>
  </si>
  <si>
    <t>Enter the actual value of capacitor C1 used (refer figure (1)); select higher value than the recommended value</t>
  </si>
  <si>
    <t>Pole at Origin Due to R1 and C1</t>
  </si>
  <si>
    <t>fp0</t>
  </si>
  <si>
    <t>Recommended Value of Resistor R3</t>
  </si>
  <si>
    <t>R3(recom)</t>
  </si>
  <si>
    <t>Actual Value of Resistor R3</t>
  </si>
  <si>
    <t>R3</t>
  </si>
  <si>
    <t>Enter the actual value of resistor R3 used (refer figure (1)); select lower value than the recommended value</t>
  </si>
  <si>
    <t>Recommended Value of Capacitor C3</t>
  </si>
  <si>
    <t>C3(recom)</t>
  </si>
  <si>
    <t>Actual Value of Capacitor C3</t>
  </si>
  <si>
    <t>C3</t>
  </si>
  <si>
    <t>Enter the actual value of capacitor C3 used (refer figure (1))</t>
  </si>
  <si>
    <t>Final values of poles and zero of Compensator</t>
  </si>
  <si>
    <t>Second Pole of compensator Due to Rpullup and Cp</t>
  </si>
  <si>
    <t>2Cbulk/3</t>
  </si>
  <si>
    <t>Csn</t>
  </si>
  <si>
    <t>Rsn</t>
  </si>
  <si>
    <t>Nps</t>
  </si>
  <si>
    <t>Cout</t>
  </si>
  <si>
    <t>Shape Visible?</t>
  </si>
  <si>
    <t>UCG28824?</t>
  </si>
  <si>
    <t>Calculated maximum value of output current</t>
  </si>
  <si>
    <t>Iout_max</t>
  </si>
  <si>
    <t>Calculated maximum output current</t>
  </si>
  <si>
    <t>Input power</t>
  </si>
  <si>
    <t>Calculated input power</t>
  </si>
  <si>
    <t>Percentage power recovered</t>
  </si>
  <si>
    <t>p</t>
  </si>
  <si>
    <t>Pin</t>
  </si>
  <si>
    <t>Enter the actual value of the magnetizing inductance used</t>
  </si>
  <si>
    <t>UCG28828 DESIGN CALCULATOR TOOL</t>
  </si>
  <si>
    <t>UCG28828  QR Flyback Controller</t>
  </si>
  <si>
    <t>Be sure to enable editing before attempting to use this design calculator
This spreadsheet guides the user through the design process of QR flyback DC/DC converter using UCG28828. User interaction is required in order to get best possible results. Enter the desired specifications where prompted, the highlighted cells are for user inputs; calculations for the design are based upon the inputs.</t>
  </si>
  <si>
    <r>
      <t xml:space="preserve">Min. inductance is clamped at 130 </t>
    </r>
    <r>
      <rPr>
        <sz val="10"/>
        <color theme="1"/>
        <rFont val="Calibri"/>
        <family val="2"/>
      </rPr>
      <t>µH and max. inductance is clamped at 400 µH for UCG28828.</t>
    </r>
  </si>
  <si>
    <t>UCG28828 Device Pin Programming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</si>
</sst>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
  </numFmts>
  <fonts count="25" x14ac:knownFonts="1">
    <font>
      <sz val="11"/>
      <color theme="1"/>
      <name val="Calibri"/>
      <family val="2"/>
      <scheme val="minor"/>
    </font>
    <font>
      <b/>
      <sz val="11"/>
      <color theme="1"/>
      <name val="Calibri"/>
      <family val="2"/>
      <scheme val="minor"/>
    </font>
    <font>
      <u/>
      <sz val="11"/>
      <color theme="10"/>
      <name val="Calibri"/>
      <family val="2"/>
      <scheme val="minor"/>
    </font>
    <font>
      <b/>
      <sz val="26"/>
      <color theme="0"/>
      <name val="Calibri"/>
      <family val="2"/>
      <scheme val="minor"/>
    </font>
    <font>
      <b/>
      <sz val="10"/>
      <color theme="1"/>
      <name val="Calibri"/>
      <family val="2"/>
      <scheme val="minor"/>
    </font>
    <font>
      <b/>
      <sz val="10"/>
      <color theme="0"/>
      <name val="Calibri"/>
      <family val="2"/>
      <scheme val="minor"/>
    </font>
    <font>
      <sz val="10"/>
      <color theme="1"/>
      <name val="Calibri"/>
      <family val="2"/>
      <scheme val="minor"/>
    </font>
    <font>
      <b/>
      <sz val="10"/>
      <color rgb="FFFF0000"/>
      <name val="Calibri"/>
      <family val="2"/>
      <scheme val="minor"/>
    </font>
    <font>
      <sz val="8"/>
      <color theme="1"/>
      <name val="Calibri"/>
      <family val="2"/>
      <scheme val="minor"/>
    </font>
    <font>
      <u/>
      <sz val="10"/>
      <color theme="10"/>
      <name val="Calibri"/>
      <family val="2"/>
      <scheme val="minor"/>
    </font>
    <font>
      <sz val="10"/>
      <color rgb="FFFF0000"/>
      <name val="Calibri"/>
      <family val="2"/>
      <scheme val="minor"/>
    </font>
    <font>
      <sz val="10"/>
      <name val="Calibri"/>
      <family val="2"/>
      <scheme val="minor"/>
    </font>
    <font>
      <b/>
      <sz val="8"/>
      <color theme="1"/>
      <name val="Calibri"/>
      <family val="2"/>
      <scheme val="minor"/>
    </font>
    <font>
      <sz val="11"/>
      <name val="Calibri"/>
      <family val="2"/>
      <scheme val="minor"/>
    </font>
    <font>
      <b/>
      <sz val="11"/>
      <name val="Calibri"/>
      <family val="2"/>
      <scheme val="minor"/>
    </font>
    <font>
      <sz val="11"/>
      <color rgb="FFFF0000"/>
      <name val="Calibri"/>
      <family val="2"/>
      <scheme val="minor"/>
    </font>
    <font>
      <b/>
      <sz val="36"/>
      <color theme="1"/>
      <name val="Calibri"/>
      <family val="2"/>
      <scheme val="minor"/>
    </font>
    <font>
      <b/>
      <sz val="20"/>
      <color theme="1"/>
      <name val="Calibri"/>
      <family val="2"/>
      <scheme val="minor"/>
    </font>
    <font>
      <b/>
      <sz val="10"/>
      <color rgb="FF00B050"/>
      <name val="Calibri"/>
      <family val="2"/>
      <scheme val="minor"/>
    </font>
    <font>
      <sz val="11"/>
      <color rgb="FF00B050"/>
      <name val="Calibri"/>
      <family val="2"/>
      <scheme val="minor"/>
    </font>
    <font>
      <sz val="11"/>
      <color theme="1"/>
      <name val="Calibri"/>
      <family val="2"/>
    </font>
    <font>
      <sz val="9.5500000000000007"/>
      <color theme="1"/>
      <name val="Calibri"/>
      <family val="2"/>
    </font>
    <font>
      <sz val="10"/>
      <color theme="1"/>
      <name val="Calibri"/>
      <family val="2"/>
    </font>
    <font>
      <sz val="11"/>
      <color theme="9" tint="-0.499984740745262"/>
      <name val="Calibri"/>
      <family val="2"/>
      <scheme val="minor"/>
    </font>
    <font>
      <sz val="11"/>
      <color theme="9" tint="-0.249977111117893"/>
      <name val="Calibri"/>
      <family val="2"/>
      <scheme val="minor"/>
    </font>
  </fonts>
  <fills count="1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440">
    <xf numFmtId="0" fontId="0" fillId="0" borderId="0" xfId="0"/>
    <xf numFmtId="0" fontId="0" fillId="0" borderId="0" xfId="0" applyFont="1" applyAlignment="1">
      <alignment vertical="center"/>
    </xf>
    <xf numFmtId="0" fontId="0" fillId="0" borderId="0" xfId="0" applyFont="1" applyBorder="1" applyAlignment="1">
      <alignment vertical="center"/>
    </xf>
    <xf numFmtId="0" fontId="6" fillId="0" borderId="8" xfId="0" applyFont="1" applyBorder="1" applyAlignment="1">
      <alignment horizontal="center" vertical="center"/>
    </xf>
    <xf numFmtId="0" fontId="6" fillId="0" borderId="7" xfId="0" applyFont="1" applyBorder="1" applyAlignment="1">
      <alignment horizontal="left" vertical="center"/>
    </xf>
    <xf numFmtId="0" fontId="6" fillId="0" borderId="6" xfId="0" applyFont="1" applyBorder="1" applyAlignment="1">
      <alignment horizontal="left" vertical="center"/>
    </xf>
    <xf numFmtId="0" fontId="0" fillId="0" borderId="0" xfId="0" applyFont="1" applyFill="1" applyAlignment="1">
      <alignment vertical="center"/>
    </xf>
    <xf numFmtId="1" fontId="6" fillId="4" borderId="8" xfId="0" applyNumberFormat="1" applyFont="1" applyFill="1" applyBorder="1" applyAlignment="1" applyProtection="1">
      <alignment horizontal="center" vertical="center"/>
      <protection locked="0"/>
    </xf>
    <xf numFmtId="2" fontId="6" fillId="4" borderId="8" xfId="0" applyNumberFormat="1" applyFont="1" applyFill="1" applyBorder="1" applyAlignment="1" applyProtection="1">
      <alignment horizontal="center" vertical="center"/>
      <protection locked="0"/>
    </xf>
    <xf numFmtId="0" fontId="0" fillId="0" borderId="0" xfId="0" applyFill="1"/>
    <xf numFmtId="0" fontId="0" fillId="0" borderId="0" xfId="0" applyFont="1"/>
    <xf numFmtId="0" fontId="0" fillId="0" borderId="0" xfId="0" applyFont="1" applyAlignment="1"/>
    <xf numFmtId="0" fontId="6" fillId="0" borderId="8" xfId="0" applyFont="1" applyBorder="1" applyAlignment="1">
      <alignment horizontal="center"/>
    </xf>
    <xf numFmtId="0" fontId="0" fillId="0" borderId="0" xfId="0"/>
    <xf numFmtId="0" fontId="0" fillId="0" borderId="26" xfId="0" applyBorder="1"/>
    <xf numFmtId="0" fontId="0" fillId="0" borderId="0" xfId="0" applyFont="1" applyAlignment="1">
      <alignment horizontal="left" vertical="center" wrapText="1"/>
    </xf>
    <xf numFmtId="0" fontId="6" fillId="0" borderId="7" xfId="0" applyFont="1" applyBorder="1" applyAlignment="1">
      <alignment horizontal="left"/>
    </xf>
    <xf numFmtId="0" fontId="6" fillId="0" borderId="6" xfId="0" applyFont="1" applyBorder="1" applyAlignment="1">
      <alignment horizontal="left" vertical="center" wrapText="1"/>
    </xf>
    <xf numFmtId="0" fontId="6" fillId="4" borderId="8" xfId="0" applyFont="1" applyFill="1" applyBorder="1" applyAlignment="1" applyProtection="1">
      <alignment horizontal="center"/>
      <protection locked="0"/>
    </xf>
    <xf numFmtId="164" fontId="6" fillId="4" borderId="8" xfId="0" applyNumberFormat="1" applyFont="1" applyFill="1" applyBorder="1" applyAlignment="1" applyProtection="1">
      <alignment horizontal="center" vertical="center"/>
      <protection locked="0"/>
    </xf>
    <xf numFmtId="0" fontId="6" fillId="4" borderId="8" xfId="0" applyFont="1" applyFill="1" applyBorder="1" applyAlignment="1" applyProtection="1">
      <alignment horizontal="center" vertical="center" wrapText="1"/>
      <protection locked="0"/>
    </xf>
    <xf numFmtId="2" fontId="6" fillId="0" borderId="8" xfId="0" applyNumberFormat="1" applyFont="1" applyFill="1" applyBorder="1" applyAlignment="1" applyProtection="1">
      <alignment horizontal="center" vertical="center"/>
      <protection hidden="1"/>
    </xf>
    <xf numFmtId="2" fontId="6" fillId="0" borderId="8" xfId="0" applyNumberFormat="1" applyFont="1" applyBorder="1" applyAlignment="1" applyProtection="1">
      <alignment horizontal="center" vertical="center"/>
      <protection hidden="1"/>
    </xf>
    <xf numFmtId="0" fontId="0" fillId="0" borderId="36" xfId="0" applyBorder="1"/>
    <xf numFmtId="0" fontId="6" fillId="0" borderId="0" xfId="0" applyFont="1" applyFill="1" applyBorder="1" applyAlignment="1">
      <alignment horizontal="center" vertical="center"/>
    </xf>
    <xf numFmtId="164" fontId="6" fillId="0" borderId="0" xfId="0" applyNumberFormat="1" applyFont="1" applyFill="1" applyBorder="1" applyAlignment="1" applyProtection="1">
      <alignment horizontal="center" vertical="center"/>
      <protection locked="0"/>
    </xf>
    <xf numFmtId="2" fontId="10" fillId="0" borderId="0" xfId="0" applyNumberFormat="1" applyFont="1" applyFill="1" applyBorder="1" applyAlignment="1" applyProtection="1">
      <alignment horizontal="center" vertical="center"/>
      <protection hidden="1"/>
    </xf>
    <xf numFmtId="2" fontId="6" fillId="0" borderId="0" xfId="0" applyNumberFormat="1" applyFont="1" applyFill="1" applyBorder="1" applyAlignment="1" applyProtection="1">
      <alignment horizontal="center" vertical="center"/>
      <protection locked="0"/>
    </xf>
    <xf numFmtId="1" fontId="10" fillId="0" borderId="0" xfId="0" applyNumberFormat="1" applyFont="1" applyFill="1" applyBorder="1" applyAlignment="1" applyProtection="1">
      <alignment horizontal="center" vertical="center"/>
      <protection hidden="1"/>
    </xf>
    <xf numFmtId="0" fontId="6" fillId="4" borderId="8" xfId="0" applyNumberFormat="1" applyFont="1" applyFill="1" applyBorder="1" applyAlignment="1" applyProtection="1">
      <alignment horizontal="center" vertical="center"/>
      <protection locked="0"/>
    </xf>
    <xf numFmtId="0" fontId="0" fillId="0" borderId="0" xfId="0" applyFont="1" applyAlignment="1">
      <alignment horizontal="center" wrapText="1"/>
    </xf>
    <xf numFmtId="0" fontId="1" fillId="0" borderId="0" xfId="0" applyFont="1" applyAlignment="1">
      <alignment wrapText="1"/>
    </xf>
    <xf numFmtId="0" fontId="1" fillId="0" borderId="0" xfId="0" applyFont="1"/>
    <xf numFmtId="0" fontId="0" fillId="0" borderId="0" xfId="0" applyAlignment="1"/>
    <xf numFmtId="0" fontId="15" fillId="0" borderId="0" xfId="0" applyFont="1"/>
    <xf numFmtId="0" fontId="0" fillId="8" borderId="8" xfId="0" applyFont="1" applyFill="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ont="1" applyFill="1" applyBorder="1" applyAlignment="1">
      <alignment horizontal="center" wrapText="1"/>
    </xf>
    <xf numFmtId="0" fontId="0" fillId="8" borderId="6" xfId="0" applyFont="1" applyFill="1" applyBorder="1" applyAlignment="1">
      <alignment horizontal="center" wrapText="1"/>
    </xf>
    <xf numFmtId="0" fontId="0" fillId="8" borderId="25" xfId="0" applyFont="1" applyFill="1" applyBorder="1" applyAlignment="1">
      <alignment horizontal="center" wrapText="1"/>
    </xf>
    <xf numFmtId="0" fontId="0" fillId="8" borderId="26" xfId="0" applyFont="1" applyFill="1" applyBorder="1" applyAlignment="1">
      <alignment horizontal="center" wrapText="1"/>
    </xf>
    <xf numFmtId="164" fontId="0" fillId="8" borderId="6" xfId="0" applyNumberFormat="1" applyFont="1" applyFill="1" applyBorder="1" applyAlignment="1">
      <alignment horizontal="center" wrapText="1"/>
    </xf>
    <xf numFmtId="164" fontId="0" fillId="8" borderId="26" xfId="0" applyNumberFormat="1" applyFont="1" applyFill="1" applyBorder="1" applyAlignment="1">
      <alignment horizontal="center" wrapText="1"/>
    </xf>
    <xf numFmtId="0" fontId="0" fillId="8" borderId="7" xfId="0" applyFont="1" applyFill="1" applyBorder="1" applyAlignment="1">
      <alignment horizontal="center"/>
    </xf>
    <xf numFmtId="0" fontId="0" fillId="8" borderId="8" xfId="0" applyFont="1" applyFill="1" applyBorder="1" applyAlignment="1">
      <alignment horizontal="center"/>
    </xf>
    <xf numFmtId="0" fontId="0" fillId="8" borderId="6" xfId="0" applyFont="1" applyFill="1" applyBorder="1" applyAlignment="1">
      <alignment horizontal="center"/>
    </xf>
    <xf numFmtId="0" fontId="0" fillId="8" borderId="25" xfId="0" applyFont="1" applyFill="1" applyBorder="1" applyAlignment="1">
      <alignment horizontal="center"/>
    </xf>
    <xf numFmtId="0" fontId="0" fillId="8" borderId="28" xfId="0" applyFont="1" applyFill="1" applyBorder="1" applyAlignment="1">
      <alignment horizontal="center"/>
    </xf>
    <xf numFmtId="0" fontId="0" fillId="8" borderId="26" xfId="0" applyFont="1" applyFill="1" applyBorder="1" applyAlignment="1">
      <alignment horizontal="center"/>
    </xf>
    <xf numFmtId="0" fontId="0" fillId="8" borderId="27" xfId="0" applyFont="1" applyFill="1" applyBorder="1" applyAlignment="1">
      <alignment horizontal="center" wrapText="1"/>
    </xf>
    <xf numFmtId="0" fontId="0" fillId="8" borderId="29" xfId="0" applyFont="1" applyFill="1" applyBorder="1" applyAlignment="1">
      <alignment horizontal="center" wrapText="1"/>
    </xf>
    <xf numFmtId="0" fontId="0" fillId="8" borderId="17" xfId="0" applyFont="1" applyFill="1" applyBorder="1" applyAlignment="1">
      <alignment horizontal="center" wrapText="1"/>
    </xf>
    <xf numFmtId="0" fontId="1" fillId="0" borderId="32" xfId="0" applyFont="1" applyBorder="1" applyAlignment="1">
      <alignment horizontal="center" vertical="center" wrapText="1" shrinkToFit="1"/>
    </xf>
    <xf numFmtId="0" fontId="1" fillId="0" borderId="33" xfId="0" applyFont="1" applyBorder="1" applyAlignment="1">
      <alignment horizontal="center" vertical="center" wrapText="1" shrinkToFit="1"/>
    </xf>
    <xf numFmtId="0" fontId="1" fillId="0" borderId="34" xfId="0" applyFont="1" applyBorder="1" applyAlignment="1">
      <alignment horizontal="center" vertical="center" wrapText="1" shrinkToFit="1"/>
    </xf>
    <xf numFmtId="0" fontId="0" fillId="8" borderId="27" xfId="0" applyFont="1" applyFill="1" applyBorder="1" applyAlignment="1">
      <alignment horizontal="center"/>
    </xf>
    <xf numFmtId="0" fontId="0" fillId="8" borderId="29" xfId="0" applyFont="1" applyFill="1" applyBorder="1" applyAlignment="1">
      <alignment horizontal="center"/>
    </xf>
    <xf numFmtId="0" fontId="0" fillId="8" borderId="17" xfId="0" applyFont="1" applyFill="1" applyBorder="1" applyAlignment="1">
      <alignment horizontal="center"/>
    </xf>
    <xf numFmtId="0" fontId="1"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164" fontId="0" fillId="8" borderId="17" xfId="0" applyNumberFormat="1" applyFont="1" applyFill="1" applyBorder="1" applyAlignment="1">
      <alignment horizontal="center" wrapText="1"/>
    </xf>
    <xf numFmtId="0" fontId="13" fillId="8" borderId="35" xfId="0" applyFont="1" applyFill="1" applyBorder="1" applyAlignment="1">
      <alignment horizontal="center" wrapText="1"/>
    </xf>
    <xf numFmtId="0" fontId="13" fillId="8" borderId="48" xfId="0" applyFont="1" applyFill="1" applyBorder="1" applyAlignment="1">
      <alignment horizontal="center" wrapText="1"/>
    </xf>
    <xf numFmtId="0" fontId="13" fillId="8" borderId="36" xfId="0" applyFont="1" applyFill="1" applyBorder="1" applyAlignment="1">
      <alignment horizontal="center" wrapText="1"/>
    </xf>
    <xf numFmtId="0" fontId="13" fillId="8" borderId="7" xfId="0" applyFont="1" applyFill="1" applyBorder="1" applyAlignment="1">
      <alignment horizontal="center" wrapText="1"/>
    </xf>
    <xf numFmtId="0" fontId="13" fillId="8" borderId="8" xfId="0" applyFont="1" applyFill="1" applyBorder="1" applyAlignment="1">
      <alignment horizontal="center" wrapText="1"/>
    </xf>
    <xf numFmtId="0" fontId="13" fillId="8" borderId="6" xfId="0" applyFont="1" applyFill="1" applyBorder="1" applyAlignment="1">
      <alignment horizontal="center" wrapText="1"/>
    </xf>
    <xf numFmtId="0" fontId="13" fillId="8" borderId="25" xfId="0" applyFont="1" applyFill="1" applyBorder="1" applyAlignment="1">
      <alignment horizontal="center" wrapText="1"/>
    </xf>
    <xf numFmtId="0" fontId="13" fillId="8" borderId="28" xfId="0" applyFont="1" applyFill="1" applyBorder="1" applyAlignment="1">
      <alignment horizontal="center" wrapText="1"/>
    </xf>
    <xf numFmtId="0" fontId="13" fillId="8" borderId="26" xfId="0" applyFont="1" applyFill="1" applyBorder="1" applyAlignment="1">
      <alignment horizontal="center" wrapText="1"/>
    </xf>
    <xf numFmtId="0" fontId="1" fillId="0" borderId="51"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19" xfId="0" applyFont="1" applyBorder="1" applyAlignment="1">
      <alignment horizontal="center" vertical="center" wrapText="1"/>
    </xf>
    <xf numFmtId="0" fontId="4" fillId="0" borderId="44" xfId="0" applyFont="1" applyBorder="1" applyAlignment="1">
      <alignment wrapText="1"/>
    </xf>
    <xf numFmtId="0" fontId="15" fillId="0" borderId="0" xfId="0" applyFont="1" applyBorder="1" applyAlignment="1">
      <alignment vertical="center"/>
    </xf>
    <xf numFmtId="0" fontId="0" fillId="0" borderId="0" xfId="0" applyBorder="1"/>
    <xf numFmtId="0" fontId="0" fillId="0" borderId="7" xfId="0" applyFont="1" applyBorder="1" applyAlignment="1">
      <alignment horizontal="left" vertical="center" wrapText="1"/>
    </xf>
    <xf numFmtId="0" fontId="0" fillId="0" borderId="7" xfId="0" applyFont="1" applyBorder="1" applyAlignment="1">
      <alignment horizontal="left" vertical="center"/>
    </xf>
    <xf numFmtId="164" fontId="0" fillId="8" borderId="6" xfId="0" applyNumberFormat="1" applyFont="1" applyFill="1" applyBorder="1" applyAlignment="1">
      <alignment horizontal="center"/>
    </xf>
    <xf numFmtId="0" fontId="13" fillId="8" borderId="7" xfId="0" applyFont="1" applyFill="1" applyBorder="1" applyAlignment="1">
      <alignment horizontal="center"/>
    </xf>
    <xf numFmtId="0" fontId="13" fillId="8" borderId="8" xfId="0" applyFont="1" applyFill="1" applyBorder="1" applyAlignment="1">
      <alignment horizontal="center"/>
    </xf>
    <xf numFmtId="0" fontId="13" fillId="8" borderId="6" xfId="0" applyFont="1" applyFill="1" applyBorder="1" applyAlignment="1">
      <alignment horizontal="center"/>
    </xf>
    <xf numFmtId="0" fontId="0" fillId="0" borderId="7" xfId="0" applyBorder="1"/>
    <xf numFmtId="2" fontId="11" fillId="0" borderId="8" xfId="0" applyNumberFormat="1" applyFont="1" applyFill="1" applyBorder="1" applyAlignment="1" applyProtection="1">
      <alignment horizontal="center" vertical="center"/>
      <protection hidden="1"/>
    </xf>
    <xf numFmtId="0" fontId="16" fillId="0" borderId="0" xfId="0" applyFont="1" applyBorder="1" applyAlignment="1">
      <alignment vertical="center" wrapText="1"/>
    </xf>
    <xf numFmtId="0" fontId="6" fillId="0" borderId="0" xfId="0" applyFont="1" applyFill="1" applyBorder="1" applyAlignment="1">
      <alignment horizontal="center"/>
    </xf>
    <xf numFmtId="0" fontId="1" fillId="0" borderId="7" xfId="0" applyFont="1" applyBorder="1" applyAlignment="1">
      <alignment horizontal="center" vertical="center"/>
    </xf>
    <xf numFmtId="0" fontId="14" fillId="9" borderId="23" xfId="0" applyFont="1" applyFill="1" applyBorder="1" applyAlignment="1">
      <alignment horizontal="center" vertical="center"/>
    </xf>
    <xf numFmtId="0" fontId="14" fillId="9" borderId="46" xfId="0" applyFont="1" applyFill="1" applyBorder="1" applyAlignment="1">
      <alignment horizontal="center" vertical="center"/>
    </xf>
    <xf numFmtId="2" fontId="0" fillId="0" borderId="8" xfId="0" applyNumberFormat="1" applyFont="1" applyFill="1" applyBorder="1" applyAlignment="1" applyProtection="1">
      <alignment horizontal="center" vertical="center"/>
      <protection hidden="1"/>
    </xf>
    <xf numFmtId="2" fontId="13" fillId="0" borderId="8" xfId="0" applyNumberFormat="1" applyFont="1" applyFill="1" applyBorder="1" applyAlignment="1">
      <alignment horizontal="center" vertical="center"/>
    </xf>
    <xf numFmtId="0" fontId="0" fillId="0" borderId="7" xfId="0" applyFont="1" applyFill="1" applyBorder="1" applyAlignment="1">
      <alignment horizontal="left" vertical="center"/>
    </xf>
    <xf numFmtId="2" fontId="0" fillId="0" borderId="6" xfId="0" applyNumberFormat="1" applyFont="1" applyFill="1" applyBorder="1" applyAlignment="1" applyProtection="1">
      <alignment horizontal="center" vertical="center"/>
      <protection hidden="1"/>
    </xf>
    <xf numFmtId="0" fontId="0" fillId="0" borderId="7" xfId="0" applyFont="1" applyFill="1" applyBorder="1" applyAlignment="1">
      <alignment horizontal="left"/>
    </xf>
    <xf numFmtId="0" fontId="0" fillId="0" borderId="6" xfId="0" applyFill="1" applyBorder="1" applyAlignment="1">
      <alignment horizontal="center" vertical="center"/>
    </xf>
    <xf numFmtId="0" fontId="0" fillId="0" borderId="26" xfId="0" applyFill="1" applyBorder="1" applyAlignment="1">
      <alignment horizontal="center" vertical="center"/>
    </xf>
    <xf numFmtId="0" fontId="0" fillId="0" borderId="8" xfId="0" applyBorder="1" applyAlignment="1">
      <alignment horizontal="center" vertical="center"/>
    </xf>
    <xf numFmtId="0" fontId="0" fillId="0" borderId="35" xfId="0" applyBorder="1"/>
    <xf numFmtId="0" fontId="0" fillId="0" borderId="36" xfId="0" applyBorder="1" applyAlignment="1">
      <alignment horizontal="center" vertical="center"/>
    </xf>
    <xf numFmtId="0" fontId="0" fillId="0" borderId="7" xfId="0" applyFill="1" applyBorder="1" applyAlignment="1">
      <alignment horizontal="left" vertical="center"/>
    </xf>
    <xf numFmtId="0" fontId="0" fillId="0" borderId="6" xfId="0" applyBorder="1" applyAlignment="1">
      <alignment horizontal="center"/>
    </xf>
    <xf numFmtId="0" fontId="0" fillId="0" borderId="6" xfId="0" applyBorder="1" applyAlignment="1">
      <alignment horizontal="center" vertical="center"/>
    </xf>
    <xf numFmtId="0" fontId="0" fillId="0" borderId="26" xfId="0" applyBorder="1" applyAlignment="1">
      <alignment horizontal="center" vertical="center"/>
    </xf>
    <xf numFmtId="2" fontId="6" fillId="0" borderId="48" xfId="0" applyNumberFormat="1" applyFont="1" applyBorder="1" applyAlignment="1">
      <alignment horizontal="center" vertical="center" wrapText="1"/>
    </xf>
    <xf numFmtId="2" fontId="0" fillId="0" borderId="8" xfId="0" applyNumberFormat="1" applyFont="1" applyBorder="1" applyAlignment="1">
      <alignment horizontal="center" vertical="center" wrapText="1"/>
    </xf>
    <xf numFmtId="2" fontId="0" fillId="0" borderId="48" xfId="0" applyNumberFormat="1" applyBorder="1" applyAlignment="1">
      <alignment horizontal="center" vertical="center"/>
    </xf>
    <xf numFmtId="2" fontId="0" fillId="0" borderId="8" xfId="0" applyNumberFormat="1" applyBorder="1" applyAlignment="1">
      <alignment horizontal="center" vertical="center"/>
    </xf>
    <xf numFmtId="0" fontId="1" fillId="0" borderId="0" xfId="0" applyFont="1" applyFill="1" applyBorder="1" applyAlignment="1">
      <alignment horizontal="center"/>
    </xf>
    <xf numFmtId="0" fontId="1" fillId="0" borderId="0" xfId="0" applyFont="1" applyFill="1" applyBorder="1" applyAlignment="1">
      <alignment horizontal="center" vertical="center" wrapText="1"/>
    </xf>
    <xf numFmtId="0" fontId="0" fillId="0" borderId="0" xfId="0" applyFont="1" applyFill="1" applyBorder="1" applyAlignment="1">
      <alignment horizontal="center" wrapText="1"/>
    </xf>
    <xf numFmtId="0" fontId="0" fillId="0" borderId="0" xfId="0" applyFill="1" applyBorder="1" applyAlignment="1">
      <alignment horizontal="center"/>
    </xf>
    <xf numFmtId="0" fontId="6" fillId="0" borderId="8" xfId="0" applyFont="1" applyBorder="1" applyAlignment="1">
      <alignment horizontal="left" vertical="center" wrapText="1"/>
    </xf>
    <xf numFmtId="0" fontId="0" fillId="0" borderId="28"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15" fillId="0" borderId="0" xfId="0" applyFont="1" applyAlignment="1">
      <alignment vertical="center"/>
    </xf>
    <xf numFmtId="0" fontId="15" fillId="0" borderId="0" xfId="0" applyFont="1" applyAlignment="1"/>
    <xf numFmtId="2" fontId="11" fillId="0" borderId="8" xfId="0" applyNumberFormat="1" applyFont="1" applyBorder="1" applyAlignment="1" applyProtection="1">
      <alignment horizontal="center"/>
      <protection hidden="1"/>
    </xf>
    <xf numFmtId="2" fontId="11" fillId="0" borderId="8" xfId="0" applyNumberFormat="1" applyFont="1" applyFill="1" applyBorder="1" applyAlignment="1" applyProtection="1">
      <alignment horizontal="center"/>
      <protection hidden="1"/>
    </xf>
    <xf numFmtId="2" fontId="11" fillId="0" borderId="38" xfId="0" applyNumberFormat="1" applyFont="1" applyFill="1" applyBorder="1" applyAlignment="1" applyProtection="1">
      <alignment horizontal="center"/>
      <protection hidden="1"/>
    </xf>
    <xf numFmtId="2" fontId="13" fillId="4" borderId="8" xfId="1" applyNumberFormat="1" applyFont="1" applyFill="1" applyBorder="1" applyAlignment="1" applyProtection="1">
      <alignment horizontal="center" vertical="center"/>
      <protection locked="0"/>
    </xf>
    <xf numFmtId="0" fontId="6" fillId="4" borderId="28" xfId="0" applyFont="1" applyFill="1" applyBorder="1" applyAlignment="1" applyProtection="1">
      <alignment horizontal="center"/>
      <protection locked="0"/>
    </xf>
    <xf numFmtId="0" fontId="4" fillId="4" borderId="8" xfId="0" applyFont="1" applyFill="1" applyBorder="1" applyAlignment="1" applyProtection="1">
      <alignment horizontal="center" vertical="center"/>
    </xf>
    <xf numFmtId="2" fontId="6" fillId="3" borderId="8" xfId="0" applyNumberFormat="1" applyFont="1" applyFill="1" applyBorder="1" applyAlignment="1" applyProtection="1">
      <alignment horizontal="center" vertical="center"/>
    </xf>
    <xf numFmtId="0" fontId="1" fillId="0" borderId="7" xfId="0" applyFont="1" applyBorder="1" applyAlignment="1" applyProtection="1">
      <alignment horizontal="left" vertical="center"/>
    </xf>
    <xf numFmtId="0" fontId="6" fillId="0" borderId="8" xfId="0" applyFont="1" applyBorder="1" applyAlignment="1" applyProtection="1">
      <alignment horizontal="center" vertical="center"/>
    </xf>
    <xf numFmtId="0" fontId="9" fillId="0" borderId="8" xfId="1" applyFont="1" applyBorder="1" applyAlignment="1" applyProtection="1">
      <alignment horizontal="center" vertical="center"/>
    </xf>
    <xf numFmtId="0" fontId="6" fillId="0" borderId="6" xfId="1" applyFont="1" applyBorder="1" applyAlignment="1" applyProtection="1">
      <alignment vertical="center"/>
    </xf>
    <xf numFmtId="0" fontId="1" fillId="6" borderId="7" xfId="0" applyFont="1" applyFill="1" applyBorder="1" applyAlignment="1" applyProtection="1">
      <alignment horizontal="left" vertical="center"/>
    </xf>
    <xf numFmtId="0" fontId="1" fillId="6" borderId="8" xfId="0" applyFont="1" applyFill="1" applyBorder="1" applyAlignment="1" applyProtection="1">
      <alignment horizontal="center" vertical="center"/>
    </xf>
    <xf numFmtId="2" fontId="1" fillId="6" borderId="8" xfId="0" applyNumberFormat="1" applyFont="1" applyFill="1" applyBorder="1" applyAlignment="1" applyProtection="1">
      <alignment horizontal="center" vertical="center"/>
    </xf>
    <xf numFmtId="0" fontId="1" fillId="6" borderId="6" xfId="0" applyFont="1" applyFill="1" applyBorder="1" applyAlignment="1" applyProtection="1">
      <alignment horizontal="left" vertical="center"/>
    </xf>
    <xf numFmtId="0" fontId="6" fillId="0" borderId="7" xfId="0" applyFont="1" applyBorder="1" applyAlignment="1" applyProtection="1">
      <alignment horizontal="left" vertical="center"/>
    </xf>
    <xf numFmtId="0" fontId="6" fillId="0" borderId="6" xfId="0" applyFont="1" applyBorder="1" applyAlignment="1" applyProtection="1">
      <alignment horizontal="left" vertical="center"/>
    </xf>
    <xf numFmtId="0" fontId="6" fillId="0" borderId="7" xfId="0" applyFont="1" applyBorder="1" applyAlignment="1" applyProtection="1">
      <alignment horizontal="left"/>
    </xf>
    <xf numFmtId="0" fontId="6" fillId="0" borderId="8" xfId="0" applyFont="1" applyBorder="1" applyAlignment="1" applyProtection="1">
      <alignment horizontal="center"/>
    </xf>
    <xf numFmtId="0" fontId="6" fillId="0" borderId="6" xfId="0" applyFont="1" applyBorder="1" applyAlignment="1" applyProtection="1">
      <alignment horizontal="left"/>
    </xf>
    <xf numFmtId="0" fontId="6" fillId="0" borderId="7" xfId="0" applyFont="1" applyBorder="1" applyAlignment="1" applyProtection="1">
      <alignment horizontal="left" vertical="center" wrapText="1"/>
    </xf>
    <xf numFmtId="0" fontId="6" fillId="0" borderId="8" xfId="0" applyFont="1" applyBorder="1" applyAlignment="1" applyProtection="1">
      <alignment horizontal="center" vertical="center" wrapText="1"/>
    </xf>
    <xf numFmtId="0" fontId="6" fillId="0" borderId="6" xfId="0" applyFont="1" applyBorder="1" applyAlignment="1" applyProtection="1">
      <alignment horizontal="left" vertical="center" wrapText="1"/>
    </xf>
    <xf numFmtId="0" fontId="6" fillId="0" borderId="7" xfId="0" applyFont="1" applyFill="1" applyBorder="1" applyAlignment="1" applyProtection="1">
      <alignment horizontal="left" vertical="center"/>
    </xf>
    <xf numFmtId="0" fontId="6" fillId="0" borderId="8" xfId="0" applyFont="1" applyFill="1" applyBorder="1" applyAlignment="1" applyProtection="1">
      <alignment horizontal="center" vertical="center"/>
    </xf>
    <xf numFmtId="0" fontId="6" fillId="0" borderId="6" xfId="0" applyFont="1" applyFill="1" applyBorder="1" applyAlignment="1" applyProtection="1">
      <alignment horizontal="left" vertical="center"/>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center" vertical="center" wrapText="1"/>
    </xf>
    <xf numFmtId="0" fontId="6" fillId="0" borderId="8" xfId="0" applyFont="1" applyFill="1" applyBorder="1" applyAlignment="1" applyProtection="1">
      <alignment horizontal="center"/>
    </xf>
    <xf numFmtId="0" fontId="6" fillId="0" borderId="7" xfId="0" applyFont="1" applyFill="1" applyBorder="1" applyAlignment="1" applyProtection="1">
      <alignment horizontal="left"/>
    </xf>
    <xf numFmtId="0" fontId="6" fillId="0" borderId="37" xfId="0" applyFont="1" applyBorder="1" applyAlignment="1" applyProtection="1">
      <alignment horizontal="left"/>
    </xf>
    <xf numFmtId="0" fontId="6" fillId="0" borderId="38" xfId="0" applyFont="1" applyBorder="1" applyAlignment="1" applyProtection="1">
      <alignment horizontal="center"/>
    </xf>
    <xf numFmtId="0" fontId="6" fillId="0" borderId="38" xfId="0" applyFont="1" applyFill="1" applyBorder="1" applyAlignment="1" applyProtection="1">
      <alignment horizontal="center"/>
    </xf>
    <xf numFmtId="0" fontId="6" fillId="0" borderId="7" xfId="0" applyFont="1" applyFill="1" applyBorder="1" applyAlignment="1" applyProtection="1">
      <alignment vertical="center" wrapText="1"/>
    </xf>
    <xf numFmtId="0" fontId="10" fillId="0" borderId="6" xfId="0" applyFont="1" applyBorder="1" applyAlignment="1" applyProtection="1">
      <alignment horizontal="left"/>
    </xf>
    <xf numFmtId="0" fontId="0" fillId="0" borderId="19" xfId="0" applyFont="1" applyBorder="1" applyAlignment="1" applyProtection="1"/>
    <xf numFmtId="0" fontId="6" fillId="0" borderId="25" xfId="0" applyFont="1" applyBorder="1" applyAlignment="1" applyProtection="1">
      <alignment horizontal="left"/>
    </xf>
    <xf numFmtId="0" fontId="6" fillId="0" borderId="28" xfId="0" applyFont="1" applyBorder="1" applyAlignment="1" applyProtection="1">
      <alignment horizontal="center"/>
    </xf>
    <xf numFmtId="0" fontId="6" fillId="0" borderId="26" xfId="0" applyFont="1" applyBorder="1" applyAlignment="1" applyProtection="1">
      <alignment horizontal="left"/>
    </xf>
    <xf numFmtId="0" fontId="4" fillId="7" borderId="3" xfId="0" applyFont="1" applyFill="1" applyBorder="1" applyAlignment="1" applyProtection="1"/>
    <xf numFmtId="0" fontId="6" fillId="7" borderId="4" xfId="0" applyFont="1" applyFill="1" applyBorder="1" applyAlignment="1" applyProtection="1"/>
    <xf numFmtId="0" fontId="6" fillId="7" borderId="14" xfId="0" applyFont="1" applyFill="1" applyBorder="1" applyAlignment="1" applyProtection="1"/>
    <xf numFmtId="0" fontId="6" fillId="6" borderId="4" xfId="0" applyFont="1" applyFill="1" applyBorder="1" applyAlignment="1" applyProtection="1"/>
    <xf numFmtId="0" fontId="6" fillId="6" borderId="14" xfId="0" applyFont="1" applyFill="1" applyBorder="1" applyAlignment="1" applyProtection="1"/>
    <xf numFmtId="0" fontId="0" fillId="9" borderId="24" xfId="0" applyFill="1" applyBorder="1" applyAlignment="1">
      <alignment horizontal="center" vertical="center"/>
    </xf>
    <xf numFmtId="0" fontId="0" fillId="9" borderId="22" xfId="0" applyFill="1" applyBorder="1" applyAlignment="1">
      <alignment horizontal="center" vertical="center"/>
    </xf>
    <xf numFmtId="0" fontId="0" fillId="9" borderId="31" xfId="0" applyFill="1" applyBorder="1" applyAlignment="1">
      <alignment horizontal="center" vertical="center"/>
    </xf>
    <xf numFmtId="0" fontId="0" fillId="0" borderId="7" xfId="0" applyFont="1" applyFill="1" applyBorder="1" applyAlignment="1">
      <alignment horizontal="left" vertical="center" wrapText="1"/>
    </xf>
    <xf numFmtId="0" fontId="0" fillId="0" borderId="25" xfId="0" applyFont="1" applyFill="1" applyBorder="1" applyAlignment="1">
      <alignment horizontal="left" vertical="center" wrapText="1"/>
    </xf>
    <xf numFmtId="2" fontId="0" fillId="0" borderId="28" xfId="0" applyNumberFormat="1" applyBorder="1" applyAlignment="1">
      <alignment horizontal="center" vertical="center"/>
    </xf>
    <xf numFmtId="0" fontId="0" fillId="0" borderId="0" xfId="0" applyFill="1" applyAlignment="1"/>
    <xf numFmtId="2" fontId="0" fillId="0" borderId="8" xfId="0" applyNumberFormat="1" applyFont="1" applyBorder="1" applyAlignment="1">
      <alignment horizontal="center" vertical="center"/>
    </xf>
    <xf numFmtId="0" fontId="6" fillId="0" borderId="14" xfId="0" applyFont="1" applyBorder="1" applyAlignment="1" applyProtection="1">
      <alignment horizontal="center" vertical="center"/>
    </xf>
    <xf numFmtId="0" fontId="6" fillId="0" borderId="8" xfId="0" applyFont="1" applyBorder="1" applyAlignment="1" applyProtection="1">
      <alignment horizontal="left" vertical="center"/>
    </xf>
    <xf numFmtId="0" fontId="1" fillId="0" borderId="27" xfId="0" applyFont="1" applyBorder="1" applyAlignment="1">
      <alignment horizontal="center" vertical="center"/>
    </xf>
    <xf numFmtId="0" fontId="6" fillId="0" borderId="29" xfId="0" applyFont="1" applyBorder="1" applyAlignment="1" applyProtection="1">
      <alignment horizontal="left" vertical="center"/>
    </xf>
    <xf numFmtId="0" fontId="6" fillId="0" borderId="29" xfId="0" applyFont="1" applyBorder="1" applyAlignment="1" applyProtection="1">
      <alignment horizontal="center" vertical="center"/>
    </xf>
    <xf numFmtId="2" fontId="6" fillId="0" borderId="8" xfId="0" applyNumberFormat="1" applyFont="1" applyBorder="1" applyAlignment="1" applyProtection="1">
      <alignment horizontal="center" vertical="center"/>
    </xf>
    <xf numFmtId="0" fontId="0" fillId="0" borderId="7" xfId="0" applyFill="1" applyBorder="1" applyAlignment="1">
      <alignment horizontal="left"/>
    </xf>
    <xf numFmtId="0" fontId="1" fillId="0" borderId="45" xfId="0" applyFont="1" applyFill="1" applyBorder="1" applyAlignment="1">
      <alignment horizontal="left" vertical="center"/>
    </xf>
    <xf numFmtId="0" fontId="6" fillId="0" borderId="17" xfId="0" applyFont="1" applyBorder="1" applyAlignment="1" applyProtection="1">
      <alignment horizontal="left" vertical="center" wrapText="1"/>
    </xf>
    <xf numFmtId="0" fontId="1" fillId="9" borderId="32" xfId="0" applyFont="1" applyFill="1" applyBorder="1" applyAlignment="1">
      <alignment horizontal="center" vertical="center"/>
    </xf>
    <xf numFmtId="0" fontId="1" fillId="9" borderId="33" xfId="0" applyFont="1" applyFill="1" applyBorder="1"/>
    <xf numFmtId="0" fontId="1" fillId="9" borderId="33" xfId="0" applyFont="1" applyFill="1" applyBorder="1" applyAlignment="1">
      <alignment horizontal="center" vertical="center"/>
    </xf>
    <xf numFmtId="0" fontId="1" fillId="9" borderId="34" xfId="0" applyFont="1" applyFill="1" applyBorder="1"/>
    <xf numFmtId="0" fontId="6" fillId="0" borderId="26" xfId="0" applyFont="1" applyBorder="1" applyAlignment="1" applyProtection="1">
      <alignment horizontal="left" vertical="center"/>
    </xf>
    <xf numFmtId="0" fontId="6" fillId="0" borderId="7" xfId="0" applyFont="1" applyBorder="1" applyAlignment="1">
      <alignment vertical="center"/>
    </xf>
    <xf numFmtId="0" fontId="4" fillId="6" borderId="3" xfId="0" applyFont="1" applyFill="1" applyBorder="1" applyAlignment="1" applyProtection="1"/>
    <xf numFmtId="0" fontId="0" fillId="0" borderId="8" xfId="0" applyBorder="1"/>
    <xf numFmtId="0" fontId="0" fillId="0" borderId="6" xfId="0" applyBorder="1"/>
    <xf numFmtId="0" fontId="0" fillId="0" borderId="28" xfId="0" applyBorder="1"/>
    <xf numFmtId="0" fontId="0" fillId="0" borderId="29" xfId="0" applyBorder="1"/>
    <xf numFmtId="0" fontId="0" fillId="0" borderId="17" xfId="0" applyBorder="1"/>
    <xf numFmtId="0" fontId="0" fillId="9" borderId="54" xfId="0" applyFill="1" applyBorder="1" applyAlignment="1">
      <alignment horizontal="center" vertical="center"/>
    </xf>
    <xf numFmtId="0" fontId="0" fillId="9" borderId="52" xfId="0" applyFill="1" applyBorder="1" applyAlignment="1">
      <alignment horizontal="center" vertical="center"/>
    </xf>
    <xf numFmtId="0" fontId="0" fillId="9" borderId="53" xfId="0" applyFill="1" applyBorder="1" applyAlignment="1">
      <alignment horizontal="center" vertical="center"/>
    </xf>
    <xf numFmtId="0" fontId="0" fillId="9" borderId="56" xfId="0" applyFill="1"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58" xfId="0" applyBorder="1" applyAlignment="1">
      <alignment horizontal="center" vertical="center"/>
    </xf>
    <xf numFmtId="0" fontId="0" fillId="0" borderId="48" xfId="0" applyBorder="1"/>
    <xf numFmtId="0" fontId="0" fillId="0" borderId="56" xfId="0" applyBorder="1" applyAlignment="1">
      <alignment horizontal="center" vertical="center"/>
    </xf>
    <xf numFmtId="0" fontId="0" fillId="4" borderId="6" xfId="0" applyFill="1" applyBorder="1"/>
    <xf numFmtId="0" fontId="0" fillId="4" borderId="26" xfId="0" applyFill="1" applyBorder="1"/>
    <xf numFmtId="0" fontId="0" fillId="10" borderId="36" xfId="0" applyFill="1" applyBorder="1"/>
    <xf numFmtId="0" fontId="1" fillId="10" borderId="35" xfId="0" applyFont="1" applyFill="1" applyBorder="1"/>
    <xf numFmtId="0" fontId="1" fillId="4" borderId="7" xfId="0" applyFont="1" applyFill="1" applyBorder="1"/>
    <xf numFmtId="0" fontId="1" fillId="4" borderId="25" xfId="0" applyFont="1" applyFill="1" applyBorder="1"/>
    <xf numFmtId="0" fontId="1" fillId="0" borderId="0" xfId="0" applyFont="1" applyFill="1" applyBorder="1"/>
    <xf numFmtId="0" fontId="0" fillId="0" borderId="0" xfId="0" applyFill="1" applyBorder="1"/>
    <xf numFmtId="2" fontId="0" fillId="3" borderId="8" xfId="0" applyNumberFormat="1" applyFill="1" applyBorder="1" applyAlignment="1">
      <alignment horizontal="center" vertical="center"/>
    </xf>
    <xf numFmtId="0" fontId="6" fillId="3" borderId="8" xfId="0" applyFont="1" applyFill="1" applyBorder="1" applyAlignment="1" applyProtection="1">
      <alignment horizontal="center" vertical="center"/>
    </xf>
    <xf numFmtId="0" fontId="0" fillId="3" borderId="0" xfId="0" applyFont="1" applyFill="1" applyAlignment="1">
      <alignment vertical="center"/>
    </xf>
    <xf numFmtId="0" fontId="6" fillId="3" borderId="7" xfId="0" applyFont="1" applyFill="1" applyBorder="1" applyAlignment="1" applyProtection="1">
      <alignment horizontal="left" vertical="center" wrapText="1"/>
    </xf>
    <xf numFmtId="2" fontId="6" fillId="3" borderId="8" xfId="0" applyNumberFormat="1" applyFont="1" applyFill="1" applyBorder="1" applyAlignment="1" applyProtection="1">
      <alignment horizontal="center" vertical="center"/>
      <protection hidden="1"/>
    </xf>
    <xf numFmtId="0" fontId="6" fillId="0" borderId="4" xfId="0" applyFont="1" applyBorder="1" applyAlignment="1" applyProtection="1">
      <alignment horizontal="center" vertical="center"/>
    </xf>
    <xf numFmtId="0" fontId="6" fillId="0" borderId="4" xfId="0" applyFont="1" applyFill="1" applyBorder="1" applyAlignment="1" applyProtection="1">
      <alignment horizontal="center" vertical="center"/>
    </xf>
    <xf numFmtId="2" fontId="18" fillId="0" borderId="8" xfId="0" applyNumberFormat="1" applyFont="1" applyBorder="1" applyAlignment="1" applyProtection="1">
      <alignment horizontal="center" vertical="center"/>
      <protection hidden="1"/>
    </xf>
    <xf numFmtId="2" fontId="18" fillId="0" borderId="8" xfId="0" applyNumberFormat="1" applyFont="1" applyFill="1" applyBorder="1" applyAlignment="1" applyProtection="1">
      <alignment horizontal="center" vertical="center"/>
      <protection hidden="1"/>
    </xf>
    <xf numFmtId="165" fontId="18" fillId="0" borderId="8" xfId="0" applyNumberFormat="1" applyFont="1" applyFill="1" applyBorder="1" applyAlignment="1" applyProtection="1">
      <alignment horizontal="center" vertical="center"/>
      <protection hidden="1"/>
    </xf>
    <xf numFmtId="0" fontId="19" fillId="0" borderId="0" xfId="0" applyFont="1"/>
    <xf numFmtId="0" fontId="6" fillId="0" borderId="3" xfId="0" applyFont="1" applyFill="1" applyBorder="1" applyAlignment="1" applyProtection="1">
      <alignment horizontal="left" vertical="center"/>
    </xf>
    <xf numFmtId="0" fontId="6" fillId="0" borderId="14" xfId="0" applyFont="1" applyBorder="1" applyAlignment="1" applyProtection="1">
      <alignment horizontal="left" vertical="center"/>
    </xf>
    <xf numFmtId="0" fontId="0" fillId="0" borderId="3" xfId="0" applyBorder="1" applyAlignment="1" applyProtection="1"/>
    <xf numFmtId="0" fontId="0" fillId="0" borderId="4" xfId="0" applyBorder="1" applyAlignment="1" applyProtection="1"/>
    <xf numFmtId="0" fontId="0" fillId="0" borderId="14" xfId="0" applyBorder="1" applyAlignment="1" applyProtection="1"/>
    <xf numFmtId="0" fontId="0" fillId="0" borderId="37" xfId="0" applyFill="1" applyBorder="1" applyAlignment="1">
      <alignment horizontal="left"/>
    </xf>
    <xf numFmtId="2" fontId="0" fillId="0" borderId="38" xfId="0" applyNumberFormat="1" applyFill="1" applyBorder="1" applyAlignment="1">
      <alignment horizontal="center" vertical="center"/>
    </xf>
    <xf numFmtId="0" fontId="0" fillId="0" borderId="15" xfId="0" applyFill="1" applyBorder="1" applyAlignment="1">
      <alignment horizontal="center" vertical="center"/>
    </xf>
    <xf numFmtId="0" fontId="20" fillId="0" borderId="8" xfId="0" applyFont="1" applyBorder="1" applyAlignment="1">
      <alignment horizontal="center"/>
    </xf>
    <xf numFmtId="0" fontId="0" fillId="9" borderId="8" xfId="0" applyFill="1" applyBorder="1" applyAlignment="1">
      <alignment horizontal="center" vertical="center"/>
    </xf>
    <xf numFmtId="0" fontId="0" fillId="0" borderId="8" xfId="0" applyBorder="1" applyAlignment="1">
      <alignment horizontal="center"/>
    </xf>
    <xf numFmtId="0" fontId="0" fillId="0" borderId="8" xfId="0" applyFill="1" applyBorder="1" applyAlignment="1">
      <alignment horizontal="center" vertical="center"/>
    </xf>
    <xf numFmtId="0" fontId="0" fillId="0" borderId="8" xfId="0" applyFill="1" applyBorder="1" applyAlignment="1">
      <alignment horizontal="left"/>
    </xf>
    <xf numFmtId="2" fontId="0" fillId="0" borderId="8" xfId="0" applyNumberFormat="1" applyBorder="1" applyAlignment="1">
      <alignment horizontal="center"/>
    </xf>
    <xf numFmtId="0" fontId="6" fillId="0" borderId="29" xfId="0" applyFont="1" applyBorder="1" applyAlignment="1" applyProtection="1">
      <alignment horizontal="center" vertical="center"/>
    </xf>
    <xf numFmtId="0" fontId="0" fillId="0" borderId="29" xfId="0" applyBorder="1" applyAlignment="1">
      <alignment horizontal="center" vertical="center"/>
    </xf>
    <xf numFmtId="0" fontId="15" fillId="0" borderId="0" xfId="0" applyFont="1" applyFill="1" applyAlignment="1">
      <alignment vertical="center"/>
    </xf>
    <xf numFmtId="0" fontId="24" fillId="0" borderId="0" xfId="0" applyFont="1" applyAlignment="1">
      <alignment vertical="center"/>
    </xf>
    <xf numFmtId="0" fontId="6" fillId="0" borderId="15" xfId="0" applyFont="1" applyBorder="1" applyAlignment="1" applyProtection="1">
      <alignment vertical="center" wrapText="1"/>
    </xf>
    <xf numFmtId="0" fontId="6" fillId="0" borderId="0" xfId="0" applyFont="1" applyBorder="1" applyAlignment="1" applyProtection="1">
      <alignment vertical="center" wrapText="1"/>
    </xf>
    <xf numFmtId="0" fontId="23" fillId="0" borderId="0" xfId="0" applyFont="1" applyBorder="1" applyAlignment="1">
      <alignment vertical="center"/>
    </xf>
    <xf numFmtId="164" fontId="0" fillId="0" borderId="4" xfId="0" applyNumberFormat="1" applyBorder="1" applyAlignment="1" applyProtection="1"/>
    <xf numFmtId="0" fontId="18" fillId="0" borderId="8" xfId="0" applyNumberFormat="1" applyFont="1" applyFill="1" applyBorder="1" applyAlignment="1" applyProtection="1">
      <alignment horizontal="center" vertical="center"/>
      <protection hidden="1"/>
    </xf>
    <xf numFmtId="0" fontId="24" fillId="0" borderId="0" xfId="0" applyFont="1" applyFill="1" applyAlignment="1">
      <alignment vertical="center"/>
    </xf>
    <xf numFmtId="0" fontId="6" fillId="0" borderId="0" xfId="0" applyFont="1" applyFill="1" applyBorder="1" applyAlignment="1" applyProtection="1">
      <alignment horizontal="left"/>
    </xf>
    <xf numFmtId="0" fontId="0" fillId="0" borderId="45" xfId="0" applyFill="1" applyBorder="1" applyAlignment="1">
      <alignment horizontal="left"/>
    </xf>
    <xf numFmtId="0" fontId="0" fillId="0" borderId="0" xfId="0" applyFill="1" applyBorder="1" applyAlignment="1">
      <alignment horizontal="left"/>
    </xf>
    <xf numFmtId="0" fontId="20" fillId="0" borderId="43" xfId="0" applyFont="1" applyFill="1" applyBorder="1" applyAlignment="1">
      <alignment horizontal="center"/>
    </xf>
    <xf numFmtId="0" fontId="23" fillId="0" borderId="0" xfId="0" applyFont="1" applyAlignment="1">
      <alignment vertical="center"/>
    </xf>
    <xf numFmtId="0" fontId="6" fillId="0" borderId="6" xfId="0" applyFont="1" applyBorder="1" applyAlignment="1">
      <alignment vertical="center"/>
    </xf>
    <xf numFmtId="0" fontId="10" fillId="0" borderId="6" xfId="0" applyFont="1" applyBorder="1" applyAlignment="1">
      <alignment horizontal="left" vertical="center"/>
    </xf>
    <xf numFmtId="0" fontId="6" fillId="0" borderId="8" xfId="0" applyFont="1" applyBorder="1" applyAlignment="1">
      <alignment vertical="center"/>
    </xf>
    <xf numFmtId="0" fontId="6" fillId="0" borderId="7" xfId="0" applyFont="1" applyBorder="1" applyAlignment="1">
      <alignment vertical="center" wrapText="1"/>
    </xf>
    <xf numFmtId="166" fontId="0" fillId="0" borderId="0" xfId="0" applyNumberFormat="1" applyProtection="1">
      <protection hidden="1"/>
    </xf>
    <xf numFmtId="166" fontId="0" fillId="0" borderId="0" xfId="0" applyNumberFormat="1" applyFill="1" applyProtection="1">
      <protection hidden="1"/>
    </xf>
    <xf numFmtId="164" fontId="6" fillId="0" borderId="8" xfId="0" applyNumberFormat="1" applyFont="1" applyFill="1" applyBorder="1" applyAlignment="1" applyProtection="1">
      <alignment horizontal="center" vertical="center"/>
      <protection hidden="1"/>
    </xf>
    <xf numFmtId="0" fontId="18" fillId="0" borderId="8" xfId="0" applyFont="1" applyBorder="1" applyAlignment="1" applyProtection="1">
      <alignment horizontal="center"/>
      <protection hidden="1"/>
    </xf>
    <xf numFmtId="0" fontId="6" fillId="0" borderId="8" xfId="0" applyFont="1" applyFill="1" applyBorder="1" applyAlignment="1" applyProtection="1">
      <alignment horizontal="center"/>
      <protection hidden="1"/>
    </xf>
    <xf numFmtId="0" fontId="18" fillId="0" borderId="28" xfId="0" applyFont="1" applyBorder="1" applyAlignment="1" applyProtection="1">
      <alignment horizontal="center"/>
      <protection hidden="1"/>
    </xf>
    <xf numFmtId="166" fontId="0" fillId="0" borderId="0" xfId="0" applyNumberFormat="1"/>
    <xf numFmtId="0" fontId="6" fillId="3" borderId="6" xfId="0" applyFont="1" applyFill="1" applyBorder="1" applyAlignment="1" applyProtection="1">
      <alignment horizontal="left" vertical="center"/>
      <protection hidden="1"/>
    </xf>
    <xf numFmtId="0" fontId="6" fillId="0" borderId="6" xfId="0" applyFont="1" applyFill="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0" fontId="6" fillId="0" borderId="4" xfId="0" applyFont="1" applyBorder="1" applyAlignment="1" applyProtection="1">
      <alignment horizontal="center"/>
    </xf>
    <xf numFmtId="0" fontId="20" fillId="0" borderId="0" xfId="0" applyFont="1" applyFill="1" applyBorder="1" applyAlignment="1">
      <alignment horizontal="center"/>
    </xf>
    <xf numFmtId="0" fontId="6" fillId="0" borderId="3" xfId="0" applyFont="1" applyBorder="1" applyAlignment="1" applyProtection="1">
      <alignment horizontal="left"/>
    </xf>
    <xf numFmtId="0" fontId="6" fillId="0" borderId="14" xfId="0" applyFont="1" applyBorder="1" applyAlignment="1" applyProtection="1">
      <alignment horizontal="left"/>
    </xf>
    <xf numFmtId="0" fontId="6" fillId="0" borderId="4" xfId="0" applyFont="1" applyFill="1" applyBorder="1" applyAlignment="1" applyProtection="1">
      <alignment horizontal="center"/>
      <protection locked="0"/>
    </xf>
    <xf numFmtId="1" fontId="6" fillId="0" borderId="8" xfId="0" applyNumberFormat="1" applyFont="1" applyFill="1" applyBorder="1" applyAlignment="1" applyProtection="1">
      <alignment horizontal="center" vertical="center"/>
      <protection hidden="1"/>
    </xf>
    <xf numFmtId="0" fontId="6" fillId="0" borderId="8" xfId="0" applyNumberFormat="1" applyFont="1" applyFill="1" applyBorder="1" applyAlignment="1" applyProtection="1">
      <alignment horizontal="center"/>
      <protection hidden="1"/>
    </xf>
    <xf numFmtId="2" fontId="18" fillId="0" borderId="8" xfId="0" applyNumberFormat="1" applyFont="1" applyFill="1" applyBorder="1" applyAlignment="1" applyProtection="1">
      <alignment horizontal="center"/>
      <protection hidden="1"/>
    </xf>
    <xf numFmtId="2" fontId="6" fillId="0" borderId="8" xfId="0" applyNumberFormat="1" applyFont="1" applyFill="1" applyBorder="1" applyAlignment="1" applyProtection="1">
      <alignment horizontal="center"/>
      <protection hidden="1"/>
    </xf>
    <xf numFmtId="1" fontId="18" fillId="0" borderId="8" xfId="0" applyNumberFormat="1" applyFont="1" applyFill="1" applyBorder="1" applyAlignment="1" applyProtection="1">
      <alignment horizontal="center"/>
      <protection hidden="1"/>
    </xf>
    <xf numFmtId="2" fontId="18" fillId="0" borderId="8" xfId="0" applyNumberFormat="1" applyFont="1" applyBorder="1" applyAlignment="1" applyProtection="1">
      <alignment horizontal="center"/>
      <protection hidden="1"/>
    </xf>
    <xf numFmtId="0" fontId="1" fillId="7" borderId="3" xfId="0" applyFont="1" applyFill="1" applyBorder="1" applyAlignment="1" applyProtection="1"/>
    <xf numFmtId="0" fontId="0" fillId="7" borderId="4" xfId="0" applyFont="1" applyFill="1" applyBorder="1" applyAlignment="1" applyProtection="1"/>
    <xf numFmtId="0" fontId="0" fillId="7" borderId="14" xfId="0" applyFont="1" applyFill="1" applyBorder="1" applyAlignment="1" applyProtection="1"/>
    <xf numFmtId="0" fontId="1" fillId="7" borderId="3" xfId="0" applyFont="1" applyFill="1" applyBorder="1" applyAlignment="1" applyProtection="1">
      <alignment vertical="center"/>
    </xf>
    <xf numFmtId="0" fontId="1" fillId="7" borderId="4" xfId="0" applyFont="1" applyFill="1" applyBorder="1" applyAlignment="1" applyProtection="1">
      <alignment vertical="center"/>
    </xf>
    <xf numFmtId="0" fontId="1" fillId="7" borderId="14" xfId="0" applyFont="1" applyFill="1" applyBorder="1" applyAlignment="1" applyProtection="1">
      <alignment vertical="center"/>
    </xf>
    <xf numFmtId="0" fontId="6" fillId="0" borderId="15" xfId="0" applyFont="1" applyBorder="1" applyAlignment="1" applyProtection="1">
      <alignment horizontal="center" vertical="top" wrapText="1"/>
    </xf>
    <xf numFmtId="0" fontId="6" fillId="0" borderId="16" xfId="0" applyFont="1" applyBorder="1" applyAlignment="1" applyProtection="1">
      <alignment horizontal="center" vertical="top" wrapText="1"/>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14" xfId="0" applyFont="1" applyBorder="1" applyAlignment="1" applyProtection="1">
      <alignment horizontal="center" vertical="center"/>
    </xf>
    <xf numFmtId="0" fontId="3" fillId="2"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1" fillId="5" borderId="3" xfId="0" applyFont="1" applyFill="1" applyBorder="1" applyAlignment="1" applyProtection="1">
      <alignment horizontal="left" vertical="center"/>
    </xf>
    <xf numFmtId="0" fontId="1" fillId="5" borderId="4" xfId="0" applyFont="1" applyFill="1" applyBorder="1" applyAlignment="1" applyProtection="1">
      <alignment horizontal="left" vertical="center"/>
    </xf>
    <xf numFmtId="0" fontId="1" fillId="5" borderId="14" xfId="0" applyFont="1" applyFill="1" applyBorder="1" applyAlignment="1" applyProtection="1">
      <alignment horizontal="left" vertical="center"/>
    </xf>
    <xf numFmtId="0" fontId="1" fillId="7" borderId="3" xfId="0" applyFont="1" applyFill="1" applyBorder="1" applyAlignment="1" applyProtection="1">
      <alignment horizontal="left" vertical="center"/>
    </xf>
    <xf numFmtId="0" fontId="1" fillId="7" borderId="4" xfId="0" applyFont="1" applyFill="1" applyBorder="1" applyAlignment="1" applyProtection="1">
      <alignment horizontal="left" vertical="center"/>
    </xf>
    <xf numFmtId="0" fontId="1" fillId="7" borderId="14" xfId="0" applyFont="1" applyFill="1" applyBorder="1" applyAlignment="1" applyProtection="1">
      <alignment horizontal="left" vertical="center"/>
    </xf>
    <xf numFmtId="0" fontId="8" fillId="0" borderId="9"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6" fillId="3" borderId="3"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14"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2" borderId="14" xfId="0" applyFont="1" applyFill="1" applyBorder="1" applyAlignment="1" applyProtection="1">
      <alignment horizontal="center"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14" xfId="0" applyFont="1" applyBorder="1" applyAlignment="1" applyProtection="1">
      <alignment horizontal="left" vertical="center" wrapText="1"/>
    </xf>
    <xf numFmtId="0" fontId="6" fillId="3" borderId="3" xfId="0" applyFont="1" applyFill="1" applyBorder="1" applyAlignment="1" applyProtection="1">
      <alignment horizontal="right" vertical="center"/>
    </xf>
    <xf numFmtId="0" fontId="6" fillId="3" borderId="5" xfId="0" applyFont="1" applyFill="1" applyBorder="1" applyAlignment="1" applyProtection="1">
      <alignment horizontal="right" vertical="center"/>
    </xf>
    <xf numFmtId="0" fontId="0" fillId="0" borderId="3" xfId="0" applyBorder="1" applyAlignment="1" applyProtection="1">
      <alignment horizontal="center"/>
    </xf>
    <xf numFmtId="0" fontId="0" fillId="0" borderId="4" xfId="0" applyBorder="1" applyAlignment="1" applyProtection="1">
      <alignment horizontal="center"/>
    </xf>
    <xf numFmtId="0" fontId="0" fillId="0" borderId="14" xfId="0" applyBorder="1" applyAlignment="1" applyProtection="1">
      <alignment horizontal="center"/>
    </xf>
    <xf numFmtId="0" fontId="6" fillId="0" borderId="12"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20" xfId="0" applyFont="1" applyBorder="1" applyAlignment="1" applyProtection="1">
      <alignment horizontal="center" vertical="center"/>
    </xf>
    <xf numFmtId="0" fontId="1" fillId="0" borderId="3" xfId="0" applyFont="1" applyBorder="1" applyAlignment="1" applyProtection="1">
      <alignment horizontal="center" vertical="center"/>
    </xf>
    <xf numFmtId="0" fontId="1" fillId="0" borderId="4" xfId="0" applyFont="1" applyBorder="1" applyAlignment="1" applyProtection="1">
      <alignment horizontal="center" vertical="center"/>
    </xf>
    <xf numFmtId="0" fontId="1" fillId="0" borderId="14" xfId="0" applyFont="1" applyBorder="1" applyAlignment="1" applyProtection="1">
      <alignment horizontal="center" vertical="center"/>
    </xf>
    <xf numFmtId="0" fontId="4" fillId="0" borderId="9" xfId="0"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7" fillId="0" borderId="9"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7" fillId="0" borderId="18" xfId="0" applyFont="1" applyBorder="1" applyAlignment="1" applyProtection="1">
      <alignment horizontal="center" vertical="center" wrapText="1"/>
    </xf>
    <xf numFmtId="0" fontId="7" fillId="0" borderId="11"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7" fillId="0" borderId="13" xfId="0" applyFont="1" applyBorder="1" applyAlignment="1" applyProtection="1">
      <alignment horizontal="center" vertical="center" wrapText="1"/>
    </xf>
    <xf numFmtId="0" fontId="7" fillId="0" borderId="20"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0" fillId="0" borderId="10" xfId="0" applyFont="1" applyBorder="1" applyAlignment="1" applyProtection="1">
      <alignment horizontal="center" vertical="center"/>
    </xf>
    <xf numFmtId="0" fontId="0" fillId="0" borderId="18" xfId="0" applyFont="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6" fillId="0" borderId="15" xfId="0" applyFont="1" applyFill="1" applyBorder="1" applyAlignment="1" applyProtection="1">
      <alignment horizontal="center" vertical="center" wrapText="1"/>
    </xf>
    <xf numFmtId="0" fontId="6" fillId="0" borderId="16" xfId="0" applyFont="1" applyFill="1" applyBorder="1" applyAlignment="1" applyProtection="1">
      <alignment horizontal="center" vertical="center" wrapText="1"/>
    </xf>
    <xf numFmtId="0" fontId="6" fillId="0" borderId="17" xfId="0" applyFont="1" applyFill="1" applyBorder="1" applyAlignment="1" applyProtection="1">
      <alignment horizontal="center" vertical="center" wrapText="1"/>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14" xfId="0" applyFont="1" applyFill="1" applyBorder="1" applyAlignment="1">
      <alignment horizontal="lef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 fillId="6" borderId="3" xfId="0" applyFont="1" applyFill="1" applyBorder="1" applyAlignment="1">
      <alignment vertical="center"/>
    </xf>
    <xf numFmtId="0" fontId="1" fillId="6" borderId="4" xfId="0" applyFont="1" applyFill="1" applyBorder="1" applyAlignment="1">
      <alignment vertical="center"/>
    </xf>
    <xf numFmtId="0" fontId="1" fillId="6" borderId="14" xfId="0" applyFont="1" applyFill="1" applyBorder="1" applyAlignment="1">
      <alignment vertical="center"/>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1" fillId="7" borderId="3" xfId="0" applyFont="1" applyFill="1" applyBorder="1" applyAlignment="1">
      <alignment vertical="center"/>
    </xf>
    <xf numFmtId="0" fontId="1" fillId="7" borderId="4" xfId="0" applyFont="1" applyFill="1" applyBorder="1" applyAlignment="1">
      <alignment vertical="center"/>
    </xf>
    <xf numFmtId="0" fontId="1" fillId="7" borderId="14" xfId="0" applyFont="1" applyFill="1" applyBorder="1" applyAlignment="1">
      <alignment vertical="center"/>
    </xf>
    <xf numFmtId="0" fontId="0" fillId="0" borderId="8" xfId="0" applyBorder="1" applyAlignment="1">
      <alignment horizontal="lef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8"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horizontal="center" vertical="center"/>
    </xf>
    <xf numFmtId="0" fontId="1" fillId="0" borderId="19"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20"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4" fillId="6" borderId="3" xfId="0" applyFont="1" applyFill="1" applyBorder="1" applyAlignment="1">
      <alignment vertical="center"/>
    </xf>
    <xf numFmtId="0" fontId="4" fillId="6" borderId="4" xfId="0" applyFont="1" applyFill="1" applyBorder="1" applyAlignment="1">
      <alignment vertical="center"/>
    </xf>
    <xf numFmtId="0" fontId="4" fillId="6" borderId="14" xfId="0" applyFont="1" applyFill="1" applyBorder="1" applyAlignment="1">
      <alignment vertical="center"/>
    </xf>
    <xf numFmtId="0" fontId="4" fillId="0" borderId="3" xfId="0" applyFont="1" applyFill="1" applyBorder="1" applyAlignment="1" applyProtection="1">
      <alignment horizontal="center"/>
    </xf>
    <xf numFmtId="0" fontId="4" fillId="0" borderId="4" xfId="0" applyFont="1" applyFill="1" applyBorder="1" applyAlignment="1" applyProtection="1">
      <alignment horizontal="center"/>
    </xf>
    <xf numFmtId="0" fontId="4" fillId="0" borderId="14" xfId="0" applyFont="1" applyFill="1" applyBorder="1" applyAlignment="1" applyProtection="1">
      <alignment horizontal="center"/>
    </xf>
    <xf numFmtId="0" fontId="6" fillId="0" borderId="3" xfId="0" applyFont="1" applyBorder="1" applyAlignment="1" applyProtection="1">
      <alignment horizontal="center"/>
    </xf>
    <xf numFmtId="0" fontId="6" fillId="0" borderId="4" xfId="0" applyFont="1" applyBorder="1" applyAlignment="1" applyProtection="1">
      <alignment horizontal="center"/>
    </xf>
    <xf numFmtId="0" fontId="6" fillId="0" borderId="14" xfId="0" applyFont="1" applyBorder="1" applyAlignment="1" applyProtection="1">
      <alignment horizontal="center"/>
    </xf>
    <xf numFmtId="0" fontId="1" fillId="0" borderId="24" xfId="0" applyFont="1" applyBorder="1" applyAlignment="1">
      <alignment horizontal="center"/>
    </xf>
    <xf numFmtId="0" fontId="1" fillId="0" borderId="30" xfId="0" applyFont="1" applyBorder="1" applyAlignment="1">
      <alignment horizontal="center"/>
    </xf>
    <xf numFmtId="0" fontId="1" fillId="0" borderId="31" xfId="0" applyFont="1" applyBorder="1" applyAlignment="1">
      <alignment horizontal="center"/>
    </xf>
    <xf numFmtId="0" fontId="14" fillId="0" borderId="39" xfId="0" applyFont="1" applyFill="1" applyBorder="1" applyAlignment="1">
      <alignment horizontal="center" vertical="center"/>
    </xf>
    <xf numFmtId="0" fontId="14" fillId="0" borderId="46" xfId="0" applyFont="1" applyFill="1" applyBorder="1" applyAlignment="1">
      <alignment horizontal="center" vertical="center"/>
    </xf>
    <xf numFmtId="0" fontId="14" fillId="0" borderId="40" xfId="0" applyFont="1" applyFill="1" applyBorder="1" applyAlignment="1">
      <alignment horizontal="center" vertical="center"/>
    </xf>
    <xf numFmtId="0" fontId="0" fillId="0" borderId="39" xfId="0" applyFont="1" applyBorder="1" applyAlignment="1">
      <alignment horizontal="center" wrapText="1"/>
    </xf>
    <xf numFmtId="0" fontId="0" fillId="0" borderId="40" xfId="0" applyFont="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ill="1" applyBorder="1" applyAlignment="1">
      <alignment horizontal="center"/>
    </xf>
    <xf numFmtId="0" fontId="0" fillId="8" borderId="6" xfId="0" applyFill="1" applyBorder="1" applyAlignment="1">
      <alignment horizontal="center"/>
    </xf>
    <xf numFmtId="0" fontId="0" fillId="8" borderId="25" xfId="0" applyFill="1" applyBorder="1" applyAlignment="1">
      <alignment horizontal="center"/>
    </xf>
    <xf numFmtId="0" fontId="0" fillId="8" borderId="26" xfId="0" applyFill="1" applyBorder="1" applyAlignment="1">
      <alignment horizontal="center"/>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39" xfId="0" applyFont="1" applyBorder="1" applyAlignment="1">
      <alignment horizontal="center"/>
    </xf>
    <xf numFmtId="0" fontId="1" fillId="0" borderId="46" xfId="0" applyFont="1" applyBorder="1" applyAlignment="1">
      <alignment horizontal="center"/>
    </xf>
    <xf numFmtId="0" fontId="1" fillId="0" borderId="40" xfId="0" applyFont="1" applyBorder="1" applyAlignment="1">
      <alignment horizontal="center"/>
    </xf>
    <xf numFmtId="0" fontId="1" fillId="0" borderId="39" xfId="0" applyFont="1" applyBorder="1" applyAlignment="1">
      <alignment horizontal="center" wrapText="1"/>
    </xf>
    <xf numFmtId="0" fontId="0" fillId="0" borderId="46" xfId="0" applyFont="1" applyBorder="1" applyAlignment="1">
      <alignment horizontal="center" wrapText="1"/>
    </xf>
    <xf numFmtId="0" fontId="0" fillId="0" borderId="38" xfId="0" applyBorder="1" applyAlignment="1">
      <alignment horizontal="center" vertical="center"/>
    </xf>
    <xf numFmtId="0" fontId="0" fillId="0" borderId="44" xfId="0" applyBorder="1" applyAlignment="1">
      <alignment horizontal="center" vertical="center"/>
    </xf>
    <xf numFmtId="0" fontId="0" fillId="0" borderId="29" xfId="0" applyBorder="1" applyAlignment="1">
      <alignment horizontal="center" vertical="center"/>
    </xf>
    <xf numFmtId="0" fontId="6" fillId="0" borderId="38" xfId="0" applyFont="1" applyBorder="1" applyAlignment="1" applyProtection="1">
      <alignment horizontal="center" vertical="center"/>
    </xf>
    <xf numFmtId="0" fontId="6" fillId="0" borderId="44" xfId="0" applyFont="1" applyBorder="1" applyAlignment="1" applyProtection="1">
      <alignment horizontal="center" vertical="center"/>
    </xf>
    <xf numFmtId="0" fontId="6" fillId="0" borderId="29" xfId="0" applyFont="1" applyBorder="1" applyAlignment="1" applyProtection="1">
      <alignment horizontal="center" vertical="center"/>
    </xf>
    <xf numFmtId="0" fontId="0" fillId="0" borderId="60" xfId="0" applyBorder="1" applyAlignment="1">
      <alignment horizontal="center" vertical="center"/>
    </xf>
    <xf numFmtId="0" fontId="0" fillId="0" borderId="43" xfId="0" applyBorder="1" applyAlignment="1">
      <alignment horizontal="center" vertical="center"/>
    </xf>
    <xf numFmtId="0" fontId="1" fillId="0" borderId="24" xfId="0" applyFont="1" applyBorder="1" applyAlignment="1">
      <alignment horizontal="center" wrapText="1"/>
    </xf>
    <xf numFmtId="0" fontId="1" fillId="0" borderId="30" xfId="0" applyFont="1" applyBorder="1" applyAlignment="1">
      <alignment horizontal="center" wrapText="1"/>
    </xf>
    <xf numFmtId="0" fontId="1" fillId="0" borderId="31" xfId="0" applyFont="1" applyBorder="1" applyAlignment="1">
      <alignment horizontal="center" wrapText="1"/>
    </xf>
    <xf numFmtId="0" fontId="1" fillId="0" borderId="59" xfId="0" applyFont="1" applyBorder="1" applyAlignment="1">
      <alignment horizontal="center"/>
    </xf>
    <xf numFmtId="0" fontId="1" fillId="0" borderId="13" xfId="0" applyFont="1" applyBorder="1" applyAlignment="1">
      <alignment horizontal="center"/>
    </xf>
    <xf numFmtId="0" fontId="15" fillId="0" borderId="0" xfId="0" applyFont="1" applyBorder="1" applyAlignment="1">
      <alignment horizontal="center"/>
    </xf>
    <xf numFmtId="0" fontId="15" fillId="0" borderId="47" xfId="0" applyFont="1" applyBorder="1" applyAlignment="1">
      <alignment horizontal="center"/>
    </xf>
    <xf numFmtId="0" fontId="17" fillId="0" borderId="39"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2" xfId="0" applyFont="1" applyBorder="1" applyAlignment="1">
      <alignment horizontal="center" vertical="center" wrapText="1"/>
    </xf>
    <xf numFmtId="0" fontId="1" fillId="0" borderId="32" xfId="0" applyFont="1" applyBorder="1" applyAlignment="1">
      <alignment horizontal="center"/>
    </xf>
    <xf numFmtId="0" fontId="1" fillId="0" borderId="55" xfId="0" applyFont="1" applyBorder="1" applyAlignment="1">
      <alignment horizontal="center"/>
    </xf>
    <xf numFmtId="0" fontId="1" fillId="0" borderId="33" xfId="0" applyFont="1" applyBorder="1" applyAlignment="1">
      <alignment horizontal="center"/>
    </xf>
    <xf numFmtId="0" fontId="1" fillId="0" borderId="34" xfId="0" applyFont="1" applyBorder="1" applyAlignment="1">
      <alignment horizontal="center"/>
    </xf>
  </cellXfs>
  <cellStyles count="2">
    <cellStyle name="Hyperlink" xfId="1" builtinId="8"/>
    <cellStyle name="Normal" xfId="0" builtinId="0"/>
  </cellStyles>
  <dxfs count="20">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CCC"/>
        </patternFill>
      </fill>
    </dxf>
    <dxf>
      <font>
        <b val="0"/>
        <i val="0"/>
        <color theme="1"/>
      </font>
      <fill>
        <patternFill>
          <bgColor rgb="FFFFFF00"/>
        </patternFill>
      </fill>
    </dxf>
    <dxf>
      <font>
        <b val="0"/>
        <i val="0"/>
        <strike val="0"/>
        <color theme="1"/>
      </font>
      <fill>
        <patternFill>
          <bgColor rgb="FFFF0000"/>
        </patternFill>
      </fill>
    </dxf>
    <dxf>
      <font>
        <b val="0"/>
        <i val="0"/>
        <color theme="1"/>
      </font>
      <fill>
        <patternFill>
          <bgColor rgb="FFFFFF00"/>
        </patternFill>
      </fill>
    </dxf>
    <dxf>
      <font>
        <b val="0"/>
        <i val="0"/>
        <strike val="0"/>
        <color theme="1"/>
      </font>
      <fill>
        <patternFill>
          <bgColor rgb="FFFF0000"/>
        </patternFill>
      </fill>
    </dxf>
    <dxf>
      <font>
        <color rgb="FF006100"/>
      </font>
      <fill>
        <patternFill>
          <bgColor rgb="FFC6EFCE"/>
        </patternFill>
      </fill>
    </dxf>
    <dxf>
      <font>
        <b/>
        <i val="0"/>
        <color rgb="FFC00000"/>
      </font>
      <fill>
        <patternFill>
          <bgColor rgb="FFFFCCCC"/>
        </patternFill>
      </fill>
    </dxf>
  </dxfs>
  <tableStyles count="0" defaultTableStyle="TableStyleMedium2" defaultPivotStyle="PivotStyleLight16"/>
  <colors>
    <mruColors>
      <color rgb="FFFFCCCC"/>
      <color rgb="FFFF5050"/>
      <color rgb="FFFFFFFF"/>
      <color rgb="FFFF9999"/>
      <color rgb="FFFF7C80"/>
      <color rgb="FFFF66CC"/>
      <color rgb="FFFF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Gain</a:t>
            </a:r>
          </a:p>
        </c:rich>
      </c:tx>
      <c:overlay val="0"/>
      <c:spPr>
        <a:noFill/>
        <a:ln>
          <a:noFill/>
        </a:ln>
        <a:effectLst/>
      </c:sp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1"/>
          <c:order val="0"/>
          <c:tx>
            <c:v>Gain</c:v>
          </c:tx>
          <c:marker>
            <c:symbol val="none"/>
          </c:marker>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6-6DCD-4D00-AE70-04CD7BA5B1F9}"/>
            </c:ext>
          </c:extLst>
        </c:ser>
        <c:ser>
          <c:idx val="0"/>
          <c:order val="1"/>
          <c:tx>
            <c:v>Gain</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2"/>
            <c:dispRSqr val="0"/>
            <c:dispEq val="1"/>
            <c:trendlineLbl>
              <c:layout>
                <c:manualLayout>
                  <c:x val="-0.47568409151392593"/>
                  <c:y val="7.8973465848164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5-6DCD-4D00-AE70-04CD7BA5B1F9}"/>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plotArea>
    <c:plotVisOnly val="1"/>
    <c:dispBlanksAs val="gap"/>
    <c:showDLblsOverMax val="0"/>
    <c:extLst/>
  </c:chart>
  <c:spPr>
    <a:ln>
      <a:solidFill>
        <a:schemeClr val="bg1">
          <a:lumMod val="85000"/>
        </a:schemeClr>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Phase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0"/>
          <c:order val="0"/>
          <c:tx>
            <c:v>Phase</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4"/>
            <c:dispRSqr val="0"/>
            <c:dispEq val="1"/>
            <c:trendlineLbl>
              <c:layout>
                <c:manualLayout>
                  <c:x val="-0.24739114777888258"/>
                  <c:y val="4.87421547337967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Function'!$E$4:$E$17</c:f>
              <c:numCache>
                <c:formatCode>General</c:formatCode>
                <c:ptCount val="14"/>
                <c:pt idx="0">
                  <c:v>110</c:v>
                </c:pt>
                <c:pt idx="1">
                  <c:v>80</c:v>
                </c:pt>
                <c:pt idx="2">
                  <c:v>67</c:v>
                </c:pt>
                <c:pt idx="3">
                  <c:v>63</c:v>
                </c:pt>
                <c:pt idx="4">
                  <c:v>60</c:v>
                </c:pt>
                <c:pt idx="5">
                  <c:v>56</c:v>
                </c:pt>
                <c:pt idx="6">
                  <c:v>53</c:v>
                </c:pt>
                <c:pt idx="7">
                  <c:v>51</c:v>
                </c:pt>
                <c:pt idx="8">
                  <c:v>48</c:v>
                </c:pt>
                <c:pt idx="9">
                  <c:v>46</c:v>
                </c:pt>
                <c:pt idx="10">
                  <c:v>30</c:v>
                </c:pt>
                <c:pt idx="11">
                  <c:v>25</c:v>
                </c:pt>
                <c:pt idx="12">
                  <c:v>20</c:v>
                </c:pt>
                <c:pt idx="13">
                  <c:v>15</c:v>
                </c:pt>
              </c:numCache>
            </c:numRef>
          </c:yVal>
          <c:smooth val="1"/>
          <c:extLst>
            <c:ext xmlns:c16="http://schemas.microsoft.com/office/drawing/2014/chart" uri="{C3380CC4-5D6E-409C-BE32-E72D297353CC}">
              <c16:uniqueId val="{00000001-012F-4B74-BC91-BE3A2273A00E}"/>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4</xdr:col>
      <xdr:colOff>86605</xdr:colOff>
      <xdr:row>74</xdr:row>
      <xdr:rowOff>8057</xdr:rowOff>
    </xdr:from>
    <xdr:to>
      <xdr:col>4</xdr:col>
      <xdr:colOff>3126855</xdr:colOff>
      <xdr:row>79</xdr:row>
      <xdr:rowOff>101749</xdr:rowOff>
    </xdr:to>
    <xdr:pic>
      <xdr:nvPicPr>
        <xdr:cNvPr id="2" name="Picture 1">
          <a:extLst>
            <a:ext uri="{FF2B5EF4-FFF2-40B4-BE49-F238E27FC236}">
              <a16:creationId xmlns:a16="http://schemas.microsoft.com/office/drawing/2014/main" id="{BCE7B207-B13D-49C8-8D4F-DE9CA855F4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6330" y="13923978"/>
          <a:ext cx="3040250" cy="1009557"/>
        </a:xfrm>
        <a:prstGeom prst="rect">
          <a:avLst/>
        </a:prstGeom>
      </xdr:spPr>
    </xdr:pic>
    <xdr:clientData fPrintsWithSheet="0"/>
  </xdr:twoCellAnchor>
  <xdr:oneCellAnchor>
    <xdr:from>
      <xdr:col>4</xdr:col>
      <xdr:colOff>3119024</xdr:colOff>
      <xdr:row>73</xdr:row>
      <xdr:rowOff>62739</xdr:rowOff>
    </xdr:from>
    <xdr:ext cx="2041041" cy="953466"/>
    <xdr:sp macro="" textlink="">
      <xdr:nvSpPr>
        <xdr:cNvPr id="3" name="TextBox 2">
          <a:extLst>
            <a:ext uri="{FF2B5EF4-FFF2-40B4-BE49-F238E27FC236}">
              <a16:creationId xmlns:a16="http://schemas.microsoft.com/office/drawing/2014/main" id="{E778C3D4-16EA-C5DB-A874-B27BEDC75532}"/>
            </a:ext>
          </a:extLst>
        </xdr:cNvPr>
        <xdr:cNvSpPr txBox="1"/>
      </xdr:nvSpPr>
      <xdr:spPr>
        <a:xfrm>
          <a:off x="10523676" y="15269609"/>
          <a:ext cx="2041041"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kern="1200"/>
            <a:t>This values are for initial design parameters, fine tuning is required for optimised efficiency at light load and full load condition.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644646</xdr:colOff>
      <xdr:row>20</xdr:row>
      <xdr:rowOff>174141</xdr:rowOff>
    </xdr:from>
    <xdr:to>
      <xdr:col>3</xdr:col>
      <xdr:colOff>51855</xdr:colOff>
      <xdr:row>21</xdr:row>
      <xdr:rowOff>174142</xdr:rowOff>
    </xdr:to>
    <xdr:sp macro="" textlink="">
      <xdr:nvSpPr>
        <xdr:cNvPr id="4" name="TextBox 3">
          <a:extLst>
            <a:ext uri="{FF2B5EF4-FFF2-40B4-BE49-F238E27FC236}">
              <a16:creationId xmlns:a16="http://schemas.microsoft.com/office/drawing/2014/main" id="{44CCE9A1-0F8E-47B8-8358-903C4D72BC37}"/>
            </a:ext>
          </a:extLst>
        </xdr:cNvPr>
        <xdr:cNvSpPr txBox="1"/>
      </xdr:nvSpPr>
      <xdr:spPr>
        <a:xfrm>
          <a:off x="4711821" y="3793641"/>
          <a:ext cx="1016934" cy="18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000"/>
            <a:t>Figure (1): Compensator circuit </a:t>
          </a:r>
        </a:p>
      </xdr:txBody>
    </xdr:sp>
    <xdr:clientData/>
  </xdr:twoCellAnchor>
  <xdr:twoCellAnchor>
    <xdr:from>
      <xdr:col>0</xdr:col>
      <xdr:colOff>3009900</xdr:colOff>
      <xdr:row>2</xdr:row>
      <xdr:rowOff>165875</xdr:rowOff>
    </xdr:from>
    <xdr:to>
      <xdr:col>4</xdr:col>
      <xdr:colOff>1857374</xdr:colOff>
      <xdr:row>21</xdr:row>
      <xdr:rowOff>1228</xdr:rowOff>
    </xdr:to>
    <xdr:pic>
      <xdr:nvPicPr>
        <xdr:cNvPr id="5" name="Picture 4">
          <a:extLst>
            <a:ext uri="{FF2B5EF4-FFF2-40B4-BE49-F238E27FC236}">
              <a16:creationId xmlns:a16="http://schemas.microsoft.com/office/drawing/2014/main" id="{56A38DCF-B59E-4BB8-ADF9-796E6C9AE2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527825"/>
          <a:ext cx="4933949" cy="3273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266228</xdr:colOff>
      <xdr:row>0</xdr:row>
      <xdr:rowOff>0</xdr:rowOff>
    </xdr:from>
    <xdr:to>
      <xdr:col>18</xdr:col>
      <xdr:colOff>153412</xdr:colOff>
      <xdr:row>28</xdr:row>
      <xdr:rowOff>116449</xdr:rowOff>
    </xdr:to>
    <xdr:grpSp>
      <xdr:nvGrpSpPr>
        <xdr:cNvPr id="4" name="Group 3">
          <a:extLst>
            <a:ext uri="{FF2B5EF4-FFF2-40B4-BE49-F238E27FC236}">
              <a16:creationId xmlns:a16="http://schemas.microsoft.com/office/drawing/2014/main" id="{C011FAD0-4799-441B-5AA4-A06E5A3975D7}"/>
            </a:ext>
          </a:extLst>
        </xdr:cNvPr>
        <xdr:cNvGrpSpPr/>
      </xdr:nvGrpSpPr>
      <xdr:grpSpPr>
        <a:xfrm>
          <a:off x="912568" y="0"/>
          <a:ext cx="11126684" cy="5266753"/>
          <a:chOff x="912568" y="0"/>
          <a:chExt cx="11121922" cy="5266753"/>
        </a:xfrm>
      </xdr:grpSpPr>
      <xdr:grpSp>
        <xdr:nvGrpSpPr>
          <xdr:cNvPr id="38" name="Group 37">
            <a:extLst>
              <a:ext uri="{FF2B5EF4-FFF2-40B4-BE49-F238E27FC236}">
                <a16:creationId xmlns:a16="http://schemas.microsoft.com/office/drawing/2014/main" id="{5C64504B-6A5A-4DA0-BD08-B86B94775982}"/>
              </a:ext>
            </a:extLst>
          </xdr:cNvPr>
          <xdr:cNvGrpSpPr/>
        </xdr:nvGrpSpPr>
        <xdr:grpSpPr>
          <a:xfrm>
            <a:off x="912568" y="0"/>
            <a:ext cx="11121922" cy="5266753"/>
            <a:chOff x="604697" y="96243"/>
            <a:chExt cx="10310955" cy="5229733"/>
          </a:xfrm>
        </xdr:grpSpPr>
        <xdr:grpSp>
          <xdr:nvGrpSpPr>
            <xdr:cNvPr id="33" name="Group 32">
              <a:extLst>
                <a:ext uri="{FF2B5EF4-FFF2-40B4-BE49-F238E27FC236}">
                  <a16:creationId xmlns:a16="http://schemas.microsoft.com/office/drawing/2014/main" id="{30E95B8E-CFB2-4911-8CCB-95BAF40F55AC}"/>
                </a:ext>
              </a:extLst>
            </xdr:cNvPr>
            <xdr:cNvGrpSpPr/>
          </xdr:nvGrpSpPr>
          <xdr:grpSpPr>
            <a:xfrm>
              <a:off x="604697" y="96243"/>
              <a:ext cx="10310955" cy="5229733"/>
              <a:chOff x="754720" y="217673"/>
              <a:chExt cx="10171815" cy="4756317"/>
            </a:xfrm>
          </xdr:grpSpPr>
          <xdr:grpSp>
            <xdr:nvGrpSpPr>
              <xdr:cNvPr id="25" name="Group 24">
                <a:extLst>
                  <a:ext uri="{FF2B5EF4-FFF2-40B4-BE49-F238E27FC236}">
                    <a16:creationId xmlns:a16="http://schemas.microsoft.com/office/drawing/2014/main" id="{A6FE7FBF-962B-4433-8650-F2CD428E76EF}"/>
                  </a:ext>
                </a:extLst>
              </xdr:cNvPr>
              <xdr:cNvGrpSpPr/>
            </xdr:nvGrpSpPr>
            <xdr:grpSpPr>
              <a:xfrm>
                <a:off x="754720" y="217673"/>
                <a:ext cx="9695863" cy="4756317"/>
                <a:chOff x="1441914" y="288025"/>
                <a:chExt cx="8793035" cy="5050141"/>
              </a:xfrm>
            </xdr:grpSpPr>
            <xdr:pic>
              <xdr:nvPicPr>
                <xdr:cNvPr id="2" name="Picture 1">
                  <a:extLst>
                    <a:ext uri="{FF2B5EF4-FFF2-40B4-BE49-F238E27FC236}">
                      <a16:creationId xmlns:a16="http://schemas.microsoft.com/office/drawing/2014/main" id="{18257D9D-1F54-4E77-8A58-2D6ABCEF1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1914" y="288025"/>
                  <a:ext cx="8793035" cy="5050141"/>
                </a:xfrm>
                <a:prstGeom prst="rect">
                  <a:avLst/>
                </a:prstGeom>
                <a:ln w="3175">
                  <a:noFill/>
                </a:ln>
              </xdr:spPr>
            </xdr:pic>
            <xdr:sp macro="" textlink="$C$37">
              <xdr:nvSpPr>
                <xdr:cNvPr id="5" name="TextBox 1">
                  <a:extLst>
                    <a:ext uri="{FF2B5EF4-FFF2-40B4-BE49-F238E27FC236}">
                      <a16:creationId xmlns:a16="http://schemas.microsoft.com/office/drawing/2014/main" id="{809AC5F7-81F0-4585-AFD0-400C072EE60A}"/>
                    </a:ext>
                  </a:extLst>
                </xdr:cNvPr>
                <xdr:cNvSpPr txBox="1"/>
              </xdr:nvSpPr>
              <xdr:spPr>
                <a:xfrm>
                  <a:off x="4965107" y="935413"/>
                  <a:ext cx="520272" cy="31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AFFD6EB-1303-4215-9B07-4D3B09EB0D76}" type="TxLink">
                    <a:rPr lang="en-US" sz="1100" b="1" i="0" u="none" strike="noStrike">
                      <a:solidFill>
                        <a:srgbClr val="00B050"/>
                      </a:solidFill>
                      <a:latin typeface="Calibri"/>
                      <a:ea typeface="Calibri"/>
                      <a:cs typeface="Calibri"/>
                    </a:rPr>
                    <a:pPr/>
                    <a:t> </a:t>
                  </a:fld>
                  <a:endParaRPr lang="en-US" b="1">
                    <a:solidFill>
                      <a:srgbClr val="00B050"/>
                    </a:solidFill>
                  </a:endParaRPr>
                </a:p>
              </xdr:txBody>
            </xdr:sp>
            <xdr:sp macro="" textlink="$C$38">
              <xdr:nvSpPr>
                <xdr:cNvPr id="6" name="TextBox 2">
                  <a:extLst>
                    <a:ext uri="{FF2B5EF4-FFF2-40B4-BE49-F238E27FC236}">
                      <a16:creationId xmlns:a16="http://schemas.microsoft.com/office/drawing/2014/main" id="{5DAB38D9-938E-43C1-86D3-41DBD0320D95}"/>
                    </a:ext>
                  </a:extLst>
                </xdr:cNvPr>
                <xdr:cNvSpPr txBox="1"/>
              </xdr:nvSpPr>
              <xdr:spPr>
                <a:xfrm>
                  <a:off x="6143997" y="915186"/>
                  <a:ext cx="49312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AFFFA5EB-9A2B-4ED2-B1DC-AB990BE10CED}" type="TxLink">
                    <a:rPr lang="en-US" sz="1100" b="1" i="0" u="none" strike="noStrike">
                      <a:solidFill>
                        <a:srgbClr val="00B050"/>
                      </a:solidFill>
                      <a:latin typeface="Calibri"/>
                      <a:ea typeface="Calibri"/>
                      <a:cs typeface="Calibri"/>
                    </a:rPr>
                    <a:pPr/>
                    <a:t> </a:t>
                  </a:fld>
                  <a:endParaRPr lang="en-US" sz="400" b="1" i="0" u="none" strike="noStrike">
                    <a:solidFill>
                      <a:srgbClr val="00B050"/>
                    </a:solidFill>
                    <a:latin typeface="Calibri"/>
                    <a:ea typeface="Calibri"/>
                    <a:cs typeface="Calibri"/>
                  </a:endParaRPr>
                </a:p>
              </xdr:txBody>
            </xdr:sp>
            <xdr:sp macro="" textlink="$C$39">
              <xdr:nvSpPr>
                <xdr:cNvPr id="7" name="TextBox 2">
                  <a:extLst>
                    <a:ext uri="{FF2B5EF4-FFF2-40B4-BE49-F238E27FC236}">
                      <a16:creationId xmlns:a16="http://schemas.microsoft.com/office/drawing/2014/main" id="{3B477AE1-6D1C-4C83-B35F-9CD407134716}"/>
                    </a:ext>
                  </a:extLst>
                </xdr:cNvPr>
                <xdr:cNvSpPr txBox="1"/>
              </xdr:nvSpPr>
              <xdr:spPr>
                <a:xfrm>
                  <a:off x="6700872" y="713762"/>
                  <a:ext cx="47782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1D391DBB-3F6C-4A88-A66A-3653EE15C307}" type="TxLink">
                    <a:rPr lang="en-US" sz="1100" b="1" i="0" u="none" strike="noStrike">
                      <a:solidFill>
                        <a:srgbClr val="00B050"/>
                      </a:solidFill>
                      <a:latin typeface="Calibri"/>
                      <a:ea typeface="Calibri"/>
                      <a:cs typeface="Calibri"/>
                    </a:rPr>
                    <a:pPr/>
                    <a:t>22.71nF</a:t>
                  </a:fld>
                  <a:endParaRPr lang="en-US" sz="1000" b="1" i="0" u="none" strike="noStrike">
                    <a:solidFill>
                      <a:srgbClr val="00B050"/>
                    </a:solidFill>
                    <a:latin typeface="Calibri"/>
                    <a:ea typeface="Calibri"/>
                    <a:cs typeface="Calibri"/>
                  </a:endParaRPr>
                </a:p>
              </xdr:txBody>
            </xdr:sp>
            <xdr:sp macro="" textlink="$C$40">
              <xdr:nvSpPr>
                <xdr:cNvPr id="8" name="TextBox 2">
                  <a:extLst>
                    <a:ext uri="{FF2B5EF4-FFF2-40B4-BE49-F238E27FC236}">
                      <a16:creationId xmlns:a16="http://schemas.microsoft.com/office/drawing/2014/main" id="{E6E1CC3F-E819-4BE4-9692-86B9F91C0A43}"/>
                    </a:ext>
                  </a:extLst>
                </xdr:cNvPr>
                <xdr:cNvSpPr txBox="1"/>
              </xdr:nvSpPr>
              <xdr:spPr>
                <a:xfrm>
                  <a:off x="7455037" y="643535"/>
                  <a:ext cx="541629" cy="2287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38FB98-7DBA-466D-BF8C-AB40E47F57C9}" type="TxLink">
                    <a:rPr lang="en-US" sz="900" b="1" i="0" u="none" strike="noStrike">
                      <a:solidFill>
                        <a:srgbClr val="00B050"/>
                      </a:solidFill>
                      <a:latin typeface="Calibri"/>
                      <a:ea typeface="Calibri"/>
                      <a:cs typeface="Calibri"/>
                    </a:rPr>
                    <a:pPr/>
                    <a:t>49.02kΩ</a:t>
                  </a:fld>
                  <a:endParaRPr lang="en-US" sz="500" b="1" i="0" u="none" strike="noStrike">
                    <a:solidFill>
                      <a:srgbClr val="00B050"/>
                    </a:solidFill>
                    <a:ea typeface="Calibri"/>
                    <a:cs typeface="Calibri"/>
                  </a:endParaRPr>
                </a:p>
              </xdr:txBody>
            </xdr:sp>
            <xdr:sp macro="" textlink="$C$41">
              <xdr:nvSpPr>
                <xdr:cNvPr id="9" name="TextBox 2">
                  <a:extLst>
                    <a:ext uri="{FF2B5EF4-FFF2-40B4-BE49-F238E27FC236}">
                      <a16:creationId xmlns:a16="http://schemas.microsoft.com/office/drawing/2014/main" id="{7F11AFB3-118B-4B54-8E0A-D90C5381497F}"/>
                    </a:ext>
                  </a:extLst>
                </xdr:cNvPr>
                <xdr:cNvSpPr txBox="1"/>
              </xdr:nvSpPr>
              <xdr:spPr>
                <a:xfrm>
                  <a:off x="7960441" y="290393"/>
                  <a:ext cx="592406"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61B82A7D-732B-4F21-80F5-58FC27436CB8}" type="TxLink">
                    <a:rPr lang="en-US" sz="1100" b="1" i="0" u="none" strike="noStrike">
                      <a:solidFill>
                        <a:srgbClr val="00B050"/>
                      </a:solidFill>
                      <a:latin typeface="Calibri"/>
                      <a:ea typeface="Calibri"/>
                      <a:cs typeface="Calibri"/>
                    </a:rPr>
                    <a:pPr/>
                    <a:t>8:1</a:t>
                  </a:fld>
                  <a:endParaRPr lang="en-US" sz="300" b="1" i="0" u="none" strike="noStrike">
                    <a:solidFill>
                      <a:srgbClr val="00B050"/>
                    </a:solidFill>
                    <a:latin typeface="Calibri"/>
                    <a:ea typeface="Calibri"/>
                    <a:cs typeface="Calibri"/>
                  </a:endParaRPr>
                </a:p>
              </xdr:txBody>
            </xdr:sp>
            <xdr:sp macro="" textlink="$C$42">
              <xdr:nvSpPr>
                <xdr:cNvPr id="11" name="TextBox 2">
                  <a:extLst>
                    <a:ext uri="{FF2B5EF4-FFF2-40B4-BE49-F238E27FC236}">
                      <a16:creationId xmlns:a16="http://schemas.microsoft.com/office/drawing/2014/main" id="{251AC6D2-F513-4794-AAFD-86D0BC0D7D7A}"/>
                    </a:ext>
                  </a:extLst>
                </xdr:cNvPr>
                <xdr:cNvSpPr txBox="1"/>
              </xdr:nvSpPr>
              <xdr:spPr>
                <a:xfrm>
                  <a:off x="9537700" y="889000"/>
                  <a:ext cx="44975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9D9B3623-FFB4-44E3-BE45-F04FF1404D22}" type="TxLink">
                    <a:rPr lang="en-US" sz="1100" b="1" i="0" u="none" strike="noStrike">
                      <a:solidFill>
                        <a:srgbClr val="00B050"/>
                      </a:solidFill>
                      <a:latin typeface="Calibri"/>
                      <a:ea typeface="Calibri"/>
                      <a:cs typeface="Calibri"/>
                    </a:rPr>
                    <a:pPr/>
                    <a:t>1000µF</a:t>
                  </a:fld>
                  <a:endParaRPr lang="en-US" sz="100" b="1" i="0" u="none" strike="noStrike">
                    <a:solidFill>
                      <a:srgbClr val="00B050"/>
                    </a:solidFill>
                    <a:latin typeface="Calibri"/>
                    <a:ea typeface="Calibri"/>
                    <a:cs typeface="Calibri"/>
                  </a:endParaRPr>
                </a:p>
              </xdr:txBody>
            </xdr:sp>
            <xdr:sp macro="" textlink="$C$54">
              <xdr:nvSpPr>
                <xdr:cNvPr id="12" name="TextBox 2">
                  <a:extLst>
                    <a:ext uri="{FF2B5EF4-FFF2-40B4-BE49-F238E27FC236}">
                      <a16:creationId xmlns:a16="http://schemas.microsoft.com/office/drawing/2014/main" id="{0AE60207-DF60-42E9-9B86-2D1427C08CC6}"/>
                    </a:ext>
                  </a:extLst>
                </xdr:cNvPr>
                <xdr:cNvSpPr txBox="1"/>
              </xdr:nvSpPr>
              <xdr:spPr>
                <a:xfrm>
                  <a:off x="9023350" y="4121150"/>
                  <a:ext cx="504522"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7BA960CC-11EE-4801-BAE3-93B8B7C0E645}" type="TxLink">
                    <a:rPr lang="en-US" sz="1100" b="1" i="0" u="none" strike="noStrike">
                      <a:solidFill>
                        <a:srgbClr val="00B050"/>
                      </a:solidFill>
                      <a:latin typeface="Calibri"/>
                      <a:ea typeface="Calibri"/>
                      <a:cs typeface="Calibri"/>
                    </a:rPr>
                    <a:pPr/>
                    <a:t>680pF</a:t>
                  </a:fld>
                  <a:endParaRPr lang="en-US" sz="800" b="1" i="0" u="none" strike="noStrike">
                    <a:solidFill>
                      <a:srgbClr val="00B050"/>
                    </a:solidFill>
                    <a:latin typeface="Calibri"/>
                    <a:ea typeface="Calibri"/>
                    <a:cs typeface="Calibri"/>
                  </a:endParaRPr>
                </a:p>
              </xdr:txBody>
            </xdr:sp>
            <xdr:sp macro="" textlink="$C$50">
              <xdr:nvSpPr>
                <xdr:cNvPr id="13" name="TextBox 2">
                  <a:extLst>
                    <a:ext uri="{FF2B5EF4-FFF2-40B4-BE49-F238E27FC236}">
                      <a16:creationId xmlns:a16="http://schemas.microsoft.com/office/drawing/2014/main" id="{B100D8F5-DCF0-44EF-AF37-E8217B8B2F6C}"/>
                    </a:ext>
                  </a:extLst>
                </xdr:cNvPr>
                <xdr:cNvSpPr txBox="1"/>
              </xdr:nvSpPr>
              <xdr:spPr>
                <a:xfrm>
                  <a:off x="7797800" y="4476750"/>
                  <a:ext cx="38745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37541CAA-FD88-42AC-B426-D6AD3A7B5F4A}" type="TxLink">
                    <a:rPr lang="en-US" sz="1100" b="1" i="0" u="none" strike="noStrike">
                      <a:solidFill>
                        <a:srgbClr val="00B050"/>
                      </a:solidFill>
                      <a:latin typeface="Calibri"/>
                      <a:ea typeface="Calibri"/>
                      <a:cs typeface="Calibri"/>
                    </a:rPr>
                    <a:pPr/>
                    <a:t>22nF</a:t>
                  </a:fld>
                  <a:endParaRPr lang="en-US" sz="800" b="1" i="0" u="none" strike="noStrike">
                    <a:solidFill>
                      <a:srgbClr val="00B050"/>
                    </a:solidFill>
                    <a:latin typeface="+mn-lt"/>
                    <a:ea typeface="Calibri"/>
                    <a:cs typeface="Calibri"/>
                  </a:endParaRPr>
                </a:p>
              </xdr:txBody>
            </xdr:sp>
            <xdr:sp macro="" textlink="$C$52">
              <xdr:nvSpPr>
                <xdr:cNvPr id="14" name="TextBox 2">
                  <a:extLst>
                    <a:ext uri="{FF2B5EF4-FFF2-40B4-BE49-F238E27FC236}">
                      <a16:creationId xmlns:a16="http://schemas.microsoft.com/office/drawing/2014/main" id="{293A7455-2FB0-4544-BD06-4093494C54B8}"/>
                    </a:ext>
                  </a:extLst>
                </xdr:cNvPr>
                <xdr:cNvSpPr txBox="1"/>
              </xdr:nvSpPr>
              <xdr:spPr>
                <a:xfrm>
                  <a:off x="8318500" y="3683000"/>
                  <a:ext cx="46583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14BD8BF-8B82-4F2D-999A-54C15EE71385}" type="TxLink">
                    <a:rPr lang="en-US" sz="1100" b="1" i="0" u="none" strike="noStrike">
                      <a:solidFill>
                        <a:srgbClr val="00B050"/>
                      </a:solidFill>
                      <a:latin typeface="Calibri"/>
                      <a:ea typeface="Calibri"/>
                      <a:cs typeface="Calibri"/>
                    </a:rPr>
                    <a:pPr/>
                    <a:t>100kΩ</a:t>
                  </a:fld>
                  <a:endParaRPr lang="en-US" sz="800" b="1" i="0" u="none" strike="noStrike">
                    <a:solidFill>
                      <a:srgbClr val="00B050"/>
                    </a:solidFill>
                    <a:latin typeface="+mn-lt"/>
                    <a:ea typeface="Calibri"/>
                    <a:cs typeface="Calibri"/>
                  </a:endParaRPr>
                </a:p>
              </xdr:txBody>
            </xdr:sp>
            <xdr:sp macro="" textlink="$C$47">
              <xdr:nvSpPr>
                <xdr:cNvPr id="15" name="TextBox 2">
                  <a:extLst>
                    <a:ext uri="{FF2B5EF4-FFF2-40B4-BE49-F238E27FC236}">
                      <a16:creationId xmlns:a16="http://schemas.microsoft.com/office/drawing/2014/main" id="{DD9C7445-6932-4AB0-8BAC-247FFBFFB974}"/>
                    </a:ext>
                  </a:extLst>
                </xdr:cNvPr>
                <xdr:cNvSpPr txBox="1"/>
              </xdr:nvSpPr>
              <xdr:spPr>
                <a:xfrm>
                  <a:off x="5746750" y="4775200"/>
                  <a:ext cx="446624"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2A07A69-7049-4512-9C68-1B9062413D95}" type="TxLink">
                    <a:rPr lang="en-US" sz="1100" b="1" i="0" u="none" strike="noStrike">
                      <a:solidFill>
                        <a:srgbClr val="00B050"/>
                      </a:solidFill>
                      <a:latin typeface="Calibri"/>
                      <a:ea typeface="Calibri"/>
                      <a:cs typeface="Calibri"/>
                    </a:rPr>
                    <a:pPr/>
                    <a:t>330pF</a:t>
                  </a:fld>
                  <a:endParaRPr lang="en-US" sz="800" b="1" i="0" u="none" strike="noStrike">
                    <a:solidFill>
                      <a:srgbClr val="00B050"/>
                    </a:solidFill>
                    <a:latin typeface="Calibri"/>
                    <a:ea typeface="Calibri"/>
                    <a:cs typeface="Calibri"/>
                  </a:endParaRPr>
                </a:p>
              </xdr:txBody>
            </xdr:sp>
            <xdr:sp macro="" textlink="$C$53">
              <xdr:nvSpPr>
                <xdr:cNvPr id="16" name="TextBox 2">
                  <a:extLst>
                    <a:ext uri="{FF2B5EF4-FFF2-40B4-BE49-F238E27FC236}">
                      <a16:creationId xmlns:a16="http://schemas.microsoft.com/office/drawing/2014/main" id="{4206A21E-A700-42C8-B0ED-3944719B636D}"/>
                    </a:ext>
                  </a:extLst>
                </xdr:cNvPr>
                <xdr:cNvSpPr txBox="1"/>
              </xdr:nvSpPr>
              <xdr:spPr>
                <a:xfrm>
                  <a:off x="9004300" y="3683000"/>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6F7E6CD-E4C3-438A-AE89-C37443B7152B}" type="TxLink">
                    <a:rPr lang="en-US" sz="1100" b="1" i="0" u="none" strike="noStrike">
                      <a:solidFill>
                        <a:srgbClr val="00B050"/>
                      </a:solidFill>
                      <a:latin typeface="Calibri"/>
                      <a:ea typeface="Calibri"/>
                      <a:cs typeface="Calibri"/>
                    </a:rPr>
                    <a:pPr/>
                    <a:t>10kΩ</a:t>
                  </a:fld>
                  <a:endParaRPr lang="en-US" sz="800" b="1" i="0" u="none" strike="noStrike">
                    <a:solidFill>
                      <a:srgbClr val="00B050"/>
                    </a:solidFill>
                    <a:latin typeface="Calibri"/>
                    <a:ea typeface="Calibri"/>
                    <a:cs typeface="Calibri"/>
                  </a:endParaRPr>
                </a:p>
              </xdr:txBody>
            </xdr:sp>
            <xdr:sp macro="" textlink="$C$36">
              <xdr:nvSpPr>
                <xdr:cNvPr id="17" name="TextBox 2">
                  <a:extLst>
                    <a:ext uri="{FF2B5EF4-FFF2-40B4-BE49-F238E27FC236}">
                      <a16:creationId xmlns:a16="http://schemas.microsoft.com/office/drawing/2014/main" id="{35FA4328-30A2-4A90-876B-C6BD71776098}"/>
                    </a:ext>
                  </a:extLst>
                </xdr:cNvPr>
                <xdr:cNvSpPr txBox="1"/>
              </xdr:nvSpPr>
              <xdr:spPr>
                <a:xfrm>
                  <a:off x="8750300" y="49784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60A78E78-A182-4130-9FE0-D353EEBAECD2}" type="TxLink">
                    <a:rPr lang="en-US" sz="1100" b="1" i="0" u="none" strike="noStrike">
                      <a:solidFill>
                        <a:srgbClr val="00B050"/>
                      </a:solidFill>
                      <a:latin typeface="Calibri"/>
                      <a:ea typeface="Calibri"/>
                      <a:cs typeface="Calibri"/>
                    </a:rPr>
                    <a:pPr/>
                    <a:t>100kΩ</a:t>
                  </a:fld>
                  <a:endParaRPr lang="en-US" sz="800" b="1" i="0" u="none" strike="noStrike">
                    <a:solidFill>
                      <a:srgbClr val="00B050"/>
                    </a:solidFill>
                    <a:latin typeface="Calibri"/>
                    <a:ea typeface="Calibri"/>
                    <a:cs typeface="Calibri"/>
                  </a:endParaRPr>
                </a:p>
              </xdr:txBody>
            </xdr:sp>
            <xdr:sp macro="" textlink="$C$51">
              <xdr:nvSpPr>
                <xdr:cNvPr id="18" name="TextBox 2">
                  <a:extLst>
                    <a:ext uri="{FF2B5EF4-FFF2-40B4-BE49-F238E27FC236}">
                      <a16:creationId xmlns:a16="http://schemas.microsoft.com/office/drawing/2014/main" id="{5B50B992-0377-4ADC-B633-340ECA3E65F8}"/>
                    </a:ext>
                  </a:extLst>
                </xdr:cNvPr>
                <xdr:cNvSpPr txBox="1"/>
              </xdr:nvSpPr>
              <xdr:spPr>
                <a:xfrm>
                  <a:off x="8204200" y="44704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4C86D94-6A96-453C-804A-EB3872D0AB99}" type="TxLink">
                    <a:rPr lang="en-US" sz="1100" b="1" i="0" u="none" strike="noStrike">
                      <a:solidFill>
                        <a:srgbClr val="00B050"/>
                      </a:solidFill>
                      <a:latin typeface="Calibri"/>
                      <a:ea typeface="Calibri"/>
                      <a:cs typeface="Calibri"/>
                    </a:rPr>
                    <a:pPr/>
                    <a:t>49.9kΩ</a:t>
                  </a:fld>
                  <a:endParaRPr lang="en-US" sz="800" b="1" i="0" u="none" strike="noStrike">
                    <a:solidFill>
                      <a:srgbClr val="00B050"/>
                    </a:solidFill>
                    <a:latin typeface="+mn-lt"/>
                    <a:ea typeface="Calibri"/>
                    <a:cs typeface="Calibri"/>
                  </a:endParaRPr>
                </a:p>
              </xdr:txBody>
            </xdr:sp>
            <xdr:sp macro="" textlink="$C$48">
              <xdr:nvSpPr>
                <xdr:cNvPr id="19" name="TextBox 2">
                  <a:extLst>
                    <a:ext uri="{FF2B5EF4-FFF2-40B4-BE49-F238E27FC236}">
                      <a16:creationId xmlns:a16="http://schemas.microsoft.com/office/drawing/2014/main" id="{5FBF868F-8DD6-45D6-9A68-DD7B72C0B2DA}"/>
                    </a:ext>
                  </a:extLst>
                </xdr:cNvPr>
                <xdr:cNvSpPr txBox="1"/>
              </xdr:nvSpPr>
              <xdr:spPr>
                <a:xfrm>
                  <a:off x="7594462" y="3678357"/>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7D1CFC3-4A0A-4265-AD4E-1EFF365D9162}" type="TxLink">
                    <a:rPr lang="en-US" sz="1100" b="1" i="0" u="none" strike="noStrike">
                      <a:solidFill>
                        <a:srgbClr val="00B050"/>
                      </a:solidFill>
                      <a:latin typeface="Calibri"/>
                      <a:ea typeface="Calibri"/>
                      <a:cs typeface="Calibri"/>
                    </a:rPr>
                    <a:pPr/>
                    <a:t>2kΩ</a:t>
                  </a:fld>
                  <a:endParaRPr lang="en-US" sz="700" b="1" i="0" u="none" strike="noStrike">
                    <a:solidFill>
                      <a:srgbClr val="00B050"/>
                    </a:solidFill>
                    <a:ea typeface="Calibri"/>
                    <a:cs typeface="Calibri"/>
                  </a:endParaRPr>
                </a:p>
              </xdr:txBody>
            </xdr:sp>
            <xdr:sp macro="" textlink="$C$49">
              <xdr:nvSpPr>
                <xdr:cNvPr id="20" name="TextBox 2">
                  <a:extLst>
                    <a:ext uri="{FF2B5EF4-FFF2-40B4-BE49-F238E27FC236}">
                      <a16:creationId xmlns:a16="http://schemas.microsoft.com/office/drawing/2014/main" id="{588309A2-B980-4836-9B7B-82B13D5A3939}"/>
                    </a:ext>
                  </a:extLst>
                </xdr:cNvPr>
                <xdr:cNvSpPr txBox="1"/>
              </xdr:nvSpPr>
              <xdr:spPr>
                <a:xfrm>
                  <a:off x="7696200" y="4038600"/>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7F8A43B-B13E-445F-A48B-373538C7DA06}" type="TxLink">
                    <a:rPr lang="en-US" sz="1100" b="1" i="0" u="none" strike="noStrike">
                      <a:solidFill>
                        <a:srgbClr val="00B050"/>
                      </a:solidFill>
                      <a:latin typeface="Calibri"/>
                      <a:ea typeface="Calibri"/>
                      <a:cs typeface="Calibri"/>
                    </a:rPr>
                    <a:pPr/>
                    <a:t>2kΩ</a:t>
                  </a:fld>
                  <a:endParaRPr lang="en-US" sz="800" b="1" i="0" u="none" strike="noStrike">
                    <a:solidFill>
                      <a:srgbClr val="00B050"/>
                    </a:solidFill>
                    <a:latin typeface="Calibri"/>
                    <a:ea typeface="Calibri"/>
                    <a:cs typeface="Calibri"/>
                  </a:endParaRPr>
                </a:p>
              </xdr:txBody>
            </xdr:sp>
            <xdr:sp macro="" textlink="$C$43">
              <xdr:nvSpPr>
                <xdr:cNvPr id="21" name="TextBox 2">
                  <a:extLst>
                    <a:ext uri="{FF2B5EF4-FFF2-40B4-BE49-F238E27FC236}">
                      <a16:creationId xmlns:a16="http://schemas.microsoft.com/office/drawing/2014/main" id="{5B1A9B62-7595-426A-A9AA-E96306612692}"/>
                    </a:ext>
                  </a:extLst>
                </xdr:cNvPr>
                <xdr:cNvSpPr txBox="1"/>
              </xdr:nvSpPr>
              <xdr:spPr>
                <a:xfrm>
                  <a:off x="2540000" y="30416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B5B13C08-8F3F-42CE-B6F6-9D3814401633}" type="TxLink">
                    <a:rPr lang="en-US" sz="1100" b="1" i="0" u="none" strike="noStrike">
                      <a:solidFill>
                        <a:srgbClr val="00B050"/>
                      </a:solidFill>
                      <a:latin typeface="Calibri"/>
                      <a:ea typeface="Calibri"/>
                      <a:cs typeface="Calibri"/>
                    </a:rPr>
                    <a:pPr/>
                    <a:t>22.6kΩ</a:t>
                  </a:fld>
                  <a:endParaRPr lang="en-US" sz="800" b="1" i="0" u="none" strike="noStrike">
                    <a:solidFill>
                      <a:srgbClr val="00B050"/>
                    </a:solidFill>
                    <a:latin typeface="Calibri"/>
                    <a:ea typeface="Calibri"/>
                    <a:cs typeface="Calibri"/>
                  </a:endParaRPr>
                </a:p>
              </xdr:txBody>
            </xdr:sp>
            <xdr:sp macro="" textlink="$C$44">
              <xdr:nvSpPr>
                <xdr:cNvPr id="22" name="TextBox 2">
                  <a:extLst>
                    <a:ext uri="{FF2B5EF4-FFF2-40B4-BE49-F238E27FC236}">
                      <a16:creationId xmlns:a16="http://schemas.microsoft.com/office/drawing/2014/main" id="{47EB4822-FBFD-4F88-8060-F1D4C3FD0316}"/>
                    </a:ext>
                  </a:extLst>
                </xdr:cNvPr>
                <xdr:cNvSpPr txBox="1"/>
              </xdr:nvSpPr>
              <xdr:spPr>
                <a:xfrm>
                  <a:off x="2895600" y="32575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D72FE1E0-1B80-4EDF-894B-FF58A22C859C}" type="TxLink">
                    <a:rPr lang="en-US" sz="1100" b="1" i="0" u="none" strike="noStrike">
                      <a:solidFill>
                        <a:srgbClr val="00B050"/>
                      </a:solidFill>
                      <a:latin typeface="Calibri"/>
                      <a:ea typeface="Calibri"/>
                      <a:cs typeface="Calibri"/>
                    </a:rPr>
                    <a:pPr/>
                    <a:t>28.7kΩ</a:t>
                  </a:fld>
                  <a:endParaRPr lang="en-US" sz="800" b="1" i="0">
                    <a:solidFill>
                      <a:srgbClr val="00B050"/>
                    </a:solidFill>
                    <a:effectLst/>
                    <a:latin typeface="+mn-lt"/>
                    <a:ea typeface="+mn-ea"/>
                    <a:cs typeface="+mn-cs"/>
                  </a:endParaRPr>
                </a:p>
              </xdr:txBody>
            </xdr:sp>
            <xdr:sp macro="" textlink="$C$45">
              <xdr:nvSpPr>
                <xdr:cNvPr id="23" name="TextBox 2">
                  <a:extLst>
                    <a:ext uri="{FF2B5EF4-FFF2-40B4-BE49-F238E27FC236}">
                      <a16:creationId xmlns:a16="http://schemas.microsoft.com/office/drawing/2014/main" id="{8CEB87AD-2A84-47E0-92A7-00427C1ADD20}"/>
                    </a:ext>
                  </a:extLst>
                </xdr:cNvPr>
                <xdr:cNvSpPr txBox="1"/>
              </xdr:nvSpPr>
              <xdr:spPr>
                <a:xfrm>
                  <a:off x="2495550" y="34607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BEDE27-DC7C-4F5A-9296-96F7CFF172C9}" type="TxLink">
                    <a:rPr lang="en-US" sz="1100" b="1" i="0" u="none" strike="noStrike">
                      <a:solidFill>
                        <a:srgbClr val="00B050"/>
                      </a:solidFill>
                      <a:latin typeface="Calibri"/>
                      <a:ea typeface="Calibri"/>
                      <a:cs typeface="Calibri"/>
                    </a:rPr>
                    <a:pPr/>
                    <a:t>14.3kΩ</a:t>
                  </a:fld>
                  <a:endParaRPr lang="en-US" sz="800" b="1" i="0" u="none" strike="noStrike">
                    <a:solidFill>
                      <a:srgbClr val="00B050"/>
                    </a:solidFill>
                    <a:latin typeface="Calibri"/>
                    <a:ea typeface="Calibri"/>
                    <a:cs typeface="Calibri"/>
                  </a:endParaRPr>
                </a:p>
              </xdr:txBody>
            </xdr:sp>
            <xdr:sp macro="" textlink="$C$46">
              <xdr:nvSpPr>
                <xdr:cNvPr id="24" name="TextBox 2">
                  <a:extLst>
                    <a:ext uri="{FF2B5EF4-FFF2-40B4-BE49-F238E27FC236}">
                      <a16:creationId xmlns:a16="http://schemas.microsoft.com/office/drawing/2014/main" id="{A923F123-954A-4873-903A-E1774047CC2D}"/>
                    </a:ext>
                  </a:extLst>
                </xdr:cNvPr>
                <xdr:cNvSpPr txBox="1"/>
              </xdr:nvSpPr>
              <xdr:spPr>
                <a:xfrm>
                  <a:off x="2908300" y="36703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4B41055-2FF8-4EF2-B63B-08C5A1265129}" type="TxLink">
                    <a:rPr lang="en-US" sz="1100" b="1" i="0" u="none" strike="noStrike">
                      <a:solidFill>
                        <a:srgbClr val="00B050"/>
                      </a:solidFill>
                      <a:latin typeface="Calibri"/>
                      <a:ea typeface="Calibri"/>
                      <a:cs typeface="Calibri"/>
                    </a:rPr>
                    <a:pPr/>
                    <a:t>174kΩ</a:t>
                  </a:fld>
                  <a:endParaRPr lang="en-US" sz="800" b="1" i="0" u="none" strike="noStrike">
                    <a:solidFill>
                      <a:srgbClr val="00B050"/>
                    </a:solidFill>
                    <a:latin typeface="Calibri"/>
                    <a:ea typeface="Calibri"/>
                    <a:cs typeface="Calibri"/>
                  </a:endParaRPr>
                </a:p>
              </xdr:txBody>
            </xdr:sp>
          </xdr:grpSp>
          <xdr:sp macro="" textlink="Vin_min">
            <xdr:nvSpPr>
              <xdr:cNvPr id="26" name="TextBox 25">
                <a:extLst>
                  <a:ext uri="{FF2B5EF4-FFF2-40B4-BE49-F238E27FC236}">
                    <a16:creationId xmlns:a16="http://schemas.microsoft.com/office/drawing/2014/main" id="{F0EC9D5F-5E86-4E65-8361-F63FD3CF22A8}"/>
                  </a:ext>
                </a:extLst>
              </xdr:cNvPr>
              <xdr:cNvSpPr txBox="1"/>
            </xdr:nvSpPr>
            <xdr:spPr>
              <a:xfrm rot="5400000">
                <a:off x="1689099" y="554377"/>
                <a:ext cx="653771" cy="202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BDB2E32D-BC68-4D97-8423-C097620E0582}" type="TxLink">
                  <a:rPr lang="en-US" sz="800" b="0" i="0" u="none" strike="noStrike">
                    <a:solidFill>
                      <a:srgbClr val="000000"/>
                    </a:solidFill>
                    <a:latin typeface="Calibri"/>
                    <a:ea typeface="Calibri"/>
                    <a:cs typeface="Calibri"/>
                  </a:rPr>
                  <a:pPr algn="ctr"/>
                  <a:t>150.00</a:t>
                </a:fld>
                <a:r>
                  <a:rPr lang="en-US" sz="800" b="0" i="0" u="none" strike="noStrike">
                    <a:solidFill>
                      <a:srgbClr val="000000"/>
                    </a:solidFill>
                    <a:latin typeface="Calibri"/>
                    <a:ea typeface="Calibri"/>
                    <a:cs typeface="Calibri"/>
                  </a:rPr>
                  <a:t> Vac</a:t>
                </a:r>
                <a:r>
                  <a:rPr lang="en-US" sz="800" b="0" i="0" u="none" strike="noStrike" baseline="0">
                    <a:solidFill>
                      <a:srgbClr val="000000"/>
                    </a:solidFill>
                    <a:latin typeface="Calibri"/>
                    <a:ea typeface="Calibri"/>
                    <a:cs typeface="Calibri"/>
                  </a:rPr>
                  <a:t> to</a:t>
                </a:r>
                <a:r>
                  <a:rPr lang="en-US" sz="800" b="0" i="0" u="none" strike="noStrike">
                    <a:solidFill>
                      <a:srgbClr val="000000"/>
                    </a:solidFill>
                    <a:latin typeface="Calibri"/>
                    <a:ea typeface="Calibri"/>
                    <a:cs typeface="Calibri"/>
                  </a:rPr>
                  <a:t> </a:t>
                </a:r>
                <a:endParaRPr lang="en-US" sz="500" b="1"/>
              </a:p>
            </xdr:txBody>
          </xdr:sp>
          <xdr:sp macro="" textlink="">
            <xdr:nvSpPr>
              <xdr:cNvPr id="28" name="TextBox 27">
                <a:extLst>
                  <a:ext uri="{FF2B5EF4-FFF2-40B4-BE49-F238E27FC236}">
                    <a16:creationId xmlns:a16="http://schemas.microsoft.com/office/drawing/2014/main" id="{4A14BDEB-BE61-4B40-972F-937D5381DFE3}"/>
                  </a:ext>
                </a:extLst>
              </xdr:cNvPr>
              <xdr:cNvSpPr txBox="1"/>
            </xdr:nvSpPr>
            <xdr:spPr>
              <a:xfrm>
                <a:off x="10483850" y="660400"/>
                <a:ext cx="442685"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b="1"/>
                  <a:t>Vout</a:t>
                </a:r>
              </a:p>
            </xdr:txBody>
          </xdr:sp>
          <xdr:sp macro="" textlink="">
            <xdr:nvSpPr>
              <xdr:cNvPr id="30" name="TextBox 29">
                <a:extLst>
                  <a:ext uri="{FF2B5EF4-FFF2-40B4-BE49-F238E27FC236}">
                    <a16:creationId xmlns:a16="http://schemas.microsoft.com/office/drawing/2014/main" id="{19F8F89F-C8BB-4FAD-A251-4771A8D37943}"/>
                  </a:ext>
                </a:extLst>
              </xdr:cNvPr>
              <xdr:cNvSpPr txBox="1"/>
            </xdr:nvSpPr>
            <xdr:spPr>
              <a:xfrm>
                <a:off x="10267950" y="387350"/>
                <a:ext cx="1587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b="1"/>
                  <a:t>+</a:t>
                </a:r>
              </a:p>
              <a:p>
                <a:endParaRPr lang="en-US" sz="1100" b="1"/>
              </a:p>
              <a:p>
                <a:endParaRPr lang="en-US" sz="1100" b="1"/>
              </a:p>
              <a:p>
                <a:r>
                  <a:rPr lang="en-US" sz="1100" b="1"/>
                  <a:t>_</a:t>
                </a:r>
              </a:p>
            </xdr:txBody>
          </xdr:sp>
          <xdr:sp macro="" textlink="">
            <xdr:nvSpPr>
              <xdr:cNvPr id="31" name="TextBox 30">
                <a:extLst>
                  <a:ext uri="{FF2B5EF4-FFF2-40B4-BE49-F238E27FC236}">
                    <a16:creationId xmlns:a16="http://schemas.microsoft.com/office/drawing/2014/main" id="{F737487B-1B80-4E76-ACDC-1F94F57F3541}"/>
                  </a:ext>
                </a:extLst>
              </xdr:cNvPr>
              <xdr:cNvSpPr txBox="1"/>
            </xdr:nvSpPr>
            <xdr:spPr>
              <a:xfrm>
                <a:off x="2114550" y="279400"/>
                <a:ext cx="3599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Line</a:t>
                </a:r>
                <a:endParaRPr lang="en-US" sz="1000" b="0"/>
              </a:p>
            </xdr:txBody>
          </xdr:sp>
          <xdr:sp macro="" textlink="">
            <xdr:nvSpPr>
              <xdr:cNvPr id="32" name="TextBox 31">
                <a:extLst>
                  <a:ext uri="{FF2B5EF4-FFF2-40B4-BE49-F238E27FC236}">
                    <a16:creationId xmlns:a16="http://schemas.microsoft.com/office/drawing/2014/main" id="{1D1164F0-B2FB-4BA8-A754-CCD53CC676E5}"/>
                  </a:ext>
                </a:extLst>
              </xdr:cNvPr>
              <xdr:cNvSpPr txBox="1"/>
            </xdr:nvSpPr>
            <xdr:spPr>
              <a:xfrm>
                <a:off x="2051050" y="1257300"/>
                <a:ext cx="5068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Neutral</a:t>
                </a:r>
              </a:p>
            </xdr:txBody>
          </xdr:sp>
        </xdr:grpSp>
        <xdr:sp macro="" textlink="Vin_max">
          <xdr:nvSpPr>
            <xdr:cNvPr id="34" name="TextBox 33">
              <a:extLst>
                <a:ext uri="{FF2B5EF4-FFF2-40B4-BE49-F238E27FC236}">
                  <a16:creationId xmlns:a16="http://schemas.microsoft.com/office/drawing/2014/main" id="{5DA272A0-8422-450F-AFB4-5EADA047B9EA}"/>
                </a:ext>
              </a:extLst>
            </xdr:cNvPr>
            <xdr:cNvSpPr txBox="1"/>
          </xdr:nvSpPr>
          <xdr:spPr>
            <a:xfrm rot="5400000">
              <a:off x="1487676" y="792148"/>
              <a:ext cx="787404" cy="7251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9AAC57C3-7767-4DD3-B70E-29FFBDCDB935}" type="TxLink">
                <a:rPr lang="en-US" sz="800" b="0" i="0" u="none" strike="noStrike">
                  <a:solidFill>
                    <a:srgbClr val="000000"/>
                  </a:solidFill>
                  <a:latin typeface="Calibri"/>
                  <a:ea typeface="Calibri"/>
                  <a:cs typeface="Calibri"/>
                </a:rPr>
                <a:pPr algn="ctr"/>
                <a:t>400.00</a:t>
              </a:fld>
              <a:r>
                <a:rPr lang="en-US" sz="800" b="0" i="0" u="none" strike="noStrike">
                  <a:solidFill>
                    <a:srgbClr val="000000"/>
                  </a:solidFill>
                  <a:latin typeface="Calibri"/>
                  <a:ea typeface="Calibri"/>
                  <a:cs typeface="Calibri"/>
                </a:rPr>
                <a:t> Vac</a:t>
              </a:r>
              <a:endParaRPr lang="en-US" sz="500" b="1"/>
            </a:p>
          </xdr:txBody>
        </xdr:sp>
        <xdr:sp macro="" textlink="fline_min">
          <xdr:nvSpPr>
            <xdr:cNvPr id="35" name="TextBox 34">
              <a:extLst>
                <a:ext uri="{FF2B5EF4-FFF2-40B4-BE49-F238E27FC236}">
                  <a16:creationId xmlns:a16="http://schemas.microsoft.com/office/drawing/2014/main" id="{E012D918-E2B7-43BE-8B1A-8D8E36B012F4}"/>
                </a:ext>
              </a:extLst>
            </xdr:cNvPr>
            <xdr:cNvSpPr txBox="1"/>
          </xdr:nvSpPr>
          <xdr:spPr>
            <a:xfrm rot="5400000">
              <a:off x="1446913" y="558832"/>
              <a:ext cx="547688" cy="2174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DBB349CC-F36B-4A46-8243-ABD3228B1870}" type="TxLink">
                <a:rPr lang="en-US" sz="800" b="0" i="0" u="none" strike="noStrike">
                  <a:solidFill>
                    <a:srgbClr val="000000"/>
                  </a:solidFill>
                  <a:latin typeface="Calibri"/>
                  <a:ea typeface="Calibri"/>
                  <a:cs typeface="Calibri"/>
                </a:rPr>
                <a:pPr algn="ctr"/>
                <a:t>47</a:t>
              </a:fld>
              <a:r>
                <a:rPr lang="en-US" sz="800" b="0" i="0" u="none" strike="noStrike">
                  <a:solidFill>
                    <a:srgbClr val="000000"/>
                  </a:solidFill>
                  <a:latin typeface="Calibri"/>
                  <a:ea typeface="Calibri"/>
                  <a:cs typeface="Calibri"/>
                </a:rPr>
                <a:t> Hz  to </a:t>
              </a:r>
              <a:endParaRPr lang="en-US" sz="300" b="1"/>
            </a:p>
          </xdr:txBody>
        </xdr:sp>
        <xdr:sp macro="" textlink="fline_min">
          <xdr:nvSpPr>
            <xdr:cNvPr id="36" name="TextBox 35">
              <a:extLst>
                <a:ext uri="{FF2B5EF4-FFF2-40B4-BE49-F238E27FC236}">
                  <a16:creationId xmlns:a16="http://schemas.microsoft.com/office/drawing/2014/main" id="{402DE11D-082E-4971-8226-B655A03A360E}"/>
                </a:ext>
              </a:extLst>
            </xdr:cNvPr>
            <xdr:cNvSpPr txBox="1"/>
          </xdr:nvSpPr>
          <xdr:spPr>
            <a:xfrm rot="5400000">
              <a:off x="1443739" y="903320"/>
              <a:ext cx="547688" cy="214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800" b="0" i="0" u="none" strike="noStrike">
                  <a:solidFill>
                    <a:srgbClr val="000000"/>
                  </a:solidFill>
                  <a:latin typeface="Calibri"/>
                  <a:ea typeface="Calibri"/>
                  <a:cs typeface="Calibri"/>
                </a:rPr>
                <a:t>66</a:t>
              </a:r>
              <a:r>
                <a:rPr lang="en-US" sz="800" b="0" i="0" u="none" strike="noStrike" baseline="0">
                  <a:solidFill>
                    <a:srgbClr val="000000"/>
                  </a:solidFill>
                  <a:latin typeface="Calibri"/>
                  <a:ea typeface="Calibri"/>
                  <a:cs typeface="Calibri"/>
                </a:rPr>
                <a:t> Hz</a:t>
              </a:r>
              <a:r>
                <a:rPr lang="en-US" sz="800" b="0" i="0" u="none" strike="noStrike">
                  <a:solidFill>
                    <a:srgbClr val="000000"/>
                  </a:solidFill>
                  <a:latin typeface="Calibri"/>
                  <a:ea typeface="Calibri"/>
                  <a:cs typeface="Calibri"/>
                </a:rPr>
                <a:t> </a:t>
              </a:r>
              <a:endParaRPr lang="en-US" sz="300" b="1"/>
            </a:p>
          </xdr:txBody>
        </xdr:sp>
      </xdr:grpSp>
      <xdr:sp macro="" textlink="">
        <xdr:nvSpPr>
          <xdr:cNvPr id="97" name="Rectangle 96" hidden="1">
            <a:extLst>
              <a:ext uri="{FF2B5EF4-FFF2-40B4-BE49-F238E27FC236}">
                <a16:creationId xmlns:a16="http://schemas.microsoft.com/office/drawing/2014/main" id="{210867F7-2109-F56A-034E-E5888EC507D4}"/>
              </a:ext>
            </a:extLst>
          </xdr:cNvPr>
          <xdr:cNvSpPr/>
        </xdr:nvSpPr>
        <xdr:spPr>
          <a:xfrm>
            <a:off x="5211537" y="0"/>
            <a:ext cx="2054678" cy="1435554"/>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kern="1200">
                <a:solidFill>
                  <a:schemeClr val="tx1"/>
                </a:solidFill>
              </a:rPr>
              <a:t>PFC Stage</a:t>
            </a:r>
          </a:p>
        </xdr:txBody>
      </xdr:sp>
    </xdr:grpSp>
    <xdr:clientData/>
  </xdr:twoCellAnchor>
  <xdr:twoCellAnchor>
    <xdr:from>
      <xdr:col>1</xdr:col>
      <xdr:colOff>609600</xdr:colOff>
      <xdr:row>13</xdr:row>
      <xdr:rowOff>169353</xdr:rowOff>
    </xdr:from>
    <xdr:to>
      <xdr:col>2</xdr:col>
      <xdr:colOff>2280</xdr:colOff>
      <xdr:row>14</xdr:row>
      <xdr:rowOff>171450</xdr:rowOff>
    </xdr:to>
    <xdr:sp macro="" textlink="">
      <xdr:nvSpPr>
        <xdr:cNvPr id="3" name="Rectangle 2">
          <a:extLst>
            <a:ext uri="{FF2B5EF4-FFF2-40B4-BE49-F238E27FC236}">
              <a16:creationId xmlns:a16="http://schemas.microsoft.com/office/drawing/2014/main" id="{49AFF4C6-5432-9C0D-52A6-D1AE01053F2E}"/>
            </a:ext>
          </a:extLst>
        </xdr:cNvPr>
        <xdr:cNvSpPr/>
      </xdr:nvSpPr>
      <xdr:spPr>
        <a:xfrm>
          <a:off x="1257300" y="2522028"/>
          <a:ext cx="288030" cy="183072"/>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900" b="1" kern="1200">
              <a:solidFill>
                <a:schemeClr val="tx1"/>
              </a:solidFill>
            </a:rPr>
            <a:t>44µF</a:t>
          </a:r>
          <a:endParaRPr lang="en-US" sz="700" b="1" kern="1200">
            <a:solidFill>
              <a:schemeClr val="tx1"/>
            </a:solidFill>
          </a:endParaRPr>
        </a:p>
      </xdr:txBody>
    </xdr:sp>
    <xdr:clientData/>
  </xdr:twoCellAnchor>
  <xdr:twoCellAnchor>
    <xdr:from>
      <xdr:col>7</xdr:col>
      <xdr:colOff>423863</xdr:colOff>
      <xdr:row>1</xdr:row>
      <xdr:rowOff>171450</xdr:rowOff>
    </xdr:from>
    <xdr:to>
      <xdr:col>8</xdr:col>
      <xdr:colOff>172362</xdr:colOff>
      <xdr:row>3</xdr:row>
      <xdr:rowOff>113993</xdr:rowOff>
    </xdr:to>
    <mc:AlternateContent xmlns:mc="http://schemas.openxmlformats.org/markup-compatibility/2006" xmlns:a14="http://schemas.microsoft.com/office/drawing/2010/main">
      <mc:Choice Requires="a14">
        <xdr:sp macro="" textlink="">
          <xdr:nvSpPr>
            <xdr:cNvPr id="10" name="Rectangle 9">
              <a:extLst>
                <a:ext uri="{FF2B5EF4-FFF2-40B4-BE49-F238E27FC236}">
                  <a16:creationId xmlns:a16="http://schemas.microsoft.com/office/drawing/2014/main" id="{5044F0EB-B50B-8172-6056-DEE71A40D480}"/>
                </a:ext>
              </a:extLst>
            </xdr:cNvPr>
            <xdr:cNvSpPr/>
          </xdr:nvSpPr>
          <xdr:spPr>
            <a:xfrm>
              <a:off x="5205413" y="352425"/>
              <a:ext cx="396199" cy="304493"/>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𝟐</m:t>
                        </m:r>
                      </m:den>
                    </m:f>
                  </m:oMath>
                </m:oMathPara>
              </a14:m>
              <a:endParaRPr lang="en-US" sz="1600" b="1" kern="1200">
                <a:solidFill>
                  <a:schemeClr val="tx1"/>
                </a:solidFill>
              </a:endParaRPr>
            </a:p>
          </xdr:txBody>
        </xdr:sp>
      </mc:Choice>
      <mc:Fallback xmlns="">
        <xdr:sp macro="" textlink="">
          <xdr:nvSpPr>
            <xdr:cNvPr id="10" name="Rectangle 9" hidden="1">
              <a:extLst>
                <a:ext uri="{FF2B5EF4-FFF2-40B4-BE49-F238E27FC236}">
                  <a16:creationId xmlns:a16="http://schemas.microsoft.com/office/drawing/2014/main" id="{5044F0EB-B50B-8172-6056-DEE71A40D480}"/>
                </a:ext>
              </a:extLst>
            </xdr:cNvPr>
            <xdr:cNvSpPr/>
          </xdr:nvSpPr>
          <xdr:spPr>
            <a:xfrm>
              <a:off x="5205413" y="352425"/>
              <a:ext cx="396199" cy="304493"/>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𝑪_𝒃𝒖𝒍𝒌/𝟐</a:t>
              </a:r>
              <a:endParaRPr lang="en-US" sz="1600" b="1" kern="1200">
                <a:solidFill>
                  <a:schemeClr val="tx1"/>
                </a:solidFill>
              </a:endParaRPr>
            </a:p>
          </xdr:txBody>
        </xdr:sp>
      </mc:Fallback>
    </mc:AlternateContent>
    <xdr:clientData/>
  </xdr:twoCellAnchor>
  <xdr:twoCellAnchor>
    <xdr:from>
      <xdr:col>9</xdr:col>
      <xdr:colOff>622101</xdr:colOff>
      <xdr:row>2</xdr:row>
      <xdr:rowOff>3823</xdr:rowOff>
    </xdr:from>
    <xdr:to>
      <xdr:col>10</xdr:col>
      <xdr:colOff>347890</xdr:colOff>
      <xdr:row>3</xdr:row>
      <xdr:rowOff>139898</xdr:rowOff>
    </xdr:to>
    <mc:AlternateContent xmlns:mc="http://schemas.openxmlformats.org/markup-compatibility/2006" xmlns:a14="http://schemas.microsoft.com/office/drawing/2010/main">
      <mc:Choice Requires="a14">
        <xdr:sp macro="" textlink="">
          <xdr:nvSpPr>
            <xdr:cNvPr id="27" name="Rectangle 26">
              <a:extLst>
                <a:ext uri="{FF2B5EF4-FFF2-40B4-BE49-F238E27FC236}">
                  <a16:creationId xmlns:a16="http://schemas.microsoft.com/office/drawing/2014/main" id="{A169BC43-429D-4B46-B691-BB120D366F64}"/>
                </a:ext>
              </a:extLst>
            </xdr:cNvPr>
            <xdr:cNvSpPr/>
          </xdr:nvSpPr>
          <xdr:spPr>
            <a:xfrm>
              <a:off x="6699051" y="365773"/>
              <a:ext cx="373489" cy="317050"/>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𝟐</m:t>
                        </m:r>
                      </m:den>
                    </m:f>
                  </m:oMath>
                </m:oMathPara>
              </a14:m>
              <a:endParaRPr lang="en-US" sz="1600" b="1" kern="1200">
                <a:solidFill>
                  <a:schemeClr val="tx1"/>
                </a:solidFill>
              </a:endParaRPr>
            </a:p>
          </xdr:txBody>
        </xdr:sp>
      </mc:Choice>
      <mc:Fallback xmlns="">
        <xdr:sp macro="" textlink="">
          <xdr:nvSpPr>
            <xdr:cNvPr id="27" name="Rectangle 26" hidden="1">
              <a:extLst>
                <a:ext uri="{FF2B5EF4-FFF2-40B4-BE49-F238E27FC236}">
                  <a16:creationId xmlns:a16="http://schemas.microsoft.com/office/drawing/2014/main" id="{A169BC43-429D-4B46-B691-BB120D366F64}"/>
                </a:ext>
              </a:extLst>
            </xdr:cNvPr>
            <xdr:cNvSpPr/>
          </xdr:nvSpPr>
          <xdr:spPr>
            <a:xfrm>
              <a:off x="6699051" y="365773"/>
              <a:ext cx="373489" cy="317050"/>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𝑪_𝒃𝒖𝒍𝒌/𝟐</a:t>
              </a:r>
              <a:endParaRPr lang="en-US" sz="1600" b="1" kern="1200">
                <a:solidFill>
                  <a:schemeClr val="tx1"/>
                </a:solidFill>
              </a:endParaRPr>
            </a:p>
          </xdr:txBody>
        </xdr:sp>
      </mc:Fallback>
    </mc:AlternateContent>
    <xdr:clientData/>
  </xdr:twoCellAnchor>
  <xdr:oneCellAnchor>
    <xdr:from>
      <xdr:col>4</xdr:col>
      <xdr:colOff>521154</xdr:colOff>
      <xdr:row>19</xdr:row>
      <xdr:rowOff>121104</xdr:rowOff>
    </xdr:from>
    <xdr:ext cx="911596" cy="264560"/>
    <xdr:sp macro="" textlink="Device">
      <xdr:nvSpPr>
        <xdr:cNvPr id="29" name="TextBox 28">
          <a:extLst>
            <a:ext uri="{FF2B5EF4-FFF2-40B4-BE49-F238E27FC236}">
              <a16:creationId xmlns:a16="http://schemas.microsoft.com/office/drawing/2014/main" id="{0DECAB21-C676-5326-D850-2996D81D8E32}"/>
            </a:ext>
          </a:extLst>
        </xdr:cNvPr>
        <xdr:cNvSpPr txBox="1"/>
      </xdr:nvSpPr>
      <xdr:spPr>
        <a:xfrm>
          <a:off x="3358244" y="3611337"/>
          <a:ext cx="91159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CE5A6C41-A8BC-4BD6-A065-830814D77E9C}" type="TxLink">
            <a:rPr lang="en-US" sz="1100" b="0" i="0" u="none" strike="noStrike" kern="1200">
              <a:solidFill>
                <a:srgbClr val="000000"/>
              </a:solidFill>
              <a:latin typeface="Calibri"/>
              <a:ea typeface="Calibri"/>
              <a:cs typeface="Calibri"/>
            </a:rPr>
            <a:pPr/>
            <a:t>UCG28828-2</a:t>
          </a:fld>
          <a:endParaRPr lang="en-US" sz="1100" kern="1200"/>
        </a:p>
      </xdr:txBody>
    </xdr:sp>
    <xdr:clientData/>
  </xdr:oneCellAnchor>
  <xdr:twoCellAnchor>
    <xdr:from>
      <xdr:col>7</xdr:col>
      <xdr:colOff>394608</xdr:colOff>
      <xdr:row>0</xdr:row>
      <xdr:rowOff>0</xdr:rowOff>
    </xdr:from>
    <xdr:to>
      <xdr:col>10</xdr:col>
      <xdr:colOff>538164</xdr:colOff>
      <xdr:row>6</xdr:row>
      <xdr:rowOff>171449</xdr:rowOff>
    </xdr:to>
    <xdr:sp macro="" textlink="">
      <xdr:nvSpPr>
        <xdr:cNvPr id="37" name="Rectangle 36">
          <a:extLst>
            <a:ext uri="{FF2B5EF4-FFF2-40B4-BE49-F238E27FC236}">
              <a16:creationId xmlns:a16="http://schemas.microsoft.com/office/drawing/2014/main" id="{D1F5724A-0C50-8B8D-57EE-4FACBE0DE514}"/>
            </a:ext>
          </a:extLst>
        </xdr:cNvPr>
        <xdr:cNvSpPr/>
      </xdr:nvSpPr>
      <xdr:spPr>
        <a:xfrm>
          <a:off x="5176158" y="0"/>
          <a:ext cx="2086656" cy="125729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kern="1200">
              <a:solidFill>
                <a:schemeClr val="tx1"/>
              </a:solidFill>
            </a:rPr>
            <a:t>PFC Stage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1868</xdr:colOff>
      <xdr:row>19</xdr:row>
      <xdr:rowOff>186763</xdr:rowOff>
    </xdr:from>
    <xdr:to>
      <xdr:col>8</xdr:col>
      <xdr:colOff>0</xdr:colOff>
      <xdr:row>34</xdr:row>
      <xdr:rowOff>164353</xdr:rowOff>
    </xdr:to>
    <xdr:graphicFrame macro="">
      <xdr:nvGraphicFramePr>
        <xdr:cNvPr id="3" name="Chart 2">
          <a:extLst>
            <a:ext uri="{FF2B5EF4-FFF2-40B4-BE49-F238E27FC236}">
              <a16:creationId xmlns:a16="http://schemas.microsoft.com/office/drawing/2014/main" id="{A65597FB-A200-43DB-8EE8-D8220793E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2801</xdr:colOff>
      <xdr:row>20</xdr:row>
      <xdr:rowOff>8403</xdr:rowOff>
    </xdr:from>
    <xdr:to>
      <xdr:col>16</xdr:col>
      <xdr:colOff>7470</xdr:colOff>
      <xdr:row>34</xdr:row>
      <xdr:rowOff>179294</xdr:rowOff>
    </xdr:to>
    <xdr:graphicFrame macro="">
      <xdr:nvGraphicFramePr>
        <xdr:cNvPr id="4" name="Chart 3">
          <a:extLst>
            <a:ext uri="{FF2B5EF4-FFF2-40B4-BE49-F238E27FC236}">
              <a16:creationId xmlns:a16="http://schemas.microsoft.com/office/drawing/2014/main" id="{96F3C3F4-C5F5-48F6-BD4F-6C7D5479E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a:solidFill>
            <a:schemeClr val="tx1"/>
          </a:solidFill>
        </a:ln>
      </a:spPr>
      <a:bodyPr vertOverflow="clip" horzOverflow="clip" rtlCol="0" anchor="ctr"/>
      <a:lstStyle>
        <a:defPPr algn="ctr">
          <a:defRPr sz="1600" b="1" kern="1200">
            <a:solidFill>
              <a:schemeClr val="tx1"/>
            </a:solidFill>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4E2EB-C8EB-47BE-B3DC-E90DB2F47A4C}">
  <sheetPr codeName="Sheet1"/>
  <dimension ref="A1:K203"/>
  <sheetViews>
    <sheetView tabSelected="1" topLeftCell="A22" zoomScale="85" zoomScaleNormal="85" workbookViewId="0">
      <selection activeCell="A36" sqref="A36:E36"/>
    </sheetView>
  </sheetViews>
  <sheetFormatPr defaultRowHeight="14.25" x14ac:dyDescent="0.45"/>
  <cols>
    <col min="1" max="1" width="60.59765625" customWidth="1"/>
    <col min="2" max="2" width="15.59765625" customWidth="1"/>
    <col min="3" max="3" width="16.59765625" customWidth="1"/>
    <col min="4" max="4" width="10.59765625" customWidth="1"/>
    <col min="5" max="5" width="70.59765625" customWidth="1"/>
  </cols>
  <sheetData>
    <row r="1" spans="1:5" s="1" customFormat="1" ht="33.5" customHeight="1" x14ac:dyDescent="0.45">
      <c r="A1" s="289" t="s">
        <v>418</v>
      </c>
      <c r="B1" s="290"/>
      <c r="C1" s="290"/>
      <c r="D1" s="290"/>
      <c r="E1" s="291"/>
    </row>
    <row r="2" spans="1:5" s="1" customFormat="1" ht="19.5" customHeight="1" x14ac:dyDescent="0.45">
      <c r="A2" s="313" t="s">
        <v>138</v>
      </c>
      <c r="B2" s="314"/>
      <c r="C2" s="314"/>
      <c r="D2" s="314"/>
      <c r="E2" s="315"/>
    </row>
    <row r="3" spans="1:5" s="1" customFormat="1" x14ac:dyDescent="0.45">
      <c r="A3" s="310" t="s">
        <v>419</v>
      </c>
      <c r="B3" s="311"/>
      <c r="C3" s="311"/>
      <c r="D3" s="311"/>
      <c r="E3" s="312"/>
    </row>
    <row r="4" spans="1:5" s="1" customFormat="1" ht="16.5" customHeight="1" x14ac:dyDescent="0.45">
      <c r="A4" s="316" t="s">
        <v>0</v>
      </c>
      <c r="B4" s="317"/>
      <c r="C4" s="128" t="s">
        <v>1</v>
      </c>
      <c r="D4" s="129" t="s">
        <v>2</v>
      </c>
      <c r="E4" s="175"/>
    </row>
    <row r="5" spans="1:5" s="1" customFormat="1" ht="21.75" customHeight="1" x14ac:dyDescent="0.45">
      <c r="A5" s="307" t="s">
        <v>199</v>
      </c>
      <c r="B5" s="308"/>
      <c r="C5" s="308"/>
      <c r="D5" s="308"/>
      <c r="E5" s="309"/>
    </row>
    <row r="6" spans="1:5" s="1" customFormat="1" ht="14" customHeight="1" x14ac:dyDescent="0.45">
      <c r="A6" s="327" t="s">
        <v>420</v>
      </c>
      <c r="B6" s="328"/>
      <c r="C6" s="328"/>
      <c r="D6" s="328"/>
      <c r="E6" s="329"/>
    </row>
    <row r="7" spans="1:5" s="1" customFormat="1" ht="14" customHeight="1" x14ac:dyDescent="0.45">
      <c r="A7" s="330"/>
      <c r="B7" s="331"/>
      <c r="C7" s="331"/>
      <c r="D7" s="331"/>
      <c r="E7" s="332"/>
    </row>
    <row r="8" spans="1:5" s="1" customFormat="1" ht="14" customHeight="1" x14ac:dyDescent="0.45">
      <c r="A8" s="330"/>
      <c r="B8" s="331"/>
      <c r="C8" s="331"/>
      <c r="D8" s="331"/>
      <c r="E8" s="332"/>
    </row>
    <row r="9" spans="1:5" s="1" customFormat="1" ht="14" customHeight="1" x14ac:dyDescent="0.45">
      <c r="A9" s="333"/>
      <c r="B9" s="334"/>
      <c r="C9" s="334"/>
      <c r="D9" s="334"/>
      <c r="E9" s="335"/>
    </row>
    <row r="10" spans="1:5" s="1" customFormat="1" ht="14" customHeight="1" x14ac:dyDescent="0.45">
      <c r="A10" s="336" t="s">
        <v>47</v>
      </c>
      <c r="B10" s="337"/>
      <c r="C10" s="337"/>
      <c r="D10" s="337"/>
      <c r="E10" s="338"/>
    </row>
    <row r="11" spans="1:5" s="1" customFormat="1" ht="14" customHeight="1" x14ac:dyDescent="0.45">
      <c r="A11" s="339"/>
      <c r="B11" s="340"/>
      <c r="C11" s="340"/>
      <c r="D11" s="340"/>
      <c r="E11" s="341"/>
    </row>
    <row r="12" spans="1:5" s="1" customFormat="1" ht="14" customHeight="1" x14ac:dyDescent="0.45">
      <c r="A12" s="342"/>
      <c r="B12" s="343"/>
      <c r="C12" s="343"/>
      <c r="D12" s="343"/>
      <c r="E12" s="344"/>
    </row>
    <row r="13" spans="1:5" s="1" customFormat="1" ht="14" customHeight="1" x14ac:dyDescent="0.45">
      <c r="A13" s="298" t="s">
        <v>200</v>
      </c>
      <c r="B13" s="299"/>
      <c r="C13" s="299"/>
      <c r="D13" s="299"/>
      <c r="E13" s="300"/>
    </row>
    <row r="14" spans="1:5" s="1" customFormat="1" ht="14" customHeight="1" x14ac:dyDescent="0.45">
      <c r="A14" s="301"/>
      <c r="B14" s="302"/>
      <c r="C14" s="302"/>
      <c r="D14" s="302"/>
      <c r="E14" s="303"/>
    </row>
    <row r="15" spans="1:5" s="1" customFormat="1" ht="14" customHeight="1" x14ac:dyDescent="0.45">
      <c r="A15" s="304"/>
      <c r="B15" s="305"/>
      <c r="C15" s="305"/>
      <c r="D15" s="305"/>
      <c r="E15" s="306"/>
    </row>
    <row r="16" spans="1:5" s="1" customFormat="1" x14ac:dyDescent="0.45">
      <c r="A16" s="345"/>
      <c r="B16" s="346"/>
      <c r="C16" s="346"/>
      <c r="D16" s="346"/>
      <c r="E16" s="347"/>
    </row>
    <row r="17" spans="1:7" s="2" customFormat="1" x14ac:dyDescent="0.45">
      <c r="A17" s="130" t="s">
        <v>3</v>
      </c>
      <c r="B17" s="131"/>
      <c r="C17" s="126" t="s">
        <v>298</v>
      </c>
      <c r="D17" s="132"/>
      <c r="E17" s="133" t="s">
        <v>4</v>
      </c>
      <c r="F17" s="76"/>
      <c r="G17" s="244"/>
    </row>
    <row r="18" spans="1:7" s="2" customFormat="1" ht="14" customHeight="1" x14ac:dyDescent="0.45">
      <c r="A18" s="321"/>
      <c r="B18" s="322"/>
      <c r="C18" s="322"/>
      <c r="D18" s="322"/>
      <c r="E18" s="323"/>
      <c r="G18" s="244"/>
    </row>
    <row r="19" spans="1:7" s="1" customFormat="1" x14ac:dyDescent="0.45">
      <c r="A19" s="292" t="s">
        <v>5</v>
      </c>
      <c r="B19" s="293"/>
      <c r="C19" s="293"/>
      <c r="D19" s="293"/>
      <c r="E19" s="294"/>
    </row>
    <row r="20" spans="1:7" s="6" customFormat="1" ht="14.55" customHeight="1" x14ac:dyDescent="0.45">
      <c r="A20" s="348"/>
      <c r="B20" s="349"/>
      <c r="C20" s="349"/>
      <c r="D20" s="349"/>
      <c r="E20" s="350"/>
    </row>
    <row r="21" spans="1:7" s="1" customFormat="1" x14ac:dyDescent="0.45">
      <c r="A21" s="134" t="s">
        <v>6</v>
      </c>
      <c r="B21" s="135" t="s">
        <v>7</v>
      </c>
      <c r="C21" s="136" t="s">
        <v>8</v>
      </c>
      <c r="D21" s="135" t="s">
        <v>9</v>
      </c>
      <c r="E21" s="137" t="s">
        <v>10</v>
      </c>
    </row>
    <row r="22" spans="1:7" s="6" customFormat="1" x14ac:dyDescent="0.45">
      <c r="A22" s="295" t="s">
        <v>11</v>
      </c>
      <c r="B22" s="296"/>
      <c r="C22" s="296"/>
      <c r="D22" s="296"/>
      <c r="E22" s="297"/>
    </row>
    <row r="23" spans="1:7" s="1" customFormat="1" x14ac:dyDescent="0.45">
      <c r="A23" s="189" t="s">
        <v>202</v>
      </c>
      <c r="B23" s="3" t="s">
        <v>159</v>
      </c>
      <c r="C23" s="19">
        <v>20</v>
      </c>
      <c r="D23" s="3" t="s">
        <v>12</v>
      </c>
      <c r="E23" s="139" t="s">
        <v>160</v>
      </c>
    </row>
    <row r="24" spans="1:7" s="1" customFormat="1" x14ac:dyDescent="0.45">
      <c r="A24" s="138" t="s">
        <v>203</v>
      </c>
      <c r="B24" s="131" t="s">
        <v>29</v>
      </c>
      <c r="C24" s="19">
        <v>20</v>
      </c>
      <c r="D24" s="131" t="s">
        <v>12</v>
      </c>
      <c r="E24" s="139" t="s">
        <v>161</v>
      </c>
    </row>
    <row r="25" spans="1:7" s="1" customFormat="1" x14ac:dyDescent="0.45">
      <c r="A25" s="138" t="s">
        <v>204</v>
      </c>
      <c r="B25" s="131" t="s">
        <v>139</v>
      </c>
      <c r="C25" s="7">
        <v>25</v>
      </c>
      <c r="D25" s="131" t="s">
        <v>12</v>
      </c>
      <c r="E25" s="139" t="s">
        <v>156</v>
      </c>
    </row>
    <row r="26" spans="1:7" s="1" customFormat="1" x14ac:dyDescent="0.45">
      <c r="A26" s="138" t="s">
        <v>205</v>
      </c>
      <c r="B26" s="131" t="s">
        <v>30</v>
      </c>
      <c r="C26" s="8">
        <v>120</v>
      </c>
      <c r="D26" s="131" t="s">
        <v>13</v>
      </c>
      <c r="E26" s="139" t="s">
        <v>14</v>
      </c>
    </row>
    <row r="27" spans="1:7" s="1" customFormat="1" x14ac:dyDescent="0.45">
      <c r="A27" s="138" t="s">
        <v>411</v>
      </c>
      <c r="B27" s="131" t="s">
        <v>410</v>
      </c>
      <c r="C27" s="21">
        <f>Pout_max/Vout_min</f>
        <v>6</v>
      </c>
      <c r="D27" s="131" t="s">
        <v>15</v>
      </c>
      <c r="E27" s="139" t="s">
        <v>409</v>
      </c>
    </row>
    <row r="28" spans="1:7" s="1" customFormat="1" x14ac:dyDescent="0.45">
      <c r="A28" s="138" t="s">
        <v>206</v>
      </c>
      <c r="B28" s="131" t="s">
        <v>16</v>
      </c>
      <c r="C28" s="8">
        <v>0.92</v>
      </c>
      <c r="D28" s="131"/>
      <c r="E28" s="139" t="s">
        <v>17</v>
      </c>
    </row>
    <row r="29" spans="1:7" s="1" customFormat="1" x14ac:dyDescent="0.45">
      <c r="A29" s="138" t="s">
        <v>412</v>
      </c>
      <c r="B29" s="131" t="s">
        <v>416</v>
      </c>
      <c r="C29" s="21">
        <f>Pout_max/efficiency</f>
        <v>130.43478260869566</v>
      </c>
      <c r="D29" s="131" t="s">
        <v>13</v>
      </c>
      <c r="E29" s="139" t="s">
        <v>413</v>
      </c>
    </row>
    <row r="30" spans="1:7" s="10" customFormat="1" x14ac:dyDescent="0.45">
      <c r="A30" s="140" t="s">
        <v>207</v>
      </c>
      <c r="B30" s="141" t="s">
        <v>80</v>
      </c>
      <c r="C30" s="18">
        <v>200</v>
      </c>
      <c r="D30" s="141" t="s">
        <v>44</v>
      </c>
      <c r="E30" s="142" t="s">
        <v>45</v>
      </c>
    </row>
    <row r="31" spans="1:7" s="10" customFormat="1" x14ac:dyDescent="0.45">
      <c r="A31" s="269"/>
      <c r="B31" s="267"/>
      <c r="C31" s="271"/>
      <c r="D31" s="267"/>
      <c r="E31" s="270"/>
    </row>
    <row r="32" spans="1:7" s="1" customFormat="1" x14ac:dyDescent="0.45">
      <c r="A32" s="286"/>
      <c r="B32" s="287"/>
      <c r="C32" s="287"/>
      <c r="D32" s="287"/>
      <c r="E32" s="288"/>
    </row>
    <row r="33" spans="1:11" s="6" customFormat="1" x14ac:dyDescent="0.45">
      <c r="A33" s="295" t="s">
        <v>18</v>
      </c>
      <c r="B33" s="296"/>
      <c r="C33" s="296"/>
      <c r="D33" s="296"/>
      <c r="E33" s="297"/>
    </row>
    <row r="34" spans="1:11" s="1" customFormat="1" x14ac:dyDescent="0.45">
      <c r="A34" s="138" t="str">
        <f>INDEX(Data!K45:K51,MATCH(Device,Data!J45:J51),0)</f>
        <v>Minimum output voltage of the PFC</v>
      </c>
      <c r="B34" s="131" t="str">
        <f>INDEX(Data!L45:L51,MATCH(Device,Data!J45:J51),0)</f>
        <v>Vpfc_min</v>
      </c>
      <c r="C34" s="8">
        <v>150</v>
      </c>
      <c r="D34" s="131" t="str">
        <f>INDEX(Data!M45:M51,MATCH(Device,Data!J45:J51),0)</f>
        <v>V</v>
      </c>
      <c r="E34" s="139" t="str">
        <f>INDEX(Data!N45:N51,MATCH(Device,Data!J45:J51),0)</f>
        <v>Enter the minimum output voltage of PFC</v>
      </c>
    </row>
    <row r="35" spans="1:11" s="1" customFormat="1" x14ac:dyDescent="0.45">
      <c r="A35" s="138" t="str">
        <f>INDEX(Data!K52:K58,MATCH(Device,Data!J52:J58),0)</f>
        <v>Maximum output voltage of the PFC</v>
      </c>
      <c r="B35" s="131" t="str">
        <f>INDEX(Data!L52:L58,MATCH(Device,Data!J52:J58),0)</f>
        <v>Vpfc_max</v>
      </c>
      <c r="C35" s="8">
        <v>400</v>
      </c>
      <c r="D35" s="131" t="str">
        <f>INDEX(Data!M52:M58,MATCH(Device,Data!J52:J58),0)</f>
        <v>V</v>
      </c>
      <c r="E35" s="139" t="str">
        <f>INDEX(Data!N52:N58,MATCH(Device,Data!J52:J58),0)</f>
        <v>Enter the maximum output voltage of PFC</v>
      </c>
    </row>
    <row r="36" spans="1:11" s="1" customFormat="1" x14ac:dyDescent="0.45">
      <c r="A36" s="286"/>
      <c r="B36" s="287"/>
      <c r="C36" s="287"/>
      <c r="D36" s="287"/>
      <c r="E36" s="288"/>
    </row>
    <row r="37" spans="1:11" s="6" customFormat="1" x14ac:dyDescent="0.45">
      <c r="A37" s="292" t="s">
        <v>22</v>
      </c>
      <c r="B37" s="293"/>
      <c r="C37" s="293"/>
      <c r="D37" s="293"/>
      <c r="E37" s="294"/>
    </row>
    <row r="38" spans="1:11" s="1" customFormat="1" ht="14" customHeight="1" x14ac:dyDescent="0.45">
      <c r="A38" s="324"/>
      <c r="B38" s="325"/>
      <c r="C38" s="325"/>
      <c r="D38" s="325"/>
      <c r="E38" s="326"/>
    </row>
    <row r="39" spans="1:11" s="6" customFormat="1" x14ac:dyDescent="0.45">
      <c r="A39" s="281" t="s">
        <v>23</v>
      </c>
      <c r="B39" s="282"/>
      <c r="C39" s="282"/>
      <c r="D39" s="282"/>
      <c r="E39" s="283"/>
    </row>
    <row r="40" spans="1:11" s="215" customFormat="1" ht="14.55" customHeight="1" x14ac:dyDescent="0.45">
      <c r="A40" s="216" t="s">
        <v>212</v>
      </c>
      <c r="B40" s="214" t="s">
        <v>33</v>
      </c>
      <c r="C40" s="217">
        <f>IF( (560- (Vbulk_max))/(Vout_max)&lt;0, 0,(560- (Vbulk_max))/(Vout_max) )</f>
        <v>8</v>
      </c>
      <c r="D40" s="214"/>
      <c r="E40" s="264"/>
    </row>
    <row r="41" spans="1:11" s="215" customFormat="1" ht="14.55" customHeight="1" x14ac:dyDescent="0.45">
      <c r="A41" s="216" t="s">
        <v>306</v>
      </c>
      <c r="B41" s="214" t="s">
        <v>307</v>
      </c>
      <c r="C41" s="221">
        <f>IF( (520- (Vbulk_max))/(Vout_max)&lt;0, 0,(520- (Vbulk_max))/(Vout_max) )</f>
        <v>6</v>
      </c>
      <c r="D41" s="214"/>
      <c r="E41" s="264"/>
    </row>
    <row r="42" spans="1:11" s="215" customFormat="1" ht="14.55" customHeight="1" x14ac:dyDescent="0.45">
      <c r="A42" s="216" t="s">
        <v>308</v>
      </c>
      <c r="B42" s="147" t="s">
        <v>309</v>
      </c>
      <c r="C42" s="246">
        <f>IFERROR(INDEX(Data!$G$5:$G$20, MATCH(TR_calc, Data!$G$5:$G$20, 0)), IFERROR(INDEX(Data!$G$5:$G$20, MATCH(TR_calc, Data!$G$5:$G$20, 1) + 1), IF(TR_calc&gt;7.875, 7.875,6)))</f>
        <v>6</v>
      </c>
      <c r="D42" s="214"/>
      <c r="E42" s="264" t="str">
        <f>IF(TR_calc&gt;7.875, "Clamping at the max TR value.", IF(TR_calc&lt;6, "Clamping at the min TR value.", " "))</f>
        <v xml:space="preserve"> </v>
      </c>
    </row>
    <row r="43" spans="1:11" s="6" customFormat="1" x14ac:dyDescent="0.45">
      <c r="A43" s="146" t="s">
        <v>213</v>
      </c>
      <c r="B43" s="147" t="s">
        <v>310</v>
      </c>
      <c r="C43" s="19">
        <v>7.875</v>
      </c>
      <c r="D43" s="147"/>
      <c r="E43" s="265" t="s">
        <v>73</v>
      </c>
      <c r="G43" s="247"/>
      <c r="H43" s="240"/>
      <c r="I43" s="240"/>
      <c r="J43" s="240"/>
      <c r="K43" s="240"/>
    </row>
    <row r="44" spans="1:11" s="1" customFormat="1" ht="14.55" customHeight="1" x14ac:dyDescent="0.45">
      <c r="A44" s="143" t="s">
        <v>214</v>
      </c>
      <c r="B44" s="131" t="s">
        <v>34</v>
      </c>
      <c r="C44" s="22">
        <f>25*TR/(Vovp)</f>
        <v>7.875</v>
      </c>
      <c r="D44" s="131"/>
      <c r="E44" s="266" t="s">
        <v>198</v>
      </c>
      <c r="G44" s="241"/>
      <c r="H44" s="121"/>
      <c r="I44" s="121"/>
      <c r="J44" s="121"/>
      <c r="K44" s="121"/>
    </row>
    <row r="45" spans="1:11" s="1" customFormat="1" ht="14.55" customHeight="1" x14ac:dyDescent="0.45">
      <c r="A45" s="143" t="s">
        <v>215</v>
      </c>
      <c r="B45" s="131" t="s">
        <v>58</v>
      </c>
      <c r="C45" s="8">
        <v>8</v>
      </c>
      <c r="D45" s="147"/>
      <c r="E45" s="265" t="str">
        <f>IF(Nps_sel&gt;Nps_max, "Nps_sel exceeds Nps_max, continuing calculations on user's request", "  ")</f>
        <v xml:space="preserve">  </v>
      </c>
      <c r="G45" s="241"/>
      <c r="H45" s="121"/>
      <c r="I45" s="121"/>
      <c r="J45" s="121"/>
      <c r="K45" s="121"/>
    </row>
    <row r="46" spans="1:11" s="1" customFormat="1" ht="14.55" customHeight="1" x14ac:dyDescent="0.45">
      <c r="A46" s="143" t="s">
        <v>216</v>
      </c>
      <c r="B46" s="131" t="s">
        <v>157</v>
      </c>
      <c r="C46" s="21">
        <f>IF(Device="UCG28826-4", 16*TR/(Nps_sel),25*TR/(Nps_sel))</f>
        <v>24.609375</v>
      </c>
      <c r="D46" s="147" t="s">
        <v>12</v>
      </c>
      <c r="E46" s="266" t="str">
        <f>IF( C46&lt;Vout_max, "Vovp is less than Vout_max", "It has 8% tolerance")</f>
        <v>It has 8% tolerance</v>
      </c>
      <c r="G46" s="241"/>
      <c r="H46" s="121"/>
      <c r="I46" s="121"/>
      <c r="J46" s="121"/>
      <c r="K46" s="121"/>
    </row>
    <row r="47" spans="1:11" s="1" customFormat="1" ht="14.55" customHeight="1" x14ac:dyDescent="0.45">
      <c r="A47" s="143" t="s">
        <v>217</v>
      </c>
      <c r="B47" s="131" t="s">
        <v>76</v>
      </c>
      <c r="C47" s="21">
        <f>(Nps_sel*Vout_max)/(Vbulk_min+(Nps_sel*Vout_max))</f>
        <v>0.5161290322580645</v>
      </c>
      <c r="D47" s="147"/>
      <c r="E47" s="266"/>
      <c r="G47" s="121"/>
      <c r="H47" s="121"/>
      <c r="I47" s="121"/>
      <c r="J47" s="121"/>
      <c r="K47" s="121"/>
    </row>
    <row r="48" spans="1:11" s="1" customFormat="1" x14ac:dyDescent="0.45">
      <c r="A48" s="146" t="s">
        <v>218</v>
      </c>
      <c r="B48" s="147" t="s">
        <v>60</v>
      </c>
      <c r="C48" s="21">
        <f>2*Pout_max/(Vbulk_min*Dmax*efficiency)</f>
        <v>3.3695652173913038</v>
      </c>
      <c r="D48" s="131" t="s">
        <v>15</v>
      </c>
      <c r="E48" s="266" t="str">
        <f ca="1">IF(Ipk_error="no","Device cannot meet the required Ipk, increase Nps or Vpfc_min","")</f>
        <v/>
      </c>
      <c r="G48" s="121"/>
      <c r="H48" s="121"/>
      <c r="I48" s="121"/>
      <c r="J48" s="121"/>
      <c r="K48" s="121"/>
    </row>
    <row r="49" spans="1:11" s="1" customFormat="1" x14ac:dyDescent="0.45">
      <c r="A49" s="146" t="s">
        <v>312</v>
      </c>
      <c r="B49" s="147" t="s">
        <v>313</v>
      </c>
      <c r="C49" s="221">
        <f ca="1">Ipk_recom</f>
        <v>3.5</v>
      </c>
      <c r="D49" s="131" t="s">
        <v>15</v>
      </c>
      <c r="E49" s="266" t="str">
        <f ca="1">IF(Ipk_error="no", "Required Ipk value is higher than what the device can support. Clamping at the max value", " ")</f>
        <v xml:space="preserve"> </v>
      </c>
      <c r="G49" s="121"/>
      <c r="H49" s="121"/>
      <c r="I49" s="121"/>
      <c r="J49" s="121"/>
      <c r="K49" s="121"/>
    </row>
    <row r="50" spans="1:11" s="1" customFormat="1" x14ac:dyDescent="0.45">
      <c r="A50" s="138" t="s">
        <v>219</v>
      </c>
      <c r="B50" s="131" t="s">
        <v>59</v>
      </c>
      <c r="C50" s="8">
        <v>3.5</v>
      </c>
      <c r="D50" s="131" t="s">
        <v>15</v>
      </c>
      <c r="E50" s="266" t="str">
        <f>IF(Ipk_set&lt;Ipk_max, "Ipk_set cannot be less than Ipk_max",  "Select  Ipk_set higher than Ipk_max (refer datasheet to select appropriate value)")</f>
        <v>Select  Ipk_set higher than Ipk_max (refer datasheet to select appropriate value)</v>
      </c>
      <c r="G50" s="252"/>
      <c r="H50" s="121"/>
      <c r="I50" s="121"/>
      <c r="J50" s="121"/>
      <c r="K50" s="121"/>
    </row>
    <row r="51" spans="1:11" s="6" customFormat="1" x14ac:dyDescent="0.45">
      <c r="A51" s="146" t="s">
        <v>220</v>
      </c>
      <c r="B51" s="147" t="s">
        <v>24</v>
      </c>
      <c r="C51" s="7">
        <v>140</v>
      </c>
      <c r="D51" s="147" t="s">
        <v>25</v>
      </c>
      <c r="E51" s="265" t="s">
        <v>26</v>
      </c>
      <c r="H51" s="240"/>
      <c r="I51" s="240"/>
      <c r="J51" s="240"/>
      <c r="K51" s="240"/>
    </row>
    <row r="52" spans="1:11" s="6" customFormat="1" x14ac:dyDescent="0.45">
      <c r="A52" s="146" t="s">
        <v>221</v>
      </c>
      <c r="B52" s="147" t="s">
        <v>46</v>
      </c>
      <c r="C52" s="29">
        <v>70</v>
      </c>
      <c r="D52" s="147" t="s">
        <v>25</v>
      </c>
      <c r="E52" s="265" t="s">
        <v>27</v>
      </c>
      <c r="G52" s="240"/>
      <c r="H52" s="240"/>
      <c r="I52" s="240"/>
      <c r="J52" s="240"/>
      <c r="K52" s="240"/>
    </row>
    <row r="53" spans="1:11" s="1" customFormat="1" x14ac:dyDescent="0.45">
      <c r="A53" s="146" t="s">
        <v>222</v>
      </c>
      <c r="B53" s="147" t="s">
        <v>61</v>
      </c>
      <c r="C53" s="221">
        <f>_xlfn.IFS( Lm&gt;Lm_max_datasheet, Lm_max_datasheet,       Lm &lt;Lm_min_datasheet, Lm_min_datasheet,       Lm &lt;Lm_max_datasheet, Lm)</f>
        <v>328.22952281849268</v>
      </c>
      <c r="D53" s="131" t="s">
        <v>28</v>
      </c>
      <c r="E53" s="351" t="s">
        <v>421</v>
      </c>
      <c r="G53" s="121"/>
      <c r="H53" s="121"/>
      <c r="I53" s="121"/>
      <c r="J53" s="121"/>
      <c r="K53" s="121"/>
    </row>
    <row r="54" spans="1:11" s="1" customFormat="1" x14ac:dyDescent="0.45">
      <c r="A54" s="146" t="s">
        <v>223</v>
      </c>
      <c r="B54" s="147" t="s">
        <v>62</v>
      </c>
      <c r="C54" s="21">
        <f>_xlfn.IFS( Lm*Fsw_desired_LLFL/(Fclamp)&lt; Lm_min_datasheet,Lm_min_datasheet,        Lm*Fsw_desired_LLFL/(Fclamp)&gt;Lm_max_datasheet, Lm_max_datasheet,        Lm*Fsw_desired_LLFL/(Fclamp)&gt;Lm_min_datasheet, Lm*Fsw_desired_LLFL/(Fclamp))</f>
        <v>164.11476140924634</v>
      </c>
      <c r="D54" s="131" t="s">
        <v>28</v>
      </c>
      <c r="E54" s="352"/>
    </row>
    <row r="55" spans="1:11" s="1" customFormat="1" x14ac:dyDescent="0.45">
      <c r="A55" s="146" t="s">
        <v>224</v>
      </c>
      <c r="B55" s="147" t="s">
        <v>63</v>
      </c>
      <c r="C55" s="21">
        <f>_xlfn.IFS( Lm*Fsw_desired_LLFL/30&gt;Lm_max_datasheet, Lm_max_datasheet,        Lm*Fsw_desired_LLFL/30 &lt; Lm_min_datasheet, Lm_min_datasheet,        Lm*Fsw_desired_LLFL/30&lt;Lm_max_datasheet,  Lm*Fsw_desired_LLFL/30)</f>
        <v>400</v>
      </c>
      <c r="D55" s="131" t="s">
        <v>28</v>
      </c>
      <c r="E55" s="353"/>
      <c r="G55" s="121"/>
    </row>
    <row r="56" spans="1:11" s="1" customFormat="1" x14ac:dyDescent="0.45">
      <c r="A56" s="146" t="s">
        <v>225</v>
      </c>
      <c r="B56" s="147" t="s">
        <v>64</v>
      </c>
      <c r="C56" s="29">
        <v>330</v>
      </c>
      <c r="D56" s="131" t="s">
        <v>28</v>
      </c>
      <c r="E56" s="139" t="s">
        <v>417</v>
      </c>
    </row>
    <row r="57" spans="1:11" s="1" customFormat="1" x14ac:dyDescent="0.45">
      <c r="A57" s="224" t="s">
        <v>226</v>
      </c>
      <c r="B57" s="219" t="s">
        <v>68</v>
      </c>
      <c r="C57" s="272">
        <f>(Vbulk_min*Dmax/(Ipk_max*Lm_actual))*10^3</f>
        <v>69.624444234225734</v>
      </c>
      <c r="D57" s="218" t="s">
        <v>25</v>
      </c>
      <c r="E57" s="225"/>
    </row>
    <row r="58" spans="1:11" x14ac:dyDescent="0.45">
      <c r="A58" s="226"/>
      <c r="B58" s="227"/>
      <c r="C58" s="245"/>
      <c r="D58" s="227"/>
      <c r="E58" s="228"/>
    </row>
    <row r="59" spans="1:11" x14ac:dyDescent="0.45">
      <c r="A59" s="278" t="s">
        <v>48</v>
      </c>
      <c r="B59" s="279"/>
      <c r="C59" s="279"/>
      <c r="D59" s="279"/>
      <c r="E59" s="280"/>
    </row>
    <row r="60" spans="1:11" s="1" customFormat="1" x14ac:dyDescent="0.45">
      <c r="A60" s="146" t="s">
        <v>227</v>
      </c>
      <c r="B60" s="147" t="s">
        <v>64</v>
      </c>
      <c r="C60" s="21">
        <f>Lm_actual</f>
        <v>330</v>
      </c>
      <c r="D60" s="131" t="s">
        <v>28</v>
      </c>
      <c r="E60" s="139"/>
    </row>
    <row r="61" spans="1:11" s="15" customFormat="1" x14ac:dyDescent="0.45">
      <c r="A61" s="149" t="s">
        <v>228</v>
      </c>
      <c r="B61" s="150" t="s">
        <v>72</v>
      </c>
      <c r="C61" s="20">
        <v>12</v>
      </c>
      <c r="D61" s="144" t="s">
        <v>28</v>
      </c>
      <c r="E61" s="145" t="s">
        <v>74</v>
      </c>
    </row>
    <row r="62" spans="1:11" s="1" customFormat="1" x14ac:dyDescent="0.45">
      <c r="A62" s="146" t="s">
        <v>229</v>
      </c>
      <c r="B62" s="147" t="s">
        <v>71</v>
      </c>
      <c r="C62" s="8">
        <v>64</v>
      </c>
      <c r="D62" s="131" t="s">
        <v>65</v>
      </c>
      <c r="E62" s="139" t="s">
        <v>186</v>
      </c>
    </row>
    <row r="63" spans="1:11" s="1" customFormat="1" x14ac:dyDescent="0.45">
      <c r="A63" s="146" t="s">
        <v>230</v>
      </c>
      <c r="B63" s="147" t="s">
        <v>66</v>
      </c>
      <c r="C63" s="8">
        <v>0.28000000000000003</v>
      </c>
      <c r="D63" s="131" t="s">
        <v>67</v>
      </c>
      <c r="E63" s="139" t="s">
        <v>187</v>
      </c>
    </row>
    <row r="64" spans="1:11" s="1" customFormat="1" x14ac:dyDescent="0.45">
      <c r="A64" s="146" t="s">
        <v>231</v>
      </c>
      <c r="B64" s="147" t="s">
        <v>69</v>
      </c>
      <c r="C64" s="222">
        <f>(Lm_actual*Ipk_set/(Bmax*Acore))</f>
        <v>64.453125</v>
      </c>
      <c r="D64" s="147"/>
      <c r="E64" s="139"/>
    </row>
    <row r="65" spans="1:7" s="1" customFormat="1" x14ac:dyDescent="0.45">
      <c r="A65" s="146" t="s">
        <v>232</v>
      </c>
      <c r="B65" s="147" t="s">
        <v>70</v>
      </c>
      <c r="C65" s="222">
        <f>Np/Nps_sel</f>
        <v>8.056640625</v>
      </c>
      <c r="D65" s="147"/>
      <c r="E65" s="139"/>
    </row>
    <row r="66" spans="1:7" x14ac:dyDescent="0.45">
      <c r="A66" s="140" t="s">
        <v>233</v>
      </c>
      <c r="B66" s="141" t="s">
        <v>49</v>
      </c>
      <c r="C66" s="124">
        <f>MAX(Vbulk_max,Vout_max*Np/Ns)*1.15</f>
        <v>459.99999999999994</v>
      </c>
      <c r="D66" s="151" t="s">
        <v>12</v>
      </c>
      <c r="E66" s="142" t="s">
        <v>158</v>
      </c>
    </row>
    <row r="67" spans="1:7" s="1" customFormat="1" x14ac:dyDescent="0.4">
      <c r="A67" s="152" t="s">
        <v>234</v>
      </c>
      <c r="B67" s="151" t="s">
        <v>153</v>
      </c>
      <c r="C67" s="124">
        <f>Ipk_max</f>
        <v>3.3695652173913038</v>
      </c>
      <c r="D67" s="141" t="s">
        <v>15</v>
      </c>
      <c r="E67" s="142"/>
    </row>
    <row r="68" spans="1:7" s="10" customFormat="1" x14ac:dyDescent="0.45">
      <c r="A68" s="152" t="s">
        <v>235</v>
      </c>
      <c r="B68" s="151" t="s">
        <v>152</v>
      </c>
      <c r="C68" s="124">
        <f>Ipri_pk*SQRT(Dmax/3)</f>
        <v>1.3976305450714426</v>
      </c>
      <c r="D68" s="141" t="s">
        <v>15</v>
      </c>
      <c r="E68" s="142"/>
      <c r="F68" s="11"/>
    </row>
    <row r="69" spans="1:7" x14ac:dyDescent="0.45">
      <c r="A69" s="153" t="s">
        <v>236</v>
      </c>
      <c r="B69" s="154" t="s">
        <v>50</v>
      </c>
      <c r="C69" s="125">
        <f>MAX(Vout_max,Vbulk_max/Nps_sel)*1.15</f>
        <v>57.499999999999993</v>
      </c>
      <c r="D69" s="155" t="s">
        <v>12</v>
      </c>
      <c r="E69" s="142" t="s">
        <v>158</v>
      </c>
    </row>
    <row r="70" spans="1:7" s="10" customFormat="1" x14ac:dyDescent="0.45">
      <c r="A70" s="152" t="s">
        <v>237</v>
      </c>
      <c r="B70" s="151" t="s">
        <v>154</v>
      </c>
      <c r="C70" s="124">
        <f>Ipk_max*Nps_sel</f>
        <v>26.95652173913043</v>
      </c>
      <c r="D70" s="141" t="s">
        <v>15</v>
      </c>
      <c r="E70" s="142"/>
      <c r="F70" s="11"/>
    </row>
    <row r="71" spans="1:7" s="10" customFormat="1" x14ac:dyDescent="0.45">
      <c r="A71" s="152" t="s">
        <v>238</v>
      </c>
      <c r="B71" s="151" t="s">
        <v>155</v>
      </c>
      <c r="C71" s="124">
        <f>Isec_pk*SQRT((1-Dmax)/3)</f>
        <v>10.825999650424983</v>
      </c>
      <c r="D71" s="141" t="s">
        <v>15</v>
      </c>
      <c r="E71" s="142"/>
      <c r="F71" s="11"/>
    </row>
    <row r="72" spans="1:7" x14ac:dyDescent="0.45">
      <c r="A72" s="318"/>
      <c r="B72" s="319"/>
      <c r="C72" s="319"/>
      <c r="D72" s="319"/>
      <c r="E72" s="320"/>
    </row>
    <row r="73" spans="1:7" s="6" customFormat="1" x14ac:dyDescent="0.45">
      <c r="A73" s="281" t="s">
        <v>36</v>
      </c>
      <c r="B73" s="282"/>
      <c r="C73" s="282"/>
      <c r="D73" s="282"/>
      <c r="E73" s="283"/>
    </row>
    <row r="74" spans="1:7" s="1" customFormat="1" ht="14.55" customHeight="1" x14ac:dyDescent="0.45">
      <c r="A74" s="138" t="s">
        <v>201</v>
      </c>
      <c r="B74" s="131" t="s">
        <v>37</v>
      </c>
      <c r="C74" s="8">
        <v>150</v>
      </c>
      <c r="D74" s="131" t="s">
        <v>12</v>
      </c>
      <c r="E74" s="284"/>
      <c r="F74" s="121"/>
    </row>
    <row r="75" spans="1:7" s="1" customFormat="1" x14ac:dyDescent="0.45">
      <c r="A75" s="138" t="s">
        <v>239</v>
      </c>
      <c r="B75" s="131" t="s">
        <v>38</v>
      </c>
      <c r="C75" s="22">
        <f>(Vos+Nps_sel*Vout_max)</f>
        <v>310</v>
      </c>
      <c r="D75" s="131" t="s">
        <v>12</v>
      </c>
      <c r="E75" s="285"/>
      <c r="F75" s="121"/>
    </row>
    <row r="76" spans="1:7" s="1" customFormat="1" x14ac:dyDescent="0.45">
      <c r="A76" s="16" t="s">
        <v>240</v>
      </c>
      <c r="B76" s="12" t="s">
        <v>174</v>
      </c>
      <c r="C76" s="18">
        <v>20</v>
      </c>
      <c r="D76" s="12" t="s">
        <v>12</v>
      </c>
      <c r="E76" s="285"/>
      <c r="F76" s="121"/>
      <c r="G76" s="121"/>
    </row>
    <row r="77" spans="1:7" s="6" customFormat="1" x14ac:dyDescent="0.45">
      <c r="A77" s="156" t="s">
        <v>241</v>
      </c>
      <c r="B77" s="147" t="s">
        <v>39</v>
      </c>
      <c r="C77" s="21">
        <f>0.5*Llk*10^-6*(Ipk_max)^2*Fsw_actual_LLFL*10^3*Vsn/(Vsn-(Nps_sel*Vout_max))</f>
        <v>9.802371541501973</v>
      </c>
      <c r="D77" s="147" t="s">
        <v>13</v>
      </c>
      <c r="E77" s="285"/>
      <c r="G77" s="240"/>
    </row>
    <row r="78" spans="1:7" s="6" customFormat="1" x14ac:dyDescent="0.45">
      <c r="A78" s="156" t="s">
        <v>414</v>
      </c>
      <c r="B78" s="147" t="s">
        <v>415</v>
      </c>
      <c r="C78" s="8">
        <v>80</v>
      </c>
      <c r="D78" s="147" t="s">
        <v>119</v>
      </c>
      <c r="E78" s="285"/>
      <c r="G78" s="240"/>
    </row>
    <row r="79" spans="1:7" s="6" customFormat="1" x14ac:dyDescent="0.45">
      <c r="A79" s="146" t="s">
        <v>242</v>
      </c>
      <c r="B79" s="147" t="s">
        <v>40</v>
      </c>
      <c r="C79" s="221">
        <f>Vsn^2/((1-p/100)*Psn)*10^-3</f>
        <v>49.018750000000033</v>
      </c>
      <c r="D79" s="147" t="s">
        <v>41</v>
      </c>
      <c r="E79" s="285"/>
    </row>
    <row r="80" spans="1:7" s="1" customFormat="1" x14ac:dyDescent="0.45">
      <c r="A80" s="138" t="s">
        <v>243</v>
      </c>
      <c r="B80" s="131" t="s">
        <v>42</v>
      </c>
      <c r="C80" s="220">
        <f>Psn/(Fsw_actual_LLFL*10^3*Vsn_ripple*Vsn)*10^9</f>
        <v>22.707939508506605</v>
      </c>
      <c r="D80" s="131" t="s">
        <v>43</v>
      </c>
      <c r="E80" s="285"/>
    </row>
    <row r="81" spans="1:6" s="1" customFormat="1" ht="31.5" customHeight="1" x14ac:dyDescent="0.45">
      <c r="A81" s="286"/>
      <c r="B81" s="287"/>
      <c r="C81" s="287"/>
      <c r="D81" s="287"/>
      <c r="E81" s="288"/>
    </row>
    <row r="82" spans="1:6" x14ac:dyDescent="0.45">
      <c r="A82" s="278" t="s">
        <v>51</v>
      </c>
      <c r="B82" s="279"/>
      <c r="C82" s="279"/>
      <c r="D82" s="279"/>
      <c r="E82" s="280"/>
    </row>
    <row r="83" spans="1:6" s="1" customFormat="1" x14ac:dyDescent="0.4">
      <c r="A83" s="138" t="s">
        <v>244</v>
      </c>
      <c r="B83" s="131" t="s">
        <v>78</v>
      </c>
      <c r="C83" s="85">
        <f>((Vbulk_max)/Nps_sel+Vout_max)*2</f>
        <v>140</v>
      </c>
      <c r="D83" s="131" t="s">
        <v>12</v>
      </c>
      <c r="E83" s="142" t="s">
        <v>158</v>
      </c>
    </row>
    <row r="84" spans="1:6" x14ac:dyDescent="0.45">
      <c r="A84" s="140" t="s">
        <v>245</v>
      </c>
      <c r="B84" s="141" t="s">
        <v>79</v>
      </c>
      <c r="C84" s="123">
        <f>Isec_pk</f>
        <v>26.95652173913043</v>
      </c>
      <c r="D84" s="141" t="s">
        <v>15</v>
      </c>
      <c r="E84" s="142"/>
    </row>
    <row r="85" spans="1:6" s="13" customFormat="1" x14ac:dyDescent="0.45">
      <c r="A85" s="140" t="s">
        <v>246</v>
      </c>
      <c r="B85" s="141" t="s">
        <v>168</v>
      </c>
      <c r="C85" s="123">
        <f>Isec_rms</f>
        <v>10.825999650424983</v>
      </c>
      <c r="D85" s="141" t="s">
        <v>15</v>
      </c>
      <c r="E85" s="142"/>
    </row>
    <row r="86" spans="1:6" s="13" customFormat="1" x14ac:dyDescent="0.45">
      <c r="A86" s="140" t="s">
        <v>247</v>
      </c>
      <c r="B86" s="141" t="s">
        <v>167</v>
      </c>
      <c r="C86" s="123">
        <f>Pout_max/Vout_max</f>
        <v>6</v>
      </c>
      <c r="D86" s="141" t="s">
        <v>15</v>
      </c>
      <c r="E86" s="142"/>
    </row>
    <row r="87" spans="1:6" x14ac:dyDescent="0.45">
      <c r="A87" s="318"/>
      <c r="B87" s="319"/>
      <c r="C87" s="319"/>
      <c r="D87" s="319"/>
      <c r="E87" s="320"/>
    </row>
    <row r="88" spans="1:6" x14ac:dyDescent="0.45">
      <c r="A88" s="278" t="s">
        <v>53</v>
      </c>
      <c r="B88" s="279"/>
      <c r="C88" s="279"/>
      <c r="D88" s="279"/>
      <c r="E88" s="280"/>
    </row>
    <row r="89" spans="1:6" x14ac:dyDescent="0.45">
      <c r="A89" s="140" t="s">
        <v>207</v>
      </c>
      <c r="B89" s="141" t="s">
        <v>80</v>
      </c>
      <c r="C89" s="273">
        <f>Vout_ripple</f>
        <v>200</v>
      </c>
      <c r="D89" s="141" t="s">
        <v>44</v>
      </c>
      <c r="E89" s="142"/>
    </row>
    <row r="90" spans="1:6" s="13" customFormat="1" x14ac:dyDescent="0.45">
      <c r="A90" s="4" t="s">
        <v>248</v>
      </c>
      <c r="B90" s="3" t="s">
        <v>176</v>
      </c>
      <c r="C90" s="8">
        <v>0.5</v>
      </c>
      <c r="D90" s="3" t="s">
        <v>12</v>
      </c>
      <c r="E90" s="5" t="s">
        <v>175</v>
      </c>
      <c r="F90" s="34"/>
    </row>
    <row r="91" spans="1:6" s="13" customFormat="1" x14ac:dyDescent="0.45">
      <c r="A91" s="152" t="s">
        <v>249</v>
      </c>
      <c r="B91" s="151" t="s">
        <v>111</v>
      </c>
      <c r="C91" s="274">
        <f>((Fsw_actual_LLFL*10^3)/20)</f>
        <v>3481.222211711286</v>
      </c>
      <c r="D91" s="151" t="s">
        <v>21</v>
      </c>
      <c r="E91" s="157"/>
    </row>
    <row r="92" spans="1:6" s="13" customFormat="1" x14ac:dyDescent="0.45">
      <c r="A92" s="140" t="s">
        <v>250</v>
      </c>
      <c r="B92" s="141" t="s">
        <v>109</v>
      </c>
      <c r="C92" s="18">
        <v>2000</v>
      </c>
      <c r="D92" s="141" t="s">
        <v>21</v>
      </c>
      <c r="E92" s="142" t="s">
        <v>110</v>
      </c>
      <c r="F92" s="34"/>
    </row>
    <row r="93" spans="1:6" s="10" customFormat="1" x14ac:dyDescent="0.45">
      <c r="A93" s="140" t="s">
        <v>251</v>
      </c>
      <c r="B93" s="141" t="s">
        <v>113</v>
      </c>
      <c r="C93" s="275">
        <f>((0.33/(fc))+10^-3/Fsw_actual_LLFL)*10^6</f>
        <v>179.36277173913044</v>
      </c>
      <c r="D93" s="141" t="s">
        <v>112</v>
      </c>
      <c r="E93" s="158"/>
    </row>
    <row r="94" spans="1:6" x14ac:dyDescent="0.45">
      <c r="A94" s="140" t="s">
        <v>252</v>
      </c>
      <c r="B94" s="141" t="s">
        <v>85</v>
      </c>
      <c r="C94" s="276">
        <f>ROUND(MAX(Cout_tran,Cout_ripple),0)</f>
        <v>2066</v>
      </c>
      <c r="D94" s="141" t="s">
        <v>54</v>
      </c>
      <c r="E94" s="142"/>
    </row>
    <row r="95" spans="1:6" x14ac:dyDescent="0.45">
      <c r="A95" s="140" t="s">
        <v>253</v>
      </c>
      <c r="B95" s="141" t="s">
        <v>81</v>
      </c>
      <c r="C95" s="18">
        <v>1000</v>
      </c>
      <c r="D95" s="141" t="s">
        <v>54</v>
      </c>
      <c r="E95" s="142" t="s">
        <v>55</v>
      </c>
    </row>
    <row r="96" spans="1:6" s="13" customFormat="1" x14ac:dyDescent="0.45">
      <c r="A96" s="138" t="s">
        <v>254</v>
      </c>
      <c r="B96" s="141" t="s">
        <v>177</v>
      </c>
      <c r="C96" s="261">
        <f>Vout_max*1.15</f>
        <v>23</v>
      </c>
      <c r="D96" s="141" t="s">
        <v>12</v>
      </c>
      <c r="E96" s="142" t="s">
        <v>158</v>
      </c>
    </row>
    <row r="97" spans="1:6" x14ac:dyDescent="0.45">
      <c r="A97" s="140" t="s">
        <v>255</v>
      </c>
      <c r="B97" s="141" t="s">
        <v>84</v>
      </c>
      <c r="C97" s="123">
        <f>MAX(Pout_max/Vout_max, Ipk_max*Nps_sel-Pout_max/Vout_max)</f>
        <v>20.95652173913043</v>
      </c>
      <c r="D97" s="141" t="s">
        <v>15</v>
      </c>
      <c r="E97" s="142" t="s">
        <v>165</v>
      </c>
    </row>
    <row r="98" spans="1:6" s="10" customFormat="1" x14ac:dyDescent="0.45">
      <c r="A98" s="140" t="s">
        <v>256</v>
      </c>
      <c r="B98" s="141" t="s">
        <v>164</v>
      </c>
      <c r="C98" s="123">
        <f>SQRT(Isec_rms^2-(Pout_max/Vout_max)^2)</f>
        <v>9.011230128622941</v>
      </c>
      <c r="D98" s="141" t="s">
        <v>15</v>
      </c>
      <c r="E98" s="142" t="s">
        <v>166</v>
      </c>
      <c r="F98" s="122"/>
    </row>
    <row r="99" spans="1:6" x14ac:dyDescent="0.45">
      <c r="A99" s="140" t="s">
        <v>257</v>
      </c>
      <c r="B99" s="141" t="s">
        <v>83</v>
      </c>
      <c r="C99" s="277">
        <f>(Vout_ripple/(Ipk_max*Nps_sel))</f>
        <v>7.4193548387096788</v>
      </c>
      <c r="D99" s="141" t="s">
        <v>52</v>
      </c>
      <c r="E99" s="142"/>
      <c r="F99" s="34"/>
    </row>
    <row r="100" spans="1:6" ht="14.65" thickBot="1" x14ac:dyDescent="0.5">
      <c r="A100" s="159" t="s">
        <v>56</v>
      </c>
      <c r="B100" s="160" t="s">
        <v>82</v>
      </c>
      <c r="C100" s="127">
        <v>10</v>
      </c>
      <c r="D100" s="160" t="s">
        <v>52</v>
      </c>
      <c r="E100" s="188" t="s">
        <v>57</v>
      </c>
    </row>
    <row r="102" spans="1:6" x14ac:dyDescent="0.45">
      <c r="B102" s="24"/>
      <c r="C102" s="25"/>
    </row>
    <row r="103" spans="1:6" x14ac:dyDescent="0.45">
      <c r="A103" s="248"/>
      <c r="B103" s="24"/>
      <c r="C103" s="26"/>
    </row>
    <row r="104" spans="1:6" x14ac:dyDescent="0.45">
      <c r="A104" s="248"/>
      <c r="B104" s="24"/>
      <c r="C104" s="27"/>
      <c r="E104" s="32"/>
    </row>
    <row r="105" spans="1:6" x14ac:dyDescent="0.45">
      <c r="A105" s="248"/>
      <c r="B105" s="24"/>
      <c r="C105" s="28"/>
    </row>
    <row r="106" spans="1:6" x14ac:dyDescent="0.45">
      <c r="A106" s="13"/>
    </row>
    <row r="107" spans="1:6" x14ac:dyDescent="0.45">
      <c r="A107" s="13"/>
    </row>
    <row r="108" spans="1:6" x14ac:dyDescent="0.45">
      <c r="A108" s="13"/>
    </row>
    <row r="109" spans="1:6" x14ac:dyDescent="0.45">
      <c r="A109" s="13"/>
    </row>
    <row r="110" spans="1:6" x14ac:dyDescent="0.45">
      <c r="A110" s="13"/>
    </row>
    <row r="111" spans="1:6" x14ac:dyDescent="0.45">
      <c r="A111" s="13"/>
    </row>
    <row r="112" spans="1:6" x14ac:dyDescent="0.45">
      <c r="A112" s="13"/>
    </row>
    <row r="113" spans="1:1" x14ac:dyDescent="0.45">
      <c r="A113" s="13"/>
    </row>
    <row r="114" spans="1:1" x14ac:dyDescent="0.45">
      <c r="A114" s="13"/>
    </row>
    <row r="115" spans="1:1" x14ac:dyDescent="0.45">
      <c r="A115" s="13"/>
    </row>
    <row r="116" spans="1:1" x14ac:dyDescent="0.45">
      <c r="A116" s="13"/>
    </row>
    <row r="117" spans="1:1" x14ac:dyDescent="0.45">
      <c r="A117" s="13"/>
    </row>
    <row r="118" spans="1:1" x14ac:dyDescent="0.45">
      <c r="A118" s="13"/>
    </row>
    <row r="119" spans="1:1" x14ac:dyDescent="0.45">
      <c r="A119" s="13"/>
    </row>
    <row r="120" spans="1:1" x14ac:dyDescent="0.45">
      <c r="A120" s="13"/>
    </row>
    <row r="121" spans="1:1" x14ac:dyDescent="0.45">
      <c r="A121" s="13"/>
    </row>
    <row r="122" spans="1:1" x14ac:dyDescent="0.45">
      <c r="A122" s="13"/>
    </row>
    <row r="123" spans="1:1" x14ac:dyDescent="0.45">
      <c r="A123" s="13"/>
    </row>
    <row r="124" spans="1:1" x14ac:dyDescent="0.45">
      <c r="A124" s="13"/>
    </row>
    <row r="125" spans="1:1" x14ac:dyDescent="0.45">
      <c r="A125" s="13"/>
    </row>
    <row r="126" spans="1:1" x14ac:dyDescent="0.45">
      <c r="A126" s="13"/>
    </row>
    <row r="127" spans="1:1" x14ac:dyDescent="0.45">
      <c r="A127" s="13"/>
    </row>
    <row r="128" spans="1:1" x14ac:dyDescent="0.45">
      <c r="A128" s="13"/>
    </row>
    <row r="129" spans="1:1" x14ac:dyDescent="0.45">
      <c r="A129" s="13"/>
    </row>
    <row r="130" spans="1:1" x14ac:dyDescent="0.45">
      <c r="A130" s="13"/>
    </row>
    <row r="131" spans="1:1" x14ac:dyDescent="0.45">
      <c r="A131" s="13"/>
    </row>
    <row r="132" spans="1:1" x14ac:dyDescent="0.45">
      <c r="A132" s="13"/>
    </row>
    <row r="133" spans="1:1" x14ac:dyDescent="0.45">
      <c r="A133" s="13"/>
    </row>
    <row r="134" spans="1:1" x14ac:dyDescent="0.45">
      <c r="A134" s="13"/>
    </row>
    <row r="135" spans="1:1" x14ac:dyDescent="0.45">
      <c r="A135" s="13"/>
    </row>
    <row r="136" spans="1:1" x14ac:dyDescent="0.45">
      <c r="A136" s="13"/>
    </row>
    <row r="137" spans="1:1" x14ac:dyDescent="0.45">
      <c r="A137" s="13"/>
    </row>
    <row r="138" spans="1:1" x14ac:dyDescent="0.45">
      <c r="A138" s="13"/>
    </row>
    <row r="139" spans="1:1" x14ac:dyDescent="0.45">
      <c r="A139" s="13"/>
    </row>
    <row r="140" spans="1:1" x14ac:dyDescent="0.45">
      <c r="A140" s="13"/>
    </row>
    <row r="141" spans="1:1" x14ac:dyDescent="0.45">
      <c r="A141" s="13"/>
    </row>
    <row r="142" spans="1:1" x14ac:dyDescent="0.45">
      <c r="A142" s="13"/>
    </row>
    <row r="143" spans="1:1" x14ac:dyDescent="0.45">
      <c r="A143" s="13"/>
    </row>
    <row r="144" spans="1:1" x14ac:dyDescent="0.45">
      <c r="A144" s="13"/>
    </row>
    <row r="145" spans="1:1" x14ac:dyDescent="0.45">
      <c r="A145" s="13"/>
    </row>
    <row r="146" spans="1:1" x14ac:dyDescent="0.45">
      <c r="A146" s="13"/>
    </row>
    <row r="147" spans="1:1" x14ac:dyDescent="0.45">
      <c r="A147" s="13"/>
    </row>
    <row r="148" spans="1:1" x14ac:dyDescent="0.45">
      <c r="A148" s="13"/>
    </row>
    <row r="149" spans="1:1" x14ac:dyDescent="0.45">
      <c r="A149" s="13"/>
    </row>
    <row r="150" spans="1:1" x14ac:dyDescent="0.45">
      <c r="A150" s="13"/>
    </row>
    <row r="151" spans="1:1" x14ac:dyDescent="0.45">
      <c r="A151" s="13"/>
    </row>
    <row r="152" spans="1:1" x14ac:dyDescent="0.45">
      <c r="A152" s="13"/>
    </row>
    <row r="153" spans="1:1" x14ac:dyDescent="0.45">
      <c r="A153" s="13"/>
    </row>
    <row r="154" spans="1:1" x14ac:dyDescent="0.45">
      <c r="A154" s="13"/>
    </row>
    <row r="155" spans="1:1" x14ac:dyDescent="0.45">
      <c r="A155" s="13"/>
    </row>
    <row r="156" spans="1:1" x14ac:dyDescent="0.45">
      <c r="A156" s="13"/>
    </row>
    <row r="157" spans="1:1" x14ac:dyDescent="0.45">
      <c r="A157" s="13"/>
    </row>
    <row r="158" spans="1:1" x14ac:dyDescent="0.45">
      <c r="A158" s="13"/>
    </row>
    <row r="159" spans="1:1" x14ac:dyDescent="0.45">
      <c r="A159" s="13"/>
    </row>
    <row r="160" spans="1:1" x14ac:dyDescent="0.45">
      <c r="A160" s="13"/>
    </row>
    <row r="161" spans="1:1" x14ac:dyDescent="0.45">
      <c r="A161" s="13"/>
    </row>
    <row r="162" spans="1:1" x14ac:dyDescent="0.45">
      <c r="A162" s="13"/>
    </row>
    <row r="163" spans="1:1" x14ac:dyDescent="0.45">
      <c r="A163" s="13"/>
    </row>
    <row r="164" spans="1:1" x14ac:dyDescent="0.45">
      <c r="A164" s="13"/>
    </row>
    <row r="165" spans="1:1" x14ac:dyDescent="0.45">
      <c r="A165" s="13"/>
    </row>
    <row r="166" spans="1:1" x14ac:dyDescent="0.45">
      <c r="A166" s="13"/>
    </row>
    <row r="167" spans="1:1" x14ac:dyDescent="0.45">
      <c r="A167" s="13"/>
    </row>
    <row r="168" spans="1:1" x14ac:dyDescent="0.45">
      <c r="A168" s="13"/>
    </row>
    <row r="169" spans="1:1" x14ac:dyDescent="0.45">
      <c r="A169" s="13"/>
    </row>
    <row r="170" spans="1:1" x14ac:dyDescent="0.45">
      <c r="A170" s="13"/>
    </row>
    <row r="171" spans="1:1" x14ac:dyDescent="0.45">
      <c r="A171" s="13"/>
    </row>
    <row r="172" spans="1:1" x14ac:dyDescent="0.45">
      <c r="A172" s="13"/>
    </row>
    <row r="173" spans="1:1" x14ac:dyDescent="0.45">
      <c r="A173" s="13"/>
    </row>
    <row r="174" spans="1:1" x14ac:dyDescent="0.45">
      <c r="A174" s="13"/>
    </row>
    <row r="175" spans="1:1" x14ac:dyDescent="0.45">
      <c r="A175" s="13"/>
    </row>
    <row r="176" spans="1:1" x14ac:dyDescent="0.45">
      <c r="A176" s="13"/>
    </row>
    <row r="177" spans="1:1" x14ac:dyDescent="0.45">
      <c r="A177" s="13"/>
    </row>
    <row r="178" spans="1:1" x14ac:dyDescent="0.45">
      <c r="A178" s="13"/>
    </row>
    <row r="179" spans="1:1" x14ac:dyDescent="0.45">
      <c r="A179" s="13"/>
    </row>
    <row r="180" spans="1:1" x14ac:dyDescent="0.45">
      <c r="A180" s="13"/>
    </row>
    <row r="181" spans="1:1" x14ac:dyDescent="0.45">
      <c r="A181" s="13"/>
    </row>
    <row r="182" spans="1:1" x14ac:dyDescent="0.45">
      <c r="A182" s="13"/>
    </row>
    <row r="183" spans="1:1" x14ac:dyDescent="0.45">
      <c r="A183" s="13"/>
    </row>
    <row r="184" spans="1:1" x14ac:dyDescent="0.45">
      <c r="A184" s="13"/>
    </row>
    <row r="185" spans="1:1" x14ac:dyDescent="0.45">
      <c r="A185" s="13"/>
    </row>
    <row r="186" spans="1:1" x14ac:dyDescent="0.45">
      <c r="A186" s="13"/>
    </row>
    <row r="187" spans="1:1" x14ac:dyDescent="0.45">
      <c r="A187" s="13"/>
    </row>
    <row r="188" spans="1:1" x14ac:dyDescent="0.45">
      <c r="A188" s="13"/>
    </row>
    <row r="189" spans="1:1" x14ac:dyDescent="0.45">
      <c r="A189" s="13"/>
    </row>
    <row r="190" spans="1:1" x14ac:dyDescent="0.45">
      <c r="A190" s="13"/>
    </row>
    <row r="191" spans="1:1" x14ac:dyDescent="0.45">
      <c r="A191" s="13"/>
    </row>
    <row r="192" spans="1:1" x14ac:dyDescent="0.45">
      <c r="A192" s="13"/>
    </row>
    <row r="193" spans="1:1" x14ac:dyDescent="0.45">
      <c r="A193" s="13"/>
    </row>
    <row r="194" spans="1:1" x14ac:dyDescent="0.45">
      <c r="A194" s="13"/>
    </row>
    <row r="195" spans="1:1" x14ac:dyDescent="0.45">
      <c r="A195" s="13"/>
    </row>
    <row r="196" spans="1:1" x14ac:dyDescent="0.45">
      <c r="A196" s="13"/>
    </row>
    <row r="197" spans="1:1" x14ac:dyDescent="0.45">
      <c r="A197" s="13"/>
    </row>
    <row r="198" spans="1:1" x14ac:dyDescent="0.45">
      <c r="A198" s="13"/>
    </row>
    <row r="199" spans="1:1" x14ac:dyDescent="0.45">
      <c r="A199" s="13"/>
    </row>
    <row r="200" spans="1:1" x14ac:dyDescent="0.45">
      <c r="A200" s="13"/>
    </row>
    <row r="201" spans="1:1" x14ac:dyDescent="0.45">
      <c r="A201" s="13"/>
    </row>
    <row r="202" spans="1:1" x14ac:dyDescent="0.45">
      <c r="A202" s="13"/>
    </row>
    <row r="203" spans="1:1" x14ac:dyDescent="0.45">
      <c r="A203" s="13"/>
    </row>
  </sheetData>
  <sheetProtection algorithmName="SHA-512" hashValue="a7WgiWmKdzlqsfdsOROeiRRQ08LxR4R4fKvzmYiuqzWJWKC6pYNacSx1do0hAmGdTJKmXjJl0gHHy+YncDjR1w==" saltValue="9dGmn8Moev4mkBPq3XBP4g==" spinCount="100000" sheet="1" formatCells="0"/>
  <mergeCells count="28">
    <mergeCell ref="A6:E9"/>
    <mergeCell ref="A10:E12"/>
    <mergeCell ref="A16:E16"/>
    <mergeCell ref="A20:E20"/>
    <mergeCell ref="E53:E55"/>
    <mergeCell ref="A72:E72"/>
    <mergeCell ref="A87:E87"/>
    <mergeCell ref="A32:E32"/>
    <mergeCell ref="A18:E18"/>
    <mergeCell ref="A38:E38"/>
    <mergeCell ref="A59:E59"/>
    <mergeCell ref="A82:E82"/>
    <mergeCell ref="A88:E88"/>
    <mergeCell ref="A73:E73"/>
    <mergeCell ref="E74:E80"/>
    <mergeCell ref="A81:E81"/>
    <mergeCell ref="A1:E1"/>
    <mergeCell ref="A37:E37"/>
    <mergeCell ref="A39:E39"/>
    <mergeCell ref="A19:E19"/>
    <mergeCell ref="A22:E22"/>
    <mergeCell ref="A33:E33"/>
    <mergeCell ref="A36:E36"/>
    <mergeCell ref="A13:E15"/>
    <mergeCell ref="A5:E5"/>
    <mergeCell ref="A3:E3"/>
    <mergeCell ref="A2:E2"/>
    <mergeCell ref="A4:B4"/>
  </mergeCells>
  <conditionalFormatting sqref="C45 E45">
    <cfRule type="cellIs" dxfId="19" priority="22" operator="greaterThan">
      <formula>"Nps_max"</formula>
    </cfRule>
  </conditionalFormatting>
  <conditionalFormatting sqref="C54">
    <cfRule type="cellIs" dxfId="18" priority="56" operator="between">
      <formula>#REF!/(#REF!-#REF!)</formula>
      <formula>(520-#REF!)/(#REF!+#REF!)</formula>
    </cfRule>
  </conditionalFormatting>
  <conditionalFormatting sqref="C83">
    <cfRule type="cellIs" dxfId="17" priority="51" operator="notBetween">
      <formula>#REF!</formula>
      <formula>$C$40</formula>
    </cfRule>
    <cfRule type="cellIs" dxfId="16" priority="52" operator="between">
      <formula>#REF!</formula>
      <formula>$C$40</formula>
    </cfRule>
    <cfRule type="cellIs" dxfId="15" priority="54" operator="notBetween">
      <formula>#REF!</formula>
      <formula>$C$40</formula>
    </cfRule>
    <cfRule type="cellIs" dxfId="14" priority="55" operator="between">
      <formula>#REF!</formula>
      <formula>$C$40</formula>
    </cfRule>
  </conditionalFormatting>
  <conditionalFormatting sqref="E42">
    <cfRule type="containsText" dxfId="13" priority="12" operator="containsText" text="The actual value of TR is lower than 6. Clamping at the min TR value.">
      <formula>NOT(ISERROR(SEARCH("The actual value of TR is lower than 6. Clamping at the min TR value.",E42)))</formula>
    </cfRule>
    <cfRule type="containsText" dxfId="12" priority="13" operator="containsText" text="The actual value of TR is higher than 7.875. Clamping at the max TR value.">
      <formula>NOT(ISERROR(SEARCH("The actual value of TR is higher than 7.875. Clamping at the max TR value.",E42)))</formula>
    </cfRule>
  </conditionalFormatting>
  <conditionalFormatting sqref="E46">
    <cfRule type="containsText" dxfId="11" priority="20" operator="containsText" text="Vovp is less than Vout_max">
      <formula>NOT(ISERROR(SEARCH("Vovp is less than Vout_max",E46)))</formula>
    </cfRule>
  </conditionalFormatting>
  <conditionalFormatting sqref="E48">
    <cfRule type="containsText" dxfId="10" priority="1" operator="containsText" text="Device cannot meet the required Ipk, increase Nps or Vpfc_min">
      <formula>NOT(ISERROR(SEARCH("Device cannot meet the required Ipk, increase Nps or Vpfc_min",E48)))</formula>
    </cfRule>
  </conditionalFormatting>
  <conditionalFormatting sqref="E49">
    <cfRule type="containsText" dxfId="9" priority="7" operator="containsText" text="Required Ipk value is higher than what the device can support. Clamping at the max value">
      <formula>NOT(ISERROR(SEARCH("Required Ipk value is higher than what the device can support. Clamping at the max value",E49)))</formula>
    </cfRule>
  </conditionalFormatting>
  <conditionalFormatting sqref="E50">
    <cfRule type="containsText" dxfId="8" priority="8" operator="containsText" text="Required Ipk value is higher than what the device can support. Clamping at the max value">
      <formula>NOT(ISERROR(SEARCH("Required Ipk value is higher than what the device can support. Clamping at the max value",E50)))</formula>
    </cfRule>
    <cfRule type="containsText" dxfId="7" priority="18" operator="containsText" text="Ipk_set cannot be less than Ipk_max">
      <formula>NOT(ISERROR(SEARCH("Ipk_set cannot be less than Ipk_max",E50)))</formula>
    </cfRule>
  </conditionalFormatting>
  <dataValidations count="10">
    <dataValidation showInputMessage="1" showErrorMessage="1" sqref="C53" xr:uid="{83CBED3C-D288-470D-A037-06CBBCE0C6DF}"/>
    <dataValidation allowBlank="1" showInputMessage="1" showErrorMessage="1" errorTitle="Error" error="Value exceeded Nps_max. Try to select higher OVP value or lower TR value" sqref="C44 C103" xr:uid="{F1124C08-FF2B-4167-ADD8-1A1587ABE3F9}"/>
    <dataValidation type="decimal" allowBlank="1" showInputMessage="1" showErrorMessage="1" errorTitle="Error" error="Out of Range! Please adjust Nps_sel or TR" sqref="C104" xr:uid="{9435DC94-D242-4AEC-A1DC-4FFC310E8F6A}">
      <formula1>0.95*C103</formula1>
      <formula2>1.05*C103</formula2>
    </dataValidation>
    <dataValidation type="decimal" showInputMessage="1" showErrorMessage="1" errorTitle="Error" error="Out of Range" sqref="C52" xr:uid="{BE76026B-0874-4169-9CD9-E9D627072748}">
      <formula1>30</formula1>
      <formula2>C51</formula2>
    </dataValidation>
    <dataValidation type="decimal" errorStyle="warning" allowBlank="1" showInputMessage="1" showErrorMessage="1" errorTitle="Error" error="Please select the value between Minimum and Maximum allowed values" sqref="C56" xr:uid="{A58D9E4C-1ABE-4BFC-BAE0-8D8D81752910}">
      <formula1>C54</formula1>
      <formula2>C55</formula2>
    </dataValidation>
    <dataValidation type="decimal" errorStyle="warning" operator="lessThan" showInputMessage="1" showErrorMessage="1" errorTitle="Error" error="Nps_sel is more than the Nps_max" sqref="C45" xr:uid="{C2CC670C-92FD-4DE3-96D6-EA4001744011}">
      <formula1>C40</formula1>
    </dataValidation>
    <dataValidation allowBlank="1" showInputMessage="1" showErrorMessage="1" errorTitle="Error" error="Out of Range! Please adjust Nps_sel or TR" sqref="C46:C47" xr:uid="{720A3DD0-7477-46FC-AC25-6FFD76C8CA04}"/>
    <dataValidation type="textLength" errorStyle="information" allowBlank="1" showInputMessage="1" showErrorMessage="1" errorTitle="Error" error="Nps_max clamped to 0" sqref="E40:E41" xr:uid="{B968E7C8-964D-4680-BE0F-592DAAB97D7D}">
      <formula1>0</formula1>
      <formula2>5</formula2>
    </dataValidation>
    <dataValidation type="decimal" errorStyle="warning" operator="lessThanOrEqual" allowBlank="1" showInputMessage="1" showErrorMessage="1" errorTitle="Error" error="Nps_max is going zero or negative, please lower Vpfc_max " sqref="C35" xr:uid="{C03A78FF-CD80-448F-A4FA-374B21B9A72F}">
      <formula1>560</formula1>
    </dataValidation>
    <dataValidation type="decimal" operator="greaterThan" allowBlank="1" showInputMessage="1" showErrorMessage="1" errorTitle="Vovp is less than Vout_max" error="Please enter a Vovp value greater than Vout_max" sqref="C25" xr:uid="{259A9DF3-20E1-4036-A3A8-4D1679413B45}">
      <formula1>C24</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errorTitle="Error" error="Selected TR Value is not supported._x000a__x000a_Please choose one from the dropdown values_x000a_" xr:uid="{65367A9A-D3F0-4765-BE70-37449DEEE9B9}">
          <x14:formula1>
            <xm:f>Data!#REF!</xm:f>
          </x14:formula1>
          <xm:sqref>C102</xm:sqref>
        </x14:dataValidation>
        <x14:dataValidation type="list" allowBlank="1" showInputMessage="1" showErrorMessage="1" errorTitle="Error" error="Value exceeded Nps_max. Try to select higher OVP value or lower TR value" xr:uid="{2C1D3BE5-1828-4E32-A19F-74F2E7D59AF5}">
          <x14:formula1>
            <xm:f>Data!#REF!</xm:f>
          </x14:formula1>
          <xm:sqref>C102</xm:sqref>
        </x14:dataValidation>
        <x14:dataValidation type="list" showInputMessage="1" showErrorMessage="1" xr:uid="{58345144-6A85-4EBB-91BA-5B5B1407829D}">
          <x14:formula1>
            <xm:f>Data!$O$5:$O$8</xm:f>
          </x14:formula1>
          <xm:sqref>C51</xm:sqref>
        </x14:dataValidation>
        <x14:dataValidation type="list" showInputMessage="1" showErrorMessage="1" errorTitle="Error" error="Selected TR Value is not supported._x000a__x000a_Please choose one from the dropdown values_x000a_" xr:uid="{0140819B-5B97-4363-82D2-CE4B5CAAC387}">
          <x14:formula1>
            <xm:f>Data!$G$5:$G$20</xm:f>
          </x14:formula1>
          <xm:sqref>C43</xm:sqref>
        </x14:dataValidation>
        <x14:dataValidation type="list" allowBlank="1" showInputMessage="1" showErrorMessage="1" errorTitle="Error" error="Value exceeded Nps_max. Try to select higher OVP value or lower TR value" xr:uid="{0201B48E-EBFF-4196-A4F6-84BB927D03C0}">
          <x14:formula1>
            <xm:f>Data!$G$5:$G$20</xm:f>
          </x14:formula1>
          <xm:sqref>C43</xm:sqref>
        </x14:dataValidation>
        <x14:dataValidation type="list" allowBlank="1" showInputMessage="1" showErrorMessage="1" xr:uid="{D128B132-8DB1-4B2B-8790-897D955FF106}">
          <x14:formula1>
            <xm:f>Data!$B$17:$B$18</xm:f>
          </x14:formula1>
          <xm:sqref>C17</xm:sqref>
        </x14:dataValidation>
        <x14:dataValidation type="list" showInputMessage="1" showErrorMessage="1" xr:uid="{A667F54F-62CD-413D-9E03-88E8FF91AF91}">
          <x14:formula1>
            <xm:f>OFFSET(Data!$J$25, 1, MATCH($C$17, Data!$J$25:$P$25, 0)-1, 3, 1)</xm:f>
          </x14:formula1>
          <xm:sqref>C50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08E3F-B38E-4CB1-8784-E4C5F9D4DF97}">
  <sheetPr codeName="Sheet4"/>
  <dimension ref="A1:E72"/>
  <sheetViews>
    <sheetView zoomScale="79" zoomScaleNormal="86" workbookViewId="0">
      <selection activeCell="C29" sqref="C29"/>
    </sheetView>
  </sheetViews>
  <sheetFormatPr defaultRowHeight="14.25" x14ac:dyDescent="0.45"/>
  <cols>
    <col min="1" max="1" width="56.9296875" bestFit="1" customWidth="1"/>
    <col min="2" max="2" width="12.1328125" bestFit="1" customWidth="1"/>
    <col min="3" max="3" width="14.33203125" customWidth="1"/>
    <col min="4" max="4" width="9.06640625" customWidth="1"/>
    <col min="5" max="5" width="92.53125" bestFit="1" customWidth="1"/>
  </cols>
  <sheetData>
    <row r="1" spans="1:5" x14ac:dyDescent="0.45">
      <c r="A1" s="366" t="s">
        <v>317</v>
      </c>
      <c r="B1" s="367"/>
      <c r="C1" s="367"/>
      <c r="D1" s="367"/>
      <c r="E1" s="368"/>
    </row>
    <row r="2" spans="1:5" x14ac:dyDescent="0.45">
      <c r="A2" s="369" t="s">
        <v>318</v>
      </c>
      <c r="B2" s="369"/>
      <c r="C2" s="369"/>
      <c r="D2" s="369"/>
      <c r="E2" s="369"/>
    </row>
    <row r="3" spans="1:5" x14ac:dyDescent="0.45">
      <c r="A3" s="370"/>
      <c r="B3" s="371"/>
      <c r="C3" s="371"/>
      <c r="D3" s="371"/>
      <c r="E3" s="372"/>
    </row>
    <row r="4" spans="1:5" x14ac:dyDescent="0.45">
      <c r="A4" s="373"/>
      <c r="B4" s="374"/>
      <c r="C4" s="374"/>
      <c r="D4" s="374"/>
      <c r="E4" s="375"/>
    </row>
    <row r="5" spans="1:5" x14ac:dyDescent="0.45">
      <c r="A5" s="373"/>
      <c r="B5" s="374"/>
      <c r="C5" s="374"/>
      <c r="D5" s="374"/>
      <c r="E5" s="375"/>
    </row>
    <row r="6" spans="1:5" x14ac:dyDescent="0.45">
      <c r="A6" s="373"/>
      <c r="B6" s="374"/>
      <c r="C6" s="374"/>
      <c r="D6" s="374"/>
      <c r="E6" s="375"/>
    </row>
    <row r="7" spans="1:5" x14ac:dyDescent="0.45">
      <c r="A7" s="373"/>
      <c r="B7" s="374"/>
      <c r="C7" s="374"/>
      <c r="D7" s="374"/>
      <c r="E7" s="375"/>
    </row>
    <row r="8" spans="1:5" x14ac:dyDescent="0.45">
      <c r="A8" s="373"/>
      <c r="B8" s="374"/>
      <c r="C8" s="374"/>
      <c r="D8" s="374"/>
      <c r="E8" s="375"/>
    </row>
    <row r="9" spans="1:5" x14ac:dyDescent="0.45">
      <c r="A9" s="373"/>
      <c r="B9" s="374"/>
      <c r="C9" s="374"/>
      <c r="D9" s="374"/>
      <c r="E9" s="375"/>
    </row>
    <row r="10" spans="1:5" x14ac:dyDescent="0.45">
      <c r="A10" s="373"/>
      <c r="B10" s="374"/>
      <c r="C10" s="374"/>
      <c r="D10" s="374"/>
      <c r="E10" s="375"/>
    </row>
    <row r="11" spans="1:5" x14ac:dyDescent="0.45">
      <c r="A11" s="373"/>
      <c r="B11" s="374"/>
      <c r="C11" s="374"/>
      <c r="D11" s="374"/>
      <c r="E11" s="375"/>
    </row>
    <row r="12" spans="1:5" x14ac:dyDescent="0.45">
      <c r="A12" s="373"/>
      <c r="B12" s="374"/>
      <c r="C12" s="374"/>
      <c r="D12" s="374"/>
      <c r="E12" s="375"/>
    </row>
    <row r="13" spans="1:5" x14ac:dyDescent="0.45">
      <c r="A13" s="373"/>
      <c r="B13" s="374"/>
      <c r="C13" s="374"/>
      <c r="D13" s="374"/>
      <c r="E13" s="375"/>
    </row>
    <row r="14" spans="1:5" x14ac:dyDescent="0.45">
      <c r="A14" s="373"/>
      <c r="B14" s="374"/>
      <c r="C14" s="374"/>
      <c r="D14" s="374"/>
      <c r="E14" s="375"/>
    </row>
    <row r="15" spans="1:5" x14ac:dyDescent="0.45">
      <c r="A15" s="373"/>
      <c r="B15" s="374"/>
      <c r="C15" s="374"/>
      <c r="D15" s="374"/>
      <c r="E15" s="375"/>
    </row>
    <row r="16" spans="1:5" x14ac:dyDescent="0.45">
      <c r="A16" s="373"/>
      <c r="B16" s="374"/>
      <c r="C16" s="374"/>
      <c r="D16" s="374"/>
      <c r="E16" s="375"/>
    </row>
    <row r="17" spans="1:5" x14ac:dyDescent="0.45">
      <c r="A17" s="373"/>
      <c r="B17" s="374"/>
      <c r="C17" s="374"/>
      <c r="D17" s="374"/>
      <c r="E17" s="375"/>
    </row>
    <row r="18" spans="1:5" x14ac:dyDescent="0.45">
      <c r="A18" s="373"/>
      <c r="B18" s="374"/>
      <c r="C18" s="374"/>
      <c r="D18" s="374"/>
      <c r="E18" s="375"/>
    </row>
    <row r="19" spans="1:5" x14ac:dyDescent="0.45">
      <c r="A19" s="373"/>
      <c r="B19" s="374"/>
      <c r="C19" s="374"/>
      <c r="D19" s="374"/>
      <c r="E19" s="375"/>
    </row>
    <row r="20" spans="1:5" x14ac:dyDescent="0.45">
      <c r="A20" s="373"/>
      <c r="B20" s="374"/>
      <c r="C20" s="374"/>
      <c r="D20" s="374"/>
      <c r="E20" s="375"/>
    </row>
    <row r="21" spans="1:5" x14ac:dyDescent="0.45">
      <c r="A21" s="373"/>
      <c r="B21" s="374"/>
      <c r="C21" s="374"/>
      <c r="D21" s="374"/>
      <c r="E21" s="375"/>
    </row>
    <row r="22" spans="1:5" x14ac:dyDescent="0.45">
      <c r="A22" s="376"/>
      <c r="B22" s="377"/>
      <c r="C22" s="377"/>
      <c r="D22" s="377"/>
      <c r="E22" s="378"/>
    </row>
    <row r="23" spans="1:5" x14ac:dyDescent="0.45">
      <c r="A23" s="379"/>
      <c r="B23" s="380"/>
      <c r="C23" s="380"/>
      <c r="D23" s="380"/>
      <c r="E23" s="381"/>
    </row>
    <row r="24" spans="1:5" x14ac:dyDescent="0.45">
      <c r="A24" s="189" t="s">
        <v>319</v>
      </c>
      <c r="B24" s="3" t="s">
        <v>320</v>
      </c>
      <c r="C24" s="8">
        <v>1</v>
      </c>
      <c r="D24" s="3" t="s">
        <v>12</v>
      </c>
      <c r="E24" s="253" t="s">
        <v>321</v>
      </c>
    </row>
    <row r="25" spans="1:5" x14ac:dyDescent="0.45">
      <c r="A25" s="189" t="s">
        <v>322</v>
      </c>
      <c r="B25" s="3" t="s">
        <v>323</v>
      </c>
      <c r="C25" s="8">
        <v>100</v>
      </c>
      <c r="D25" s="3" t="s">
        <v>44</v>
      </c>
      <c r="E25" s="253" t="s">
        <v>324</v>
      </c>
    </row>
    <row r="26" spans="1:5" x14ac:dyDescent="0.45">
      <c r="A26" s="189" t="s">
        <v>325</v>
      </c>
      <c r="B26" s="3" t="s">
        <v>92</v>
      </c>
      <c r="C26" s="22">
        <v>60</v>
      </c>
      <c r="D26" s="3" t="s">
        <v>41</v>
      </c>
      <c r="E26" s="253" t="s">
        <v>326</v>
      </c>
    </row>
    <row r="27" spans="1:5" x14ac:dyDescent="0.45">
      <c r="A27" s="189" t="s">
        <v>327</v>
      </c>
      <c r="B27" s="3" t="s">
        <v>328</v>
      </c>
      <c r="C27" s="8">
        <v>0.4</v>
      </c>
      <c r="E27" s="253" t="s">
        <v>329</v>
      </c>
    </row>
    <row r="28" spans="1:5" x14ac:dyDescent="0.45">
      <c r="A28" s="189" t="s">
        <v>330</v>
      </c>
      <c r="B28" s="3"/>
      <c r="C28" s="8" t="s">
        <v>87</v>
      </c>
      <c r="E28" s="253" t="s">
        <v>93</v>
      </c>
    </row>
    <row r="29" spans="1:5" x14ac:dyDescent="0.45">
      <c r="A29" s="189" t="s">
        <v>331</v>
      </c>
      <c r="B29" s="3" t="s">
        <v>94</v>
      </c>
      <c r="C29" s="22">
        <f>IF(C28="TLV431",1.25,2.5)</f>
        <v>2.5</v>
      </c>
      <c r="D29" s="3" t="s">
        <v>12</v>
      </c>
      <c r="E29" s="253"/>
    </row>
    <row r="30" spans="1:5" x14ac:dyDescent="0.45">
      <c r="A30" s="189" t="s">
        <v>332</v>
      </c>
      <c r="B30" s="3" t="s">
        <v>333</v>
      </c>
      <c r="C30" s="220">
        <f>((Vout_max-C24-C29)*C26*C27)/((3.6-(C25*10^-3))+(C31*10^-3*C26*10^3*C27))</f>
        <v>25.548387096774192</v>
      </c>
      <c r="D30" s="3" t="s">
        <v>41</v>
      </c>
      <c r="E30" s="254"/>
    </row>
    <row r="31" spans="1:5" x14ac:dyDescent="0.45">
      <c r="A31" s="189" t="s">
        <v>334</v>
      </c>
      <c r="B31" s="3" t="s">
        <v>89</v>
      </c>
      <c r="C31" s="8">
        <v>0.5</v>
      </c>
      <c r="D31" s="3" t="s">
        <v>90</v>
      </c>
      <c r="E31" s="253" t="s">
        <v>335</v>
      </c>
    </row>
    <row r="32" spans="1:5" x14ac:dyDescent="0.45">
      <c r="A32" s="189" t="s">
        <v>336</v>
      </c>
      <c r="B32" s="3" t="s">
        <v>91</v>
      </c>
      <c r="C32" s="220">
        <f>C24/C31</f>
        <v>2</v>
      </c>
      <c r="D32" s="3" t="s">
        <v>41</v>
      </c>
      <c r="E32" s="254"/>
    </row>
    <row r="33" spans="1:5" x14ac:dyDescent="0.45">
      <c r="A33" s="382"/>
      <c r="B33" s="383"/>
      <c r="C33" s="383"/>
      <c r="D33" s="383"/>
      <c r="E33" s="384"/>
    </row>
    <row r="34" spans="1:5" x14ac:dyDescent="0.45">
      <c r="A34" s="385" t="s">
        <v>337</v>
      </c>
      <c r="B34" s="386"/>
      <c r="C34" s="386"/>
      <c r="D34" s="386"/>
      <c r="E34" s="387"/>
    </row>
    <row r="35" spans="1:5" x14ac:dyDescent="0.45">
      <c r="A35" s="189" t="s">
        <v>338</v>
      </c>
      <c r="B35" s="3" t="s">
        <v>339</v>
      </c>
      <c r="C35" s="22">
        <f>1/(2*PI()*Vout_max*Vout_max/Pout_max*Cout_actual*10^-6)</f>
        <v>47.7464829275686</v>
      </c>
      <c r="D35" s="3" t="s">
        <v>21</v>
      </c>
      <c r="E35" s="253"/>
    </row>
    <row r="36" spans="1:5" x14ac:dyDescent="0.45">
      <c r="A36" s="189" t="s">
        <v>340</v>
      </c>
      <c r="B36" s="3" t="s">
        <v>341</v>
      </c>
      <c r="C36" s="22">
        <f>(1/(2*PI()*Resr_actual*10^-3*Cout_actual*10^-6))*10^-3</f>
        <v>15.915494309189533</v>
      </c>
      <c r="D36" s="3" t="s">
        <v>25</v>
      </c>
      <c r="E36" s="5"/>
    </row>
    <row r="37" spans="1:5" x14ac:dyDescent="0.45">
      <c r="A37" s="189" t="s">
        <v>342</v>
      </c>
      <c r="B37" s="3" t="s">
        <v>95</v>
      </c>
      <c r="C37" s="8">
        <v>70</v>
      </c>
      <c r="D37" s="3" t="s">
        <v>96</v>
      </c>
      <c r="E37" s="5"/>
    </row>
    <row r="38" spans="1:5" x14ac:dyDescent="0.45">
      <c r="A38" s="189" t="s">
        <v>343</v>
      </c>
      <c r="B38" s="3" t="s">
        <v>344</v>
      </c>
      <c r="C38" s="8">
        <v>-5</v>
      </c>
      <c r="D38" s="3"/>
      <c r="E38" s="5" t="s">
        <v>345</v>
      </c>
    </row>
    <row r="39" spans="1:5" x14ac:dyDescent="0.45">
      <c r="A39" s="189" t="s">
        <v>346</v>
      </c>
      <c r="B39" s="3" t="s">
        <v>347</v>
      </c>
      <c r="C39" s="8">
        <v>-87</v>
      </c>
      <c r="D39" s="3" t="s">
        <v>96</v>
      </c>
      <c r="E39" s="5" t="s">
        <v>348</v>
      </c>
    </row>
    <row r="40" spans="1:5" x14ac:dyDescent="0.45">
      <c r="A40" s="189" t="s">
        <v>349</v>
      </c>
      <c r="B40" s="3" t="s">
        <v>97</v>
      </c>
      <c r="C40" s="8">
        <v>2</v>
      </c>
      <c r="D40" s="3" t="s">
        <v>41</v>
      </c>
      <c r="E40" s="5" t="s">
        <v>350</v>
      </c>
    </row>
    <row r="41" spans="1:5" x14ac:dyDescent="0.45">
      <c r="A41" s="189"/>
      <c r="B41" s="255"/>
      <c r="C41" s="255"/>
      <c r="D41" s="255"/>
      <c r="E41" s="253"/>
    </row>
    <row r="42" spans="1:5" x14ac:dyDescent="0.45">
      <c r="A42" s="354" t="s">
        <v>351</v>
      </c>
      <c r="B42" s="355"/>
      <c r="C42" s="355"/>
      <c r="D42" s="355"/>
      <c r="E42" s="356"/>
    </row>
    <row r="43" spans="1:5" ht="26.25" x14ac:dyDescent="0.45">
      <c r="A43" s="256" t="s">
        <v>352</v>
      </c>
      <c r="B43" s="3" t="s">
        <v>353</v>
      </c>
      <c r="C43" s="22">
        <f>ABS(C38)</f>
        <v>5</v>
      </c>
      <c r="D43" s="3"/>
      <c r="E43" s="5"/>
    </row>
    <row r="44" spans="1:5" ht="26.25" x14ac:dyDescent="0.45">
      <c r="A44" s="256" t="s">
        <v>354</v>
      </c>
      <c r="B44" s="3" t="s">
        <v>102</v>
      </c>
      <c r="C44" s="22">
        <f>10^(C43/20)</f>
        <v>1.778279410038923</v>
      </c>
      <c r="D44" s="3"/>
      <c r="E44" s="5"/>
    </row>
    <row r="45" spans="1:5" x14ac:dyDescent="0.45">
      <c r="A45" s="189" t="s">
        <v>355</v>
      </c>
      <c r="B45" s="3" t="s">
        <v>103</v>
      </c>
      <c r="C45" s="22">
        <f>C37-C39-90</f>
        <v>67</v>
      </c>
      <c r="D45" s="3" t="s">
        <v>96</v>
      </c>
      <c r="E45" s="5"/>
    </row>
    <row r="46" spans="1:5" x14ac:dyDescent="0.45">
      <c r="A46" s="189" t="s">
        <v>356</v>
      </c>
      <c r="B46" s="3" t="s">
        <v>104</v>
      </c>
      <c r="C46" s="8">
        <v>3</v>
      </c>
      <c r="D46" s="3" t="s">
        <v>25</v>
      </c>
      <c r="E46" s="5" t="s">
        <v>357</v>
      </c>
    </row>
    <row r="47" spans="1:5" x14ac:dyDescent="0.45">
      <c r="A47" s="189" t="s">
        <v>358</v>
      </c>
      <c r="B47" s="3" t="s">
        <v>105</v>
      </c>
      <c r="C47" s="220">
        <f>(1/(2*PI()*C26*10^3*C46*10^3))*10^12</f>
        <v>884.19412828830764</v>
      </c>
      <c r="D47" s="3" t="s">
        <v>106</v>
      </c>
      <c r="E47" s="5"/>
    </row>
    <row r="48" spans="1:5" x14ac:dyDescent="0.45">
      <c r="A48" s="189" t="s">
        <v>359</v>
      </c>
      <c r="B48" s="3" t="s">
        <v>107</v>
      </c>
      <c r="C48" s="8">
        <v>330</v>
      </c>
      <c r="D48" s="3" t="s">
        <v>106</v>
      </c>
      <c r="E48" s="5" t="s">
        <v>360</v>
      </c>
    </row>
    <row r="49" spans="1:5" x14ac:dyDescent="0.45">
      <c r="A49" s="189" t="s">
        <v>361</v>
      </c>
      <c r="B49" s="3" t="s">
        <v>108</v>
      </c>
      <c r="C49" s="220">
        <f>C47+C48</f>
        <v>1214.1941282883076</v>
      </c>
      <c r="D49" s="3" t="s">
        <v>106</v>
      </c>
      <c r="E49" s="5"/>
    </row>
    <row r="50" spans="1:5" x14ac:dyDescent="0.45">
      <c r="A50" s="189" t="s">
        <v>362</v>
      </c>
      <c r="B50" s="3" t="s">
        <v>363</v>
      </c>
      <c r="C50" s="22">
        <v>14.745471093213609</v>
      </c>
      <c r="D50" s="3" t="s">
        <v>25</v>
      </c>
      <c r="E50" s="5"/>
    </row>
    <row r="51" spans="1:5" x14ac:dyDescent="0.45">
      <c r="A51" s="189" t="s">
        <v>364</v>
      </c>
      <c r="B51" s="3" t="s">
        <v>365</v>
      </c>
      <c r="C51" s="22">
        <v>610.35689827109832</v>
      </c>
      <c r="D51" s="3" t="s">
        <v>21</v>
      </c>
      <c r="E51" s="5"/>
    </row>
    <row r="52" spans="1:5" x14ac:dyDescent="0.45">
      <c r="A52" s="189" t="s">
        <v>366</v>
      </c>
      <c r="B52" s="3" t="s">
        <v>367</v>
      </c>
      <c r="C52" s="22">
        <f>(1/(2*PI()*C26*10^3*C49*10^-12))*10^-3</f>
        <v>2.1846443851646375</v>
      </c>
      <c r="D52" s="3" t="s">
        <v>25</v>
      </c>
      <c r="E52" s="5"/>
    </row>
    <row r="53" spans="1:5" x14ac:dyDescent="0.45">
      <c r="A53" s="189" t="s">
        <v>368</v>
      </c>
      <c r="B53" s="3" t="s">
        <v>369</v>
      </c>
      <c r="C53" s="22">
        <f>C52</f>
        <v>2.1846443851646375</v>
      </c>
      <c r="D53" s="3" t="s">
        <v>25</v>
      </c>
      <c r="E53" s="5"/>
    </row>
    <row r="54" spans="1:5" x14ac:dyDescent="0.45">
      <c r="A54" s="256" t="s">
        <v>370</v>
      </c>
      <c r="B54" s="3" t="s">
        <v>371</v>
      </c>
      <c r="C54" s="8">
        <v>100</v>
      </c>
      <c r="D54" s="3" t="s">
        <v>41</v>
      </c>
      <c r="E54" s="5" t="s">
        <v>372</v>
      </c>
    </row>
    <row r="55" spans="1:5" ht="26.25" x14ac:dyDescent="0.45">
      <c r="A55" s="256" t="s">
        <v>373</v>
      </c>
      <c r="B55" s="3" t="s">
        <v>374</v>
      </c>
      <c r="C55" s="220">
        <f>C54*C29/(Vout_max-C29)</f>
        <v>14.285714285714286</v>
      </c>
      <c r="D55" s="3" t="s">
        <v>41</v>
      </c>
      <c r="E55" s="5"/>
    </row>
    <row r="56" spans="1:5" x14ac:dyDescent="0.45">
      <c r="A56" s="256" t="s">
        <v>375</v>
      </c>
      <c r="B56" s="3" t="s">
        <v>376</v>
      </c>
      <c r="C56" s="8">
        <v>100</v>
      </c>
      <c r="D56" s="3" t="s">
        <v>41</v>
      </c>
      <c r="E56" s="5" t="s">
        <v>377</v>
      </c>
    </row>
    <row r="57" spans="1:5" x14ac:dyDescent="0.45">
      <c r="A57" s="189" t="s">
        <v>378</v>
      </c>
      <c r="B57" s="3" t="s">
        <v>379</v>
      </c>
      <c r="C57" s="220">
        <f>(C54*C30*C44)/(C27*C26)</f>
        <v>189.30071139124016</v>
      </c>
      <c r="D57" s="3" t="s">
        <v>41</v>
      </c>
      <c r="E57" s="5"/>
    </row>
    <row r="58" spans="1:5" x14ac:dyDescent="0.45">
      <c r="A58" s="189" t="s">
        <v>380</v>
      </c>
      <c r="B58" s="3" t="s">
        <v>381</v>
      </c>
      <c r="C58" s="8">
        <v>49.9</v>
      </c>
      <c r="D58" s="3" t="s">
        <v>41</v>
      </c>
      <c r="E58" s="5" t="s">
        <v>382</v>
      </c>
    </row>
    <row r="59" spans="1:5" x14ac:dyDescent="0.45">
      <c r="A59" s="189" t="s">
        <v>383</v>
      </c>
      <c r="B59" s="3" t="s">
        <v>384</v>
      </c>
      <c r="C59" s="220">
        <f>(1/(2*PI()*C51*C58*10^3))*10^9</f>
        <v>5.2255947733324426</v>
      </c>
      <c r="D59" s="3" t="s">
        <v>43</v>
      </c>
      <c r="E59" s="5"/>
    </row>
    <row r="60" spans="1:5" x14ac:dyDescent="0.45">
      <c r="A60" s="189" t="s">
        <v>385</v>
      </c>
      <c r="B60" s="3" t="s">
        <v>386</v>
      </c>
      <c r="C60" s="8">
        <v>22</v>
      </c>
      <c r="D60" s="3" t="s">
        <v>43</v>
      </c>
      <c r="E60" s="5" t="s">
        <v>387</v>
      </c>
    </row>
    <row r="61" spans="1:5" x14ac:dyDescent="0.45">
      <c r="A61" s="189" t="s">
        <v>388</v>
      </c>
      <c r="B61" s="3" t="s">
        <v>389</v>
      </c>
      <c r="C61" s="220">
        <f>(1/(2*PI()*C60*10^-9*C54*10^3))</f>
        <v>72.343155950861529</v>
      </c>
      <c r="D61" s="3" t="s">
        <v>21</v>
      </c>
      <c r="E61" s="5"/>
    </row>
    <row r="62" spans="1:5" x14ac:dyDescent="0.45">
      <c r="A62" s="189" t="s">
        <v>390</v>
      </c>
      <c r="B62" s="3" t="s">
        <v>391</v>
      </c>
      <c r="C62" s="220">
        <f>C54*(C53/(C50-C53))</f>
        <v>17.392520699013534</v>
      </c>
      <c r="D62" s="3" t="s">
        <v>41</v>
      </c>
      <c r="E62" s="5"/>
    </row>
    <row r="63" spans="1:5" x14ac:dyDescent="0.45">
      <c r="A63" s="189" t="s">
        <v>392</v>
      </c>
      <c r="B63" s="3" t="s">
        <v>393</v>
      </c>
      <c r="C63" s="8">
        <v>10</v>
      </c>
      <c r="D63" s="3" t="s">
        <v>41</v>
      </c>
      <c r="E63" s="5" t="s">
        <v>394</v>
      </c>
    </row>
    <row r="64" spans="1:5" x14ac:dyDescent="0.45">
      <c r="A64" s="189" t="s">
        <v>395</v>
      </c>
      <c r="B64" s="3" t="s">
        <v>396</v>
      </c>
      <c r="C64" s="220">
        <f>(1/(2*PI()*C52*10^3*(C54+C63)*10^3))*10^12</f>
        <v>662.28770633907675</v>
      </c>
      <c r="D64" s="3" t="s">
        <v>106</v>
      </c>
      <c r="E64" s="5"/>
    </row>
    <row r="65" spans="1:5" x14ac:dyDescent="0.45">
      <c r="A65" s="189" t="s">
        <v>397</v>
      </c>
      <c r="B65" s="3" t="s">
        <v>398</v>
      </c>
      <c r="C65" s="8">
        <v>680</v>
      </c>
      <c r="D65" s="3" t="s">
        <v>106</v>
      </c>
      <c r="E65" s="5" t="s">
        <v>399</v>
      </c>
    </row>
    <row r="66" spans="1:5" x14ac:dyDescent="0.45">
      <c r="A66" s="357"/>
      <c r="B66" s="358"/>
      <c r="C66" s="358"/>
      <c r="D66" s="358"/>
      <c r="E66" s="359"/>
    </row>
    <row r="67" spans="1:5" x14ac:dyDescent="0.45">
      <c r="A67" s="360" t="s">
        <v>400</v>
      </c>
      <c r="B67" s="361"/>
      <c r="C67" s="361"/>
      <c r="D67" s="361"/>
      <c r="E67" s="362"/>
    </row>
    <row r="68" spans="1:5" x14ac:dyDescent="0.45">
      <c r="A68" s="189" t="s">
        <v>388</v>
      </c>
      <c r="B68" s="3" t="s">
        <v>389</v>
      </c>
      <c r="C68" s="22">
        <f>C61</f>
        <v>72.343155950861529</v>
      </c>
      <c r="D68" s="3" t="s">
        <v>21</v>
      </c>
      <c r="E68" s="363" t="s">
        <v>137</v>
      </c>
    </row>
    <row r="69" spans="1:5" x14ac:dyDescent="0.45">
      <c r="A69" s="189" t="s">
        <v>364</v>
      </c>
      <c r="B69" s="3" t="s">
        <v>365</v>
      </c>
      <c r="C69" s="22">
        <f>(1/(2*PI()*C58*10^3*C60*10^-9))</f>
        <v>144.97626443058422</v>
      </c>
      <c r="D69" s="3" t="s">
        <v>21</v>
      </c>
      <c r="E69" s="364"/>
    </row>
    <row r="70" spans="1:5" x14ac:dyDescent="0.45">
      <c r="A70" s="189" t="s">
        <v>368</v>
      </c>
      <c r="B70" s="3" t="s">
        <v>369</v>
      </c>
      <c r="C70" s="22">
        <f>(1/(2*PI()*(C54+C63)*10^3*C65*10^-12))*10^-3</f>
        <v>2.1277398809076917</v>
      </c>
      <c r="D70" s="3" t="s">
        <v>25</v>
      </c>
      <c r="E70" s="364"/>
    </row>
    <row r="71" spans="1:5" x14ac:dyDescent="0.45">
      <c r="A71" s="189" t="s">
        <v>401</v>
      </c>
      <c r="B71" s="3" t="s">
        <v>367</v>
      </c>
      <c r="C71" s="22">
        <f>C52</f>
        <v>2.1846443851646375</v>
      </c>
      <c r="D71" s="3" t="s">
        <v>25</v>
      </c>
      <c r="E71" s="364"/>
    </row>
    <row r="72" spans="1:5" x14ac:dyDescent="0.45">
      <c r="A72" s="189" t="s">
        <v>362</v>
      </c>
      <c r="B72" s="3" t="s">
        <v>363</v>
      </c>
      <c r="C72" s="22">
        <f>(1/(2*PI()*C63*10^3*C65*10^-12))*10^-3</f>
        <v>23.405138689984607</v>
      </c>
      <c r="D72" s="3" t="s">
        <v>25</v>
      </c>
      <c r="E72" s="365"/>
    </row>
  </sheetData>
  <sheetProtection algorithmName="SHA-512" hashValue="MWXW1itHKKKoAjB72WdSqDg6Bw0CqSJjmhSj2jMAD/XKUnd3yf1XAWFlzbgq+R3WDNincNC/rOagD9dKwF2NNA==" saltValue="4rETlGC9a7iLvtUToOcSMw==" spinCount="100000" sheet="1" formatCells="0"/>
  <mergeCells count="10">
    <mergeCell ref="A42:E42"/>
    <mergeCell ref="A66:E66"/>
    <mergeCell ref="A67:E67"/>
    <mergeCell ref="E68:E72"/>
    <mergeCell ref="A1:E1"/>
    <mergeCell ref="A2:E2"/>
    <mergeCell ref="A3:E22"/>
    <mergeCell ref="A23:E23"/>
    <mergeCell ref="A33:E33"/>
    <mergeCell ref="A34:E34"/>
  </mergeCells>
  <conditionalFormatting sqref="C40">
    <cfRule type="cellIs" dxfId="6" priority="7" operator="greaterThan">
      <formula>$C$30</formula>
    </cfRule>
  </conditionalFormatting>
  <conditionalFormatting sqref="C69">
    <cfRule type="cellIs" dxfId="5" priority="1" operator="greaterThan">
      <formula>$C$51</formula>
    </cfRule>
    <cfRule type="cellIs" dxfId="4" priority="2" operator="lessThanOrEqual">
      <formula>$C$51</formula>
    </cfRule>
  </conditionalFormatting>
  <conditionalFormatting sqref="C70">
    <cfRule type="cellIs" dxfId="3" priority="5" operator="greaterThan">
      <formula>$C$53</formula>
    </cfRule>
    <cfRule type="cellIs" dxfId="2" priority="6" operator="lessThanOrEqual">
      <formula>$C$53</formula>
    </cfRule>
  </conditionalFormatting>
  <conditionalFormatting sqref="C72">
    <cfRule type="cellIs" dxfId="1" priority="3" operator="lessThan">
      <formula>$C$50</formula>
    </cfRule>
    <cfRule type="cellIs" dxfId="0" priority="4" operator="greaterThanOrEqual">
      <formula>$C$50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FF53CFA-4C2B-44BC-BF30-4FE1AEA212E2}">
          <x14:formula1>
            <xm:f>Data!$B$5:$B$6</xm:f>
          </x14:formula1>
          <xm:sqref>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47AE-ABEF-48CE-A310-DA1D078451D4}">
  <sheetPr codeName="Sheet5"/>
  <dimension ref="A1:F45"/>
  <sheetViews>
    <sheetView zoomScale="85" zoomScaleNormal="85" workbookViewId="0">
      <selection activeCell="C16" sqref="C16"/>
    </sheetView>
  </sheetViews>
  <sheetFormatPr defaultRowHeight="14.25" x14ac:dyDescent="0.45"/>
  <cols>
    <col min="1" max="1" width="60.59765625" customWidth="1"/>
    <col min="2" max="2" width="15.59765625" customWidth="1"/>
    <col min="3" max="3" width="27.06640625" customWidth="1"/>
    <col min="4" max="4" width="10.59765625" customWidth="1"/>
    <col min="5" max="5" width="70.59765625" customWidth="1"/>
  </cols>
  <sheetData>
    <row r="1" spans="1:6" ht="33.4" x14ac:dyDescent="0.45">
      <c r="A1" s="289" t="s">
        <v>422</v>
      </c>
      <c r="B1" s="290"/>
      <c r="C1" s="290"/>
      <c r="D1" s="290"/>
      <c r="E1" s="291"/>
    </row>
    <row r="2" spans="1:6" s="13" customFormat="1" x14ac:dyDescent="0.45">
      <c r="A2" s="388"/>
      <c r="B2" s="389"/>
      <c r="C2" s="389"/>
      <c r="D2" s="389"/>
      <c r="E2" s="390"/>
    </row>
    <row r="3" spans="1:6" s="13" customFormat="1" x14ac:dyDescent="0.45">
      <c r="A3" s="162" t="s">
        <v>114</v>
      </c>
      <c r="B3" s="163"/>
      <c r="C3" s="163"/>
      <c r="D3" s="163"/>
      <c r="E3" s="164"/>
    </row>
    <row r="4" spans="1:6" s="13" customFormat="1" x14ac:dyDescent="0.45">
      <c r="A4" s="388"/>
      <c r="B4" s="389"/>
      <c r="C4" s="389"/>
      <c r="D4" s="389"/>
      <c r="E4" s="390"/>
    </row>
    <row r="5" spans="1:6" s="13" customFormat="1" x14ac:dyDescent="0.45">
      <c r="A5" s="190" t="s">
        <v>260</v>
      </c>
      <c r="B5" s="165"/>
      <c r="C5" s="165"/>
      <c r="D5" s="165"/>
      <c r="E5" s="166"/>
    </row>
    <row r="6" spans="1:6" s="13" customFormat="1" x14ac:dyDescent="0.45">
      <c r="A6" s="146" t="s">
        <v>258</v>
      </c>
      <c r="B6" s="147" t="s">
        <v>35</v>
      </c>
      <c r="C6" s="259">
        <f>TR</f>
        <v>7.875</v>
      </c>
      <c r="D6" s="147"/>
      <c r="E6" s="148"/>
    </row>
    <row r="7" spans="1:6" s="13" customFormat="1" x14ac:dyDescent="0.45">
      <c r="A7" s="140" t="s">
        <v>259</v>
      </c>
      <c r="B7" s="141" t="s">
        <v>115</v>
      </c>
      <c r="C7" s="260">
        <f>INDEX(Data!F5:F20,MATCH(C6,Data!G5:G20,0))</f>
        <v>174</v>
      </c>
      <c r="D7" s="141" t="s">
        <v>41</v>
      </c>
      <c r="E7" s="142"/>
    </row>
    <row r="8" spans="1:6" s="13" customFormat="1" x14ac:dyDescent="0.45">
      <c r="A8" s="391"/>
      <c r="B8" s="392"/>
      <c r="C8" s="392"/>
      <c r="D8" s="392"/>
      <c r="E8" s="393"/>
    </row>
    <row r="9" spans="1:6" s="13" customFormat="1" x14ac:dyDescent="0.45">
      <c r="A9" s="190" t="s">
        <v>261</v>
      </c>
      <c r="B9" s="165"/>
      <c r="C9" s="165"/>
      <c r="D9" s="165"/>
      <c r="E9" s="166"/>
    </row>
    <row r="10" spans="1:6" s="13" customFormat="1" x14ac:dyDescent="0.45">
      <c r="A10" s="138" t="s">
        <v>219</v>
      </c>
      <c r="B10" s="131" t="s">
        <v>59</v>
      </c>
      <c r="C10" s="21">
        <f>Ipk_set</f>
        <v>3.5</v>
      </c>
      <c r="D10" s="131" t="s">
        <v>15</v>
      </c>
      <c r="E10" s="139"/>
    </row>
    <row r="11" spans="1:6" s="13" customFormat="1" x14ac:dyDescent="0.45">
      <c r="A11" s="140" t="s">
        <v>262</v>
      </c>
      <c r="B11" s="141" t="s">
        <v>116</v>
      </c>
      <c r="C11" s="18">
        <v>3</v>
      </c>
      <c r="D11" s="141"/>
      <c r="E11" s="142" t="s">
        <v>117</v>
      </c>
    </row>
    <row r="12" spans="1:6" s="13" customFormat="1" x14ac:dyDescent="0.45">
      <c r="A12" s="140" t="s">
        <v>263</v>
      </c>
      <c r="B12" s="141" t="s">
        <v>118</v>
      </c>
      <c r="C12" s="18">
        <v>12.5</v>
      </c>
      <c r="D12" s="141" t="s">
        <v>119</v>
      </c>
      <c r="E12" s="142" t="s">
        <v>120</v>
      </c>
    </row>
    <row r="13" spans="1:6" s="13" customFormat="1" x14ac:dyDescent="0.45">
      <c r="A13" s="140" t="s">
        <v>264</v>
      </c>
      <c r="B13" s="141" t="s">
        <v>121</v>
      </c>
      <c r="C13" s="260">
        <f t="array" ref="C13">INDEX(Data!I5:I16,MATCH(1,(Data!J5:J16=C10)*(Data!K5:K16=C11)*(Data!L5:L16=C12),0))</f>
        <v>14.3</v>
      </c>
      <c r="D13" s="141" t="s">
        <v>41</v>
      </c>
      <c r="E13" s="142"/>
    </row>
    <row r="14" spans="1:6" s="13" customFormat="1" x14ac:dyDescent="0.45">
      <c r="A14" s="391"/>
      <c r="B14" s="392"/>
      <c r="C14" s="392"/>
      <c r="D14" s="392"/>
      <c r="E14" s="393"/>
    </row>
    <row r="15" spans="1:6" s="13" customFormat="1" x14ac:dyDescent="0.45">
      <c r="A15" s="190" t="s">
        <v>265</v>
      </c>
      <c r="B15" s="165"/>
      <c r="C15" s="165"/>
      <c r="D15" s="165"/>
      <c r="E15" s="166"/>
    </row>
    <row r="16" spans="1:6" s="13" customFormat="1" x14ac:dyDescent="0.45">
      <c r="A16" s="140" t="s">
        <v>122</v>
      </c>
      <c r="B16" s="141" t="s">
        <v>24</v>
      </c>
      <c r="C16" s="261">
        <f>Fclamp</f>
        <v>140</v>
      </c>
      <c r="D16" s="141" t="s">
        <v>25</v>
      </c>
      <c r="E16" s="142"/>
      <c r="F16" s="87"/>
    </row>
    <row r="17" spans="1:5" s="13" customFormat="1" x14ac:dyDescent="0.45">
      <c r="A17" s="138" t="s">
        <v>266</v>
      </c>
      <c r="B17" s="141"/>
      <c r="C17" s="18" t="s">
        <v>132</v>
      </c>
      <c r="D17" s="141"/>
      <c r="E17" s="139" t="s">
        <v>123</v>
      </c>
    </row>
    <row r="18" spans="1:5" s="13" customFormat="1" x14ac:dyDescent="0.45">
      <c r="A18" s="140" t="s">
        <v>267</v>
      </c>
      <c r="B18" s="141" t="s">
        <v>171</v>
      </c>
      <c r="C18" s="260">
        <f t="array" ref="C18">INDEX(Data!N5:N16,MATCH(1,(Data!O5:O16=C16)*(Data!P5:P16=C17),0))</f>
        <v>28.7</v>
      </c>
      <c r="D18" s="141" t="s">
        <v>41</v>
      </c>
      <c r="E18" s="142"/>
    </row>
    <row r="19" spans="1:5" s="13" customFormat="1" x14ac:dyDescent="0.45">
      <c r="A19" s="391"/>
      <c r="B19" s="392"/>
      <c r="C19" s="392"/>
      <c r="D19" s="392"/>
      <c r="E19" s="393"/>
    </row>
    <row r="20" spans="1:5" s="13" customFormat="1" x14ac:dyDescent="0.45">
      <c r="A20" s="190" t="s">
        <v>268</v>
      </c>
      <c r="B20" s="165"/>
      <c r="C20" s="165"/>
      <c r="D20" s="165"/>
      <c r="E20" s="166"/>
    </row>
    <row r="21" spans="1:5" s="13" customFormat="1" x14ac:dyDescent="0.45">
      <c r="A21" s="140" t="s">
        <v>269</v>
      </c>
      <c r="B21" s="141" t="s">
        <v>124</v>
      </c>
      <c r="C21" s="18" t="s">
        <v>127</v>
      </c>
      <c r="D21" s="141"/>
      <c r="E21" s="142" t="s">
        <v>126</v>
      </c>
    </row>
    <row r="22" spans="1:5" s="13" customFormat="1" x14ac:dyDescent="0.45">
      <c r="A22" s="140" t="s">
        <v>270</v>
      </c>
      <c r="B22" s="141"/>
      <c r="C22" s="18">
        <v>7</v>
      </c>
      <c r="D22" s="141" t="s">
        <v>135</v>
      </c>
      <c r="E22" s="142" t="s">
        <v>136</v>
      </c>
    </row>
    <row r="23" spans="1:5" s="13" customFormat="1" x14ac:dyDescent="0.45">
      <c r="A23" s="140" t="s">
        <v>271</v>
      </c>
      <c r="B23" s="141"/>
      <c r="C23" s="18" t="s">
        <v>127</v>
      </c>
      <c r="D23" s="141"/>
      <c r="E23" s="142" t="s">
        <v>128</v>
      </c>
    </row>
    <row r="24" spans="1:5" s="13" customFormat="1" ht="14.65" thickBot="1" x14ac:dyDescent="0.5">
      <c r="A24" s="159" t="s">
        <v>272</v>
      </c>
      <c r="B24" s="160" t="s">
        <v>129</v>
      </c>
      <c r="C24" s="262">
        <f t="array" ref="C24">INDEX(Data!R5:R16,MATCH(1,(Data!S5:S16=C21)*(Data!T5:T16=C22)*(Data!U5:U16=C23),0))</f>
        <v>22.6</v>
      </c>
      <c r="D24" s="160" t="s">
        <v>41</v>
      </c>
      <c r="E24" s="161"/>
    </row>
    <row r="27" spans="1:5" x14ac:dyDescent="0.45">
      <c r="B27" s="223"/>
    </row>
    <row r="28" spans="1:5" x14ac:dyDescent="0.45">
      <c r="A28" s="13"/>
    </row>
    <row r="29" spans="1:5" x14ac:dyDescent="0.45">
      <c r="A29" s="13"/>
    </row>
    <row r="30" spans="1:5" x14ac:dyDescent="0.45">
      <c r="A30" s="13"/>
    </row>
    <row r="31" spans="1:5" x14ac:dyDescent="0.45">
      <c r="A31" s="13"/>
    </row>
    <row r="32" spans="1:5" x14ac:dyDescent="0.45">
      <c r="A32" s="13"/>
    </row>
    <row r="33" spans="1:1" x14ac:dyDescent="0.45">
      <c r="A33" s="13"/>
    </row>
    <row r="34" spans="1:1" x14ac:dyDescent="0.45">
      <c r="A34" s="13"/>
    </row>
    <row r="35" spans="1:1" x14ac:dyDescent="0.45">
      <c r="A35" s="13"/>
    </row>
    <row r="36" spans="1:1" x14ac:dyDescent="0.45">
      <c r="A36" s="13"/>
    </row>
    <row r="37" spans="1:1" x14ac:dyDescent="0.45">
      <c r="A37" s="13"/>
    </row>
    <row r="38" spans="1:1" x14ac:dyDescent="0.45">
      <c r="A38" s="13"/>
    </row>
    <row r="39" spans="1:1" x14ac:dyDescent="0.45">
      <c r="A39" s="13"/>
    </row>
    <row r="40" spans="1:1" x14ac:dyDescent="0.45">
      <c r="A40" s="13"/>
    </row>
    <row r="41" spans="1:1" x14ac:dyDescent="0.45">
      <c r="A41" s="13"/>
    </row>
    <row r="42" spans="1:1" x14ac:dyDescent="0.45">
      <c r="A42" s="13"/>
    </row>
    <row r="43" spans="1:1" x14ac:dyDescent="0.45">
      <c r="A43" s="13"/>
    </row>
    <row r="44" spans="1:1" x14ac:dyDescent="0.45">
      <c r="A44" s="13"/>
    </row>
    <row r="45" spans="1:1" x14ac:dyDescent="0.45">
      <c r="A45" s="13"/>
    </row>
  </sheetData>
  <sheetProtection algorithmName="SHA-512" hashValue="9dJobomd6T48AwPEP43nZXjPyZjF7IWUpICZIjG19jVYcAzgJmc3WTYb+KNYv/TIVV7ynhO3OIvh/L04hOLDDg==" saltValue="kgoPdRICfbMLMPDR+XEW0g==" spinCount="100000" sheet="1" formatCells="0"/>
  <mergeCells count="6">
    <mergeCell ref="A4:E4"/>
    <mergeCell ref="A8:E8"/>
    <mergeCell ref="A14:E14"/>
    <mergeCell ref="A19:E19"/>
    <mergeCell ref="A1:E1"/>
    <mergeCell ref="A2:E2"/>
  </mergeCells>
  <dataValidations count="3">
    <dataValidation showInputMessage="1" showErrorMessage="1" errorTitle="Error" error="Selected TR Value is not supported._x000a__x000a_Please choose one from the dropdown values_x000a_" sqref="C6" xr:uid="{F5A8C415-50EF-4558-8DBC-E89210B5A295}"/>
    <dataValidation showInputMessage="1" showErrorMessage="1" sqref="C10" xr:uid="{5D6371A1-1622-4D3C-8B29-BF8629A90FE2}"/>
    <dataValidation allowBlank="1" showInputMessage="1" showErrorMessage="1" errorTitle="Error" error="Value exceeded Nps_max. Try to select higher OVP value or lower TR value" sqref="C6" xr:uid="{808673CF-E1B3-420B-9B12-9DBCD5F0E6EC}"/>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81756B8E-9BDE-493A-BA40-F3C25EC930E2}">
          <x14:formula1>
            <xm:f>Data!$P$8:$P$10</xm:f>
          </x14:formula1>
          <xm:sqref>C17</xm:sqref>
        </x14:dataValidation>
        <x14:dataValidation type="list" allowBlank="1" showInputMessage="1" showErrorMessage="1" xr:uid="{47857FFF-8F8E-4B09-8298-60B5C76BE0D6}">
          <x14:formula1>
            <xm:f>Data!$K$10:$K$11</xm:f>
          </x14:formula1>
          <xm:sqref>C11</xm:sqref>
        </x14:dataValidation>
        <x14:dataValidation type="list" allowBlank="1" showInputMessage="1" showErrorMessage="1" xr:uid="{7811B77E-A670-49B9-B331-9C58A7569189}">
          <x14:formula1>
            <xm:f>Data!$L$10:$L$11</xm:f>
          </x14:formula1>
          <xm:sqref>C12</xm:sqref>
        </x14:dataValidation>
        <x14:dataValidation type="list" allowBlank="1" showInputMessage="1" showErrorMessage="1" xr:uid="{677194A3-B0BB-4736-9761-17E9E0D4E955}">
          <x14:formula1>
            <xm:f>Data!$S$10:$S$11</xm:f>
          </x14:formula1>
          <xm:sqref>C21</xm:sqref>
        </x14:dataValidation>
        <x14:dataValidation type="list" allowBlank="1" showInputMessage="1" showErrorMessage="1" xr:uid="{CFD3062F-99C5-4D97-8B34-E254407C8060}">
          <x14:formula1>
            <xm:f>Data!$T$5:$T$7</xm:f>
          </x14:formula1>
          <xm:sqref>C22</xm:sqref>
        </x14:dataValidation>
        <x14:dataValidation type="list" allowBlank="1" showInputMessage="1" showErrorMessage="1" xr:uid="{AC9AFF10-7D57-40BF-9EBB-2BDA6C40B62D}">
          <x14:formula1>
            <xm:f>Data!$U$7:$U$8</xm:f>
          </x14:formula1>
          <xm:sqref>C23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B00D-A1B2-4EE1-8FE8-A33E3AAF2F3A}">
  <sheetPr codeName="Sheet2"/>
  <dimension ref="B1:X72"/>
  <sheetViews>
    <sheetView topLeftCell="A11" zoomScale="87" zoomScaleNormal="160" workbookViewId="0">
      <selection activeCell="G40" sqref="G40"/>
    </sheetView>
  </sheetViews>
  <sheetFormatPr defaultRowHeight="14.25" x14ac:dyDescent="0.45"/>
  <cols>
    <col min="4" max="4" width="8.73046875" style="9"/>
    <col min="6" max="6" width="16.59765625" customWidth="1"/>
    <col min="7" max="7" width="9.53125" customWidth="1"/>
    <col min="9" max="9" width="12.59765625" customWidth="1"/>
    <col min="10" max="10" width="19.265625" customWidth="1"/>
    <col min="11" max="11" width="15.59765625" customWidth="1"/>
    <col min="12" max="12" width="15.53125" customWidth="1"/>
    <col min="13" max="13" width="14.3984375" customWidth="1"/>
    <col min="14" max="14" width="14.46484375" customWidth="1"/>
    <col min="15" max="15" width="15.46484375" customWidth="1"/>
    <col min="16" max="16" width="38.9296875" customWidth="1"/>
    <col min="18" max="18" width="11.796875" customWidth="1"/>
    <col min="19" max="19" width="10.73046875" customWidth="1"/>
    <col min="20" max="20" width="14.9296875" customWidth="1"/>
    <col min="21" max="21" width="12.59765625" customWidth="1"/>
    <col min="22" max="22" width="12.33203125" customWidth="1"/>
    <col min="23" max="23" width="13.3984375" customWidth="1"/>
    <col min="24" max="24" width="12.53125" customWidth="1"/>
  </cols>
  <sheetData>
    <row r="1" spans="2:21" s="13" customFormat="1" x14ac:dyDescent="0.45">
      <c r="D1" s="9"/>
    </row>
    <row r="2" spans="2:21" ht="14.65" thickBot="1" x14ac:dyDescent="0.5"/>
    <row r="3" spans="2:21" ht="14.65" thickBot="1" x14ac:dyDescent="0.5">
      <c r="B3" s="394" t="s">
        <v>273</v>
      </c>
      <c r="C3" s="396"/>
      <c r="D3" s="109"/>
      <c r="F3" s="410" t="s">
        <v>275</v>
      </c>
      <c r="G3" s="412"/>
      <c r="I3" s="410" t="s">
        <v>282</v>
      </c>
      <c r="J3" s="411"/>
      <c r="K3" s="411"/>
      <c r="L3" s="412"/>
      <c r="N3" s="413" t="s">
        <v>283</v>
      </c>
      <c r="O3" s="414"/>
      <c r="P3" s="401"/>
      <c r="R3" s="423" t="s">
        <v>285</v>
      </c>
      <c r="S3" s="424"/>
      <c r="T3" s="424"/>
      <c r="U3" s="425"/>
    </row>
    <row r="4" spans="2:21" ht="30" customHeight="1" thickBot="1" x14ac:dyDescent="0.5">
      <c r="B4" s="408" t="s">
        <v>86</v>
      </c>
      <c r="C4" s="409"/>
      <c r="D4" s="110"/>
      <c r="E4" s="31"/>
      <c r="F4" s="59" t="s">
        <v>276</v>
      </c>
      <c r="G4" s="61" t="s">
        <v>277</v>
      </c>
      <c r="I4" s="59" t="s">
        <v>278</v>
      </c>
      <c r="J4" s="60" t="s">
        <v>279</v>
      </c>
      <c r="K4" s="60" t="s">
        <v>131</v>
      </c>
      <c r="L4" s="61" t="s">
        <v>280</v>
      </c>
      <c r="N4" s="53" t="s">
        <v>284</v>
      </c>
      <c r="O4" s="54" t="s">
        <v>122</v>
      </c>
      <c r="P4" s="55" t="s">
        <v>266</v>
      </c>
      <c r="R4" s="72" t="s">
        <v>286</v>
      </c>
      <c r="S4" s="73" t="s">
        <v>124</v>
      </c>
      <c r="T4" s="75" t="s">
        <v>287</v>
      </c>
      <c r="U4" s="74" t="s">
        <v>134</v>
      </c>
    </row>
    <row r="5" spans="2:21" x14ac:dyDescent="0.45">
      <c r="B5" s="36" t="s">
        <v>87</v>
      </c>
      <c r="C5" s="37">
        <v>2.5</v>
      </c>
      <c r="D5" s="111"/>
      <c r="E5" s="30"/>
      <c r="F5" s="50">
        <v>5.23</v>
      </c>
      <c r="G5" s="62">
        <v>6</v>
      </c>
      <c r="I5" s="56">
        <v>5.23</v>
      </c>
      <c r="J5" s="57">
        <f>INDEX(J26:P26,MATCH(Device,Data!J25:P25,0))</f>
        <v>2.8</v>
      </c>
      <c r="K5" s="57">
        <v>4</v>
      </c>
      <c r="L5" s="58">
        <v>12.5</v>
      </c>
      <c r="N5" s="50">
        <v>5.23</v>
      </c>
      <c r="O5" s="51">
        <v>140</v>
      </c>
      <c r="P5" s="52" t="s">
        <v>130</v>
      </c>
      <c r="R5" s="63">
        <v>5.23</v>
      </c>
      <c r="S5" s="64" t="s">
        <v>125</v>
      </c>
      <c r="T5" s="64">
        <v>10</v>
      </c>
      <c r="U5" s="65" t="s">
        <v>127</v>
      </c>
    </row>
    <row r="6" spans="2:21" ht="14.65" thickBot="1" x14ac:dyDescent="0.5">
      <c r="B6" s="40" t="s">
        <v>88</v>
      </c>
      <c r="C6" s="41">
        <v>1.25</v>
      </c>
      <c r="D6" s="111"/>
      <c r="E6" s="30"/>
      <c r="F6" s="38">
        <v>6.34</v>
      </c>
      <c r="G6" s="42">
        <v>6.125</v>
      </c>
      <c r="I6" s="44">
        <v>6.34</v>
      </c>
      <c r="J6" s="45">
        <f>INDEX(J27:P27,MATCH(Device,Data!J25:P25,0))</f>
        <v>3.1</v>
      </c>
      <c r="K6" s="45">
        <v>4</v>
      </c>
      <c r="L6" s="46">
        <v>12.5</v>
      </c>
      <c r="N6" s="38">
        <v>6.34</v>
      </c>
      <c r="O6" s="35">
        <v>100</v>
      </c>
      <c r="P6" s="39" t="s">
        <v>130</v>
      </c>
      <c r="R6" s="66">
        <v>6.34</v>
      </c>
      <c r="S6" s="67" t="s">
        <v>125</v>
      </c>
      <c r="T6" s="67">
        <v>7</v>
      </c>
      <c r="U6" s="68" t="s">
        <v>127</v>
      </c>
    </row>
    <row r="7" spans="2:21" x14ac:dyDescent="0.45">
      <c r="F7" s="38">
        <v>7.68</v>
      </c>
      <c r="G7" s="42">
        <v>6.25</v>
      </c>
      <c r="I7" s="44">
        <v>7.68</v>
      </c>
      <c r="J7" s="45">
        <f>INDEX(J28:P28,MATCH(Device,Data!J25:P25,0))</f>
        <v>3.5</v>
      </c>
      <c r="K7" s="45">
        <v>4</v>
      </c>
      <c r="L7" s="46">
        <v>12.5</v>
      </c>
      <c r="N7" s="38">
        <v>7.68</v>
      </c>
      <c r="O7" s="35">
        <v>250</v>
      </c>
      <c r="P7" s="39" t="s">
        <v>130</v>
      </c>
      <c r="R7" s="66">
        <v>7.68</v>
      </c>
      <c r="S7" s="67" t="s">
        <v>125</v>
      </c>
      <c r="T7" s="67">
        <v>5</v>
      </c>
      <c r="U7" s="68" t="s">
        <v>127</v>
      </c>
    </row>
    <row r="8" spans="2:21" x14ac:dyDescent="0.45">
      <c r="F8" s="38">
        <v>9.31</v>
      </c>
      <c r="G8" s="42">
        <v>6.375</v>
      </c>
      <c r="I8" s="44">
        <v>9.31</v>
      </c>
      <c r="J8" s="45">
        <f>INDEX(J26:P26,MATCH(Device,Data!J25:P25,0))</f>
        <v>2.8</v>
      </c>
      <c r="K8" s="45">
        <v>3</v>
      </c>
      <c r="L8" s="46">
        <v>12.5</v>
      </c>
      <c r="N8" s="38">
        <v>9.31</v>
      </c>
      <c r="O8" s="35">
        <v>500</v>
      </c>
      <c r="P8" s="39" t="s">
        <v>130</v>
      </c>
      <c r="R8" s="66">
        <v>9.31</v>
      </c>
      <c r="S8" s="67" t="s">
        <v>125</v>
      </c>
      <c r="T8" s="67">
        <v>10</v>
      </c>
      <c r="U8" s="68" t="s">
        <v>125</v>
      </c>
    </row>
    <row r="9" spans="2:21" s="33" customFormat="1" ht="14" customHeight="1" x14ac:dyDescent="0.45">
      <c r="B9" s="1"/>
      <c r="C9" s="1"/>
      <c r="D9" s="6"/>
      <c r="F9" s="44">
        <v>11.3</v>
      </c>
      <c r="G9" s="80">
        <v>6.5</v>
      </c>
      <c r="I9" s="44">
        <v>11.5</v>
      </c>
      <c r="J9" s="45">
        <f>INDEX(J27:P27,MATCH(Device,Data!J25:P25,0))</f>
        <v>3.1</v>
      </c>
      <c r="K9" s="45">
        <v>3</v>
      </c>
      <c r="L9" s="46">
        <v>12.5</v>
      </c>
      <c r="N9" s="44">
        <v>11.5</v>
      </c>
      <c r="O9" s="45">
        <v>140</v>
      </c>
      <c r="P9" s="46" t="s">
        <v>133</v>
      </c>
      <c r="R9" s="81">
        <v>11.5</v>
      </c>
      <c r="S9" s="82" t="s">
        <v>125</v>
      </c>
      <c r="T9" s="82">
        <v>7</v>
      </c>
      <c r="U9" s="83" t="s">
        <v>125</v>
      </c>
    </row>
    <row r="10" spans="2:21" s="33" customFormat="1" ht="14" customHeight="1" thickBot="1" x14ac:dyDescent="0.5">
      <c r="B10" s="1"/>
      <c r="C10" s="1"/>
      <c r="D10" s="6"/>
      <c r="F10" s="44">
        <v>13.7</v>
      </c>
      <c r="G10" s="80">
        <v>6.625</v>
      </c>
      <c r="I10" s="44">
        <v>14.3</v>
      </c>
      <c r="J10" s="45">
        <f>INDEX(J28:P28,MATCH(Device,Data!J25:P25,0))</f>
        <v>3.5</v>
      </c>
      <c r="K10" s="45">
        <v>3</v>
      </c>
      <c r="L10" s="46">
        <v>12.5</v>
      </c>
      <c r="N10" s="44">
        <v>28.7</v>
      </c>
      <c r="O10" s="45">
        <v>140</v>
      </c>
      <c r="P10" s="46" t="s">
        <v>132</v>
      </c>
      <c r="R10" s="81">
        <v>14.3</v>
      </c>
      <c r="S10" s="82" t="s">
        <v>125</v>
      </c>
      <c r="T10" s="82">
        <v>5</v>
      </c>
      <c r="U10" s="83" t="s">
        <v>125</v>
      </c>
    </row>
    <row r="11" spans="2:21" ht="14.65" thickBot="1" x14ac:dyDescent="0.5">
      <c r="B11" s="400" t="s">
        <v>274</v>
      </c>
      <c r="C11" s="401"/>
      <c r="D11" s="111"/>
      <c r="F11" s="38">
        <v>16.899999999999999</v>
      </c>
      <c r="G11" s="42">
        <v>6.75</v>
      </c>
      <c r="I11" s="44">
        <v>17.8</v>
      </c>
      <c r="J11" s="45">
        <f>INDEX(J26:P26,MATCH(Device,Data!J25:P25,0))</f>
        <v>2.8</v>
      </c>
      <c r="K11" s="45">
        <v>4</v>
      </c>
      <c r="L11" s="46">
        <v>6.25</v>
      </c>
      <c r="N11" s="38">
        <v>17.8</v>
      </c>
      <c r="O11" s="45">
        <v>250</v>
      </c>
      <c r="P11" s="39" t="s">
        <v>133</v>
      </c>
      <c r="R11" s="66">
        <v>17.8</v>
      </c>
      <c r="S11" s="67" t="s">
        <v>127</v>
      </c>
      <c r="T11" s="67">
        <v>10</v>
      </c>
      <c r="U11" s="68" t="s">
        <v>127</v>
      </c>
    </row>
    <row r="12" spans="2:21" x14ac:dyDescent="0.45">
      <c r="B12" s="402" t="s">
        <v>299</v>
      </c>
      <c r="C12" s="403"/>
      <c r="D12" s="111"/>
      <c r="F12" s="38">
        <v>20.5</v>
      </c>
      <c r="G12" s="42">
        <v>6.875</v>
      </c>
      <c r="I12" s="44">
        <v>22.6</v>
      </c>
      <c r="J12" s="45">
        <f>INDEX(J27:P27,MATCH(Device,Data!J25:P25,0))</f>
        <v>3.1</v>
      </c>
      <c r="K12" s="45">
        <v>4</v>
      </c>
      <c r="L12" s="46">
        <v>6.25</v>
      </c>
      <c r="N12" s="38">
        <v>22.6</v>
      </c>
      <c r="O12" s="45">
        <v>500</v>
      </c>
      <c r="P12" s="39" t="s">
        <v>133</v>
      </c>
      <c r="R12" s="66">
        <v>22.6</v>
      </c>
      <c r="S12" s="67" t="s">
        <v>127</v>
      </c>
      <c r="T12" s="67">
        <v>7</v>
      </c>
      <c r="U12" s="68" t="s">
        <v>127</v>
      </c>
    </row>
    <row r="13" spans="2:21" x14ac:dyDescent="0.45">
      <c r="B13" s="404" t="s">
        <v>300</v>
      </c>
      <c r="C13" s="405"/>
      <c r="D13" s="112"/>
      <c r="F13" s="38">
        <v>25.5</v>
      </c>
      <c r="G13" s="42">
        <v>7</v>
      </c>
      <c r="I13" s="44">
        <v>28.7</v>
      </c>
      <c r="J13" s="45">
        <f>INDEX(J28:P28,MATCH(Device,Data!J25:P25,0))</f>
        <v>3.5</v>
      </c>
      <c r="K13" s="45">
        <v>4</v>
      </c>
      <c r="L13" s="46">
        <v>6.25</v>
      </c>
      <c r="N13" s="38">
        <v>14.3</v>
      </c>
      <c r="O13" s="45">
        <v>100</v>
      </c>
      <c r="P13" s="39" t="s">
        <v>133</v>
      </c>
      <c r="R13" s="66">
        <v>28.7</v>
      </c>
      <c r="S13" s="67" t="s">
        <v>127</v>
      </c>
      <c r="T13" s="67">
        <v>5</v>
      </c>
      <c r="U13" s="68" t="s">
        <v>127</v>
      </c>
    </row>
    <row r="14" spans="2:21" x14ac:dyDescent="0.45">
      <c r="B14" s="404" t="s">
        <v>301</v>
      </c>
      <c r="C14" s="405"/>
      <c r="D14" s="112"/>
      <c r="F14" s="38">
        <v>31.6</v>
      </c>
      <c r="G14" s="42">
        <v>7.125</v>
      </c>
      <c r="I14" s="44">
        <v>36.5</v>
      </c>
      <c r="J14" s="45">
        <f>INDEX(J26:P26,MATCH(Device,Data!J25:P25,0))</f>
        <v>2.8</v>
      </c>
      <c r="K14" s="45">
        <v>3</v>
      </c>
      <c r="L14" s="46">
        <v>6.25</v>
      </c>
      <c r="N14" s="44">
        <v>36.5</v>
      </c>
      <c r="O14" s="45">
        <v>100</v>
      </c>
      <c r="P14" s="46" t="s">
        <v>132</v>
      </c>
      <c r="R14" s="66">
        <v>36.5</v>
      </c>
      <c r="S14" s="67" t="s">
        <v>127</v>
      </c>
      <c r="T14" s="67">
        <v>10</v>
      </c>
      <c r="U14" s="68" t="s">
        <v>125</v>
      </c>
    </row>
    <row r="15" spans="2:21" x14ac:dyDescent="0.45">
      <c r="B15" s="404" t="s">
        <v>302</v>
      </c>
      <c r="C15" s="405"/>
      <c r="F15" s="38">
        <v>39.200000000000003</v>
      </c>
      <c r="G15" s="42">
        <v>7.25</v>
      </c>
      <c r="I15" s="44">
        <v>51.1</v>
      </c>
      <c r="J15" s="45">
        <f>INDEX(J27:P27,MATCH(Device,Data!J25:P25,0))</f>
        <v>3.1</v>
      </c>
      <c r="K15" s="45">
        <v>3</v>
      </c>
      <c r="L15" s="46">
        <v>6.25</v>
      </c>
      <c r="N15" s="44">
        <v>51.1</v>
      </c>
      <c r="O15" s="45">
        <v>250</v>
      </c>
      <c r="P15" s="46" t="s">
        <v>132</v>
      </c>
      <c r="R15" s="66">
        <v>51.1</v>
      </c>
      <c r="S15" s="67" t="s">
        <v>127</v>
      </c>
      <c r="T15" s="67">
        <v>7</v>
      </c>
      <c r="U15" s="68" t="s">
        <v>125</v>
      </c>
    </row>
    <row r="16" spans="2:21" ht="14.65" thickBot="1" x14ac:dyDescent="0.5">
      <c r="B16" s="404" t="s">
        <v>303</v>
      </c>
      <c r="C16" s="405"/>
      <c r="F16" s="38">
        <v>51.1</v>
      </c>
      <c r="G16" s="42">
        <v>7.375</v>
      </c>
      <c r="I16" s="47">
        <v>75</v>
      </c>
      <c r="J16" s="48">
        <f>INDEX(J28:P28,MATCH(Device,Data!J25:P25,0))</f>
        <v>3.5</v>
      </c>
      <c r="K16" s="48">
        <v>3</v>
      </c>
      <c r="L16" s="49">
        <v>6.25</v>
      </c>
      <c r="N16" s="47">
        <v>75</v>
      </c>
      <c r="O16" s="48">
        <v>500</v>
      </c>
      <c r="P16" s="49" t="s">
        <v>132</v>
      </c>
      <c r="R16" s="69">
        <v>75</v>
      </c>
      <c r="S16" s="70" t="s">
        <v>127</v>
      </c>
      <c r="T16" s="70">
        <v>5</v>
      </c>
      <c r="U16" s="71" t="s">
        <v>125</v>
      </c>
    </row>
    <row r="17" spans="2:24" ht="14.65" thickBot="1" x14ac:dyDescent="0.5">
      <c r="B17" s="406" t="s">
        <v>297</v>
      </c>
      <c r="C17" s="407"/>
      <c r="F17" s="38">
        <v>66.5</v>
      </c>
      <c r="G17" s="42">
        <v>7.5</v>
      </c>
      <c r="I17" s="32" t="s">
        <v>281</v>
      </c>
    </row>
    <row r="18" spans="2:24" ht="14.65" thickBot="1" x14ac:dyDescent="0.5">
      <c r="B18" s="406" t="s">
        <v>298</v>
      </c>
      <c r="C18" s="407"/>
      <c r="F18" s="38">
        <v>84.5</v>
      </c>
      <c r="G18" s="42">
        <v>7.625</v>
      </c>
    </row>
    <row r="19" spans="2:24" x14ac:dyDescent="0.45">
      <c r="F19" s="38">
        <v>113</v>
      </c>
      <c r="G19" s="42">
        <v>7.75</v>
      </c>
    </row>
    <row r="20" spans="2:24" ht="14.65" thickBot="1" x14ac:dyDescent="0.5">
      <c r="F20" s="40">
        <v>174</v>
      </c>
      <c r="G20" s="43">
        <v>7.875</v>
      </c>
    </row>
    <row r="23" spans="2:24" ht="14.65" thickBot="1" x14ac:dyDescent="0.5"/>
    <row r="24" spans="2:24" ht="14.65" thickBot="1" x14ac:dyDescent="0.5">
      <c r="F24" s="394" t="s">
        <v>288</v>
      </c>
      <c r="G24" s="395"/>
      <c r="H24" s="396"/>
      <c r="J24" s="394" t="s">
        <v>289</v>
      </c>
      <c r="K24" s="395"/>
      <c r="L24" s="395"/>
      <c r="M24" s="395"/>
      <c r="N24" s="395"/>
      <c r="O24" s="395"/>
      <c r="P24" s="396"/>
      <c r="R24" s="426" t="s">
        <v>294</v>
      </c>
      <c r="S24" s="427"/>
      <c r="T24" s="427"/>
      <c r="U24" s="427"/>
      <c r="V24" s="427"/>
      <c r="W24" s="427"/>
      <c r="X24" s="427"/>
    </row>
    <row r="25" spans="2:24" ht="14.65" thickBot="1" x14ac:dyDescent="0.5">
      <c r="F25" s="89" t="s">
        <v>77</v>
      </c>
      <c r="G25" s="90" t="s">
        <v>8</v>
      </c>
      <c r="H25" s="89" t="s">
        <v>75</v>
      </c>
      <c r="J25" s="167" t="s">
        <v>299</v>
      </c>
      <c r="K25" s="168" t="s">
        <v>300</v>
      </c>
      <c r="L25" s="168" t="s">
        <v>301</v>
      </c>
      <c r="M25" s="168" t="s">
        <v>302</v>
      </c>
      <c r="N25" s="168" t="s">
        <v>303</v>
      </c>
      <c r="O25" s="169" t="s">
        <v>297</v>
      </c>
      <c r="P25" s="169" t="s">
        <v>298</v>
      </c>
      <c r="R25" s="233" t="s">
        <v>299</v>
      </c>
      <c r="S25" s="233" t="s">
        <v>300</v>
      </c>
      <c r="T25" s="233" t="s">
        <v>301</v>
      </c>
      <c r="U25" s="233" t="s">
        <v>302</v>
      </c>
      <c r="V25" s="233" t="s">
        <v>303</v>
      </c>
      <c r="W25" s="233" t="s">
        <v>297</v>
      </c>
      <c r="X25" s="233" t="s">
        <v>298</v>
      </c>
    </row>
    <row r="26" spans="2:24" x14ac:dyDescent="0.45">
      <c r="F26" s="99" t="s">
        <v>146</v>
      </c>
      <c r="G26" s="107" t="e">
        <f>1000/fline_min</f>
        <v>#REF!</v>
      </c>
      <c r="H26" s="100" t="s">
        <v>147</v>
      </c>
      <c r="J26" s="116">
        <v>1.9</v>
      </c>
      <c r="K26" s="98">
        <v>2.8</v>
      </c>
      <c r="L26" s="98">
        <v>2.8</v>
      </c>
      <c r="M26" s="98">
        <v>2.8</v>
      </c>
      <c r="N26" s="98">
        <v>2.8</v>
      </c>
      <c r="O26" s="103">
        <v>2.8</v>
      </c>
      <c r="P26" s="103">
        <v>2.8</v>
      </c>
      <c r="R26" s="234">
        <v>190</v>
      </c>
      <c r="S26" s="234">
        <v>130</v>
      </c>
      <c r="T26" s="234">
        <v>130</v>
      </c>
      <c r="U26" s="234">
        <v>130</v>
      </c>
      <c r="V26" s="234">
        <v>130</v>
      </c>
      <c r="W26" s="234">
        <v>130</v>
      </c>
      <c r="X26" s="234">
        <v>130</v>
      </c>
    </row>
    <row r="27" spans="2:24" x14ac:dyDescent="0.45">
      <c r="F27" s="181" t="s">
        <v>183</v>
      </c>
      <c r="G27" s="108">
        <f>INDEX(L59:L65,MATCH(Device,Data!J59:J65,0))</f>
        <v>150</v>
      </c>
      <c r="H27" s="102" t="s">
        <v>12</v>
      </c>
      <c r="J27" s="116">
        <v>2.1</v>
      </c>
      <c r="K27" s="98">
        <v>3.1</v>
      </c>
      <c r="L27" s="98">
        <v>3.1</v>
      </c>
      <c r="M27" s="98">
        <v>3.1</v>
      </c>
      <c r="N27" s="98">
        <v>3.1</v>
      </c>
      <c r="O27" s="103">
        <v>3.1</v>
      </c>
      <c r="P27" s="103">
        <v>3.1</v>
      </c>
      <c r="R27" s="235">
        <v>550</v>
      </c>
      <c r="S27" s="235">
        <v>400</v>
      </c>
      <c r="T27" s="235">
        <v>400</v>
      </c>
      <c r="U27" s="235">
        <v>400</v>
      </c>
      <c r="V27" s="235">
        <v>400</v>
      </c>
      <c r="W27" s="235">
        <v>400</v>
      </c>
      <c r="X27" s="235">
        <v>400</v>
      </c>
    </row>
    <row r="28" spans="2:24" ht="14.65" thickBot="1" x14ac:dyDescent="0.5">
      <c r="F28" s="181" t="s">
        <v>182</v>
      </c>
      <c r="G28" s="108">
        <f>INDEX(L66:L72,MATCH(Device,Data!J66:J72,0))</f>
        <v>400</v>
      </c>
      <c r="H28" s="102" t="s">
        <v>12</v>
      </c>
      <c r="J28" s="117">
        <v>2.4</v>
      </c>
      <c r="K28" s="118">
        <v>3.5</v>
      </c>
      <c r="L28" s="118">
        <v>3.5</v>
      </c>
      <c r="M28" s="118">
        <v>3.5</v>
      </c>
      <c r="N28" s="118">
        <v>3.5</v>
      </c>
      <c r="O28" s="104">
        <v>3.5</v>
      </c>
      <c r="P28" s="104">
        <v>3.5</v>
      </c>
      <c r="Q28" s="77"/>
      <c r="R28" s="77"/>
    </row>
    <row r="29" spans="2:24" x14ac:dyDescent="0.45">
      <c r="F29" s="93" t="s">
        <v>76</v>
      </c>
      <c r="G29" s="213">
        <f>(Nps_sel*Vout_max)/(Vbulk_min+(Nps_sel*Vout_max))</f>
        <v>0.5161290322580645</v>
      </c>
      <c r="H29" s="96"/>
      <c r="N29" s="77"/>
      <c r="O29" s="77"/>
      <c r="Q29" s="77"/>
      <c r="R29" s="77"/>
    </row>
    <row r="30" spans="2:24" x14ac:dyDescent="0.45">
      <c r="F30" s="93" t="s">
        <v>68</v>
      </c>
      <c r="G30" s="91">
        <f>(Vbulk_min*(Nps_sel*Vout_max)/(Vbulk_min+(Nps_sel*Vout_max))/(Ipk_max*Lm_actual*10^3))*10^6</f>
        <v>69.62444423422572</v>
      </c>
      <c r="H30" s="94" t="s">
        <v>25</v>
      </c>
      <c r="N30" s="77"/>
      <c r="O30" s="77"/>
    </row>
    <row r="31" spans="2:24" x14ac:dyDescent="0.45">
      <c r="F31" s="95" t="s">
        <v>99</v>
      </c>
      <c r="G31" s="92">
        <f>((Pout_max/Vout_max*(((0.33/(fc))+10^-3/Fclamp)*10^6)*10^-6)/Over_Under_Shoot)*10^6</f>
        <v>2065.7142857142858</v>
      </c>
      <c r="H31" s="96" t="s">
        <v>54</v>
      </c>
      <c r="N31" s="77"/>
      <c r="O31" s="77"/>
    </row>
    <row r="32" spans="2:24" x14ac:dyDescent="0.45">
      <c r="F32" s="95" t="s">
        <v>100</v>
      </c>
      <c r="G32" s="92">
        <f>((Pout_max/Vout_max*Dmax)/(Vout_ripple*10^-3*Fsw_actual_LLFL*10^3))*10^6</f>
        <v>222.39130434782606</v>
      </c>
      <c r="H32" s="96" t="s">
        <v>54</v>
      </c>
      <c r="N32" s="77"/>
      <c r="O32" s="77"/>
    </row>
    <row r="33" spans="2:16" x14ac:dyDescent="0.45">
      <c r="F33" s="229" t="s">
        <v>98</v>
      </c>
      <c r="G33" s="230">
        <f xml:space="preserve"> Vout_max^2/Pout_max</f>
        <v>3.3333333333333335</v>
      </c>
      <c r="H33" s="231" t="s">
        <v>101</v>
      </c>
      <c r="N33" s="77"/>
      <c r="O33" s="77"/>
    </row>
    <row r="34" spans="2:16" x14ac:dyDescent="0.45">
      <c r="F34" s="191" t="s">
        <v>292</v>
      </c>
      <c r="G34" s="237">
        <f>(Vbulk_min*Dmax/(Ipk_max*Fsw_desired_LLFL*10^3))*10^6</f>
        <v>328.22952281849268</v>
      </c>
      <c r="H34" s="232" t="s">
        <v>293</v>
      </c>
    </row>
    <row r="35" spans="2:16" x14ac:dyDescent="0.45">
      <c r="F35" s="236" t="s">
        <v>295</v>
      </c>
      <c r="G35" s="234">
        <f>IF(Device=B12, 190,130)</f>
        <v>130</v>
      </c>
      <c r="H35" s="232" t="s">
        <v>293</v>
      </c>
    </row>
    <row r="36" spans="2:16" x14ac:dyDescent="0.45">
      <c r="F36" s="236" t="s">
        <v>296</v>
      </c>
      <c r="G36" s="234">
        <f>IF(Device=B12, 550,400)</f>
        <v>400</v>
      </c>
      <c r="H36" s="232" t="s">
        <v>293</v>
      </c>
    </row>
    <row r="37" spans="2:16" x14ac:dyDescent="0.45">
      <c r="F37" s="236" t="s">
        <v>311</v>
      </c>
      <c r="G37" s="191">
        <f>IF(Device="UCG28826-4", Nps_recom*(Vovp)/16, Nps_recom*(Vovp)/25)</f>
        <v>6</v>
      </c>
      <c r="H37" s="191"/>
    </row>
    <row r="38" spans="2:16" x14ac:dyDescent="0.45">
      <c r="F38" s="249" t="s">
        <v>314</v>
      </c>
      <c r="G38">
        <f>Ipk_max</f>
        <v>3.3695652173913038</v>
      </c>
      <c r="H38" s="251" t="s">
        <v>15</v>
      </c>
    </row>
    <row r="39" spans="2:16" x14ac:dyDescent="0.45">
      <c r="F39" s="249" t="s">
        <v>315</v>
      </c>
      <c r="G39" cm="1">
        <f t="array" aca="1" ref="G39" ca="1">_xlfn.XLOOKUP(G38, OFFSET(Data!$J$26:$J$28, 0, MATCH(Device, Data!$J$25:$P$25, 0)-1), OFFSET(Data!$J$26:$J$28, 0, MATCH(Device, Data!$J$25:$P$25, 0)-1), "no", 1)</f>
        <v>3.5</v>
      </c>
      <c r="H39" s="251" t="s">
        <v>15</v>
      </c>
    </row>
    <row r="40" spans="2:16" s="13" customFormat="1" x14ac:dyDescent="0.45">
      <c r="D40" s="9"/>
      <c r="F40" s="250" t="s">
        <v>316</v>
      </c>
      <c r="G40" s="13">
        <f ca="1">IF(Ipk_error="no",IF(LEFT(Device,8)="UCG28826", 3.5, IF(LEFT(Device,8)="UCG28824", 2.4, IF(LEFT(Device,8)="UCG28828", 3.5))), Ipk_error)</f>
        <v>3.5</v>
      </c>
      <c r="H40" s="251" t="s">
        <v>15</v>
      </c>
    </row>
    <row r="41" spans="2:16" x14ac:dyDescent="0.45">
      <c r="F41" s="250"/>
    </row>
    <row r="42" spans="2:16" s="13" customFormat="1" ht="14.65" thickBot="1" x14ac:dyDescent="0.5">
      <c r="D42" s="9"/>
      <c r="F42" s="250"/>
      <c r="H42" s="268"/>
    </row>
    <row r="43" spans="2:16" ht="14.65" thickBot="1" x14ac:dyDescent="0.5">
      <c r="F43" s="394" t="s">
        <v>290</v>
      </c>
      <c r="G43" s="395"/>
      <c r="H43" s="396"/>
      <c r="J43" s="397" t="s">
        <v>291</v>
      </c>
      <c r="K43" s="398"/>
      <c r="L43" s="398"/>
      <c r="M43" s="398"/>
      <c r="N43" s="399"/>
    </row>
    <row r="44" spans="2:16" ht="14.65" thickBot="1" x14ac:dyDescent="0.5">
      <c r="F44" s="89" t="s">
        <v>77</v>
      </c>
      <c r="G44" s="90" t="s">
        <v>8</v>
      </c>
      <c r="H44" s="89" t="s">
        <v>75</v>
      </c>
      <c r="J44" s="184" t="s">
        <v>163</v>
      </c>
      <c r="K44" s="185" t="s">
        <v>77</v>
      </c>
      <c r="L44" s="186" t="s">
        <v>184</v>
      </c>
      <c r="M44" s="186" t="s">
        <v>75</v>
      </c>
      <c r="N44" s="187" t="s">
        <v>162</v>
      </c>
    </row>
    <row r="45" spans="2:16" ht="26.25" x14ac:dyDescent="0.45">
      <c r="F45" s="99" t="s">
        <v>150</v>
      </c>
      <c r="G45" s="105" t="e">
        <f>Tline/4+(Tline/(2*PI()))*ASIN(('Power Circuit Design'!#REF!)/(SQRT(2)*Vin_min))</f>
        <v>#REF!</v>
      </c>
      <c r="H45" s="100" t="s">
        <v>147</v>
      </c>
      <c r="J45" s="177" t="s">
        <v>299</v>
      </c>
      <c r="K45" s="178" t="s">
        <v>208</v>
      </c>
      <c r="L45" s="238" t="s">
        <v>31</v>
      </c>
      <c r="M45" s="239" t="s">
        <v>180</v>
      </c>
      <c r="N45" s="183" t="s">
        <v>19</v>
      </c>
      <c r="O45" s="33"/>
      <c r="P45" s="33"/>
    </row>
    <row r="46" spans="2:16" s="33" customFormat="1" ht="26.25" x14ac:dyDescent="0.45">
      <c r="B46"/>
      <c r="C46"/>
      <c r="D46" s="173"/>
      <c r="F46" s="84" t="s">
        <v>151</v>
      </c>
      <c r="G46" s="108" t="e">
        <f>Tline/2-G45</f>
        <v>#REF!</v>
      </c>
      <c r="H46" s="103" t="s">
        <v>147</v>
      </c>
      <c r="J46" s="177" t="s">
        <v>300</v>
      </c>
      <c r="K46" s="178" t="s">
        <v>208</v>
      </c>
      <c r="L46" s="238" t="s">
        <v>31</v>
      </c>
      <c r="M46" s="239" t="s">
        <v>180</v>
      </c>
      <c r="N46" s="183" t="s">
        <v>19</v>
      </c>
      <c r="O46"/>
      <c r="P46"/>
    </row>
    <row r="47" spans="2:16" ht="26.25" x14ac:dyDescent="0.45">
      <c r="E47" s="33"/>
      <c r="F47" s="101" t="s">
        <v>145</v>
      </c>
      <c r="G47" s="85" t="e">
        <f>2*PI()*fline_min*Cbulk_recom*10^-6*SQRT(2)*Vin_min*COS(ASIN(Vbulk_min_desired/(SQRT(2)*Vin_min)))</f>
        <v>#REF!</v>
      </c>
      <c r="H47" s="103" t="s">
        <v>15</v>
      </c>
      <c r="J47" s="177" t="s">
        <v>301</v>
      </c>
      <c r="K47" s="178" t="s">
        <v>208</v>
      </c>
      <c r="L47" s="238" t="s">
        <v>31</v>
      </c>
      <c r="M47" s="239" t="s">
        <v>180</v>
      </c>
      <c r="N47" s="183" t="s">
        <v>19</v>
      </c>
    </row>
    <row r="48" spans="2:16" ht="26.25" x14ac:dyDescent="0.45">
      <c r="E48" s="33"/>
      <c r="F48" s="78" t="s">
        <v>141</v>
      </c>
      <c r="G48" s="106">
        <f>Pout_max/(efficiency*SQRT(2)*Vin_max)</f>
        <v>0.23057829821300463</v>
      </c>
      <c r="H48" s="103" t="s">
        <v>15</v>
      </c>
      <c r="J48" s="177" t="s">
        <v>302</v>
      </c>
      <c r="K48" s="178" t="s">
        <v>208</v>
      </c>
      <c r="L48" s="238" t="s">
        <v>31</v>
      </c>
      <c r="M48" s="239" t="s">
        <v>180</v>
      </c>
      <c r="N48" s="183" t="s">
        <v>19</v>
      </c>
    </row>
    <row r="49" spans="2:15" ht="26.25" x14ac:dyDescent="0.45">
      <c r="B49" s="33"/>
      <c r="C49" s="33"/>
      <c r="E49" s="33"/>
      <c r="F49" s="78" t="s">
        <v>142</v>
      </c>
      <c r="G49" s="106" t="e">
        <f>Pout_max/(efficiency*Vbulk_min_desired)</f>
        <v>#REF!</v>
      </c>
      <c r="H49" s="103" t="s">
        <v>15</v>
      </c>
      <c r="J49" s="177" t="s">
        <v>303</v>
      </c>
      <c r="K49" s="178" t="s">
        <v>208</v>
      </c>
      <c r="L49" s="179" t="s">
        <v>31</v>
      </c>
      <c r="M49" s="120" t="s">
        <v>180</v>
      </c>
      <c r="N49" s="183" t="s">
        <v>19</v>
      </c>
    </row>
    <row r="50" spans="2:15" ht="39.4" x14ac:dyDescent="0.45">
      <c r="E50" s="33"/>
      <c r="F50" s="78" t="s">
        <v>143</v>
      </c>
      <c r="G50" s="106" t="e">
        <f>G49+G47</f>
        <v>#REF!</v>
      </c>
      <c r="H50" s="103" t="s">
        <v>15</v>
      </c>
      <c r="J50" s="88" t="s">
        <v>297</v>
      </c>
      <c r="K50" s="113" t="s">
        <v>209</v>
      </c>
      <c r="L50" s="115" t="s">
        <v>173</v>
      </c>
      <c r="M50" s="98" t="s">
        <v>12</v>
      </c>
      <c r="N50" s="17" t="s">
        <v>178</v>
      </c>
    </row>
    <row r="51" spans="2:15" ht="39.4" x14ac:dyDescent="0.45">
      <c r="E51" s="33"/>
      <c r="F51" s="78" t="s">
        <v>144</v>
      </c>
      <c r="G51" s="106" t="e">
        <f>(Idbr_pk-Iin_min)/tcharge</f>
        <v>#REF!</v>
      </c>
      <c r="H51" s="103"/>
      <c r="J51" s="88" t="s">
        <v>298</v>
      </c>
      <c r="K51" s="113" t="s">
        <v>209</v>
      </c>
      <c r="L51" s="115" t="s">
        <v>173</v>
      </c>
      <c r="M51" s="98" t="s">
        <v>12</v>
      </c>
      <c r="N51" s="17" t="s">
        <v>178</v>
      </c>
    </row>
    <row r="52" spans="2:15" ht="26.25" x14ac:dyDescent="0.45">
      <c r="E52" s="33"/>
      <c r="F52" s="79" t="s">
        <v>148</v>
      </c>
      <c r="G52" s="174" t="e">
        <f>(Idbr_pk/Sdiode)</f>
        <v>#REF!</v>
      </c>
      <c r="H52" s="103" t="s">
        <v>147</v>
      </c>
      <c r="J52" s="88" t="s">
        <v>299</v>
      </c>
      <c r="K52" s="176" t="s">
        <v>210</v>
      </c>
      <c r="L52" s="131" t="s">
        <v>32</v>
      </c>
      <c r="M52" s="98" t="s">
        <v>180</v>
      </c>
      <c r="N52" s="145" t="s">
        <v>20</v>
      </c>
      <c r="O52" s="13"/>
    </row>
    <row r="53" spans="2:15" ht="26.25" x14ac:dyDescent="0.45">
      <c r="E53" s="33"/>
      <c r="F53" s="78" t="s">
        <v>149</v>
      </c>
      <c r="G53" s="106" t="e">
        <f>Idbr_pk*Tdiode_cond*10^-3*fline_min</f>
        <v>#REF!</v>
      </c>
      <c r="H53" s="103" t="s">
        <v>15</v>
      </c>
      <c r="J53" s="88" t="s">
        <v>300</v>
      </c>
      <c r="K53" s="176" t="s">
        <v>210</v>
      </c>
      <c r="L53" s="131" t="s">
        <v>32</v>
      </c>
      <c r="M53" s="98" t="s">
        <v>180</v>
      </c>
      <c r="N53" s="145" t="s">
        <v>20</v>
      </c>
      <c r="O53" s="13"/>
    </row>
    <row r="54" spans="2:15" ht="26.25" x14ac:dyDescent="0.45">
      <c r="E54" s="33"/>
      <c r="F54" s="78" t="s">
        <v>140</v>
      </c>
      <c r="G54" s="106" t="e">
        <f>Iin_avg*SQRT((2/(3*fline_min*Tdiode_cond*10^-3))-1)</f>
        <v>#REF!</v>
      </c>
      <c r="H54" s="103" t="s">
        <v>15</v>
      </c>
      <c r="J54" s="88" t="s">
        <v>301</v>
      </c>
      <c r="K54" s="176" t="s">
        <v>210</v>
      </c>
      <c r="L54" s="131" t="s">
        <v>32</v>
      </c>
      <c r="M54" s="98" t="s">
        <v>180</v>
      </c>
      <c r="N54" s="145" t="s">
        <v>20</v>
      </c>
      <c r="O54" s="13"/>
    </row>
    <row r="55" spans="2:15" ht="26.25" x14ac:dyDescent="0.45">
      <c r="E55" s="33"/>
      <c r="F55" s="170" t="s">
        <v>170</v>
      </c>
      <c r="G55" s="108" t="e">
        <f>Cbulk_recom/3</f>
        <v>#REF!</v>
      </c>
      <c r="H55" s="96" t="s">
        <v>54</v>
      </c>
      <c r="J55" s="88" t="s">
        <v>304</v>
      </c>
      <c r="K55" s="176" t="s">
        <v>210</v>
      </c>
      <c r="L55" s="131" t="s">
        <v>32</v>
      </c>
      <c r="M55" s="98" t="s">
        <v>180</v>
      </c>
      <c r="N55" s="145" t="s">
        <v>20</v>
      </c>
      <c r="O55" s="13"/>
    </row>
    <row r="56" spans="2:15" ht="26.65" thickBot="1" x14ac:dyDescent="0.5">
      <c r="E56" s="33"/>
      <c r="F56" s="171" t="s">
        <v>169</v>
      </c>
      <c r="G56" s="172" t="e">
        <f>2*Cbulk_recom/3</f>
        <v>#REF!</v>
      </c>
      <c r="H56" s="97" t="s">
        <v>54</v>
      </c>
      <c r="J56" s="88" t="s">
        <v>305</v>
      </c>
      <c r="K56" s="176" t="s">
        <v>210</v>
      </c>
      <c r="L56" s="131" t="s">
        <v>32</v>
      </c>
      <c r="M56" s="98" t="s">
        <v>180</v>
      </c>
      <c r="N56" s="145" t="s">
        <v>20</v>
      </c>
      <c r="O56" s="13"/>
    </row>
    <row r="57" spans="2:15" ht="39.4" x14ac:dyDescent="0.45">
      <c r="E57" s="33"/>
      <c r="F57" s="182" t="s">
        <v>185</v>
      </c>
      <c r="J57" s="88" t="s">
        <v>297</v>
      </c>
      <c r="K57" s="113" t="s">
        <v>211</v>
      </c>
      <c r="L57" s="115" t="s">
        <v>179</v>
      </c>
      <c r="M57" s="98" t="s">
        <v>12</v>
      </c>
      <c r="N57" s="17" t="s">
        <v>181</v>
      </c>
    </row>
    <row r="58" spans="2:15" ht="39.4" x14ac:dyDescent="0.45">
      <c r="E58" s="77"/>
      <c r="J58" s="88" t="s">
        <v>298</v>
      </c>
      <c r="K58" s="113" t="s">
        <v>211</v>
      </c>
      <c r="L58" s="115" t="s">
        <v>179</v>
      </c>
      <c r="M58" s="98" t="s">
        <v>12</v>
      </c>
      <c r="N58" s="17" t="s">
        <v>181</v>
      </c>
    </row>
    <row r="59" spans="2:15" x14ac:dyDescent="0.45">
      <c r="J59" s="177" t="s">
        <v>299</v>
      </c>
      <c r="K59" s="418" t="s">
        <v>183</v>
      </c>
      <c r="L59" s="131" t="e">
        <f>Vbulk_min_desired</f>
        <v>#REF!</v>
      </c>
      <c r="M59" s="421" t="s">
        <v>12</v>
      </c>
      <c r="N59" s="242"/>
    </row>
    <row r="60" spans="2:15" x14ac:dyDescent="0.45">
      <c r="J60" s="88" t="s">
        <v>300</v>
      </c>
      <c r="K60" s="419"/>
      <c r="L60" s="131" t="e">
        <f>Vbulk_min_desired</f>
        <v>#REF!</v>
      </c>
      <c r="M60" s="422"/>
      <c r="N60" s="243"/>
    </row>
    <row r="61" spans="2:15" x14ac:dyDescent="0.45">
      <c r="J61" s="88" t="s">
        <v>301</v>
      </c>
      <c r="K61" s="419"/>
      <c r="L61" s="131" t="e">
        <f>Vbulk_min_desired</f>
        <v>#REF!</v>
      </c>
      <c r="M61" s="422"/>
      <c r="N61" s="243"/>
    </row>
    <row r="62" spans="2:15" x14ac:dyDescent="0.45">
      <c r="J62" s="88" t="s">
        <v>302</v>
      </c>
      <c r="K62" s="419"/>
      <c r="L62" s="131" t="e">
        <f>Vbulk_min_desired</f>
        <v>#REF!</v>
      </c>
      <c r="M62" s="422"/>
      <c r="N62" s="243"/>
    </row>
    <row r="63" spans="2:15" x14ac:dyDescent="0.45">
      <c r="J63" s="88" t="s">
        <v>303</v>
      </c>
      <c r="K63" s="419"/>
      <c r="L63" s="131" t="e">
        <f>Vbulk_min_desired</f>
        <v>#REF!</v>
      </c>
      <c r="M63" s="422"/>
      <c r="N63" s="243"/>
    </row>
    <row r="64" spans="2:15" x14ac:dyDescent="0.45">
      <c r="J64" s="88" t="s">
        <v>297</v>
      </c>
      <c r="K64" s="419"/>
      <c r="L64" s="115">
        <f>Vin_min</f>
        <v>150</v>
      </c>
      <c r="M64" s="422"/>
      <c r="N64" s="243"/>
    </row>
    <row r="65" spans="10:14" x14ac:dyDescent="0.45">
      <c r="J65" s="88" t="s">
        <v>298</v>
      </c>
      <c r="K65" s="420"/>
      <c r="L65" s="115">
        <f>Vin_min</f>
        <v>150</v>
      </c>
      <c r="M65" s="422"/>
      <c r="N65" s="77"/>
    </row>
    <row r="66" spans="10:14" x14ac:dyDescent="0.45">
      <c r="J66" s="177" t="s">
        <v>299</v>
      </c>
      <c r="K66" s="415" t="s">
        <v>182</v>
      </c>
      <c r="L66" s="180">
        <f>SQRT(2)*Vin_max</f>
        <v>565.68542494923804</v>
      </c>
      <c r="M66" s="422" t="s">
        <v>12</v>
      </c>
    </row>
    <row r="67" spans="10:14" x14ac:dyDescent="0.45">
      <c r="J67" s="88" t="s">
        <v>300</v>
      </c>
      <c r="K67" s="416"/>
      <c r="L67" s="180">
        <f>SQRT(2)*Vin_max</f>
        <v>565.68542494923804</v>
      </c>
      <c r="M67" s="422"/>
    </row>
    <row r="68" spans="10:14" x14ac:dyDescent="0.45">
      <c r="J68" s="88" t="s">
        <v>301</v>
      </c>
      <c r="K68" s="416"/>
      <c r="L68" s="180">
        <f>SQRT(2)*Vin_max</f>
        <v>565.68542494923804</v>
      </c>
      <c r="M68" s="422"/>
    </row>
    <row r="69" spans="10:14" x14ac:dyDescent="0.45">
      <c r="J69" s="88" t="s">
        <v>302</v>
      </c>
      <c r="K69" s="416"/>
      <c r="L69" s="180">
        <f>SQRT(2)*Vin_max</f>
        <v>565.68542494923804</v>
      </c>
      <c r="M69" s="422"/>
    </row>
    <row r="70" spans="10:14" x14ac:dyDescent="0.45">
      <c r="J70" s="88" t="s">
        <v>303</v>
      </c>
      <c r="K70" s="416"/>
      <c r="L70" s="180">
        <f>SQRT(2)*Vin_max</f>
        <v>565.68542494923804</v>
      </c>
      <c r="M70" s="422"/>
    </row>
    <row r="71" spans="10:14" ht="14.65" thickBot="1" x14ac:dyDescent="0.5">
      <c r="J71" s="88" t="s">
        <v>297</v>
      </c>
      <c r="K71" s="416"/>
      <c r="L71" s="114">
        <f>Vin_max</f>
        <v>400</v>
      </c>
      <c r="M71" s="422"/>
    </row>
    <row r="72" spans="10:14" ht="14.65" thickBot="1" x14ac:dyDescent="0.5">
      <c r="J72" s="88" t="s">
        <v>298</v>
      </c>
      <c r="K72" s="417"/>
      <c r="L72" s="114">
        <f>Vin_max</f>
        <v>400</v>
      </c>
      <c r="M72" s="422"/>
    </row>
  </sheetData>
  <mergeCells count="23">
    <mergeCell ref="K66:K72"/>
    <mergeCell ref="K59:K65"/>
    <mergeCell ref="M59:M65"/>
    <mergeCell ref="M66:M72"/>
    <mergeCell ref="R3:U3"/>
    <mergeCell ref="R24:X24"/>
    <mergeCell ref="B4:C4"/>
    <mergeCell ref="I3:L3"/>
    <mergeCell ref="N3:P3"/>
    <mergeCell ref="F3:G3"/>
    <mergeCell ref="B3:C3"/>
    <mergeCell ref="F24:H24"/>
    <mergeCell ref="J43:N43"/>
    <mergeCell ref="B11:C11"/>
    <mergeCell ref="B12:C12"/>
    <mergeCell ref="F43:H43"/>
    <mergeCell ref="B16:C16"/>
    <mergeCell ref="B17:C17"/>
    <mergeCell ref="B18:C18"/>
    <mergeCell ref="B13:C13"/>
    <mergeCell ref="B14:C14"/>
    <mergeCell ref="B15:C15"/>
    <mergeCell ref="J24:P2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7314-4B4E-41A8-88D9-3B426684C1DD}">
  <sheetPr codeName="Sheet3"/>
  <dimension ref="A1:AB54"/>
  <sheetViews>
    <sheetView topLeftCell="B16" zoomScale="70" zoomScaleNormal="70" workbookViewId="0">
      <selection activeCell="U21" sqref="U21"/>
    </sheetView>
  </sheetViews>
  <sheetFormatPr defaultRowHeight="14.25" x14ac:dyDescent="0.45"/>
  <cols>
    <col min="2" max="2" width="12.53125" bestFit="1" customWidth="1"/>
  </cols>
  <sheetData>
    <row r="1" spans="1:25" ht="14.55" customHeight="1" x14ac:dyDescent="0.45">
      <c r="A1" s="428"/>
      <c r="B1" s="428"/>
      <c r="C1" s="428"/>
      <c r="D1" s="428"/>
      <c r="E1" s="428"/>
      <c r="F1" s="428"/>
      <c r="G1" s="428"/>
      <c r="H1" s="428"/>
      <c r="I1" s="428"/>
      <c r="J1" s="428"/>
      <c r="K1" s="428"/>
      <c r="L1" s="428"/>
      <c r="M1" s="428"/>
      <c r="N1" s="428"/>
      <c r="O1" s="428"/>
      <c r="P1" s="428"/>
      <c r="Q1" s="428"/>
      <c r="R1" s="428"/>
      <c r="S1" s="428"/>
      <c r="T1" s="428"/>
      <c r="U1" s="13"/>
      <c r="V1" s="13"/>
      <c r="W1" s="13"/>
      <c r="X1" s="13"/>
      <c r="Y1" s="13"/>
    </row>
    <row r="2" spans="1:25" ht="14.55" customHeight="1" x14ac:dyDescent="0.45">
      <c r="A2" s="428"/>
      <c r="B2" s="428"/>
      <c r="C2" s="428"/>
      <c r="D2" s="428"/>
      <c r="E2" s="428"/>
      <c r="F2" s="428"/>
      <c r="G2" s="428"/>
      <c r="H2" s="428"/>
      <c r="I2" s="428"/>
      <c r="J2" s="428"/>
      <c r="K2" s="428"/>
      <c r="L2" s="428"/>
      <c r="M2" s="428"/>
      <c r="N2" s="428"/>
      <c r="O2" s="428"/>
      <c r="P2" s="428"/>
      <c r="Q2" s="428"/>
      <c r="R2" s="428"/>
      <c r="S2" s="428"/>
      <c r="T2" s="428"/>
      <c r="U2" s="13"/>
      <c r="V2" s="13"/>
      <c r="W2" s="13"/>
      <c r="X2" s="13"/>
      <c r="Y2" s="13"/>
    </row>
    <row r="3" spans="1:25" ht="14.55" customHeight="1" x14ac:dyDescent="0.45">
      <c r="A3" s="428"/>
      <c r="B3" s="428"/>
      <c r="C3" s="428"/>
      <c r="D3" s="428"/>
      <c r="E3" s="428"/>
      <c r="F3" s="428"/>
      <c r="G3" s="428"/>
      <c r="H3" s="428"/>
      <c r="I3" s="428"/>
      <c r="J3" s="428"/>
      <c r="K3" s="428"/>
      <c r="L3" s="428"/>
      <c r="M3" s="428"/>
      <c r="N3" s="428"/>
      <c r="O3" s="428"/>
      <c r="P3" s="428"/>
      <c r="Q3" s="428"/>
      <c r="R3" s="428"/>
      <c r="S3" s="428"/>
      <c r="T3" s="428"/>
      <c r="U3" s="13"/>
      <c r="V3" s="13"/>
      <c r="W3" s="13"/>
      <c r="X3" s="13"/>
      <c r="Y3" s="13"/>
    </row>
    <row r="4" spans="1:25" ht="14.55" customHeight="1" x14ac:dyDescent="0.45">
      <c r="A4" s="428"/>
      <c r="B4" s="428"/>
      <c r="C4" s="428"/>
      <c r="D4" s="428"/>
      <c r="E4" s="428"/>
      <c r="F4" s="428"/>
      <c r="G4" s="428"/>
      <c r="H4" s="428"/>
      <c r="I4" s="428"/>
      <c r="J4" s="428"/>
      <c r="K4" s="428"/>
      <c r="L4" s="428"/>
      <c r="M4" s="428"/>
      <c r="N4" s="428"/>
      <c r="O4" s="428"/>
      <c r="P4" s="428"/>
      <c r="Q4" s="428"/>
      <c r="R4" s="428"/>
      <c r="S4" s="428"/>
      <c r="T4" s="428"/>
      <c r="U4" s="13"/>
      <c r="V4" s="13"/>
      <c r="W4" s="13"/>
      <c r="X4" s="13"/>
      <c r="Y4" s="13"/>
    </row>
    <row r="5" spans="1:25" ht="14.55" customHeight="1" x14ac:dyDescent="0.45">
      <c r="A5" s="428"/>
      <c r="B5" s="428"/>
      <c r="C5" s="428"/>
      <c r="D5" s="428"/>
      <c r="E5" s="428"/>
      <c r="F5" s="428"/>
      <c r="G5" s="428"/>
      <c r="H5" s="428"/>
      <c r="I5" s="428"/>
      <c r="J5" s="428"/>
      <c r="K5" s="428"/>
      <c r="L5" s="428"/>
      <c r="M5" s="428"/>
      <c r="N5" s="428"/>
      <c r="O5" s="428"/>
      <c r="P5" s="428"/>
      <c r="Q5" s="428"/>
      <c r="R5" s="428"/>
      <c r="S5" s="428"/>
      <c r="T5" s="428"/>
      <c r="U5" s="13"/>
      <c r="V5" s="13"/>
      <c r="Y5" s="13"/>
    </row>
    <row r="6" spans="1:25" ht="14.55" customHeight="1" x14ac:dyDescent="0.45">
      <c r="A6" s="428"/>
      <c r="B6" s="428"/>
      <c r="C6" s="428"/>
      <c r="D6" s="428"/>
      <c r="E6" s="428"/>
      <c r="F6" s="428"/>
      <c r="G6" s="428"/>
      <c r="H6" s="428"/>
      <c r="I6" s="428"/>
      <c r="J6" s="428"/>
      <c r="K6" s="428"/>
      <c r="L6" s="428"/>
      <c r="M6" s="428"/>
      <c r="N6" s="428"/>
      <c r="O6" s="428"/>
      <c r="P6" s="428"/>
      <c r="Q6" s="428"/>
      <c r="R6" s="428"/>
      <c r="S6" s="428"/>
      <c r="T6" s="428"/>
      <c r="U6" s="13"/>
      <c r="V6" s="13"/>
      <c r="Y6" s="13"/>
    </row>
    <row r="7" spans="1:25" ht="14.55" customHeight="1" x14ac:dyDescent="0.45">
      <c r="A7" s="428"/>
      <c r="B7" s="428"/>
      <c r="C7" s="428"/>
      <c r="D7" s="428"/>
      <c r="E7" s="428"/>
      <c r="F7" s="428"/>
      <c r="G7" s="428"/>
      <c r="H7" s="428"/>
      <c r="I7" s="428"/>
      <c r="J7" s="428"/>
      <c r="K7" s="428"/>
      <c r="L7" s="428"/>
      <c r="M7" s="428"/>
      <c r="N7" s="428"/>
      <c r="O7" s="428"/>
      <c r="P7" s="428"/>
      <c r="Q7" s="428"/>
      <c r="R7" s="428"/>
      <c r="S7" s="428"/>
      <c r="T7" s="428"/>
      <c r="U7" s="13"/>
      <c r="V7" s="13"/>
      <c r="Y7" s="13"/>
    </row>
    <row r="8" spans="1:25" ht="14.55" customHeight="1" x14ac:dyDescent="0.45">
      <c r="A8" s="428"/>
      <c r="B8" s="428"/>
      <c r="C8" s="428"/>
      <c r="D8" s="428"/>
      <c r="E8" s="428"/>
      <c r="F8" s="428"/>
      <c r="G8" s="428"/>
      <c r="H8" s="428"/>
      <c r="I8" s="428"/>
      <c r="J8" s="428"/>
      <c r="K8" s="428"/>
      <c r="L8" s="428"/>
      <c r="M8" s="428"/>
      <c r="N8" s="428"/>
      <c r="O8" s="428"/>
      <c r="P8" s="428"/>
      <c r="Q8" s="428"/>
      <c r="R8" s="428"/>
      <c r="S8" s="428"/>
      <c r="T8" s="428"/>
      <c r="U8" s="13"/>
      <c r="V8" s="13"/>
      <c r="Y8" s="13"/>
    </row>
    <row r="9" spans="1:25" ht="14.55" customHeight="1" x14ac:dyDescent="0.45">
      <c r="A9" s="428"/>
      <c r="B9" s="428"/>
      <c r="C9" s="428"/>
      <c r="D9" s="428"/>
      <c r="E9" s="428"/>
      <c r="F9" s="428"/>
      <c r="G9" s="428"/>
      <c r="H9" s="428"/>
      <c r="I9" s="428"/>
      <c r="J9" s="428"/>
      <c r="K9" s="428"/>
      <c r="L9" s="428"/>
      <c r="M9" s="428"/>
      <c r="N9" s="428"/>
      <c r="O9" s="428"/>
      <c r="P9" s="428"/>
      <c r="Q9" s="428"/>
      <c r="R9" s="428"/>
      <c r="S9" s="428"/>
      <c r="T9" s="428"/>
      <c r="V9" s="13"/>
      <c r="Y9" s="13"/>
    </row>
    <row r="10" spans="1:25" ht="14.55" customHeight="1" x14ac:dyDescent="0.45">
      <c r="A10" s="428"/>
      <c r="B10" s="428"/>
      <c r="C10" s="428"/>
      <c r="D10" s="428"/>
      <c r="E10" s="428"/>
      <c r="F10" s="428"/>
      <c r="G10" s="428"/>
      <c r="H10" s="428"/>
      <c r="I10" s="428"/>
      <c r="J10" s="428"/>
      <c r="K10" s="428"/>
      <c r="L10" s="428"/>
      <c r="M10" s="428"/>
      <c r="N10" s="428"/>
      <c r="O10" s="428"/>
      <c r="P10" s="428"/>
      <c r="Q10" s="428"/>
      <c r="R10" s="428"/>
      <c r="S10" s="428"/>
      <c r="T10" s="428"/>
      <c r="V10" s="13"/>
      <c r="Y10" s="13"/>
    </row>
    <row r="11" spans="1:25" ht="14.55" customHeight="1" x14ac:dyDescent="0.45">
      <c r="A11" s="428"/>
      <c r="B11" s="428"/>
      <c r="C11" s="428"/>
      <c r="D11" s="428"/>
      <c r="E11" s="428"/>
      <c r="F11" s="428"/>
      <c r="G11" s="428"/>
      <c r="H11" s="428"/>
      <c r="I11" s="428"/>
      <c r="J11" s="428"/>
      <c r="K11" s="428"/>
      <c r="L11" s="428"/>
      <c r="M11" s="428"/>
      <c r="N11" s="428"/>
      <c r="O11" s="428"/>
      <c r="P11" s="428"/>
      <c r="Q11" s="428"/>
      <c r="R11" s="428"/>
      <c r="S11" s="428"/>
      <c r="T11" s="428"/>
      <c r="U11" s="13"/>
      <c r="V11" s="13"/>
      <c r="Y11" s="13"/>
    </row>
    <row r="12" spans="1:25" ht="14.55" customHeight="1" x14ac:dyDescent="0.45">
      <c r="A12" s="428"/>
      <c r="B12" s="428"/>
      <c r="C12" s="428"/>
      <c r="D12" s="428"/>
      <c r="E12" s="428"/>
      <c r="F12" s="428"/>
      <c r="G12" s="428"/>
      <c r="H12" s="428"/>
      <c r="I12" s="428"/>
      <c r="J12" s="428"/>
      <c r="K12" s="428"/>
      <c r="L12" s="428"/>
      <c r="M12" s="428"/>
      <c r="N12" s="428"/>
      <c r="O12" s="428"/>
      <c r="P12" s="428"/>
      <c r="Q12" s="428"/>
      <c r="R12" s="428"/>
      <c r="S12" s="428"/>
      <c r="T12" s="428"/>
      <c r="U12" s="13"/>
      <c r="V12" s="13"/>
      <c r="Y12" s="13"/>
    </row>
    <row r="13" spans="1:25" ht="14.55" customHeight="1" x14ac:dyDescent="0.45">
      <c r="A13" s="428"/>
      <c r="B13" s="428"/>
      <c r="C13" s="428"/>
      <c r="D13" s="428"/>
      <c r="E13" s="428"/>
      <c r="F13" s="428"/>
      <c r="G13" s="428"/>
      <c r="H13" s="428"/>
      <c r="I13" s="428"/>
      <c r="J13" s="428"/>
      <c r="K13" s="428"/>
      <c r="L13" s="428"/>
      <c r="M13" s="428"/>
      <c r="N13" s="428"/>
      <c r="O13" s="428"/>
      <c r="P13" s="428"/>
      <c r="Q13" s="428"/>
      <c r="R13" s="428"/>
      <c r="S13" s="428"/>
      <c r="T13" s="428"/>
      <c r="U13" s="13"/>
      <c r="V13" s="13"/>
      <c r="Y13" s="13"/>
    </row>
    <row r="14" spans="1:25" ht="14.55" customHeight="1" x14ac:dyDescent="0.45">
      <c r="A14" s="428"/>
      <c r="B14" s="428"/>
      <c r="C14" s="428"/>
      <c r="D14" s="428"/>
      <c r="E14" s="428"/>
      <c r="F14" s="428"/>
      <c r="G14" s="428"/>
      <c r="H14" s="428"/>
      <c r="I14" s="428"/>
      <c r="J14" s="428"/>
      <c r="K14" s="428"/>
      <c r="L14" s="428"/>
      <c r="M14" s="428"/>
      <c r="N14" s="428"/>
      <c r="O14" s="428"/>
      <c r="P14" s="428"/>
      <c r="Q14" s="428"/>
      <c r="R14" s="428"/>
      <c r="S14" s="428"/>
      <c r="T14" s="428"/>
      <c r="U14" s="13"/>
      <c r="V14" s="13"/>
      <c r="Y14" s="13"/>
    </row>
    <row r="15" spans="1:25" ht="14.55" customHeight="1" x14ac:dyDescent="0.45">
      <c r="A15" s="428"/>
      <c r="B15" s="428"/>
      <c r="C15" s="428"/>
      <c r="D15" s="428"/>
      <c r="E15" s="428"/>
      <c r="F15" s="428"/>
      <c r="G15" s="428"/>
      <c r="H15" s="428"/>
      <c r="I15" s="428"/>
      <c r="J15" s="428"/>
      <c r="K15" s="428"/>
      <c r="L15" s="428"/>
      <c r="M15" s="428"/>
      <c r="N15" s="428"/>
      <c r="O15" s="428"/>
      <c r="P15" s="428"/>
      <c r="Q15" s="428"/>
      <c r="R15" s="428"/>
      <c r="S15" s="428"/>
      <c r="T15" s="428"/>
      <c r="U15" s="13"/>
      <c r="V15" s="13"/>
      <c r="Y15" s="13"/>
    </row>
    <row r="16" spans="1:25" ht="14.55" customHeight="1" x14ac:dyDescent="0.45">
      <c r="A16" s="428"/>
      <c r="B16" s="428"/>
      <c r="C16" s="428"/>
      <c r="D16" s="428"/>
      <c r="E16" s="428"/>
      <c r="F16" s="428"/>
      <c r="G16" s="428"/>
      <c r="H16" s="428"/>
      <c r="I16" s="428"/>
      <c r="J16" s="428"/>
      <c r="K16" s="428"/>
      <c r="L16" s="428"/>
      <c r="M16" s="428"/>
      <c r="N16" s="428"/>
      <c r="O16" s="428"/>
      <c r="P16" s="428"/>
      <c r="Q16" s="428"/>
      <c r="R16" s="428"/>
      <c r="S16" s="428"/>
      <c r="T16" s="428"/>
      <c r="U16" s="13"/>
      <c r="V16" s="13"/>
      <c r="Y16" s="13"/>
    </row>
    <row r="17" spans="1:25" ht="14.55" customHeight="1" x14ac:dyDescent="0.45">
      <c r="A17" s="428"/>
      <c r="B17" s="428"/>
      <c r="C17" s="428"/>
      <c r="D17" s="428"/>
      <c r="E17" s="428"/>
      <c r="F17" s="428"/>
      <c r="G17" s="428"/>
      <c r="H17" s="428"/>
      <c r="I17" s="428"/>
      <c r="J17" s="428"/>
      <c r="K17" s="428"/>
      <c r="L17" s="428"/>
      <c r="M17" s="428"/>
      <c r="N17" s="428"/>
      <c r="O17" s="428"/>
      <c r="P17" s="428"/>
      <c r="Q17" s="428"/>
      <c r="R17" s="428"/>
      <c r="S17" s="428"/>
      <c r="T17" s="428"/>
      <c r="U17" s="13"/>
      <c r="V17" s="13"/>
      <c r="Y17" s="13"/>
    </row>
    <row r="18" spans="1:25" ht="14.55" customHeight="1" x14ac:dyDescent="0.45">
      <c r="A18" s="428"/>
      <c r="B18" s="428"/>
      <c r="C18" s="428"/>
      <c r="D18" s="428"/>
      <c r="E18" s="428"/>
      <c r="F18" s="428"/>
      <c r="G18" s="428"/>
      <c r="H18" s="428"/>
      <c r="I18" s="428"/>
      <c r="J18" s="428"/>
      <c r="K18" s="428"/>
      <c r="L18" s="428"/>
      <c r="M18" s="428"/>
      <c r="N18" s="428"/>
      <c r="O18" s="428"/>
      <c r="P18" s="428"/>
      <c r="Q18" s="428"/>
      <c r="R18" s="428"/>
      <c r="S18" s="428"/>
      <c r="T18" s="428"/>
      <c r="U18" s="13"/>
      <c r="V18" s="13"/>
      <c r="Y18" s="13"/>
    </row>
    <row r="19" spans="1:25" ht="14.55" customHeight="1" x14ac:dyDescent="0.45">
      <c r="A19" s="428"/>
      <c r="B19" s="428"/>
      <c r="C19" s="428"/>
      <c r="D19" s="428"/>
      <c r="E19" s="428"/>
      <c r="F19" s="428"/>
      <c r="G19" s="428"/>
      <c r="H19" s="428"/>
      <c r="I19" s="428"/>
      <c r="J19" s="428"/>
      <c r="K19" s="428"/>
      <c r="L19" s="428"/>
      <c r="M19" s="428"/>
      <c r="N19" s="428"/>
      <c r="O19" s="428"/>
      <c r="P19" s="428"/>
      <c r="Q19" s="428"/>
      <c r="R19" s="428"/>
      <c r="S19" s="428"/>
      <c r="T19" s="428"/>
      <c r="U19" s="13"/>
      <c r="V19" s="13"/>
      <c r="Y19" s="13"/>
    </row>
    <row r="20" spans="1:25" ht="14.55" customHeight="1" x14ac:dyDescent="0.45">
      <c r="A20" s="428"/>
      <c r="B20" s="428"/>
      <c r="C20" s="428"/>
      <c r="D20" s="428"/>
      <c r="E20" s="428"/>
      <c r="F20" s="428"/>
      <c r="G20" s="428"/>
      <c r="H20" s="428"/>
      <c r="I20" s="428"/>
      <c r="J20" s="428"/>
      <c r="K20" s="428"/>
      <c r="L20" s="428"/>
      <c r="M20" s="428"/>
      <c r="N20" s="428"/>
      <c r="O20" s="428"/>
      <c r="P20" s="428"/>
      <c r="Q20" s="428"/>
      <c r="R20" s="428"/>
      <c r="S20" s="428"/>
      <c r="T20" s="428"/>
      <c r="U20" s="13"/>
      <c r="V20" s="13"/>
      <c r="Y20" s="13"/>
    </row>
    <row r="21" spans="1:25" ht="14.55" customHeight="1" x14ac:dyDescent="0.45">
      <c r="A21" s="428"/>
      <c r="B21" s="428"/>
      <c r="C21" s="428"/>
      <c r="D21" s="428"/>
      <c r="E21" s="428"/>
      <c r="F21" s="428"/>
      <c r="G21" s="428"/>
      <c r="H21" s="428"/>
      <c r="I21" s="428"/>
      <c r="J21" s="428"/>
      <c r="K21" s="428"/>
      <c r="L21" s="428"/>
      <c r="M21" s="428"/>
      <c r="N21" s="428"/>
      <c r="O21" s="428"/>
      <c r="P21" s="428"/>
      <c r="Q21" s="428"/>
      <c r="R21" s="428"/>
      <c r="S21" s="428"/>
      <c r="T21" s="428"/>
      <c r="U21" s="13"/>
      <c r="V21" s="13"/>
      <c r="Y21" s="13"/>
    </row>
    <row r="22" spans="1:25" ht="14.55" customHeight="1" x14ac:dyDescent="0.45">
      <c r="A22" s="428"/>
      <c r="B22" s="428"/>
      <c r="C22" s="428"/>
      <c r="D22" s="428"/>
      <c r="E22" s="428"/>
      <c r="F22" s="428"/>
      <c r="G22" s="428"/>
      <c r="H22" s="428"/>
      <c r="I22" s="428"/>
      <c r="J22" s="428"/>
      <c r="K22" s="428"/>
      <c r="L22" s="428"/>
      <c r="M22" s="428"/>
      <c r="N22" s="428"/>
      <c r="O22" s="428"/>
      <c r="P22" s="428"/>
      <c r="Q22" s="428"/>
      <c r="R22" s="428"/>
      <c r="S22" s="428"/>
      <c r="T22" s="428"/>
      <c r="U22" s="13"/>
      <c r="V22" s="13"/>
      <c r="Y22" s="13"/>
    </row>
    <row r="23" spans="1:25" ht="14.55" customHeight="1" x14ac:dyDescent="0.45">
      <c r="A23" s="428"/>
      <c r="B23" s="428"/>
      <c r="C23" s="428"/>
      <c r="D23" s="428"/>
      <c r="E23" s="428"/>
      <c r="F23" s="428"/>
      <c r="G23" s="428"/>
      <c r="H23" s="428"/>
      <c r="I23" s="428"/>
      <c r="J23" s="428"/>
      <c r="K23" s="428"/>
      <c r="L23" s="428"/>
      <c r="M23" s="428"/>
      <c r="N23" s="428"/>
      <c r="O23" s="428"/>
      <c r="P23" s="428"/>
      <c r="Q23" s="428"/>
      <c r="R23" s="428"/>
      <c r="S23" s="428"/>
      <c r="T23" s="428"/>
      <c r="U23" s="13"/>
      <c r="V23" s="13"/>
      <c r="Y23" s="13"/>
    </row>
    <row r="24" spans="1:25" ht="14.55" customHeight="1" x14ac:dyDescent="0.45">
      <c r="A24" s="428"/>
      <c r="B24" s="428"/>
      <c r="C24" s="428"/>
      <c r="D24" s="428"/>
      <c r="E24" s="428"/>
      <c r="F24" s="428"/>
      <c r="G24" s="428"/>
      <c r="H24" s="428"/>
      <c r="I24" s="428"/>
      <c r="J24" s="428"/>
      <c r="K24" s="428"/>
      <c r="L24" s="428"/>
      <c r="M24" s="428"/>
      <c r="N24" s="428"/>
      <c r="O24" s="428"/>
      <c r="P24" s="428"/>
      <c r="Q24" s="428"/>
      <c r="R24" s="428"/>
      <c r="S24" s="428"/>
      <c r="T24" s="428"/>
      <c r="U24" s="86"/>
      <c r="V24" s="86"/>
      <c r="W24" s="86"/>
      <c r="X24" s="86"/>
      <c r="Y24" s="86"/>
    </row>
    <row r="25" spans="1:25" ht="14.55" customHeight="1" x14ac:dyDescent="0.45">
      <c r="A25" s="428"/>
      <c r="B25" s="428"/>
      <c r="C25" s="428"/>
      <c r="D25" s="428"/>
      <c r="E25" s="428"/>
      <c r="F25" s="428"/>
      <c r="G25" s="428"/>
      <c r="H25" s="428"/>
      <c r="I25" s="428"/>
      <c r="J25" s="428"/>
      <c r="K25" s="428"/>
      <c r="L25" s="428"/>
      <c r="M25" s="428"/>
      <c r="N25" s="428"/>
      <c r="O25" s="428"/>
      <c r="P25" s="428"/>
      <c r="Q25" s="428"/>
      <c r="R25" s="428"/>
      <c r="S25" s="428"/>
      <c r="T25" s="428"/>
      <c r="U25" s="86"/>
      <c r="V25" s="86"/>
      <c r="W25" s="86"/>
      <c r="X25" s="86"/>
      <c r="Y25" s="86"/>
    </row>
    <row r="26" spans="1:25" ht="14.55" customHeight="1" x14ac:dyDescent="0.45">
      <c r="A26" s="428"/>
      <c r="B26" s="428"/>
      <c r="C26" s="428"/>
      <c r="D26" s="428"/>
      <c r="E26" s="428"/>
      <c r="F26" s="428"/>
      <c r="G26" s="428"/>
      <c r="H26" s="428"/>
      <c r="I26" s="428"/>
      <c r="J26" s="428"/>
      <c r="K26" s="428"/>
      <c r="L26" s="428"/>
      <c r="M26" s="428"/>
      <c r="N26" s="428"/>
      <c r="O26" s="428"/>
      <c r="P26" s="428"/>
      <c r="Q26" s="428"/>
      <c r="R26" s="428"/>
      <c r="S26" s="428"/>
      <c r="T26" s="428"/>
      <c r="U26" s="86"/>
      <c r="V26" s="86"/>
      <c r="W26" s="86"/>
      <c r="X26" s="86"/>
      <c r="Y26" s="86"/>
    </row>
    <row r="27" spans="1:25" ht="15" customHeight="1" x14ac:dyDescent="0.45">
      <c r="A27" s="428"/>
      <c r="B27" s="428"/>
      <c r="C27" s="428"/>
      <c r="D27" s="428"/>
      <c r="E27" s="428"/>
      <c r="F27" s="428"/>
      <c r="G27" s="428"/>
      <c r="H27" s="428"/>
      <c r="I27" s="428"/>
      <c r="J27" s="428"/>
      <c r="K27" s="428"/>
      <c r="L27" s="428"/>
      <c r="M27" s="428"/>
      <c r="N27" s="428"/>
      <c r="O27" s="428"/>
      <c r="P27" s="428"/>
      <c r="Q27" s="428"/>
      <c r="R27" s="428"/>
      <c r="S27" s="428"/>
      <c r="T27" s="428"/>
      <c r="U27" s="86"/>
      <c r="V27" s="86"/>
      <c r="W27" s="86"/>
      <c r="X27" s="86"/>
      <c r="Y27" s="86"/>
    </row>
    <row r="28" spans="1:25" ht="14.55" customHeight="1" x14ac:dyDescent="0.45">
      <c r="A28" s="428"/>
      <c r="B28" s="428"/>
      <c r="C28" s="428"/>
      <c r="D28" s="428"/>
      <c r="E28" s="428"/>
      <c r="F28" s="428"/>
      <c r="G28" s="428"/>
      <c r="H28" s="428"/>
      <c r="I28" s="428"/>
      <c r="J28" s="428"/>
      <c r="K28" s="428"/>
      <c r="L28" s="428"/>
      <c r="M28" s="428"/>
      <c r="N28" s="428"/>
      <c r="O28" s="428"/>
      <c r="P28" s="428"/>
      <c r="Q28" s="428"/>
      <c r="R28" s="428"/>
      <c r="S28" s="428"/>
      <c r="T28" s="428"/>
      <c r="U28" s="13"/>
      <c r="V28" s="13"/>
      <c r="W28" s="13"/>
      <c r="X28" s="13"/>
      <c r="Y28" s="13"/>
    </row>
    <row r="29" spans="1:25" ht="14.55" customHeight="1" x14ac:dyDescent="0.45">
      <c r="A29" s="428"/>
      <c r="B29" s="428"/>
      <c r="C29" s="428"/>
      <c r="D29" s="428"/>
      <c r="E29" s="428"/>
      <c r="F29" s="428"/>
      <c r="G29" s="428"/>
      <c r="H29" s="428"/>
      <c r="I29" s="428"/>
      <c r="J29" s="428"/>
      <c r="K29" s="428"/>
      <c r="L29" s="428"/>
      <c r="M29" s="428"/>
      <c r="N29" s="428"/>
      <c r="O29" s="428"/>
      <c r="P29" s="428"/>
      <c r="Q29" s="428"/>
      <c r="R29" s="428"/>
      <c r="S29" s="428"/>
      <c r="T29" s="428"/>
      <c r="U29" s="13"/>
      <c r="V29" s="13"/>
      <c r="W29" s="13"/>
      <c r="X29" s="13"/>
      <c r="Y29" s="13"/>
    </row>
    <row r="30" spans="1:25" s="13" customFormat="1" ht="14.55" customHeight="1" thickBot="1" x14ac:dyDescent="0.5">
      <c r="A30" s="429"/>
      <c r="B30" s="429"/>
      <c r="C30" s="429"/>
      <c r="D30" s="429"/>
      <c r="E30" s="429"/>
      <c r="F30" s="429"/>
      <c r="G30" s="429"/>
      <c r="H30" s="429"/>
      <c r="I30" s="429"/>
      <c r="J30" s="429"/>
      <c r="K30" s="429"/>
      <c r="L30" s="429"/>
      <c r="M30" s="429"/>
      <c r="N30" s="429"/>
      <c r="O30" s="429"/>
      <c r="P30" s="429"/>
      <c r="Q30" s="429"/>
      <c r="R30" s="429"/>
      <c r="S30" s="429"/>
      <c r="T30" s="429"/>
    </row>
    <row r="31" spans="1:25" ht="14.55" customHeight="1" x14ac:dyDescent="0.45">
      <c r="A31" s="430" t="s">
        <v>172</v>
      </c>
      <c r="B31" s="431"/>
      <c r="C31" s="431"/>
      <c r="D31" s="431"/>
      <c r="E31" s="431"/>
      <c r="F31" s="431"/>
      <c r="G31" s="431"/>
      <c r="H31" s="431"/>
      <c r="I31" s="431"/>
      <c r="J31" s="431"/>
      <c r="K31" s="431"/>
      <c r="L31" s="431"/>
      <c r="M31" s="431"/>
      <c r="N31" s="431"/>
      <c r="O31" s="431"/>
      <c r="P31" s="431"/>
      <c r="Q31" s="431"/>
      <c r="R31" s="431"/>
      <c r="S31" s="431"/>
      <c r="T31" s="432"/>
      <c r="U31" s="86"/>
      <c r="V31" s="86"/>
      <c r="W31" s="86"/>
      <c r="X31" s="86"/>
      <c r="Y31" s="86"/>
    </row>
    <row r="32" spans="1:25" ht="14.55" customHeight="1" thickBot="1" x14ac:dyDescent="0.5">
      <c r="A32" s="433"/>
      <c r="B32" s="434"/>
      <c r="C32" s="434"/>
      <c r="D32" s="434"/>
      <c r="E32" s="434"/>
      <c r="F32" s="434"/>
      <c r="G32" s="434"/>
      <c r="H32" s="434"/>
      <c r="I32" s="434"/>
      <c r="J32" s="434"/>
      <c r="K32" s="434"/>
      <c r="L32" s="434"/>
      <c r="M32" s="434"/>
      <c r="N32" s="434"/>
      <c r="O32" s="434"/>
      <c r="P32" s="434"/>
      <c r="Q32" s="434"/>
      <c r="R32" s="434"/>
      <c r="S32" s="434"/>
      <c r="T32" s="435"/>
      <c r="U32" s="86"/>
      <c r="V32" s="86"/>
      <c r="W32" s="86"/>
      <c r="X32" s="86"/>
      <c r="Y32" s="86"/>
    </row>
    <row r="34" spans="2:28" x14ac:dyDescent="0.45">
      <c r="B34" s="263" t="s">
        <v>408</v>
      </c>
      <c r="C34" s="263" t="str">
        <f>IF(Device="UCG28824-1","1","0")</f>
        <v>0</v>
      </c>
      <c r="AB34" s="9"/>
    </row>
    <row r="35" spans="2:28" x14ac:dyDescent="0.45">
      <c r="B35" s="257" t="s">
        <v>407</v>
      </c>
      <c r="C35" s="258" t="str">
        <f>IF(Device="UCG28828-1", "1",IF(Device="UCG28828-2","1", "0"))</f>
        <v>1</v>
      </c>
      <c r="G35" s="34"/>
      <c r="H35" s="34"/>
      <c r="I35" s="34"/>
      <c r="J35" s="34"/>
    </row>
    <row r="36" spans="2:28" x14ac:dyDescent="0.45">
      <c r="B36" s="257" t="s">
        <v>376</v>
      </c>
      <c r="C36" s="257" t="str">
        <f>'Compensator Circuit Design '!C56&amp;"kΩ"</f>
        <v>100kΩ</v>
      </c>
    </row>
    <row r="37" spans="2:28" x14ac:dyDescent="0.45">
      <c r="B37" s="257" t="s">
        <v>170</v>
      </c>
      <c r="C37" s="257"/>
    </row>
    <row r="38" spans="2:28" x14ac:dyDescent="0.45">
      <c r="B38" s="257" t="s">
        <v>402</v>
      </c>
      <c r="C38" s="257"/>
    </row>
    <row r="39" spans="2:28" x14ac:dyDescent="0.45">
      <c r="B39" s="257" t="s">
        <v>403</v>
      </c>
      <c r="C39" s="257" t="str">
        <f>ROUND(Csn_recom,2)&amp; "nF"</f>
        <v>22.71nF</v>
      </c>
    </row>
    <row r="40" spans="2:28" x14ac:dyDescent="0.45">
      <c r="B40" s="257" t="s">
        <v>404</v>
      </c>
      <c r="C40" s="257" t="str">
        <f>ROUND(Rsn_recom,2)&amp; "kΩ"</f>
        <v>49.02kΩ</v>
      </c>
    </row>
    <row r="41" spans="2:28" x14ac:dyDescent="0.45">
      <c r="B41" s="257" t="s">
        <v>405</v>
      </c>
      <c r="C41" s="257" t="str">
        <f>Nps_sel&amp;":1"</f>
        <v>8:1</v>
      </c>
    </row>
    <row r="42" spans="2:28" x14ac:dyDescent="0.45">
      <c r="B42" s="257" t="s">
        <v>406</v>
      </c>
      <c r="C42" s="257" t="str">
        <f>Cout_actual&amp;"µF"</f>
        <v>1000µF</v>
      </c>
    </row>
    <row r="43" spans="2:28" x14ac:dyDescent="0.45">
      <c r="B43" s="257" t="s">
        <v>129</v>
      </c>
      <c r="C43" s="257" t="str">
        <f>Rcdx&amp;"kΩ"</f>
        <v>22.6kΩ</v>
      </c>
    </row>
    <row r="44" spans="2:28" x14ac:dyDescent="0.45">
      <c r="B44" s="257" t="s">
        <v>171</v>
      </c>
      <c r="C44" s="257" t="str">
        <f>Rfcl&amp;"kΩ"</f>
        <v>28.7kΩ</v>
      </c>
    </row>
    <row r="45" spans="2:28" x14ac:dyDescent="0.45">
      <c r="B45" s="257" t="s">
        <v>121</v>
      </c>
      <c r="C45" s="257" t="str">
        <f>Ripk&amp;"kΩ"</f>
        <v>14.3kΩ</v>
      </c>
    </row>
    <row r="46" spans="2:28" x14ac:dyDescent="0.45">
      <c r="B46" s="257" t="s">
        <v>115</v>
      </c>
      <c r="C46" s="257" t="str">
        <f>Rtr&amp;"kΩ"</f>
        <v>174kΩ</v>
      </c>
    </row>
    <row r="47" spans="2:28" x14ac:dyDescent="0.45">
      <c r="B47" s="257" t="s">
        <v>107</v>
      </c>
      <c r="C47" s="257" t="str">
        <f>'Compensator Circuit Design '!C48 &amp;"pF"</f>
        <v>330pF</v>
      </c>
    </row>
    <row r="48" spans="2:28" x14ac:dyDescent="0.45">
      <c r="B48" s="257" t="s">
        <v>97</v>
      </c>
      <c r="C48" s="257" t="str">
        <f>ROUND('Compensator Circuit Design '!C40,2)&amp;"kΩ"</f>
        <v>2kΩ</v>
      </c>
    </row>
    <row r="49" spans="2:3" x14ac:dyDescent="0.45">
      <c r="B49" s="257" t="s">
        <v>91</v>
      </c>
      <c r="C49" s="257" t="str">
        <f>'Compensator Circuit Design '!C32&amp;"kΩ"</f>
        <v>2kΩ</v>
      </c>
    </row>
    <row r="50" spans="2:3" x14ac:dyDescent="0.45">
      <c r="B50" s="257" t="s">
        <v>386</v>
      </c>
      <c r="C50" s="257" t="str">
        <f>'Compensator Circuit Design '!C60&amp;"nF"</f>
        <v>22nF</v>
      </c>
    </row>
    <row r="51" spans="2:3" x14ac:dyDescent="0.45">
      <c r="B51" s="257" t="s">
        <v>381</v>
      </c>
      <c r="C51" s="257" t="str">
        <f>'Compensator Circuit Design '!C58&amp;"kΩ"</f>
        <v>49.9kΩ</v>
      </c>
    </row>
    <row r="52" spans="2:3" x14ac:dyDescent="0.45">
      <c r="B52" s="257" t="s">
        <v>371</v>
      </c>
      <c r="C52" s="257" t="str">
        <f>'Compensator Circuit Design '!C54&amp;"kΩ"</f>
        <v>100kΩ</v>
      </c>
    </row>
    <row r="53" spans="2:3" x14ac:dyDescent="0.45">
      <c r="B53" s="257" t="s">
        <v>393</v>
      </c>
      <c r="C53" s="257" t="str">
        <f>'Compensator Circuit Design '!C63&amp;"kΩ"</f>
        <v>10kΩ</v>
      </c>
    </row>
    <row r="54" spans="2:3" x14ac:dyDescent="0.45">
      <c r="B54" s="257" t="s">
        <v>398</v>
      </c>
      <c r="C54" s="257" t="str">
        <f>'Compensator Circuit Design '!C65&amp;"pF"</f>
        <v>680pF</v>
      </c>
    </row>
  </sheetData>
  <sheetProtection algorithmName="SHA-512" hashValue="GNfgE0bUGDBEtOtqylhvASZA1i/CxbFyD7v2Ag/Knh4fi03up7ohKvbxbJhpBSdkwD9KO3s9Ba3uJGx4JLyLgQ==" saltValue="gAV+6IOQBDzFfeZ95uaQgQ==" spinCount="100000" sheet="1" objects="1" scenarios="1"/>
  <mergeCells count="2">
    <mergeCell ref="A1:T30"/>
    <mergeCell ref="A31:T3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0A41F-41D6-46D4-BE75-98B045E7E641}">
  <sheetPr codeName="Sheet6"/>
  <dimension ref="B1:N17"/>
  <sheetViews>
    <sheetView zoomScale="85" zoomScaleNormal="80" workbookViewId="0">
      <selection activeCell="N9" sqref="N9"/>
    </sheetView>
  </sheetViews>
  <sheetFormatPr defaultRowHeight="14.25" x14ac:dyDescent="0.45"/>
  <cols>
    <col min="1" max="1" width="3.46484375" customWidth="1"/>
    <col min="3" max="3" width="8.73046875" style="13"/>
    <col min="5" max="5" width="15" customWidth="1"/>
    <col min="8" max="8" width="8.73046875" style="13"/>
    <col min="10" max="10" width="13.9296875" customWidth="1"/>
  </cols>
  <sheetData>
    <row r="1" spans="2:14" ht="14.65" thickBot="1" x14ac:dyDescent="0.5"/>
    <row r="2" spans="2:14" ht="14.65" thickBot="1" x14ac:dyDescent="0.5">
      <c r="B2" s="436" t="s">
        <v>190</v>
      </c>
      <c r="C2" s="437"/>
      <c r="D2" s="438"/>
      <c r="E2" s="439"/>
      <c r="G2" s="436" t="s">
        <v>193</v>
      </c>
      <c r="H2" s="437"/>
      <c r="I2" s="438"/>
      <c r="J2" s="439"/>
    </row>
    <row r="3" spans="2:14" ht="14.65" thickBot="1" x14ac:dyDescent="0.5">
      <c r="B3" s="196" t="s">
        <v>191</v>
      </c>
      <c r="C3" s="199" t="s">
        <v>194</v>
      </c>
      <c r="D3" s="197" t="s">
        <v>189</v>
      </c>
      <c r="E3" s="198" t="s">
        <v>192</v>
      </c>
      <c r="G3" s="196" t="s">
        <v>191</v>
      </c>
      <c r="H3" s="199" t="s">
        <v>194</v>
      </c>
      <c r="I3" s="197" t="s">
        <v>189</v>
      </c>
      <c r="J3" s="198" t="s">
        <v>192</v>
      </c>
    </row>
    <row r="4" spans="2:14" x14ac:dyDescent="0.45">
      <c r="B4" s="201">
        <v>100</v>
      </c>
      <c r="C4" s="202">
        <f>LOG10(B4)</f>
        <v>2</v>
      </c>
      <c r="D4" s="203">
        <v>32</v>
      </c>
      <c r="E4" s="23">
        <v>110</v>
      </c>
      <c r="G4" s="119">
        <v>100</v>
      </c>
      <c r="H4" s="202">
        <f>LOG10(G4)</f>
        <v>2</v>
      </c>
      <c r="I4" s="194">
        <v>32</v>
      </c>
      <c r="J4" s="195">
        <v>110</v>
      </c>
    </row>
    <row r="5" spans="2:14" x14ac:dyDescent="0.45">
      <c r="B5" s="116">
        <v>200</v>
      </c>
      <c r="C5" s="200">
        <f t="shared" ref="C5:C17" si="0">LOG10(B5)</f>
        <v>2.3010299956639813</v>
      </c>
      <c r="D5" s="191">
        <v>25</v>
      </c>
      <c r="E5" s="192">
        <v>80</v>
      </c>
      <c r="G5" s="116">
        <v>200</v>
      </c>
      <c r="H5" s="200">
        <f t="shared" ref="H5:H17" si="1">LOG10(G5)</f>
        <v>2.3010299956639813</v>
      </c>
      <c r="I5" s="191">
        <v>25</v>
      </c>
      <c r="J5" s="192">
        <v>80</v>
      </c>
    </row>
    <row r="6" spans="2:14" ht="14.65" thickBot="1" x14ac:dyDescent="0.5">
      <c r="B6" s="116">
        <f>B5+100</f>
        <v>300</v>
      </c>
      <c r="C6" s="200">
        <f t="shared" si="0"/>
        <v>2.4771212547196626</v>
      </c>
      <c r="D6" s="191">
        <v>21</v>
      </c>
      <c r="E6" s="192">
        <v>67</v>
      </c>
      <c r="G6" s="116">
        <f>G5+100</f>
        <v>300</v>
      </c>
      <c r="H6" s="200">
        <f t="shared" si="1"/>
        <v>2.4771212547196626</v>
      </c>
      <c r="I6" s="191">
        <v>21</v>
      </c>
      <c r="J6" s="192">
        <v>67</v>
      </c>
    </row>
    <row r="7" spans="2:14" ht="14.65" thickBot="1" x14ac:dyDescent="0.5">
      <c r="B7" s="116">
        <f t="shared" ref="B7:B13" si="2">B6+100</f>
        <v>400</v>
      </c>
      <c r="C7" s="200">
        <f t="shared" si="0"/>
        <v>2.6020599913279625</v>
      </c>
      <c r="D7" s="191">
        <v>17</v>
      </c>
      <c r="E7" s="192">
        <v>63</v>
      </c>
      <c r="G7" s="116">
        <f t="shared" ref="G7:G13" si="3">G6+100</f>
        <v>400</v>
      </c>
      <c r="H7" s="200">
        <f t="shared" si="1"/>
        <v>2.6020599913279625</v>
      </c>
      <c r="I7" s="191">
        <v>17</v>
      </c>
      <c r="J7" s="192">
        <v>63</v>
      </c>
      <c r="M7" s="394" t="s">
        <v>195</v>
      </c>
      <c r="N7" s="396"/>
    </row>
    <row r="8" spans="2:14" x14ac:dyDescent="0.45">
      <c r="B8" s="116">
        <f t="shared" si="2"/>
        <v>500</v>
      </c>
      <c r="C8" s="200">
        <f t="shared" si="0"/>
        <v>2.6989700043360187</v>
      </c>
      <c r="D8" s="191">
        <v>14</v>
      </c>
      <c r="E8" s="192">
        <v>60</v>
      </c>
      <c r="G8" s="116">
        <f t="shared" si="3"/>
        <v>500</v>
      </c>
      <c r="H8" s="200">
        <f t="shared" si="1"/>
        <v>2.6989700043360187</v>
      </c>
      <c r="I8" s="191">
        <v>14</v>
      </c>
      <c r="J8" s="192">
        <v>60</v>
      </c>
      <c r="M8" s="208" t="s">
        <v>188</v>
      </c>
      <c r="N8" s="207">
        <v>550</v>
      </c>
    </row>
    <row r="9" spans="2:14" x14ac:dyDescent="0.45">
      <c r="B9" s="116">
        <f t="shared" si="2"/>
        <v>600</v>
      </c>
      <c r="C9" s="200">
        <f t="shared" si="0"/>
        <v>2.7781512503836434</v>
      </c>
      <c r="D9" s="191">
        <v>12</v>
      </c>
      <c r="E9" s="192">
        <v>56</v>
      </c>
      <c r="G9" s="116">
        <f t="shared" si="3"/>
        <v>600</v>
      </c>
      <c r="H9" s="200">
        <f t="shared" si="1"/>
        <v>2.7781512503836434</v>
      </c>
      <c r="I9" s="191">
        <v>12</v>
      </c>
      <c r="J9" s="192">
        <v>56</v>
      </c>
      <c r="M9" s="209" t="s">
        <v>196</v>
      </c>
      <c r="N9" s="205">
        <f>-3.799*LOG10(N8)^2-8.0542*LOG10(N8)+63.643</f>
        <v>13.042647268051368</v>
      </c>
    </row>
    <row r="10" spans="2:14" ht="14.65" thickBot="1" x14ac:dyDescent="0.5">
      <c r="B10" s="116">
        <f t="shared" si="2"/>
        <v>700</v>
      </c>
      <c r="C10" s="200">
        <f t="shared" si="0"/>
        <v>2.8450980400142569</v>
      </c>
      <c r="D10" s="191">
        <v>10</v>
      </c>
      <c r="E10" s="192">
        <v>53</v>
      </c>
      <c r="G10" s="116">
        <f t="shared" si="3"/>
        <v>700</v>
      </c>
      <c r="H10" s="200">
        <f t="shared" si="1"/>
        <v>2.8450980400142569</v>
      </c>
      <c r="I10" s="191">
        <v>10</v>
      </c>
      <c r="J10" s="192">
        <v>53</v>
      </c>
      <c r="M10" s="210" t="s">
        <v>197</v>
      </c>
      <c r="N10" s="206">
        <f xml:space="preserve"> 28.622*LOG10(N8)^4 - 345.22*LOG10(N8)^3 + 1550.4*LOG10(N8)^2 - 3116.9*LOG10(N8) + 2446</f>
        <v>57.254400195383823</v>
      </c>
    </row>
    <row r="11" spans="2:14" x14ac:dyDescent="0.45">
      <c r="B11" s="116">
        <f t="shared" si="2"/>
        <v>800</v>
      </c>
      <c r="C11" s="200">
        <f t="shared" si="0"/>
        <v>2.9030899869919438</v>
      </c>
      <c r="D11" s="191">
        <v>8.5</v>
      </c>
      <c r="E11" s="192">
        <v>51</v>
      </c>
      <c r="G11" s="116">
        <f t="shared" si="3"/>
        <v>800</v>
      </c>
      <c r="H11" s="200">
        <f t="shared" si="1"/>
        <v>2.9030899869919438</v>
      </c>
      <c r="I11" s="191">
        <v>8.5</v>
      </c>
      <c r="J11" s="192">
        <v>51</v>
      </c>
      <c r="M11" s="211"/>
      <c r="N11" s="212"/>
    </row>
    <row r="12" spans="2:14" x14ac:dyDescent="0.45">
      <c r="B12" s="116">
        <f t="shared" si="2"/>
        <v>900</v>
      </c>
      <c r="C12" s="200">
        <f t="shared" si="0"/>
        <v>2.9542425094393248</v>
      </c>
      <c r="D12" s="191">
        <v>7</v>
      </c>
      <c r="E12" s="192">
        <v>48</v>
      </c>
      <c r="G12" s="116">
        <f t="shared" si="3"/>
        <v>900</v>
      </c>
      <c r="H12" s="200">
        <f t="shared" si="1"/>
        <v>2.9542425094393248</v>
      </c>
      <c r="I12" s="191">
        <v>7</v>
      </c>
      <c r="J12" s="192">
        <v>48</v>
      </c>
    </row>
    <row r="13" spans="2:14" x14ac:dyDescent="0.45">
      <c r="B13" s="116">
        <f t="shared" si="2"/>
        <v>1000</v>
      </c>
      <c r="C13" s="200">
        <f t="shared" si="0"/>
        <v>3</v>
      </c>
      <c r="D13" s="191">
        <v>5</v>
      </c>
      <c r="E13" s="192">
        <v>46</v>
      </c>
      <c r="G13" s="116">
        <f t="shared" si="3"/>
        <v>1000</v>
      </c>
      <c r="H13" s="200">
        <f t="shared" si="1"/>
        <v>3</v>
      </c>
      <c r="I13" s="191">
        <v>5</v>
      </c>
      <c r="J13" s="192">
        <v>46</v>
      </c>
    </row>
    <row r="14" spans="2:14" x14ac:dyDescent="0.45">
      <c r="B14" s="116">
        <f>B13+1000</f>
        <v>2000</v>
      </c>
      <c r="C14" s="200">
        <f t="shared" si="0"/>
        <v>3.3010299956639813</v>
      </c>
      <c r="D14" s="191">
        <v>-5</v>
      </c>
      <c r="E14" s="192">
        <v>30</v>
      </c>
      <c r="G14" s="116">
        <f>G13+1000</f>
        <v>2000</v>
      </c>
      <c r="H14" s="200">
        <f t="shared" si="1"/>
        <v>3.3010299956639813</v>
      </c>
      <c r="I14" s="191">
        <v>-5</v>
      </c>
      <c r="J14" s="192">
        <v>30</v>
      </c>
    </row>
    <row r="15" spans="2:14" x14ac:dyDescent="0.45">
      <c r="B15" s="116">
        <f t="shared" ref="B15:B17" si="4">B14+1000</f>
        <v>3000</v>
      </c>
      <c r="C15" s="200">
        <f t="shared" si="0"/>
        <v>3.4771212547196626</v>
      </c>
      <c r="D15" s="191">
        <v>-11</v>
      </c>
      <c r="E15" s="192">
        <v>25</v>
      </c>
      <c r="G15" s="116">
        <f t="shared" ref="G15:G17" si="5">G14+1000</f>
        <v>3000</v>
      </c>
      <c r="H15" s="200">
        <f t="shared" si="1"/>
        <v>3.4771212547196626</v>
      </c>
      <c r="I15" s="191">
        <v>-11</v>
      </c>
      <c r="J15" s="192">
        <v>25</v>
      </c>
    </row>
    <row r="16" spans="2:14" x14ac:dyDescent="0.45">
      <c r="B16" s="116">
        <f t="shared" si="4"/>
        <v>4000</v>
      </c>
      <c r="C16" s="200">
        <f t="shared" si="0"/>
        <v>3.6020599913279625</v>
      </c>
      <c r="D16" s="191">
        <v>-14.5</v>
      </c>
      <c r="E16" s="192">
        <v>20</v>
      </c>
      <c r="G16" s="116">
        <f t="shared" si="5"/>
        <v>4000</v>
      </c>
      <c r="H16" s="200">
        <f t="shared" si="1"/>
        <v>3.6020599913279625</v>
      </c>
      <c r="I16" s="191">
        <v>-14.5</v>
      </c>
      <c r="J16" s="192">
        <v>20</v>
      </c>
    </row>
    <row r="17" spans="2:10" ht="14.65" thickBot="1" x14ac:dyDescent="0.5">
      <c r="B17" s="117">
        <f t="shared" si="4"/>
        <v>5000</v>
      </c>
      <c r="C17" s="204">
        <f t="shared" si="0"/>
        <v>3.6989700043360187</v>
      </c>
      <c r="D17" s="193">
        <v>-17.5</v>
      </c>
      <c r="E17" s="14">
        <v>15</v>
      </c>
      <c r="G17" s="117">
        <f t="shared" si="5"/>
        <v>5000</v>
      </c>
      <c r="H17" s="204">
        <f t="shared" si="1"/>
        <v>3.6989700043360187</v>
      </c>
      <c r="I17" s="193">
        <v>-17.5</v>
      </c>
      <c r="J17" s="14">
        <v>15</v>
      </c>
    </row>
  </sheetData>
  <mergeCells count="3">
    <mergeCell ref="B2:E2"/>
    <mergeCell ref="G2:J2"/>
    <mergeCell ref="M7:N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74</vt:i4>
      </vt:variant>
    </vt:vector>
  </HeadingPairs>
  <TitlesOfParts>
    <vt:vector size="80" baseType="lpstr">
      <vt:lpstr>Power Circuit Design</vt:lpstr>
      <vt:lpstr>Compensator Circuit Design </vt:lpstr>
      <vt:lpstr>Device Pin Programming</vt:lpstr>
      <vt:lpstr>Data</vt:lpstr>
      <vt:lpstr>Schematics</vt:lpstr>
      <vt:lpstr>Plant Transfer Function</vt:lpstr>
      <vt:lpstr>Acore</vt:lpstr>
      <vt:lpstr>Bmax</vt:lpstr>
      <vt:lpstr>Cbulk\3</vt:lpstr>
      <vt:lpstr>Cbulk2\3</vt:lpstr>
      <vt:lpstr>Cout_actual</vt:lpstr>
      <vt:lpstr>Cout_ripple</vt:lpstr>
      <vt:lpstr>Cout_tran</vt:lpstr>
      <vt:lpstr>Csn_recom</vt:lpstr>
      <vt:lpstr>Device</vt:lpstr>
      <vt:lpstr>Dmax</vt:lpstr>
      <vt:lpstr>efficiency</vt:lpstr>
      <vt:lpstr>fc</vt:lpstr>
      <vt:lpstr>Fclamp</vt:lpstr>
      <vt:lpstr>Fsw_actual_LLFL</vt:lpstr>
      <vt:lpstr>Fsw_desired_LLFL</vt:lpstr>
      <vt:lpstr>Icbulk_rms</vt:lpstr>
      <vt:lpstr>Idbr_pk</vt:lpstr>
      <vt:lpstr>Iin_avg</vt:lpstr>
      <vt:lpstr>Iin_min</vt:lpstr>
      <vt:lpstr>Ipk_error</vt:lpstr>
      <vt:lpstr>Ipk_max</vt:lpstr>
      <vt:lpstr>Ipk_recom</vt:lpstr>
      <vt:lpstr>Ipk_recom_calc1</vt:lpstr>
      <vt:lpstr>Ipk_set</vt:lpstr>
      <vt:lpstr>Ipri_pk</vt:lpstr>
      <vt:lpstr>Isec_pk</vt:lpstr>
      <vt:lpstr>Isec_rms</vt:lpstr>
      <vt:lpstr>Llk</vt:lpstr>
      <vt:lpstr>Lm</vt:lpstr>
      <vt:lpstr>Lm_actual</vt:lpstr>
      <vt:lpstr>Lm_max_datasheet</vt:lpstr>
      <vt:lpstr>Lm_min_datasheet</vt:lpstr>
      <vt:lpstr>nF</vt:lpstr>
      <vt:lpstr>Np</vt:lpstr>
      <vt:lpstr>Nps_calc</vt:lpstr>
      <vt:lpstr>Nps_max</vt:lpstr>
      <vt:lpstr>Nps_recom</vt:lpstr>
      <vt:lpstr>Nps_sel</vt:lpstr>
      <vt:lpstr>Ns</vt:lpstr>
      <vt:lpstr>Over_Under_Shoot</vt:lpstr>
      <vt:lpstr>p</vt:lpstr>
      <vt:lpstr>Pin</vt:lpstr>
      <vt:lpstr>Pout_max</vt:lpstr>
      <vt:lpstr>Psn</vt:lpstr>
      <vt:lpstr>Rcdx</vt:lpstr>
      <vt:lpstr>Resr_actual</vt:lpstr>
      <vt:lpstr>Rfcl</vt:lpstr>
      <vt:lpstr>Ripk</vt:lpstr>
      <vt:lpstr>Rlead_max</vt:lpstr>
      <vt:lpstr>Rload</vt:lpstr>
      <vt:lpstr>Rsn_recom</vt:lpstr>
      <vt:lpstr>Rtr</vt:lpstr>
      <vt:lpstr>Sdiode</vt:lpstr>
      <vt:lpstr>tcharge</vt:lpstr>
      <vt:lpstr>Tdiode_cond</vt:lpstr>
      <vt:lpstr>Tdischarge</vt:lpstr>
      <vt:lpstr>Tline</vt:lpstr>
      <vt:lpstr>TR</vt:lpstr>
      <vt:lpstr>TR_actual</vt:lpstr>
      <vt:lpstr>TR_calc</vt:lpstr>
      <vt:lpstr>ucg28824_ipk</vt:lpstr>
      <vt:lpstr>ucg28826_ipk</vt:lpstr>
      <vt:lpstr>ucg28828_ipk</vt:lpstr>
      <vt:lpstr>Vbulk_max</vt:lpstr>
      <vt:lpstr>Vbulk_min</vt:lpstr>
      <vt:lpstr>Vin_max</vt:lpstr>
      <vt:lpstr>Vin_min</vt:lpstr>
      <vt:lpstr>Vos</vt:lpstr>
      <vt:lpstr>Vout_max</vt:lpstr>
      <vt:lpstr>Vout_min</vt:lpstr>
      <vt:lpstr>Vout_ripple</vt:lpstr>
      <vt:lpstr>Vovp</vt:lpstr>
      <vt:lpstr>Vsn</vt:lpstr>
      <vt:lpstr>Vsn_ripple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Karri, Satya Sai Praneeth</dc:creator>
  <cp:lastModifiedBy>Choudhary, Mansi</cp:lastModifiedBy>
  <dcterms:created xsi:type="dcterms:W3CDTF">2025-06-02T11:54:52Z</dcterms:created>
  <dcterms:modified xsi:type="dcterms:W3CDTF">2026-05-05T08:39:25Z</dcterms:modified>
</cp:coreProperties>
</file>