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490375\TI Drive\Old laptop data\BLDC\MCF\MCF8315_6_D\Conversion from C to D\"/>
    </mc:Choice>
  </mc:AlternateContent>
  <xr:revisionPtr revIDLastSave="0" documentId="13_ncr:1_{A3D92921-9A27-4E70-8081-EAC21E9F4F49}" xr6:coauthVersionLast="36" xr6:coauthVersionMax="36" xr10:uidLastSave="{00000000-0000-0000-0000-000000000000}"/>
  <workbookProtection workbookPassword="9C16" lockStructure="1"/>
  <bookViews>
    <workbookView xWindow="0" yWindow="0" windowWidth="11220" windowHeight="4545" xr2:uid="{9C127A9E-11F9-4B17-8DDE-9961229AA990}"/>
  </bookViews>
  <sheets>
    <sheet name="C to D Regmap Conversion Tool" sheetId="4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F5" i="4"/>
  <c r="K24" i="4" l="1"/>
  <c r="N24" i="4"/>
  <c r="O24" i="4" s="1"/>
  <c r="G24" i="4"/>
  <c r="D24" i="4"/>
  <c r="D23" i="4"/>
  <c r="F23" i="4" s="1"/>
  <c r="G23" i="4"/>
  <c r="D20" i="4"/>
  <c r="D19" i="4"/>
  <c r="N17" i="4"/>
  <c r="D17" i="4"/>
  <c r="H17" i="4"/>
  <c r="G17" i="4" l="1"/>
  <c r="D11" i="4" l="1"/>
  <c r="O8" i="4"/>
  <c r="Q15" i="4" l="1"/>
  <c r="J24" i="4" l="1"/>
  <c r="N15" i="4" l="1"/>
  <c r="N5" i="4"/>
  <c r="F20" i="4" l="1"/>
  <c r="D13" i="4"/>
  <c r="G12" i="4"/>
  <c r="G11" i="4"/>
  <c r="J7" i="4"/>
  <c r="G7" i="4"/>
  <c r="I7" i="4" s="1"/>
  <c r="D6" i="4"/>
  <c r="E6" i="4" s="1"/>
  <c r="J6" i="4"/>
  <c r="G6" i="4"/>
  <c r="I6" i="4" s="1"/>
  <c r="H12" i="4" l="1"/>
  <c r="I12" i="4"/>
  <c r="F6" i="4"/>
  <c r="D5" i="4"/>
  <c r="G4" i="4" l="1"/>
  <c r="D4" i="4"/>
  <c r="D3" i="4"/>
  <c r="E4" i="4" l="1"/>
  <c r="F4" i="4"/>
  <c r="F19" i="4" l="1"/>
  <c r="J12" i="4"/>
  <c r="L12" i="4" s="1"/>
  <c r="D12" i="4"/>
  <c r="E12" i="4" s="1"/>
  <c r="J11" i="4"/>
  <c r="K11" i="4" s="1"/>
  <c r="H11" i="4"/>
  <c r="E11" i="4"/>
  <c r="N11" i="4" s="1"/>
  <c r="N12" i="4" l="1"/>
  <c r="O12" i="4" s="1"/>
  <c r="P12" i="4" s="1"/>
  <c r="K12" i="4"/>
  <c r="O11" i="4"/>
  <c r="P11" i="4" s="1"/>
  <c r="I11" i="4"/>
  <c r="Q11" i="4" s="1"/>
  <c r="D21" i="4"/>
  <c r="E21" i="4" s="1"/>
  <c r="N22" i="4"/>
  <c r="O22" i="4" s="1"/>
  <c r="P22" i="4" s="1"/>
  <c r="D22" i="4"/>
  <c r="F22" i="4" s="1"/>
  <c r="Q22" i="4" s="1"/>
  <c r="N23" i="4"/>
  <c r="O23" i="4" s="1"/>
  <c r="P23" i="4" s="1"/>
  <c r="Q23" i="4"/>
  <c r="F24" i="4"/>
  <c r="Q12" i="4" l="1"/>
  <c r="M22" i="4"/>
  <c r="H23" i="4"/>
  <c r="M23" i="4"/>
  <c r="H24" i="4"/>
  <c r="I24" i="4"/>
  <c r="Q19" i="4"/>
  <c r="N20" i="4"/>
  <c r="O20" i="4" s="1"/>
  <c r="P20" i="4" s="1"/>
  <c r="G20" i="4"/>
  <c r="I20" i="4" s="1"/>
  <c r="N19" i="4"/>
  <c r="O19" i="4" s="1"/>
  <c r="P19" i="4" s="1"/>
  <c r="Q17" i="4"/>
  <c r="O17" i="4"/>
  <c r="P17" i="4" s="1"/>
  <c r="O26" i="4"/>
  <c r="P26" i="4" s="1"/>
  <c r="O25" i="4"/>
  <c r="P25" i="4" s="1"/>
  <c r="O18" i="4"/>
  <c r="P18" i="4" s="1"/>
  <c r="O16" i="4"/>
  <c r="P16" i="4" s="1"/>
  <c r="O14" i="4"/>
  <c r="P14" i="4" s="1"/>
  <c r="O13" i="4"/>
  <c r="P13" i="4" s="1"/>
  <c r="O9" i="4"/>
  <c r="P9" i="4" s="1"/>
  <c r="O10" i="4"/>
  <c r="P10" i="4" s="1"/>
  <c r="O5" i="4"/>
  <c r="P5" i="4" s="1"/>
  <c r="H21" i="4" l="1"/>
  <c r="N21" i="4" s="1"/>
  <c r="O21" i="4" s="1"/>
  <c r="P21" i="4" s="1"/>
  <c r="M20" i="4"/>
  <c r="Q20" i="4"/>
  <c r="M19" i="4"/>
  <c r="D15" i="4"/>
  <c r="D7" i="4"/>
  <c r="M4" i="4"/>
  <c r="M5" i="4"/>
  <c r="N26" i="4"/>
  <c r="N25" i="4"/>
  <c r="J3" i="4"/>
  <c r="G3" i="4"/>
  <c r="N8" i="4" l="1"/>
  <c r="P8" i="4" s="1"/>
  <c r="I17" i="4"/>
  <c r="M15" i="4"/>
  <c r="L6" i="4"/>
  <c r="K6" i="4"/>
  <c r="Q5" i="4"/>
  <c r="H7" i="4"/>
  <c r="N7" i="4" s="1"/>
  <c r="L7" i="4"/>
  <c r="H4" i="4"/>
  <c r="N4" i="4" s="1"/>
  <c r="O4" i="4" s="1"/>
  <c r="I4" i="4"/>
  <c r="J21" i="4"/>
  <c r="E3" i="4"/>
  <c r="N3" i="4" s="1"/>
  <c r="F3" i="4"/>
  <c r="H3" i="4"/>
  <c r="I3" i="4"/>
  <c r="K3" i="4"/>
  <c r="L3" i="4"/>
  <c r="O15" i="4"/>
  <c r="P15" i="4" s="1"/>
  <c r="M8" i="4"/>
  <c r="H6" i="4"/>
  <c r="N6" i="4" s="1"/>
  <c r="I21" i="4" l="1"/>
  <c r="Q21" i="4" s="1"/>
  <c r="O7" i="4"/>
  <c r="P7" i="4" s="1"/>
  <c r="O6" i="4"/>
  <c r="P6" i="4" s="1"/>
  <c r="Q7" i="4"/>
  <c r="Q4" i="4"/>
  <c r="M7" i="4"/>
  <c r="O3" i="4"/>
  <c r="P3" i="4" s="1"/>
  <c r="Q6" i="4"/>
  <c r="P4" i="4"/>
  <c r="M3" i="4"/>
  <c r="L24" i="4"/>
  <c r="Q24" i="4" s="1"/>
  <c r="P24" i="4"/>
  <c r="M24" i="4"/>
  <c r="Q3" i="4"/>
</calcChain>
</file>

<file path=xl/sharedStrings.xml><?xml version="1.0" encoding="utf-8"?>
<sst xmlns="http://schemas.openxmlformats.org/spreadsheetml/2006/main" count="109" uniqueCount="96">
  <si>
    <t>ISD_CONFIG</t>
  </si>
  <si>
    <t>0x80</t>
  </si>
  <si>
    <t>N</t>
  </si>
  <si>
    <t>REV_DRIVE_CONFIG</t>
  </si>
  <si>
    <t>0x82</t>
  </si>
  <si>
    <t>MOTOR_STARTUP1</t>
  </si>
  <si>
    <t>0x84</t>
  </si>
  <si>
    <t>MOTOR_STARTUP2</t>
  </si>
  <si>
    <t>0x86</t>
  </si>
  <si>
    <t>CLOSED_LOOP1</t>
  </si>
  <si>
    <t>0x88</t>
  </si>
  <si>
    <t>CLOSED_LOOP2</t>
  </si>
  <si>
    <t>0x8A</t>
  </si>
  <si>
    <t>CLOSED_LOOP3</t>
  </si>
  <si>
    <t>0X8C</t>
  </si>
  <si>
    <t>CLOSED_LOOP4</t>
  </si>
  <si>
    <t>0x8E</t>
  </si>
  <si>
    <t>FAULT_CONFIG1</t>
  </si>
  <si>
    <t>0x90</t>
  </si>
  <si>
    <t>FAULT_CONFIG2</t>
  </si>
  <si>
    <t>0x92</t>
  </si>
  <si>
    <t>REF_PROFILES1</t>
  </si>
  <si>
    <t>0x94</t>
  </si>
  <si>
    <t>REF_PROFILES2</t>
  </si>
  <si>
    <t>0x96</t>
  </si>
  <si>
    <t>REF_PROFILES3</t>
  </si>
  <si>
    <t>0x98</t>
  </si>
  <si>
    <t>REF_PROFILES4</t>
  </si>
  <si>
    <t>0x9A</t>
  </si>
  <si>
    <t>REF_PROFILES5</t>
  </si>
  <si>
    <t>0x9C</t>
  </si>
  <si>
    <t>REF_PROFILES6</t>
  </si>
  <si>
    <t>0x9E</t>
  </si>
  <si>
    <t>INT_ALGO_1</t>
  </si>
  <si>
    <t>0xA0</t>
  </si>
  <si>
    <t>INT_ALGO_2</t>
  </si>
  <si>
    <t>0xA2</t>
  </si>
  <si>
    <t>PIN_CONFIG</t>
  </si>
  <si>
    <t>0xA4</t>
  </si>
  <si>
    <t>DEVICE_CONFIG1</t>
  </si>
  <si>
    <t>0xA6</t>
  </si>
  <si>
    <t>DEVICE_CONFIG2</t>
  </si>
  <si>
    <t>0xA8</t>
  </si>
  <si>
    <t>PERI_CONFIG1</t>
  </si>
  <si>
    <t>0xAA</t>
  </si>
  <si>
    <t>GD_CONFIG1</t>
  </si>
  <si>
    <t>0xAC</t>
  </si>
  <si>
    <t>GD_CONFIG2</t>
  </si>
  <si>
    <t>0xAE</t>
  </si>
  <si>
    <t>Y</t>
  </si>
  <si>
    <t>Address</t>
  </si>
  <si>
    <t>Register name</t>
  </si>
  <si>
    <t>Bitfield 1 in C</t>
  </si>
  <si>
    <t>Bitfield 1 in D</t>
  </si>
  <si>
    <t>Bitfield 2 in C</t>
  </si>
  <si>
    <t>Bitfield 2 in D</t>
  </si>
  <si>
    <t>Bitfield 3 in C</t>
  </si>
  <si>
    <t>Register unchanged in D?</t>
  </si>
  <si>
    <t>Hex Value in C</t>
  </si>
  <si>
    <t>Hex Value in D</t>
  </si>
  <si>
    <t>Bitfield 1 Comment</t>
  </si>
  <si>
    <t>Bitfield 2 Comment</t>
  </si>
  <si>
    <t>Bitfield 3 in D</t>
  </si>
  <si>
    <t>Bitfield 3 Comment</t>
  </si>
  <si>
    <t>Binary Value in D</t>
  </si>
  <si>
    <t>00000000</t>
  </si>
  <si>
    <t>→ Minimum input duty (when REF_PROFILE_CONFIG = 0d) is set to 1%</t>
  </si>
  <si>
    <t>Change comments</t>
  </si>
  <si>
    <t>→ MTR_LCK_MODE bitfield value is set to maintain the same protection setting as in C version</t>
  </si>
  <si>
    <t xml:space="preserve">→ HW_LOCK_ILIMIT_MODE bitfield value is set to maintain the same protection setting as in C version
</t>
  </si>
  <si>
    <t xml:space="preserve">→ LOCK_ILIMIT_MODE bitfield value is set to maintain the same protection setting as in C version
</t>
  </si>
  <si>
    <t xml:space="preserve">→ VDC_FILTER bitfield value is set to maintain the same filter setting as in C version
</t>
  </si>
  <si>
    <t>28400000</t>
  </si>
  <si>
    <t>576D0520</t>
  </si>
  <si>
    <t>23BA6007</t>
  </si>
  <si>
    <t>30C180B6</t>
  </si>
  <si>
    <t>07A9CF90</t>
  </si>
  <si>
    <t>0A000007</t>
  </si>
  <si>
    <t>48D41194</t>
  </si>
  <si>
    <t>5668099B</t>
  </si>
  <si>
    <t>0019A6B3</t>
  </si>
  <si>
    <t>007FFFC2</t>
  </si>
  <si>
    <t>00200000</t>
  </si>
  <si>
    <t>1C420C00</t>
  </si>
  <si>
    <t>MCF831xC_to_MCF831xD_Regmap_Conversion_Tool_v1.0</t>
  </si>
  <si>
    <t>Register value changed in D?  Y/N</t>
  </si>
  <si>
    <t>→ Input duty hysteresis (when REF_PROFILE_CONFIG = 0d) is set to 1%</t>
  </si>
  <si>
    <r>
      <t xml:space="preserve">Directions - Fill in all cells in </t>
    </r>
    <r>
      <rPr>
        <b/>
        <u/>
        <sz val="12"/>
        <color theme="1"/>
        <rFont val="Calibri"/>
        <family val="2"/>
        <scheme val="minor"/>
      </rPr>
      <t>column C</t>
    </r>
    <r>
      <rPr>
        <b/>
        <sz val="12"/>
        <color theme="1"/>
        <rFont val="Calibri"/>
        <family val="2"/>
        <scheme val="minor"/>
      </rPr>
      <t xml:space="preserve"> with existing register configuration from the MCF831xC. Once all the cells are filled, copy values from </t>
    </r>
    <r>
      <rPr>
        <b/>
        <u/>
        <sz val="12"/>
        <color theme="1"/>
        <rFont val="Calibri"/>
        <family val="2"/>
        <scheme val="minor"/>
      </rPr>
      <t>column O</t>
    </r>
    <r>
      <rPr>
        <b/>
        <sz val="12"/>
        <color theme="1"/>
        <rFont val="Calibri"/>
        <family val="2"/>
        <scheme val="minor"/>
      </rPr>
      <t xml:space="preserve"> which are marked as changed</t>
    </r>
  </si>
  <si>
    <t>64312C21</t>
  </si>
  <si>
    <t>00000028</t>
  </si>
  <si>
    <t>00000600</t>
  </si>
  <si>
    <t>00000070</t>
  </si>
  <si>
    <t>20000000</t>
  </si>
  <si>
    <t>00000FFF</t>
  </si>
  <si>
    <t>00000006</t>
  </si>
  <si>
    <t>08000000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</si>
</sst>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4" borderId="2" applyNumberFormat="0" applyAlignment="0" applyProtection="0"/>
  </cellStyleXfs>
  <cellXfs count="50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49" fontId="0" fillId="0" borderId="7" xfId="0" applyNumberFormat="1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3" borderId="5" xfId="0" applyFont="1" applyFill="1" applyBorder="1" applyAlignment="1">
      <alignment horizontal="center" vertical="center" wrapText="1"/>
    </xf>
    <xf numFmtId="49" fontId="4" fillId="4" borderId="24" xfId="3" applyNumberFormat="1" applyBorder="1" applyAlignment="1" applyProtection="1">
      <alignment horizontal="left" vertical="center" wrapText="1"/>
      <protection locked="0"/>
    </xf>
    <xf numFmtId="49" fontId="4" fillId="4" borderId="25" xfId="3" applyNumberFormat="1" applyBorder="1" applyAlignment="1" applyProtection="1">
      <alignment horizontal="left" vertical="center" wrapText="1"/>
      <protection locked="0"/>
    </xf>
    <xf numFmtId="49" fontId="4" fillId="4" borderId="25" xfId="3" applyNumberFormat="1" applyBorder="1" applyAlignment="1" applyProtection="1">
      <alignment vertical="center"/>
      <protection locked="0"/>
    </xf>
    <xf numFmtId="49" fontId="4" fillId="4" borderId="26" xfId="3" applyNumberFormat="1" applyBorder="1" applyAlignment="1" applyProtection="1">
      <alignment vertical="center"/>
      <protection locked="0"/>
    </xf>
    <xf numFmtId="0" fontId="0" fillId="0" borderId="27" xfId="0" applyBorder="1" applyAlignment="1">
      <alignment vertical="top" wrapText="1"/>
    </xf>
    <xf numFmtId="0" fontId="0" fillId="7" borderId="19" xfId="0" applyFill="1" applyBorder="1" applyAlignment="1">
      <alignment vertical="center" wrapText="1"/>
    </xf>
    <xf numFmtId="0" fontId="0" fillId="7" borderId="20" xfId="0" applyFill="1" applyBorder="1" applyAlignment="1">
      <alignment vertical="center" wrapText="1"/>
    </xf>
    <xf numFmtId="49" fontId="0" fillId="7" borderId="20" xfId="0" applyNumberFormat="1" applyFill="1" applyBorder="1" applyAlignment="1">
      <alignment vertical="center" wrapText="1"/>
    </xf>
    <xf numFmtId="49" fontId="0" fillId="7" borderId="22" xfId="0" applyNumberFormat="1" applyFill="1" applyBorder="1" applyAlignment="1">
      <alignment vertical="center" wrapText="1"/>
    </xf>
    <xf numFmtId="0" fontId="0" fillId="8" borderId="0" xfId="0" applyFill="1" applyAlignment="1">
      <alignment vertical="top" wrapText="1"/>
    </xf>
    <xf numFmtId="0" fontId="0" fillId="8" borderId="0" xfId="0" applyFill="1" applyAlignment="1">
      <alignment horizontal="left" vertical="top" wrapText="1"/>
    </xf>
    <xf numFmtId="0" fontId="0" fillId="8" borderId="0" xfId="0" applyFill="1" applyAlignment="1">
      <alignment vertical="center" wrapText="1"/>
    </xf>
    <xf numFmtId="1" fontId="0" fillId="0" borderId="6" xfId="0" applyNumberFormat="1" applyBorder="1" applyAlignment="1">
      <alignment vertical="top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</cellXfs>
  <cellStyles count="4">
    <cellStyle name="Input" xfId="3" builtinId="20"/>
    <cellStyle name="Normal" xfId="0" builtinId="0"/>
    <cellStyle name="Normal 2" xfId="1" xr:uid="{6A7A24A3-CFF3-4A46-AA78-24C20504C055}"/>
    <cellStyle name="Normal 6" xfId="2" xr:uid="{3CB51323-C1E9-4E8F-B97B-5B746A23D6AF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4CD7-9E28-48E2-880B-1A5D6B5E5AC7}">
  <dimension ref="A1:Q26"/>
  <sheetViews>
    <sheetView tabSelected="1" zoomScaleNormal="100" workbookViewId="0">
      <pane xSplit="3" ySplit="2" topLeftCell="D18" activePane="bottomRight" state="frozen"/>
      <selection pane="topRight" activeCell="D1" sqref="D1"/>
      <selection pane="bottomLeft" activeCell="A2" sqref="A2"/>
      <selection pane="bottomRight" activeCell="C26" sqref="C26"/>
    </sheetView>
  </sheetViews>
  <sheetFormatPr defaultColWidth="8.7109375" defaultRowHeight="15" x14ac:dyDescent="0.25"/>
  <cols>
    <col min="1" max="1" width="24.85546875" style="41" customWidth="1"/>
    <col min="2" max="2" width="12" style="41" customWidth="1"/>
    <col min="3" max="3" width="15.5703125" style="41" customWidth="1"/>
    <col min="4" max="4" width="19" style="41" hidden="1" customWidth="1"/>
    <col min="5" max="5" width="13.28515625" style="41" hidden="1" customWidth="1"/>
    <col min="6" max="6" width="94.140625" style="41" hidden="1" customWidth="1"/>
    <col min="7" max="7" width="13.7109375" style="41" hidden="1" customWidth="1"/>
    <col min="8" max="8" width="16.140625" style="41" hidden="1" customWidth="1"/>
    <col min="9" max="9" width="115.140625" style="41" hidden="1" customWidth="1"/>
    <col min="10" max="10" width="11.7109375" style="41" hidden="1" customWidth="1"/>
    <col min="11" max="11" width="11.140625" style="41" hidden="1" customWidth="1"/>
    <col min="12" max="12" width="32" style="41" hidden="1" customWidth="1"/>
    <col min="13" max="13" width="14.7109375" style="41" hidden="1" customWidth="1"/>
    <col min="14" max="14" width="39.28515625" style="42" hidden="1" customWidth="1"/>
    <col min="15" max="15" width="16.5703125" style="43" customWidth="1"/>
    <col min="16" max="16" width="18.140625" style="43" customWidth="1"/>
    <col min="17" max="17" width="112.5703125" style="41" customWidth="1"/>
    <col min="18" max="16384" width="8.7109375" style="41"/>
  </cols>
  <sheetData>
    <row r="1" spans="1:17" ht="33" customHeight="1" thickBot="1" x14ac:dyDescent="0.3">
      <c r="A1" s="45" t="s">
        <v>84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48" t="s">
        <v>87</v>
      </c>
      <c r="Q1" s="49"/>
    </row>
    <row r="2" spans="1:17" ht="56.25" customHeight="1" thickBot="1" x14ac:dyDescent="0.3">
      <c r="A2" s="16" t="s">
        <v>51</v>
      </c>
      <c r="B2" s="17" t="s">
        <v>50</v>
      </c>
      <c r="C2" s="31" t="s">
        <v>58</v>
      </c>
      <c r="D2" s="18" t="s">
        <v>52</v>
      </c>
      <c r="E2" s="19" t="s">
        <v>53</v>
      </c>
      <c r="F2" s="19" t="s">
        <v>60</v>
      </c>
      <c r="G2" s="19" t="s">
        <v>54</v>
      </c>
      <c r="H2" s="19" t="s">
        <v>55</v>
      </c>
      <c r="I2" s="19" t="s">
        <v>61</v>
      </c>
      <c r="J2" s="19" t="s">
        <v>56</v>
      </c>
      <c r="K2" s="19" t="s">
        <v>62</v>
      </c>
      <c r="L2" s="19" t="s">
        <v>63</v>
      </c>
      <c r="M2" s="19" t="s">
        <v>57</v>
      </c>
      <c r="N2" s="19" t="s">
        <v>64</v>
      </c>
      <c r="O2" s="20" t="s">
        <v>59</v>
      </c>
      <c r="P2" s="16" t="s">
        <v>85</v>
      </c>
      <c r="Q2" s="17" t="s">
        <v>67</v>
      </c>
    </row>
    <row r="3" spans="1:17" ht="68.45" customHeight="1" x14ac:dyDescent="0.25">
      <c r="A3" s="12" t="s">
        <v>0</v>
      </c>
      <c r="B3" s="13" t="s">
        <v>1</v>
      </c>
      <c r="C3" s="32" t="s">
        <v>88</v>
      </c>
      <c r="D3" s="29">
        <f>BIN2DEC(MID(HEX2BIN(MID(C3,2,2),8),3,4))</f>
        <v>0</v>
      </c>
      <c r="E3" s="14">
        <f>IF(D3 &gt; 9, 9, D3)</f>
        <v>0</v>
      </c>
      <c r="F3" s="14" t="str">
        <f>IF(D3&gt;9, "→ FW_DRV_RESYN_THR has changed to 50%
","")</f>
        <v/>
      </c>
      <c r="G3" s="14">
        <f>BIN2DEC(MID(HEX2BIN(MID(C3,4,1),4),1,3))</f>
        <v>0</v>
      </c>
      <c r="H3" s="14">
        <f>IF(G3 &gt; 5, 5, G3)</f>
        <v>0</v>
      </c>
      <c r="I3" s="14" t="str">
        <f>IF(G3&gt;5, "→ BRK_CURR_THR has changed to 2A
","")</f>
        <v/>
      </c>
      <c r="J3" s="14">
        <f>BIN2DEC(MID(HEX2BIN(MID(C3,7,2),8),3,4))</f>
        <v>8</v>
      </c>
      <c r="K3" s="14">
        <f>IF(J3 &gt; 10, 10, J3)</f>
        <v>8</v>
      </c>
      <c r="L3" s="14" t="str">
        <f>IF(J3&gt;10, "→ REV_DRV_HANDOFF_THR has changed to 50%
","")</f>
        <v/>
      </c>
      <c r="M3" s="14" t="str">
        <f>IF(AND(D3=E3,G3=H3,J3=K3),"Y", "N")</f>
        <v>Y</v>
      </c>
      <c r="N3" s="15" t="str">
        <f>_xlfn.CONCAT(MID((HEX2BIN(MID(C3,1,2),8)),1,6),DEC2BIN(E3,4),MID(HEX2BIN(MID(C3,3,1),4),3,2),DEC2BIN(H3,3), MID(HEX2BIN(MID(C3,4,1),4),4,1),HEX2BIN(MID(C3,5,2),8),MID(HEX2BIN(MID(C3,7,1),4),1,2),DEC2BIN(K3,4),MID(HEX2BIN(MID(C3,8,1),4),3,2))</f>
        <v>01100100001100010010110000100001</v>
      </c>
      <c r="O3" s="37" t="str">
        <f t="shared" ref="O3:O7" si="0">_xlfn.CONCAT(BIN2HEX(MID(N3,1,8),2),BIN2HEX(MID(N3,9,8),2),BIN2HEX(MID(N3,17,8),2),BIN2HEX(MID(N3,25,8),2))</f>
        <v>64312C21</v>
      </c>
      <c r="P3" s="21" t="str">
        <f>IF(C3&lt;&gt;O3,"Y","N")</f>
        <v>N</v>
      </c>
      <c r="Q3" s="22" t="str">
        <f xml:space="preserve"> _xlfn.CONCAT(F3,I3,L3)</f>
        <v/>
      </c>
    </row>
    <row r="4" spans="1:17" ht="64.5" customHeight="1" x14ac:dyDescent="0.25">
      <c r="A4" s="5" t="s">
        <v>3</v>
      </c>
      <c r="B4" s="6" t="s">
        <v>4</v>
      </c>
      <c r="C4" s="33" t="s">
        <v>72</v>
      </c>
      <c r="D4" s="30">
        <f>BIN2DEC(MID(HEX2BIN(MID(C4,1,2),8),2,4))</f>
        <v>5</v>
      </c>
      <c r="E4" s="1">
        <f>IF(D4 = 1, 0, D4)</f>
        <v>5</v>
      </c>
      <c r="F4" s="4" t="str">
        <f>IF(D4&lt;=1,"→ REV_DRV_OPEN_LOOP_ACCEL_A1 has changed to 0.1Hz/s", "")</f>
        <v/>
      </c>
      <c r="G4" s="1">
        <f>BIN2DEC(MID(HEX2BIN(MID(C4,2,2),8),2,4))</f>
        <v>0</v>
      </c>
      <c r="H4" s="1">
        <f>G4</f>
        <v>0</v>
      </c>
      <c r="I4" s="1" t="str">
        <f>IF(G4=1,"→ REV_DRV_OPEN_LOOP_ACCEL_A2 has changed to 0.5Hz/s","")</f>
        <v/>
      </c>
      <c r="J4" s="1"/>
      <c r="K4" s="1"/>
      <c r="L4" s="1"/>
      <c r="M4" s="1" t="str">
        <f>IF(OR(D4&lt;=1, G4=1),"N", "Y")</f>
        <v>Y</v>
      </c>
      <c r="N4" s="2" t="str">
        <f>_xlfn.CONCAT(MID((HEX2BIN(MID(C4,1,1),4)),1,1),DEC2BIN(E4,4),DEC2BIN(H4,4),MID(HEX2BIN(MID(C4,3,1),4),2,3),HEX2BIN(MID(C4,4,2),8),HEX2BIN(MID(C4,6,2),8),HEX2BIN(MID(C4,8,1),4))</f>
        <v>00101000010000000000000000000000</v>
      </c>
      <c r="O4" s="38" t="str">
        <f>_xlfn.CONCAT(BIN2HEX(MID(N4,1,8),2),BIN2HEX(MID(N4,9,8),2),BIN2HEX(MID(N4,17,8),2),BIN2HEX(MID(N4,25,8),2))</f>
        <v>28400000</v>
      </c>
      <c r="P4" s="23" t="str">
        <f t="shared" ref="P4:P26" si="1">IF(C4&lt;&gt;O4,"Y","N")</f>
        <v>N</v>
      </c>
      <c r="Q4" s="24" t="str">
        <f xml:space="preserve"> _xlfn.CONCAT(F4,I4)</f>
        <v/>
      </c>
    </row>
    <row r="5" spans="1:17" ht="86.1" customHeight="1" x14ac:dyDescent="0.25">
      <c r="A5" s="5" t="s">
        <v>5</v>
      </c>
      <c r="B5" s="6" t="s">
        <v>6</v>
      </c>
      <c r="C5" s="33" t="s">
        <v>73</v>
      </c>
      <c r="D5" s="30">
        <f>BIN2DEC(MID(HEX2BIN(MID(C5,8,1),4),1,1))</f>
        <v>0</v>
      </c>
      <c r="E5" s="1">
        <v>0</v>
      </c>
      <c r="F5" s="1" t="str">
        <f>IF(D5=1,"→ Open loop current limit is set by OL_ILIMIT and not by ILIMIT. Set OL_ILIMIT = ILIMIT","")</f>
        <v/>
      </c>
      <c r="G5" s="1"/>
      <c r="H5" s="1"/>
      <c r="I5" s="1"/>
      <c r="J5" s="1"/>
      <c r="K5" s="1"/>
      <c r="L5" s="1"/>
      <c r="M5" s="1" t="str">
        <f>IF(D5=1,"N","Y")</f>
        <v>Y</v>
      </c>
      <c r="N5" s="2" t="str">
        <f>_xlfn.CONCAT(HEX2BIN(MID(C5,1,2),8),HEX2BIN(MID(C5,3,2),8),HEX2BIN(MID(C5,5,2),8), HEX2BIN(MID(C5,7,1),4), DEC2BIN(E5,1),MID(HEX2BIN(MID(C5,8,1),4),2,3))</f>
        <v>01010111011011010000010100100000</v>
      </c>
      <c r="O5" s="38" t="str">
        <f t="shared" si="0"/>
        <v>576D0520</v>
      </c>
      <c r="P5" s="23" t="str">
        <f t="shared" si="1"/>
        <v>N</v>
      </c>
      <c r="Q5" s="24" t="str">
        <f>F5</f>
        <v/>
      </c>
    </row>
    <row r="6" spans="1:17" ht="105" customHeight="1" x14ac:dyDescent="0.25">
      <c r="A6" s="5" t="s">
        <v>7</v>
      </c>
      <c r="B6" s="6" t="s">
        <v>8</v>
      </c>
      <c r="C6" s="33" t="s">
        <v>74</v>
      </c>
      <c r="D6" s="30">
        <f>BIN2DEC(MID(HEX2BIN(MID(C6,2,2),8),2,4))</f>
        <v>7</v>
      </c>
      <c r="E6" s="1">
        <f>IF(D6 = 1, 0, D6)</f>
        <v>7</v>
      </c>
      <c r="F6" s="1" t="str">
        <f>IF(D6 &lt;= 1,"→ OL_ACC_A1 has changed to 0.1Hz/s","")</f>
        <v/>
      </c>
      <c r="G6" s="1">
        <f>BIN2DEC(MID(HEX2BIN(MID(C6,3,2),8),2,4))</f>
        <v>7</v>
      </c>
      <c r="H6" s="1">
        <f>G6</f>
        <v>7</v>
      </c>
      <c r="I6" s="1" t="str">
        <f>IF(G6=1,"→ OL_ACC_A2 has changed to 0.5Hz/s","")</f>
        <v/>
      </c>
      <c r="J6" s="1">
        <f>BIN2DEC(MID(HEX2BIN(MID(C6,7,1),4),1,4))</f>
        <v>0</v>
      </c>
      <c r="K6" s="1">
        <f>IF(J6&gt;10,15,(IF(J6&lt;=3,J6*2+4,(IF(J6=4,11,(IF(J6&lt;=6,12,IF(J6&lt;=8,13,IF(J6=9,14,IF(J6=10,15,""))))))))))</f>
        <v>4</v>
      </c>
      <c r="L6" s="1" t="str">
        <f>IF(J6&gt;10,"→ Slow first cycle frequency reduced to 25% of MAX_SPEED",(IF(J6=6,"→ Slow first cycle frequency reduced to 10% of MAX_SPEED",IF(J6=8,"→ Slow first cycle frequency reduced to 15% of MAX_SPEED","→ Slow first cycle frequency set to same value as in C version"))))</f>
        <v>→ Slow first cycle frequency set to same value as in C version</v>
      </c>
      <c r="M6" s="1" t="s">
        <v>2</v>
      </c>
      <c r="N6" s="2" t="str">
        <f>_xlfn.CONCAT(HEX2BIN(MID(C6,1,1),4), DEC2BIN(1,1), DEC2BIN(E6,4), DEC2BIN(H6,4), MID(HEX2BIN(MID(C6,4,2),8),2,7), HEX2BIN(MID(C6,6,1),4), DEC2BIN(K6,4), HEX2BIN(MID(C6,8,1),4))</f>
        <v>00101011101110100110000001000111</v>
      </c>
      <c r="O6" s="38" t="str">
        <f>_xlfn.CONCAT(BIN2HEX(MID(N6,1,8),2),BIN2HEX(MID(N6,9,8),2),BIN2HEX(MID(N6,17,8),2),BIN2HEX(MID(N6,25,8),2))</f>
        <v>2BBA6047</v>
      </c>
      <c r="P6" s="23" t="str">
        <f t="shared" si="1"/>
        <v>Y</v>
      </c>
      <c r="Q6" s="24" t="str">
        <f xml:space="preserve"> _xlfn.CONCAT(F6,I6,L6)</f>
        <v>→ Slow first cycle frequency set to same value as in C version</v>
      </c>
    </row>
    <row r="7" spans="1:17" ht="66.95" customHeight="1" x14ac:dyDescent="0.25">
      <c r="A7" s="5" t="s">
        <v>9</v>
      </c>
      <c r="B7" s="6" t="s">
        <v>10</v>
      </c>
      <c r="C7" s="33" t="s">
        <v>75</v>
      </c>
      <c r="D7" s="30">
        <f>BIN2DEC(MID(HEX2BIN(MID(C7,2,1),4),4,1))</f>
        <v>0</v>
      </c>
      <c r="E7" s="1">
        <v>0</v>
      </c>
      <c r="F7" s="1" t="str">
        <f>IF(D7 = 1,"→ Deceleration slew rate is set by CL_DEC and not by CL_ACC. Set CL_DEC = CL_ACC","")</f>
        <v/>
      </c>
      <c r="G7" s="1">
        <f>BIN2DEC(MID(HEX2BIN(MID(C7,6,1),4),1,4))</f>
        <v>0</v>
      </c>
      <c r="H7" s="1">
        <f>IF(G7=0,1,G7)</f>
        <v>1</v>
      </c>
      <c r="I7" s="1" t="str">
        <f>IF(G7=0,"→ FG_DIV changed to 1d provide same FG output","")</f>
        <v>→ FG_DIV changed to 1d provide same FG output</v>
      </c>
      <c r="J7" s="1">
        <f>BIN2DEC(MID(HEX2BIN(MID(C7,8,1),4),3,1))</f>
        <v>1</v>
      </c>
      <c r="K7" s="1">
        <v>0</v>
      </c>
      <c r="L7" s="1" t="str">
        <f>IF(J7 = 1,"→ Bit 1 set to 0d since it is Reserved; control mode will be set using INPUT_REFERENCE_MODE","")</f>
        <v>→ Bit 1 set to 0d since it is Reserved; control mode will be set using INPUT_REFERENCE_MODE</v>
      </c>
      <c r="M7" s="1" t="str">
        <f>IF(AND(D7=E7,G7=H7,J7=K7),"Y", "N")</f>
        <v>N</v>
      </c>
      <c r="N7" s="2" t="str">
        <f>_xlfn.CONCAT(MID((HEX2BIN(MID(C7,1,2),8)),1,7),DEC2BIN(E7,1),HEX2BIN(MID(C7,3,2),8),HEX2BIN(MID(C7,5,1),4),DEC2BIN(H7,4),MID((HEX2BIN(MID(C7,7,2),8)),1,6),DEC2BIN(K7,1),MID((HEX2BIN(MID(C7,8,1),4)),4,1))</f>
        <v>00110000110000011000000110110100</v>
      </c>
      <c r="O7" s="38" t="str">
        <f t="shared" si="0"/>
        <v>30C181B4</v>
      </c>
      <c r="P7" s="23" t="str">
        <f t="shared" si="1"/>
        <v>Y</v>
      </c>
      <c r="Q7" s="24" t="str">
        <f xml:space="preserve"> _xlfn.CONCAT(F7,I7,L7)</f>
        <v>→ FG_DIV changed to 1d provide same FG output→ Bit 1 set to 0d since it is Reserved; control mode will be set using INPUT_REFERENCE_MODE</v>
      </c>
    </row>
    <row r="8" spans="1:17" ht="53.1" customHeight="1" x14ac:dyDescent="0.25">
      <c r="A8" s="5" t="s">
        <v>11</v>
      </c>
      <c r="B8" s="6" t="s">
        <v>12</v>
      </c>
      <c r="C8" s="33" t="s">
        <v>76</v>
      </c>
      <c r="D8" s="30"/>
      <c r="E8" s="1"/>
      <c r="F8" s="1"/>
      <c r="G8" s="1"/>
      <c r="H8" s="1"/>
      <c r="I8" s="1"/>
      <c r="J8" s="1"/>
      <c r="K8" s="1"/>
      <c r="L8" s="1"/>
      <c r="M8" s="1" t="str">
        <f>IF(D8=5,"N","Y")</f>
        <v>Y</v>
      </c>
      <c r="N8" s="2" t="str">
        <f>_xlfn.CONCAT(MID((HEX2BIN(MID(C8,1,1),4)),1,1),DEC2BIN(E8,3),HEX2BIN(MID(C8,2,2),8),HEX2BIN(MID(C8,4,2),8),HEX2BIN(MID(C8,6,2),8),HEX2BIN(MID(C8,8,1),4))</f>
        <v>00000111101010011100111110010000</v>
      </c>
      <c r="O8" s="39" t="str">
        <f>C8</f>
        <v>07A9CF90</v>
      </c>
      <c r="P8" s="23" t="str">
        <f t="shared" si="1"/>
        <v>N</v>
      </c>
      <c r="Q8" s="24"/>
    </row>
    <row r="9" spans="1:17" x14ac:dyDescent="0.25">
      <c r="A9" s="7" t="s">
        <v>13</v>
      </c>
      <c r="B9" s="6" t="s">
        <v>14</v>
      </c>
      <c r="C9" s="33" t="s">
        <v>77</v>
      </c>
      <c r="D9" s="30"/>
      <c r="E9" s="1"/>
      <c r="F9" s="1"/>
      <c r="G9" s="1"/>
      <c r="H9" s="1"/>
      <c r="I9" s="1"/>
      <c r="J9" s="1"/>
      <c r="K9" s="1"/>
      <c r="L9" s="1"/>
      <c r="M9" s="1" t="s">
        <v>49</v>
      </c>
      <c r="N9" s="2"/>
      <c r="O9" s="38" t="str">
        <f>C9</f>
        <v>0A000007</v>
      </c>
      <c r="P9" s="23" t="str">
        <f t="shared" si="1"/>
        <v>N</v>
      </c>
      <c r="Q9" s="24"/>
    </row>
    <row r="10" spans="1:17" x14ac:dyDescent="0.25">
      <c r="A10" s="7" t="s">
        <v>15</v>
      </c>
      <c r="B10" s="6" t="s">
        <v>16</v>
      </c>
      <c r="C10" s="33" t="s">
        <v>78</v>
      </c>
      <c r="D10" s="30"/>
      <c r="E10" s="1"/>
      <c r="F10" s="1"/>
      <c r="G10" s="1"/>
      <c r="H10" s="1"/>
      <c r="I10" s="1"/>
      <c r="J10" s="1"/>
      <c r="K10" s="1"/>
      <c r="L10" s="1"/>
      <c r="M10" s="1" t="s">
        <v>49</v>
      </c>
      <c r="N10" s="2"/>
      <c r="O10" s="38" t="str">
        <f>C10</f>
        <v>48D41194</v>
      </c>
      <c r="P10" s="23" t="str">
        <f t="shared" si="1"/>
        <v>N</v>
      </c>
      <c r="Q10" s="24"/>
    </row>
    <row r="11" spans="1:17" ht="45" customHeight="1" x14ac:dyDescent="0.25">
      <c r="A11" s="5" t="s">
        <v>17</v>
      </c>
      <c r="B11" s="6" t="s">
        <v>18</v>
      </c>
      <c r="C11" s="33" t="s">
        <v>89</v>
      </c>
      <c r="D11" s="30">
        <f>BIN2DEC(MID(HEX2BIN(MID(C11,4,2),8),2,4))</f>
        <v>0</v>
      </c>
      <c r="E11" s="1">
        <f>IF(D11&gt;=9,7,IF(D11=8,6,IF(D11=7,4,IF(D11=3,1,IF(D11&lt;=2,0,3)))))</f>
        <v>0</v>
      </c>
      <c r="F11" s="1" t="s">
        <v>70</v>
      </c>
      <c r="G11" s="1">
        <f>BIN2DEC(MID(HEX2BIN(MID(C11,5,2),8),2,4))</f>
        <v>0</v>
      </c>
      <c r="H11" s="1">
        <f>IF(G11=0,1,G11)</f>
        <v>1</v>
      </c>
      <c r="I11" s="1" t="str">
        <f>IF(G11=0,"→ Lock current limit deglitch time increased to 100us
","")</f>
        <v xml:space="preserve">→ Lock current limit deglitch time increased to 100us
</v>
      </c>
      <c r="J11" s="1">
        <f>BIN2DEC(MID(HEX2BIN(MID(C11,7,2),8),2,4))</f>
        <v>5</v>
      </c>
      <c r="K11" s="1">
        <f>IF(J11&gt;=9,7,IF(J11=8,6,IF(J11=7,4,IF(J11=3,1,IF(J11&lt;=2,0,3)))))</f>
        <v>3</v>
      </c>
      <c r="L11" s="1" t="s">
        <v>68</v>
      </c>
      <c r="M11" s="1" t="s">
        <v>2</v>
      </c>
      <c r="N11" s="2" t="str">
        <f>_xlfn.CONCAT(HEX2BIN(MID(C11,1,2),8),MID(HEX2BIN(MID(C11,3,2),8),1,5),DEC2BIN(1,1),DEC2BIN(E11,3),DEC2BIN(H11,4),MID(HEX2BIN(MID(C11,6,2),8),2,4),DEC2BIN(1,1),DEC2BIN(K11,3),MID(HEX2BIN(MID(C11,8,1),4),2,3))</f>
        <v>00000000000001000000100001011000</v>
      </c>
      <c r="O11" s="38" t="str">
        <f>_xlfn.CONCAT(BIN2HEX(MID(N11,1,8),2),BIN2HEX(MID(N11,9,8),2),BIN2HEX(MID(N11,17,8),2),BIN2HEX(MID(N11,25,8),2))</f>
        <v>00040858</v>
      </c>
      <c r="P11" s="23" t="str">
        <f t="shared" si="1"/>
        <v>Y</v>
      </c>
      <c r="Q11" s="24" t="str">
        <f>_xlfn.CONCAT(F11,I11,L11,"
→ CRC and EEPROM fault set to report only mode")</f>
        <v>→ LOCK_ILIMIT_MODE bitfield value is set to maintain the same protection setting as in C version
→ Lock current limit deglitch time increased to 100us
→ MTR_LCK_MODE bitfield value is set to maintain the same protection setting as in C version
→ CRC and EEPROM fault set to report only mode</v>
      </c>
    </row>
    <row r="12" spans="1:17" ht="60" x14ac:dyDescent="0.25">
      <c r="A12" s="5" t="s">
        <v>19</v>
      </c>
      <c r="B12" s="6" t="s">
        <v>20</v>
      </c>
      <c r="C12" s="33" t="s">
        <v>91</v>
      </c>
      <c r="D12" s="30">
        <f>BIN2DEC(MID(HEX2BIN(MID(C12,4,2),8),2,4))</f>
        <v>0</v>
      </c>
      <c r="E12" s="1">
        <f>IF(D12&gt;=9,7,IF(D12=8,6,IF(D12=7,4,IF(D12=3,1,IF(D12&lt;=2,0,3)))))</f>
        <v>0</v>
      </c>
      <c r="F12" s="1" t="s">
        <v>69</v>
      </c>
      <c r="G12" s="1">
        <f>BIN2DEC(MID(HEX2BIN(MID(C12,6,1),4),2,3))</f>
        <v>0</v>
      </c>
      <c r="H12" s="1">
        <f>IF(AND(G12&gt;=1,G12&lt;=4),1,IF(G12=5,2,IF(G12=6,4,IF(G12=7,5,G12))))</f>
        <v>0</v>
      </c>
      <c r="I12" s="1" t="str">
        <f>IF(AND(G12&gt;=1,G12&lt;=3),"→ Minimum VM threshold increased to 6V
",IF(G12=5,"→ Minimum VM threshold decreased to 7V
",IF(G12=7,"→ Minimum VM threshold increased to 14V
",IF(G12=6,"→ Modified to have the same VM threshold
",IF(G12=4,"→ Modified to have the same VM threshold
",""
)))))</f>
        <v/>
      </c>
      <c r="J12" s="1">
        <f>BIN2DEC(MID(HEX2BIN(MID(C12,7,1),4),2,3))</f>
        <v>7</v>
      </c>
      <c r="K12" s="1">
        <f>IF(J12=2,3,IF(J12=1,2,J12))</f>
        <v>7</v>
      </c>
      <c r="L12" s="1" t="str">
        <f>IF(OR(J12=2,J12=3),"→ Maximum VM threshold decreased to 22V
",IF(J12=4,"→ Maximum VM threshold increased to 28V
",IF(J12=6,"→ Maximum VM threshold decreased to 32V
",IF(J12=7,"→ Maximum VM threshold decreased to 34V
",""))))</f>
        <v xml:space="preserve">→ Maximum VM threshold decreased to 34V
</v>
      </c>
      <c r="M12" s="1" t="s">
        <v>2</v>
      </c>
      <c r="N12" s="2" t="str">
        <f>_xlfn.CONCAT(HEX2BIN(MID(C12,1,2),8),MID(HEX2BIN(MID(C12,3,2),8),1,5),DEC2BIN(E12,3),MID(HEX2BIN(MID(C12,5,1),4),2,3),DEC2BIN(1,2),DEC2BIN(H12,3),MID(HEX2BIN(MID(C12,7,1),4),1,1),DEC2BIN(K12,3),HEX2BIN(MID(C12,8,1),4))</f>
        <v>00000000000000000000100001110000</v>
      </c>
      <c r="O12" s="38" t="str">
        <f>_xlfn.CONCAT(BIN2HEX(MID(N12,1,8),2),BIN2HEX(MID(N12,9,8),2),BIN2HEX(MID(N12,17,8),2),BIN2HEX(MID(N12,25,8),2))</f>
        <v>00000870</v>
      </c>
      <c r="P12" s="23" t="str">
        <f t="shared" si="1"/>
        <v>Y</v>
      </c>
      <c r="Q12" s="24" t="str">
        <f>_xlfn.CONCAT(F12,I12,L12,"
→ Voltage hysteresis for min and max VM threshold faults set to 1V")</f>
        <v>→ HW_LOCK_ILIMIT_MODE bitfield value is set to maintain the same protection setting as in C version
→ Maximum VM threshold decreased to 34V
→ Voltage hysteresis for min and max VM threshold faults set to 1V</v>
      </c>
    </row>
    <row r="13" spans="1:17" x14ac:dyDescent="0.25">
      <c r="A13" s="8" t="s">
        <v>21</v>
      </c>
      <c r="B13" s="6" t="s">
        <v>22</v>
      </c>
      <c r="C13" s="33" t="s">
        <v>92</v>
      </c>
      <c r="D13" s="30">
        <f>BIN2DEC(MID(HEX2BIN(MID(C13,1,1),4),2,2))</f>
        <v>1</v>
      </c>
      <c r="E13" s="1"/>
      <c r="F13" s="1"/>
      <c r="G13" s="1"/>
      <c r="H13" s="1"/>
      <c r="I13" s="1"/>
      <c r="J13" s="1"/>
      <c r="K13" s="1"/>
      <c r="L13" s="1"/>
      <c r="M13" s="1" t="s">
        <v>49</v>
      </c>
      <c r="N13" s="2"/>
      <c r="O13" s="38" t="str">
        <f>C13</f>
        <v>20000000</v>
      </c>
      <c r="P13" s="23" t="str">
        <f t="shared" si="1"/>
        <v>N</v>
      </c>
      <c r="Q13" s="24"/>
    </row>
    <row r="14" spans="1:17" x14ac:dyDescent="0.25">
      <c r="A14" s="8" t="s">
        <v>23</v>
      </c>
      <c r="B14" s="6" t="s">
        <v>24</v>
      </c>
      <c r="C14" s="33" t="s">
        <v>79</v>
      </c>
      <c r="D14" s="30"/>
      <c r="E14" s="1"/>
      <c r="F14" s="1"/>
      <c r="G14" s="1"/>
      <c r="H14" s="1"/>
      <c r="I14" s="1"/>
      <c r="J14" s="1"/>
      <c r="K14" s="1"/>
      <c r="L14" s="1"/>
      <c r="M14" s="1" t="s">
        <v>49</v>
      </c>
      <c r="N14" s="2"/>
      <c r="O14" s="39" t="str">
        <f>C14</f>
        <v>5668099B</v>
      </c>
      <c r="P14" s="23" t="str">
        <f t="shared" si="1"/>
        <v>N</v>
      </c>
      <c r="Q14" s="24"/>
    </row>
    <row r="15" spans="1:17" ht="47.25" customHeight="1" x14ac:dyDescent="0.25">
      <c r="A15" s="8" t="s">
        <v>25</v>
      </c>
      <c r="B15" s="6" t="s">
        <v>26</v>
      </c>
      <c r="C15" s="33" t="s">
        <v>65</v>
      </c>
      <c r="D15" s="30">
        <f>BIN2DEC(MID(HEX2BIN(MID(C15,8,1),4),2,2))</f>
        <v>0</v>
      </c>
      <c r="E15" s="1">
        <v>1</v>
      </c>
      <c r="F15" s="1" t="s">
        <v>86</v>
      </c>
      <c r="G15" s="1"/>
      <c r="H15" s="1"/>
      <c r="I15" s="1"/>
      <c r="J15" s="1"/>
      <c r="K15" s="1"/>
      <c r="L15" s="1"/>
      <c r="M15" s="1" t="str">
        <f>IF(OR(D15=2,D15=3),"N", "Y")</f>
        <v>Y</v>
      </c>
      <c r="N15" s="2" t="str">
        <f>_xlfn.CONCAT(HEX2BIN(MID(C15,1,2),8),HEX2BIN(MID(C15,3,2),8),HEX2BIN(MID(C15,5,2),8),HEX2BIN(MID(C15,7,1),4),MID(HEX2BIN(MID(C15,8,1),4),1,1),DEC2BIN(E15,2),MID(HEX2BIN(MID(C15,8,1),4),4,1))</f>
        <v>00000000000000000000000000000010</v>
      </c>
      <c r="O15" s="38" t="str">
        <f>_xlfn.CONCAT(BIN2HEX(MID(N15,1,8),2),BIN2HEX(MID(N15,9,8),2),BIN2HEX(MID(N15,17,8),2),BIN2HEX(MID(N15,25,8),2))</f>
        <v>00000002</v>
      </c>
      <c r="P15" s="23" t="str">
        <f t="shared" si="1"/>
        <v>Y</v>
      </c>
      <c r="Q15" s="24" t="str">
        <f>F15</f>
        <v>→ Input duty hysteresis (when REF_PROFILE_CONFIG = 0d) is set to 1%</v>
      </c>
    </row>
    <row r="16" spans="1:17" x14ac:dyDescent="0.25">
      <c r="A16" s="8" t="s">
        <v>27</v>
      </c>
      <c r="B16" s="6" t="s">
        <v>28</v>
      </c>
      <c r="C16" s="33" t="s">
        <v>80</v>
      </c>
      <c r="D16" s="30"/>
      <c r="E16" s="1"/>
      <c r="F16" s="1"/>
      <c r="G16" s="1"/>
      <c r="H16" s="1"/>
      <c r="I16" s="1"/>
      <c r="J16" s="1"/>
      <c r="K16" s="1"/>
      <c r="L16" s="1"/>
      <c r="M16" s="1" t="s">
        <v>49</v>
      </c>
      <c r="N16" s="2"/>
      <c r="O16" s="39" t="str">
        <f>C16</f>
        <v>0019A6B3</v>
      </c>
      <c r="P16" s="23" t="str">
        <f t="shared" si="1"/>
        <v>N</v>
      </c>
      <c r="Q16" s="24"/>
    </row>
    <row r="17" spans="1:17" ht="39.6" customHeight="1" x14ac:dyDescent="0.25">
      <c r="A17" s="8" t="s">
        <v>29</v>
      </c>
      <c r="B17" s="6" t="s">
        <v>30</v>
      </c>
      <c r="C17" s="33" t="s">
        <v>65</v>
      </c>
      <c r="D17" s="30">
        <f>BIN2DEC(MID(HEX2BIN(MID(C17,7,1),4),3,2))</f>
        <v>0</v>
      </c>
      <c r="E17" s="1">
        <v>0</v>
      </c>
      <c r="F17" s="1" t="s">
        <v>66</v>
      </c>
      <c r="G17" s="1">
        <f>BIN2DEC(MID(HEX2BIN(MID(C17,8,1),4),3,1))</f>
        <v>0</v>
      </c>
      <c r="H17" s="1">
        <f>IF(AND((D13=0),(D15&gt;0)),1,IF(D13&gt;0,1,G17))</f>
        <v>1</v>
      </c>
      <c r="I17" s="1" t="str">
        <f>IF(H17=1, "-&gt; Filter on speed pin is enabled (0.4%)", "")</f>
        <v>-&gt; Filter on speed pin is enabled (0.4%)</v>
      </c>
      <c r="J17" s="1"/>
      <c r="K17" s="1"/>
      <c r="L17" s="1"/>
      <c r="M17" s="1"/>
      <c r="N17" s="2" t="str">
        <f>_xlfn.CONCAT(HEX2BIN(MID(C17,1,2),8),HEX2BIN(MID(C17,3,2),8),HEX2BIN(MID(C17,5,2),8),MID(HEX2BIN(MID(C17,7,1),4),1,2), DEC2BIN(E17,2), DEC2BIN(0,2),DEC2BIN(H17,1), DEC2BIN(0,1))</f>
        <v>00000000000000000000000000000010</v>
      </c>
      <c r="O17" s="38" t="str">
        <f>_xlfn.CONCAT(BIN2HEX(MID(N17,1,8),2),BIN2HEX(MID(N17,9,8),2),BIN2HEX(MID(N17,17,8),2),BIN2HEX(MID(N17,25,8),2))</f>
        <v>00000002</v>
      </c>
      <c r="P17" s="23" t="str">
        <f t="shared" si="1"/>
        <v>Y</v>
      </c>
      <c r="Q17" s="24" t="str">
        <f>F17</f>
        <v>→ Minimum input duty (when REF_PROFILE_CONFIG = 0d) is set to 1%</v>
      </c>
    </row>
    <row r="18" spans="1:17" x14ac:dyDescent="0.25">
      <c r="A18" s="8" t="s">
        <v>31</v>
      </c>
      <c r="B18" s="6" t="s">
        <v>32</v>
      </c>
      <c r="C18" s="33" t="s">
        <v>81</v>
      </c>
      <c r="D18" s="30"/>
      <c r="E18" s="1"/>
      <c r="F18" s="1"/>
      <c r="G18" s="1"/>
      <c r="H18" s="1"/>
      <c r="I18" s="1"/>
      <c r="J18" s="1"/>
      <c r="K18" s="1"/>
      <c r="L18" s="1"/>
      <c r="M18" s="1" t="s">
        <v>49</v>
      </c>
      <c r="N18" s="2"/>
      <c r="O18" s="39" t="str">
        <f>C18</f>
        <v>007FFFC2</v>
      </c>
      <c r="P18" s="23" t="str">
        <f t="shared" si="1"/>
        <v>N</v>
      </c>
      <c r="Q18" s="24"/>
    </row>
    <row r="19" spans="1:17" ht="41.45" customHeight="1" x14ac:dyDescent="0.25">
      <c r="A19" s="8" t="s">
        <v>33</v>
      </c>
      <c r="B19" s="6" t="s">
        <v>34</v>
      </c>
      <c r="C19" s="34" t="s">
        <v>93</v>
      </c>
      <c r="D19" s="44">
        <f>_xlfn.NUMBERVALUE(_xlfn.CONCAT(MID(HEX2BIN(MID(C19,5,1),4),2,3),HEX2BIN(MID(C19,6,2),8),MID(HEX2BIN(MID(C19,8,1),4),1,1)))</f>
        <v>111111111</v>
      </c>
      <c r="E19" s="1">
        <v>0</v>
      </c>
      <c r="F19" s="1" t="str">
        <f>IF(_xlfn.NUMBERVALUE(_xlfn.CONCAT(MID(HEX2BIN(MID(C19,5,1),4),2,3),HEX2BIN(MID(C19,6,2),8),MID(HEX2BIN(MID(C19,8,1),4),1,1))) = 0, "","→ MPET specific parameters have been removed and bits 14-3 are set to 0d")</f>
        <v>→ MPET specific parameters have been removed and bits 14-3 are set to 0d</v>
      </c>
      <c r="G19" s="3"/>
      <c r="H19" s="1"/>
      <c r="I19" s="1"/>
      <c r="J19" s="1"/>
      <c r="K19" s="1"/>
      <c r="L19" s="1"/>
      <c r="M19" s="1" t="str">
        <f>IF(D19=0,"Y","N")</f>
        <v>N</v>
      </c>
      <c r="N19" s="2" t="str">
        <f>_xlfn.CONCAT(HEX2BIN(MID(C19,1,2),8),HEX2BIN(MID(C19,3,2),8),MID(HEX2BIN(MID(C19,5,1),4),1,1), DEC2BIN(0,10), DEC2BIN(0,2),MID(HEX2BIN(MID(C19,8,1),4),2,3))</f>
        <v>00000000000000000000000000000111</v>
      </c>
      <c r="O19" s="38" t="str">
        <f t="shared" ref="O19:O23" si="2">_xlfn.CONCAT(BIN2HEX(MID(N19,1,8),2),BIN2HEX(MID(N19,9,8),2),BIN2HEX(MID(N19,17,8),2),BIN2HEX(MID(N19,25,8),2))</f>
        <v>00000007</v>
      </c>
      <c r="P19" s="23" t="str">
        <f t="shared" si="1"/>
        <v>Y</v>
      </c>
      <c r="Q19" s="24" t="str">
        <f>F19</f>
        <v>→ MPET specific parameters have been removed and bits 14-3 are set to 0d</v>
      </c>
    </row>
    <row r="20" spans="1:17" ht="57.75" customHeight="1" x14ac:dyDescent="0.25">
      <c r="A20" s="5" t="s">
        <v>35</v>
      </c>
      <c r="B20" s="6" t="s">
        <v>36</v>
      </c>
      <c r="C20" s="34" t="s">
        <v>94</v>
      </c>
      <c r="D20" s="30">
        <f>BIN2DEC(MID(HEX2BIN(MID(C20,8,1),4),2,1))</f>
        <v>1</v>
      </c>
      <c r="E20" s="1">
        <v>0</v>
      </c>
      <c r="F20" s="1" t="str">
        <f>IF(D20=1,"→ MPET IPD parmeters are set by motor start-up IPD parameters since MPET specific parameters are removed","")</f>
        <v>→ MPET IPD parmeters are set by motor start-up IPD parameters since MPET specific parameters are removed</v>
      </c>
      <c r="G20" s="1">
        <f>BIN2DEC(MID(HEX2BIN(MID(C20,8,1),4),3,1))</f>
        <v>1</v>
      </c>
      <c r="H20" s="1">
        <v>0</v>
      </c>
      <c r="I20" s="1" t="str">
        <f>IF(G20=1,"→ MPET open loop parmeters are set by motor operation open loop parameters since MPET specific parameters are removed
","")</f>
        <v xml:space="preserve">→ MPET open loop parmeters are set by motor operation open loop parameters since MPET specific parameters are removed
</v>
      </c>
      <c r="J20" s="1"/>
      <c r="K20" s="1"/>
      <c r="L20" s="1"/>
      <c r="M20" s="1" t="str">
        <f>IF(OR(E20=1,G20=1),"N","Y")</f>
        <v>N</v>
      </c>
      <c r="N20" s="2" t="str">
        <f>_xlfn.CONCAT(MID(HEX2BIN(MID(C20,1,1),4),1,1), DEC2BIN(0,10), DEC2BIN(0,10),DEC2BIN(0,1),MID(HEX2BIN(MID(C20,6,1),4),3,2),HEX2BIN(MID(C20,7,1),4),MID(HEX2BIN(MID(C20,8,1),4),1,1),DEC2BIN(0,2),MID(HEX2BIN(MID(C20,8,1),4),4,1))</f>
        <v>00000000000000000000000000000000</v>
      </c>
      <c r="O20" s="38" t="str">
        <f t="shared" si="2"/>
        <v>00000000</v>
      </c>
      <c r="P20" s="23" t="str">
        <f t="shared" si="1"/>
        <v>Y</v>
      </c>
      <c r="Q20" s="24" t="str">
        <f>_xlfn.CONCAT(F20,I20)</f>
        <v xml:space="preserve">→ MPET IPD parmeters are set by motor start-up IPD parameters since MPET specific parameters are removed→ MPET open loop parmeters are set by motor operation open loop parameters since MPET specific parameters are removed
</v>
      </c>
    </row>
    <row r="21" spans="1:17" ht="57" customHeight="1" x14ac:dyDescent="0.25">
      <c r="A21" s="5" t="s">
        <v>37</v>
      </c>
      <c r="B21" s="6" t="s">
        <v>38</v>
      </c>
      <c r="C21" s="34" t="s">
        <v>65</v>
      </c>
      <c r="D21" s="30">
        <f>BIN2DEC(MID(HEX2BIN(MID(C21,2,1),4),1,1))</f>
        <v>0</v>
      </c>
      <c r="E21" s="1">
        <f>IF(D21=1,0,1)</f>
        <v>1</v>
      </c>
      <c r="F21" s="1" t="s">
        <v>71</v>
      </c>
      <c r="G21" s="1"/>
      <c r="H21" s="1">
        <f>IF(H24=0,2047,IF(D24=0,31,IF(D24=1,62,IF(D24=2,123,IF(D24=3,245,IF(D24=4,368,IF(D24=5,490,IF(D24=6,614,IF(D24=7,737,IF(D24=8,860,IF(D24=9,983,IF(D24=10,1105,IF(D24=11,1228,IF(D24=12,1351,IF(D24=13,1473,IF(D24=14,1719,1965))))))))))))))))</f>
        <v>31</v>
      </c>
      <c r="I21" s="1" t="str">
        <f>IF(H24=1,_xlfn.CONCAT("→ Power limit is enabled and max DC power limit is set to ",J21,"W (assuming nominal VM =12V)"),"")</f>
        <v>→ Power limit is enabled and max DC power limit is set to 2W (assuming nominal VM =12V)</v>
      </c>
      <c r="J21" s="1">
        <f>ROUND(H21/2047*100,0)</f>
        <v>2</v>
      </c>
      <c r="K21" s="1"/>
      <c r="L21" s="1"/>
      <c r="M21" s="1" t="s">
        <v>2</v>
      </c>
      <c r="N21" s="2" t="str">
        <f>_xlfn.CONCAT(MID(HEX2BIN(MID(C21,1,1),4),1,1),DEC2BIN(0,2),DEC2BIN(E21,2),DEC2BIN(0,5),HEX2BIN(MID(DEC2HEX(H21,3),1,1),3),HEX2BIN(MID(DEC2HEX(H21,3),2,2),8),MID(HEX2BIN(MID(C21,6,1),4),2,3),HEX2BIN(MID(C21,7,2),8))</f>
        <v>00001000000000001111100000000000</v>
      </c>
      <c r="O21" s="38" t="str">
        <f t="shared" si="2"/>
        <v>0800F800</v>
      </c>
      <c r="P21" s="23" t="str">
        <f t="shared" si="1"/>
        <v>Y</v>
      </c>
      <c r="Q21" s="24" t="str">
        <f>_xlfn.CONCAT(F21,I21)</f>
        <v>→ VDC_FILTER bitfield value is set to maintain the same filter setting as in C version
→ Power limit is enabled and max DC power limit is set to 2W (assuming nominal VM =12V)</v>
      </c>
    </row>
    <row r="22" spans="1:17" ht="61.5" customHeight="1" x14ac:dyDescent="0.25">
      <c r="A22" s="5" t="s">
        <v>39</v>
      </c>
      <c r="B22" s="6" t="s">
        <v>40</v>
      </c>
      <c r="C22" s="34" t="s">
        <v>95</v>
      </c>
      <c r="D22" s="30">
        <f>BIN2DEC(MID(HEX2BIN(MID(C22,2,1),4),1,1))</f>
        <v>1</v>
      </c>
      <c r="E22" s="1">
        <v>0</v>
      </c>
      <c r="F22" s="1" t="str">
        <f>IF(D22=1,"→ DAC_ENABLE has been removed; DAC output is disabled on power-up and enabled when a non-zero address is written to DACOUT1/2_VAR_ADDR registers in RAM regmap","")</f>
        <v>→ DAC_ENABLE has been removed; DAC output is disabled on power-up and enabled when a non-zero address is written to DACOUT1/2_VAR_ADDR registers in RAM regmap</v>
      </c>
      <c r="G22" s="1"/>
      <c r="H22" s="1"/>
      <c r="I22" s="1"/>
      <c r="J22" s="1"/>
      <c r="K22" s="1"/>
      <c r="L22" s="1"/>
      <c r="M22" s="1" t="str">
        <f>IF(D22=1,"N","Y")</f>
        <v>N</v>
      </c>
      <c r="N22" s="2" t="str">
        <f>_xlfn.CONCAT(HEX2BIN(MID(C22,1,1),4), DEC2BIN(0,1), MID(HEX2BIN(MID(C22,2,1),4),2,3),HEX2BIN(MID(C22,3,1),4),DEC2BIN(0,10),DEC2BIN(0,5),MID(HEX2BIN(MID(C22,7,2),8),4,5))</f>
        <v>00000000000000000000000000000000</v>
      </c>
      <c r="O22" s="38" t="str">
        <f t="shared" si="2"/>
        <v>00000000</v>
      </c>
      <c r="P22" s="23" t="str">
        <f t="shared" si="1"/>
        <v>Y</v>
      </c>
      <c r="Q22" s="24" t="str">
        <f>F22</f>
        <v>→ DAC_ENABLE has been removed; DAC output is disabled on power-up and enabled when a non-zero address is written to DACOUT1/2_VAR_ADDR registers in RAM regmap</v>
      </c>
    </row>
    <row r="23" spans="1:17" ht="53.1" customHeight="1" x14ac:dyDescent="0.25">
      <c r="A23" s="5" t="s">
        <v>41</v>
      </c>
      <c r="B23" s="6" t="s">
        <v>42</v>
      </c>
      <c r="C23" s="34" t="s">
        <v>90</v>
      </c>
      <c r="D23" s="30">
        <f>BIN2DEC(MID(HEX2BIN(MID(C23,6,1),4),2,2))</f>
        <v>3</v>
      </c>
      <c r="E23" s="1">
        <v>0</v>
      </c>
      <c r="F23" s="1" t="str">
        <f>IF(D23=3, "→ CLK_SEL replaced by PWM_DITHER_DEPTH. Clock source automatically changes to external clock if EXT_CLK_EN = 1d; not necessary to configure clock source separately in D version","")</f>
        <v>→ CLK_SEL replaced by PWM_DITHER_DEPTH. Clock source automatically changes to external clock if EXT_CLK_EN = 1d; not necessary to configure clock source separately in D version</v>
      </c>
      <c r="G23" s="1">
        <f>BIN2DEC(MID(HEX2BIN(MID(C23,6,1),4),4,1))</f>
        <v>0</v>
      </c>
      <c r="H23" s="1">
        <f>G23</f>
        <v>0</v>
      </c>
      <c r="I23" s="1"/>
      <c r="J23" s="1"/>
      <c r="K23" s="1"/>
      <c r="L23" s="1"/>
      <c r="M23" s="1" t="str">
        <f>IF(G23=1,"N","Y")</f>
        <v>Y</v>
      </c>
      <c r="N23" s="2" t="str">
        <f>_xlfn.CONCAT(HEX2BIN(MID(C23,1,2),8), HEX2BIN(MID(C23,3,2),8),MID(HEX2BIN(MID(C23,5,2),8),1,5),DEC2BIN(0,2), MID(HEX2BIN(MID(C23,6,1),4),4,1),HEX2BIN(MID(C23,7,2),8))</f>
        <v>00000000000000000000000000000000</v>
      </c>
      <c r="O23" s="38" t="str">
        <f t="shared" si="2"/>
        <v>00000000</v>
      </c>
      <c r="P23" s="23" t="str">
        <f t="shared" si="1"/>
        <v>Y</v>
      </c>
      <c r="Q23" s="24" t="str">
        <f>F23</f>
        <v>→ CLK_SEL replaced by PWM_DITHER_DEPTH. Clock source automatically changes to external clock if EXT_CLK_EN = 1d; not necessary to configure clock source separately in D version</v>
      </c>
    </row>
    <row r="24" spans="1:17" ht="72.95" customHeight="1" x14ac:dyDescent="0.25">
      <c r="A24" s="5" t="s">
        <v>43</v>
      </c>
      <c r="B24" s="6" t="s">
        <v>44</v>
      </c>
      <c r="C24" s="34" t="s">
        <v>82</v>
      </c>
      <c r="D24" s="30">
        <f>BIN2DEC(MID(HEX2BIN(MID(C24,2,2),8),3,4))</f>
        <v>0</v>
      </c>
      <c r="E24" s="1">
        <v>0</v>
      </c>
      <c r="F24" s="1" t="str">
        <f>IF(G24=1,"→ DC bus current limit is not available in D version; MAX_POWER should be set to VM x BUS_CURRENT_LIMIT (from C version regmap) for similar DC bus current limit operation as C version
","")</f>
        <v xml:space="preserve">→ DC bus current limit is not available in D version; MAX_POWER should be set to VM x BUS_CURRENT_LIMIT (from C version regmap) for similar DC bus current limit operation as C version
</v>
      </c>
      <c r="G24" s="1">
        <f>BIN2DEC(MID(HEX2BIN(MID(C24,3,1),4),3,1))</f>
        <v>1</v>
      </c>
      <c r="H24" s="1">
        <f>G24</f>
        <v>1</v>
      </c>
      <c r="I24" s="1" t="str">
        <f>IF(G24=1,"→ DC bus current limit replaced with power limit in D version
","")</f>
        <v xml:space="preserve">→ DC bus current limit replaced with power limit in D version
</v>
      </c>
      <c r="J24" s="1">
        <f>BIN2DEC(MID(HEX2BIN(MID(C24,6,2),8),4,2))</f>
        <v>0</v>
      </c>
      <c r="K24" s="1">
        <f>IF(J7=1,2,0)</f>
        <v>2</v>
      </c>
      <c r="L24" s="1" t="str">
        <f>IF(K24=0,"→ Speed control mode is set", "→ Torque/current control mode is set")</f>
        <v>→ Torque/current control mode is set</v>
      </c>
      <c r="M24" s="1" t="str">
        <f>IF(OR(G24=1,K24&lt;&gt;0),"N","Y")</f>
        <v>N</v>
      </c>
      <c r="N24" s="2" t="str">
        <f>_xlfn.CONCAT(MID(HEX2BIN(MID(C24,1,1),4),1,3), DEC2BIN(0,3),DEC2BIN(3,2), DEC2BIN(0,2), DEC2BIN(H24,1), MID(HEX2BIN(MID(C24,3,2),8),4,3),DEC2BIN(0,1),MID(HEX2BIN(MID(C24,4,2),8),4,5),MID(HEX2BIN(MID(C24,6,1),4),1,3),DEC2BIN(K24,2),DEC2BIN(0,7))</f>
        <v>00000011001000000000000100000000</v>
      </c>
      <c r="O24" s="38" t="str">
        <f>_xlfn.CONCAT(BIN2HEX(MID(N24,1,8),2),BIN2HEX(MID(N24,9,8),2),BIN2HEX(MID(N24,17,8),2),BIN2HEX(MID(N24,25,8),2))</f>
        <v>03200100</v>
      </c>
      <c r="P24" s="23" t="str">
        <f t="shared" si="1"/>
        <v>Y</v>
      </c>
      <c r="Q24" s="24" t="str">
        <f xml:space="preserve"> _xlfn.CONCAT(F24,I24,L24,"→ No motor (loss of phase) fault is enabled in closed loop state")</f>
        <v>→ DC bus current limit is not available in D version; MAX_POWER should be set to VM x BUS_CURRENT_LIMIT (from C version regmap) for similar DC bus current limit operation as C version
→ DC bus current limit replaced with power limit in D version
→ Torque/current control mode is set→ No motor (loss of phase) fault is enabled in closed loop state</v>
      </c>
    </row>
    <row r="25" spans="1:17" x14ac:dyDescent="0.25">
      <c r="A25" s="9" t="s">
        <v>45</v>
      </c>
      <c r="B25" s="6" t="s">
        <v>46</v>
      </c>
      <c r="C25" s="34" t="s">
        <v>83</v>
      </c>
      <c r="D25" s="30"/>
      <c r="E25" s="1"/>
      <c r="F25" s="1"/>
      <c r="G25" s="1"/>
      <c r="H25" s="1"/>
      <c r="I25" s="1"/>
      <c r="J25" s="1"/>
      <c r="K25" s="1"/>
      <c r="L25" s="1"/>
      <c r="M25" s="1" t="s">
        <v>49</v>
      </c>
      <c r="N25" s="2" t="str">
        <f>C25</f>
        <v>1C420C00</v>
      </c>
      <c r="O25" s="38" t="str">
        <f>C25</f>
        <v>1C420C00</v>
      </c>
      <c r="P25" s="23" t="str">
        <f t="shared" si="1"/>
        <v>N</v>
      </c>
      <c r="Q25" s="24"/>
    </row>
    <row r="26" spans="1:17" ht="15.75" thickBot="1" x14ac:dyDescent="0.3">
      <c r="A26" s="10" t="s">
        <v>47</v>
      </c>
      <c r="B26" s="11" t="s">
        <v>48</v>
      </c>
      <c r="C26" s="35" t="s">
        <v>65</v>
      </c>
      <c r="D26" s="36"/>
      <c r="E26" s="27"/>
      <c r="F26" s="27"/>
      <c r="G26" s="27"/>
      <c r="H26" s="27"/>
      <c r="I26" s="27"/>
      <c r="J26" s="27"/>
      <c r="K26" s="27"/>
      <c r="L26" s="27"/>
      <c r="M26" s="27" t="s">
        <v>49</v>
      </c>
      <c r="N26" s="28" t="str">
        <f>C26</f>
        <v>00000000</v>
      </c>
      <c r="O26" s="40" t="str">
        <f>C26</f>
        <v>00000000</v>
      </c>
      <c r="P26" s="25" t="str">
        <f t="shared" si="1"/>
        <v>N</v>
      </c>
      <c r="Q26" s="26"/>
    </row>
  </sheetData>
  <sheetProtection password="9C16" sheet="1" selectLockedCells="1"/>
  <mergeCells count="2">
    <mergeCell ref="A1:O1"/>
    <mergeCell ref="P1:Q1"/>
  </mergeCells>
  <conditionalFormatting sqref="P3:P26">
    <cfRule type="cellIs" dxfId="0" priority="1" operator="equal">
      <formula>"Y"</formula>
    </cfRule>
  </conditionalFormatting>
  <pageMargins left="0.7" right="0.7" top="0.75" bottom="0.75" header="0.3" footer="0.3"/>
  <pageSetup orientation="portrait" r:id="rId1"/>
  <ignoredErrors>
    <ignoredError sqref="O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30129D76E2B746AA9EF18AB5204185" ma:contentTypeVersion="1" ma:contentTypeDescription="Create a new document." ma:contentTypeScope="" ma:versionID="7b61f36c5d64858f459094513075b8e3">
  <xsd:schema xmlns:xsd="http://www.w3.org/2001/XMLSchema" xmlns:xs="http://www.w3.org/2001/XMLSchema" xmlns:p="http://schemas.microsoft.com/office/2006/metadata/properties" xmlns:ns2="6f2f0605-bfee-4698-a78a-575fc242f63d" targetNamespace="http://schemas.microsoft.com/office/2006/metadata/properties" ma:root="true" ma:fieldsID="a99885eb63a62de0bdef9ae51f933929" ns2:_="">
    <xsd:import namespace="6f2f0605-bfee-4698-a78a-575fc242f63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f0605-bfee-4698-a78a-575fc242f6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A3D110-C96F-46DE-8D91-F46C19ABA9BF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6f2f0605-bfee-4698-a78a-575fc242f63d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68677C-D36B-4F67-9409-43DDF279D6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DDD46E-05F8-45AD-9C79-256869DBE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f0605-bfee-4698-a78a-575fc242f6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to D Regmap Conversion Tool</vt:lpstr>
    </vt:vector>
  </TitlesOfParts>
  <Manager/>
  <Company>Texas Instruments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Gaarlapati, Srisairam</dc:creator>
  <cp:keywords/>
  <dc:description/>
  <cp:lastModifiedBy>S, Sachin</cp:lastModifiedBy>
  <cp:revision/>
  <dcterms:created xsi:type="dcterms:W3CDTF">2022-08-18T11:51:02Z</dcterms:created>
  <dcterms:modified xsi:type="dcterms:W3CDTF">2025-04-02T09:04:46Z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0x0101000430129D76E2B746AA9EF18AB5204185</vt:lpwstr>
  </property>
</Properties>
</file>