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evice development\TPS4141\Application\Calculator\"/>
    </mc:Choice>
  </mc:AlternateContent>
  <xr:revisionPtr revIDLastSave="0" documentId="13_ncr:1_{BEFA6501-F582-407E-9367-675289067127}" xr6:coauthVersionLast="36" xr6:coauthVersionMax="36" xr10:uidLastSave="{00000000-0000-0000-0000-000000000000}"/>
  <bookViews>
    <workbookView xWindow="0" yWindow="0" windowWidth="19200" windowHeight="8100" xr2:uid="{87FF54CA-745B-442D-99A9-437C082042B6}"/>
  </bookViews>
  <sheets>
    <sheet name="Inputs" sheetId="3" r:id="rId1"/>
    <sheet name="Revison History" sheetId="4" state="hidden" r:id="rId2"/>
  </sheets>
  <definedNames>
    <definedName name="OLE_LINK2" localSheetId="0">Inputs!$G$54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52" i="3" l="1"/>
  <c r="B51" i="3"/>
  <c r="B55" i="3" s="1"/>
  <c r="B47" i="3"/>
  <c r="B48" i="3"/>
  <c r="B46" i="3"/>
  <c r="B62" i="3" l="1"/>
  <c r="B67" i="3" s="1"/>
  <c r="B61" i="3"/>
  <c r="B49" i="3"/>
  <c r="B50" i="3"/>
  <c r="B57" i="3" s="1"/>
  <c r="B70" i="3"/>
  <c r="B75" i="3" s="1"/>
  <c r="B69" i="3"/>
  <c r="B54" i="3"/>
  <c r="B66" i="3" l="1"/>
  <c r="B36" i="3" s="1"/>
  <c r="B74" i="3"/>
  <c r="B34" i="3" s="1"/>
  <c r="B58" i="3"/>
  <c r="B56" i="3"/>
  <c r="B59" i="3"/>
  <c r="O25" i="3"/>
  <c r="N25" i="3"/>
  <c r="M25" i="3"/>
  <c r="L25" i="3"/>
  <c r="K25" i="3"/>
  <c r="J25" i="3"/>
  <c r="O24" i="3"/>
  <c r="N24" i="3"/>
  <c r="M24" i="3"/>
  <c r="L24" i="3"/>
  <c r="K24" i="3"/>
  <c r="J24" i="3"/>
  <c r="O23" i="3"/>
  <c r="N23" i="3"/>
  <c r="M23" i="3"/>
  <c r="L23" i="3"/>
  <c r="K23" i="3"/>
  <c r="J23" i="3"/>
  <c r="O22" i="3"/>
  <c r="N22" i="3"/>
  <c r="M22" i="3"/>
  <c r="L22" i="3"/>
  <c r="K22" i="3"/>
  <c r="J22" i="3"/>
  <c r="P22" i="3" l="1"/>
  <c r="Q25" i="3"/>
  <c r="R24" i="3"/>
  <c r="S24" i="3"/>
  <c r="P25" i="3"/>
  <c r="P24" i="3"/>
  <c r="R22" i="3"/>
  <c r="S22" i="3"/>
  <c r="P23" i="3"/>
  <c r="R23" i="3"/>
  <c r="R25" i="3"/>
  <c r="S23" i="3"/>
  <c r="S25" i="3"/>
  <c r="Q22" i="3"/>
  <c r="Q23" i="3"/>
  <c r="Q24" i="3"/>
  <c r="D23" i="3" l="1"/>
  <c r="F23" i="3" s="1"/>
  <c r="C22" i="3"/>
  <c r="D25" i="3"/>
  <c r="F25" i="3" s="1"/>
  <c r="C24" i="3"/>
  <c r="E24" i="3" s="1"/>
  <c r="B41" i="3" s="1"/>
  <c r="C23" i="3"/>
  <c r="D24" i="3"/>
  <c r="C25" i="3"/>
  <c r="E25" i="3" s="1"/>
  <c r="D22" i="3"/>
  <c r="F24" i="3" l="1"/>
  <c r="B40" i="3"/>
  <c r="B39" i="3"/>
  <c r="E22" i="3"/>
  <c r="E23" i="3"/>
  <c r="F22" i="3"/>
  <c r="B42" i="3" l="1"/>
  <c r="C29" i="3"/>
  <c r="B31" i="3"/>
  <c r="B32" i="3"/>
  <c r="B30" i="3" l="1"/>
  <c r="B63" i="3" s="1"/>
  <c r="B65" i="3" l="1"/>
  <c r="B64" i="3"/>
  <c r="B78" i="3" s="1"/>
  <c r="B71" i="3"/>
  <c r="B35" i="3" l="1"/>
  <c r="B79" i="3"/>
  <c r="B73" i="3"/>
  <c r="B72" i="3"/>
  <c r="B80" i="3" s="1"/>
  <c r="B33" i="3" l="1"/>
  <c r="B8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CBG</author>
    <author>Alsahhaf, Hussain</author>
    <author>TI</author>
  </authors>
  <commentList>
    <comment ref="B3" authorId="0" shapeId="0" xr:uid="{084671ED-EF36-405F-B78C-BA2AA9504422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 This reference voltage is typically applied in systems requiring bi-directional measurements. The error associated with this reference has a direct impact on overal measurement accuracy. Enter the nominal reference voltage here.
</t>
        </r>
      </text>
    </comment>
    <comment ref="B4" authorId="0" shapeId="0" xr:uid="{A4DCA392-9C8B-4542-8AD6-FA1C6993585F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reference voltage is typically applied in systems requiring bi-directional measurements. The error associated with this reference has a direct impact on overal measurement accuracy. Enter the maximum reference voltage here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15F5997-4268-4649-B4DB-9B530EC4647D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reference voltage is typically applied in systems requiring bi-directional measurements. The error associated with this reference has a direct impact on overal measurement accuracy. Enter the minimum reference voltage here.</t>
        </r>
      </text>
    </comment>
    <comment ref="B6" authorId="0" shapeId="0" xr:uid="{79C8C275-5BDE-4374-88A7-2EA881B4414C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If uni-directional mode is selected, VREF input will be ignored and VREF is set to 0V.
</t>
        </r>
      </text>
    </comment>
    <comment ref="B10" authorId="1" shapeId="0" xr:uid="{E9469CEB-F3B6-4137-A450-FCD421A5178B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voltage tolerance is associated with the absolute accuracy of the UIR/ADC analog input. The ADC measurement error associated with this tolerance has a direct impact on overall measurement accuracy. Enter the maximum voltage tolerance here.</t>
        </r>
      </text>
    </comment>
    <comment ref="C20" authorId="2" shapeId="0" xr:uid="{FCEAB383-3A44-4972-BB27-2FB0E81F3EC7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HV to HVGND range limits based on common mode input and output range of the amplifier. Maximum and mininum limited to +/-1200V.</t>
        </r>
      </text>
    </comment>
    <comment ref="P20" authorId="2" shapeId="0" xr:uid="{F74F5442-65F9-4C7A-AD89-9CAB1E9E25DE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HV range limits based on common mode input range only of the amplifier. Also limited to +/- 1200V.</t>
        </r>
      </text>
    </comment>
    <comment ref="R20" authorId="2" shapeId="0" xr:uid="{F08140D8-120E-4A69-B3FF-28DBD1408446}">
      <text>
        <r>
          <rPr>
            <b/>
            <sz val="9"/>
            <color indexed="81"/>
            <rFont val="Tahoma"/>
            <family val="2"/>
          </rPr>
          <t>TI:</t>
        </r>
        <r>
          <rPr>
            <sz val="9"/>
            <color indexed="81"/>
            <rFont val="Tahoma"/>
            <family val="2"/>
          </rPr>
          <t xml:space="preserve">
HV range limits based on common mode output range only of the amplifier. Also limited to +/- 1200V.</t>
        </r>
      </text>
    </comment>
    <comment ref="B39" authorId="0" shapeId="0" xr:uid="{F4BEA75D-F255-4D7E-BF73-1D9065E5270C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is from table results computed above.</t>
        </r>
      </text>
    </comment>
    <comment ref="B40" authorId="0" shapeId="0" xr:uid="{BAC86BD4-6827-49A4-8781-EEFF0BACCC26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is from table results computed above.</t>
        </r>
      </text>
    </comment>
    <comment ref="B41" authorId="0" shapeId="0" xr:uid="{28DE9A66-00A1-45AF-AB5D-6DB90DAB5689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is from table results computed above.</t>
        </r>
      </text>
    </comment>
    <comment ref="B42" authorId="0" shapeId="0" xr:uid="{1B194C23-AC79-4F18-9E1C-5F622EEC61A2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This is from table results computed above.</t>
        </r>
      </text>
    </comment>
    <comment ref="B43" authorId="0" shapeId="0" xr:uid="{9CF0DEEF-72C9-44F5-9006-69C78D79E288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From TPS4141 gain error, maximum value.</t>
        </r>
      </text>
    </comment>
    <comment ref="B44" authorId="0" shapeId="0" xr:uid="{95D95BE3-0E6E-40A0-8566-23837D240C1E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 xml:space="preserve">From TPS4141 datasheet, typical gain error </t>
        </r>
      </text>
    </comment>
    <comment ref="B45" authorId="0" shapeId="0" xr:uid="{F4FC3A17-3A00-4414-89CB-3882CE3F7E1D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From TPS4141 datasheet, max. input referred offset error.</t>
        </r>
      </text>
    </comment>
    <comment ref="B49" authorId="0" shapeId="0" xr:uid="{811FC79B-896D-437A-8B7C-5790476650D6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Computed reference tolerance positive</t>
        </r>
      </text>
    </comment>
    <comment ref="B50" authorId="0" shapeId="0" xr:uid="{C56ED28F-153A-4D70-A446-3295166299CF}">
      <text>
        <r>
          <rPr>
            <b/>
            <sz val="9"/>
            <color indexed="81"/>
            <rFont val="Tahoma"/>
            <family val="2"/>
          </rPr>
          <t xml:space="preserve">TI: </t>
        </r>
        <r>
          <rPr>
            <sz val="9"/>
            <color indexed="81"/>
            <rFont val="Tahoma"/>
            <family val="2"/>
          </rPr>
          <t>Computed reference tolerance negative</t>
        </r>
      </text>
    </comment>
    <comment ref="B54" authorId="0" shapeId="0" xr:uid="{1C4D4A58-244B-4326-82B0-F6F29BB3FA85}">
      <text>
        <r>
          <rPr>
            <b/>
            <sz val="9"/>
            <color indexed="81"/>
            <rFont val="Tahoma"/>
            <family val="2"/>
          </rPr>
          <t>CBG:</t>
        </r>
        <r>
          <rPr>
            <sz val="9"/>
            <color indexed="81"/>
            <rFont val="Tahoma"/>
            <family val="2"/>
          </rPr>
          <t xml:space="preserve">
Computed ADC reference tolerance positive</t>
        </r>
      </text>
    </comment>
    <comment ref="B55" authorId="0" shapeId="0" xr:uid="{EEA61FE7-84E4-4615-9360-82DFAC29455A}">
      <text>
        <r>
          <rPr>
            <b/>
            <sz val="9"/>
            <color indexed="81"/>
            <rFont val="Tahoma"/>
            <family val="2"/>
          </rPr>
          <t>CBG:</t>
        </r>
        <r>
          <rPr>
            <sz val="9"/>
            <color indexed="81"/>
            <rFont val="Tahoma"/>
            <family val="2"/>
          </rPr>
          <t xml:space="preserve">
Computed ADC reference tolerance negative.</t>
        </r>
      </text>
    </comment>
  </commentList>
</comments>
</file>

<file path=xl/sharedStrings.xml><?xml version="1.0" encoding="utf-8"?>
<sst xmlns="http://schemas.openxmlformats.org/spreadsheetml/2006/main" count="119" uniqueCount="106">
  <si>
    <t>Offset Error (V)</t>
  </si>
  <si>
    <t>AOUT,nom (V)</t>
  </si>
  <si>
    <t>VREF</t>
  </si>
  <si>
    <t>TPS4141-Q1 Calculator</t>
  </si>
  <si>
    <t>MODE</t>
  </si>
  <si>
    <t>Uni-directional or bi-directional.</t>
  </si>
  <si>
    <t>VIN_CM+(V)</t>
  </si>
  <si>
    <t>Maximum amplifier common mode input range.</t>
  </si>
  <si>
    <t>VIN_CM-(V)</t>
  </si>
  <si>
    <t>Minimum amplifier common mode input range.</t>
  </si>
  <si>
    <t>VOUT_CM+ (V)</t>
  </si>
  <si>
    <t>Maximum amplifier common mode output range.</t>
  </si>
  <si>
    <t>VOUT_CM-(V)</t>
  </si>
  <si>
    <t>Minimum amplifier common mode output range.</t>
  </si>
  <si>
    <r>
      <t>HV</t>
    </r>
    <r>
      <rPr>
        <vertAlign val="subscript"/>
        <sz val="11"/>
        <color rgb="FF3F3F76"/>
        <rFont val="Calibri"/>
        <family val="2"/>
        <scheme val="minor"/>
      </rPr>
      <t>MAX</t>
    </r>
    <r>
      <rPr>
        <sz val="11"/>
        <color rgb="FF3F3F76"/>
        <rFont val="Calibri"/>
        <family val="2"/>
        <scheme val="minor"/>
      </rPr>
      <t xml:space="preserve"> (V)</t>
    </r>
  </si>
  <si>
    <t>Maximum recommended HV voltage.</t>
  </si>
  <si>
    <r>
      <t>HV</t>
    </r>
    <r>
      <rPr>
        <vertAlign val="subscript"/>
        <sz val="11"/>
        <color rgb="FF3F3F76"/>
        <rFont val="Calibri"/>
        <family val="2"/>
        <scheme val="minor"/>
      </rPr>
      <t>MIN</t>
    </r>
    <r>
      <rPr>
        <sz val="11"/>
        <color rgb="FF3F3F76"/>
        <rFont val="Calibri"/>
        <family val="2"/>
        <scheme val="minor"/>
      </rPr>
      <t xml:space="preserve"> (V)</t>
    </r>
  </si>
  <si>
    <t>Minimum recommended HV voltage</t>
  </si>
  <si>
    <t>AMP CMI Capability</t>
  </si>
  <si>
    <t>AMP CMO Capability</t>
  </si>
  <si>
    <r>
      <t>DIV</t>
    </r>
    <r>
      <rPr>
        <b/>
        <vertAlign val="subscript"/>
        <sz val="11"/>
        <color theme="1"/>
        <rFont val="Calibri"/>
        <family val="2"/>
        <scheme val="minor"/>
      </rPr>
      <t>NOM</t>
    </r>
  </si>
  <si>
    <t>MAX</t>
  </si>
  <si>
    <t>MIN</t>
  </si>
  <si>
    <t>RDIV</t>
  </si>
  <si>
    <t>AMP_G</t>
  </si>
  <si>
    <t>VIN_CM+</t>
  </si>
  <si>
    <t>VIN_CM-</t>
  </si>
  <si>
    <t>VOUT_CM+</t>
  </si>
  <si>
    <t>VOUT_CM-</t>
  </si>
  <si>
    <t>VHV_MAX (+)</t>
  </si>
  <si>
    <t>VHV_MIN(-)</t>
  </si>
  <si>
    <t>HV, min</t>
  </si>
  <si>
    <t>HV, max</t>
  </si>
  <si>
    <r>
      <t>DIV</t>
    </r>
    <r>
      <rPr>
        <b/>
        <vertAlign val="subscript"/>
        <sz val="11"/>
        <color theme="1"/>
        <rFont val="Calibri"/>
        <family val="2"/>
        <scheme val="minor"/>
      </rPr>
      <t>NOM</t>
    </r>
    <r>
      <rPr>
        <b/>
        <sz val="11"/>
        <color theme="1"/>
        <rFont val="Calibri"/>
        <family val="2"/>
        <scheme val="minor"/>
      </rPr>
      <t xml:space="preserve"> selection</t>
    </r>
  </si>
  <si>
    <t>AOUT, nom (V)</t>
  </si>
  <si>
    <t>Date</t>
  </si>
  <si>
    <t>Revision</t>
  </si>
  <si>
    <t>Comments</t>
  </si>
  <si>
    <t>Gain Error, max</t>
  </si>
  <si>
    <t>Gain Error, typ.</t>
  </si>
  <si>
    <r>
      <t>%ERROR</t>
    </r>
    <r>
      <rPr>
        <b/>
        <vertAlign val="subscript"/>
        <sz val="11"/>
        <color theme="1"/>
        <rFont val="Calibri"/>
        <family val="2"/>
        <scheme val="minor"/>
      </rPr>
      <t>REL</t>
    </r>
    <r>
      <rPr>
        <b/>
        <sz val="11"/>
        <color theme="1"/>
        <rFont val="Calibri"/>
        <family val="2"/>
        <scheme val="minor"/>
      </rPr>
      <t xml:space="preserve"> (typ.)</t>
    </r>
  </si>
  <si>
    <r>
      <t>%ERROR</t>
    </r>
    <r>
      <rPr>
        <b/>
        <vertAlign val="subscript"/>
        <sz val="11"/>
        <color theme="1"/>
        <rFont val="Calibri"/>
        <family val="2"/>
        <scheme val="minor"/>
      </rPr>
      <t>REL</t>
    </r>
    <r>
      <rPr>
        <b/>
        <sz val="11"/>
        <color theme="1"/>
        <rFont val="Calibri"/>
        <family val="2"/>
        <scheme val="minor"/>
      </rPr>
      <t xml:space="preserve"> (max.)</t>
    </r>
  </si>
  <si>
    <t xml:space="preserve">inputs </t>
  </si>
  <si>
    <t>outputs</t>
  </si>
  <si>
    <t>HV, (V)</t>
  </si>
  <si>
    <r>
      <t>Table to help select DIV</t>
    </r>
    <r>
      <rPr>
        <b/>
        <vertAlign val="subscript"/>
        <sz val="11"/>
        <color theme="1"/>
        <rFont val="Calibri"/>
        <family val="2"/>
        <scheme val="minor"/>
      </rPr>
      <t>NOM</t>
    </r>
    <r>
      <rPr>
        <b/>
        <sz val="11"/>
        <color theme="1"/>
        <rFont val="Calibri"/>
        <family val="2"/>
        <scheme val="minor"/>
      </rPr>
      <t xml:space="preserve"> ratio </t>
    </r>
  </si>
  <si>
    <t>%Relative error (max), max</t>
  </si>
  <si>
    <t>%Relative error (max), min</t>
  </si>
  <si>
    <t>External reference nominal voltage.</t>
  </si>
  <si>
    <t xml:space="preserve"> Key: </t>
  </si>
  <si>
    <t>AOUT,max (V)</t>
  </si>
  <si>
    <t>AOUT,min (V)</t>
  </si>
  <si>
    <t>%Relative error,max</t>
  </si>
  <si>
    <t>%Relative error, min</t>
  </si>
  <si>
    <t>AOUT,nom</t>
  </si>
  <si>
    <t>AOUT,min</t>
  </si>
  <si>
    <t>AOUT,max</t>
  </si>
  <si>
    <t>AOUT,max (typ. gain error)</t>
  </si>
  <si>
    <t>AOUT,min (typ. gain error)</t>
  </si>
  <si>
    <t>%Relative error,max (typ. gain error)</t>
  </si>
  <si>
    <t>%Relative error,min (typ. gain error)</t>
  </si>
  <si>
    <t>External reference maximum voltage.</t>
  </si>
  <si>
    <t>External reference minimum voltage.</t>
  </si>
  <si>
    <t>These are calculated using relative error equation based on REF min, max and AOUT min, max formulas.</t>
  </si>
  <si>
    <t>VREF,nom (V)</t>
  </si>
  <si>
    <t>VREF,max (V)</t>
  </si>
  <si>
    <t>VREF,min (V)</t>
  </si>
  <si>
    <t>VREF_ADC, nom.</t>
  </si>
  <si>
    <t>VREF_ADC, max.</t>
  </si>
  <si>
    <t>VREF_ADC, min</t>
  </si>
  <si>
    <t>VREF_ADC, ACC, max %</t>
  </si>
  <si>
    <t>VREF_ADC, ACC, min %</t>
  </si>
  <si>
    <t>VREF_4141, nom.</t>
  </si>
  <si>
    <t>VREF_4141, max.</t>
  </si>
  <si>
    <t>VREF_4141, min.</t>
  </si>
  <si>
    <t>VREF_ADC,nom (V)</t>
  </si>
  <si>
    <t>VREF_ADC,max (V)</t>
  </si>
  <si>
    <t>VREF_ADC,min (V)</t>
  </si>
  <si>
    <t>ADC reference nominal voltage.</t>
  </si>
  <si>
    <t>ADC reference maximum voltage.</t>
  </si>
  <si>
    <t>ADC reference minimum voltage.</t>
  </si>
  <si>
    <t>VREF_4141, ACC, max %</t>
  </si>
  <si>
    <t>VREF_4141, ACC, min %</t>
  </si>
  <si>
    <t>Error check comparision</t>
  </si>
  <si>
    <t>These are calculated using relative error equation based on REFacc tolerances. These should give same results as those based on REF min, max and AOUT min, max formulas.</t>
  </si>
  <si>
    <t>These are taken from VREF inputs above and are set to zero if un-directional mode is selected.</t>
  </si>
  <si>
    <t>AOUT, max (ideal)</t>
  </si>
  <si>
    <t>AOUT, min (ideal)</t>
  </si>
  <si>
    <r>
      <t>%ERROR</t>
    </r>
    <r>
      <rPr>
        <b/>
        <vertAlign val="subscript"/>
        <sz val="11"/>
        <color theme="1"/>
        <rFont val="Calibri"/>
        <family val="2"/>
        <scheme val="minor"/>
      </rPr>
      <t>ADC</t>
    </r>
    <r>
      <rPr>
        <b/>
        <sz val="11"/>
        <color theme="1"/>
        <rFont val="Calibri"/>
        <family val="2"/>
        <scheme val="minor"/>
      </rPr>
      <t xml:space="preserve"> (max.)</t>
    </r>
  </si>
  <si>
    <r>
      <t>%ERROR</t>
    </r>
    <r>
      <rPr>
        <b/>
        <vertAlign val="subscript"/>
        <sz val="11"/>
        <color theme="1"/>
        <rFont val="Calibri"/>
        <family val="2"/>
        <scheme val="minor"/>
      </rPr>
      <t>ADC</t>
    </r>
    <r>
      <rPr>
        <b/>
        <sz val="11"/>
        <color theme="1"/>
        <rFont val="Calibri"/>
        <family val="2"/>
        <scheme val="minor"/>
      </rPr>
      <t xml:space="preserve"> (typ.)</t>
    </r>
  </si>
  <si>
    <t>%ADC error,max</t>
  </si>
  <si>
    <t>%ADC error,min</t>
  </si>
  <si>
    <t>%ADC error,max (typ. gain error)</t>
  </si>
  <si>
    <t>%ADC error,min (typ. gain error)</t>
  </si>
  <si>
    <r>
      <rPr>
        <b/>
        <sz val="11"/>
        <color theme="1"/>
        <rFont val="Calibri"/>
        <family val="2"/>
        <scheme val="minor"/>
      </rPr>
      <t xml:space="preserve">CB: </t>
    </r>
    <r>
      <rPr>
        <sz val="11"/>
        <color theme="1"/>
        <rFont val="Calibri"/>
        <family val="2"/>
        <scheme val="minor"/>
      </rPr>
      <t>Initial beta release.</t>
    </r>
  </si>
  <si>
    <r>
      <rPr>
        <b/>
        <sz val="11"/>
        <color theme="1"/>
        <rFont val="Calibri"/>
        <family val="2"/>
        <scheme val="minor"/>
      </rPr>
      <t>CB:</t>
    </r>
    <r>
      <rPr>
        <sz val="11"/>
        <color theme="1"/>
        <rFont val="Calibri"/>
        <family val="2"/>
        <scheme val="minor"/>
      </rPr>
      <t xml:space="preserve"> Added relative error calculation.</t>
    </r>
  </si>
  <si>
    <r>
      <rPr>
        <b/>
        <sz val="11"/>
        <color theme="1"/>
        <rFont val="Calibri"/>
        <family val="2"/>
        <scheme val="minor"/>
      </rPr>
      <t>CB:</t>
    </r>
    <r>
      <rPr>
        <sz val="11"/>
        <color theme="1"/>
        <rFont val="Calibri"/>
        <family val="2"/>
        <scheme val="minor"/>
      </rPr>
      <t xml:space="preserve"> Updated input ranges based on latest specification.</t>
    </r>
  </si>
  <si>
    <r>
      <rPr>
        <b/>
        <sz val="11"/>
        <color theme="1"/>
        <rFont val="Calibri"/>
        <family val="2"/>
        <scheme val="minor"/>
      </rPr>
      <t>CB:</t>
    </r>
    <r>
      <rPr>
        <sz val="11"/>
        <color theme="1"/>
        <rFont val="Calibri"/>
        <family val="2"/>
        <scheme val="minor"/>
      </rPr>
      <t xml:space="preserve"> Added VREF error contributions.</t>
    </r>
  </si>
  <si>
    <r>
      <rPr>
        <b/>
        <sz val="11"/>
        <color theme="1"/>
        <rFont val="Calibri"/>
        <family val="2"/>
        <scheme val="minor"/>
      </rPr>
      <t>CB:</t>
    </r>
    <r>
      <rPr>
        <sz val="11"/>
        <color theme="1"/>
        <rFont val="Calibri"/>
        <family val="2"/>
        <scheme val="minor"/>
      </rPr>
      <t xml:space="preserve"> Updated equations to account for bi-directional error versus uni-directional error.</t>
    </r>
  </si>
  <si>
    <t>0.6.1</t>
  </si>
  <si>
    <r>
      <rPr>
        <b/>
        <sz val="11"/>
        <color theme="1"/>
        <rFont val="Calibri"/>
        <family val="2"/>
        <scheme val="minor"/>
      </rPr>
      <t>HA:</t>
    </r>
    <r>
      <rPr>
        <sz val="11"/>
        <color theme="1"/>
        <rFont val="Calibri"/>
        <family val="2"/>
        <scheme val="minor"/>
      </rPr>
      <t xml:space="preserve"> Fixed %ERRORREL results displaying in reverse order for +HV and -HV inputs</t>
    </r>
  </si>
  <si>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>: Added ADC absolute accuracy error contributions</t>
    </r>
  </si>
  <si>
    <r>
      <t>Absolute accuracy of UIR/ADC analog input.
(</t>
    </r>
    <r>
      <rPr>
        <i/>
        <sz val="11"/>
        <rFont val="Calibri"/>
        <family val="2"/>
        <scheme val="minor"/>
      </rPr>
      <t>VACC_VnGPIOn_ABS</t>
    </r>
    <r>
      <rPr>
        <sz val="11"/>
        <rFont val="Calibri"/>
        <family val="2"/>
        <scheme val="minor"/>
      </rPr>
      <t xml:space="preserve"> for BQx devices)</t>
    </r>
  </si>
  <si>
    <t xml:space="preserve">VACC_ADC_INPUT_ABS
</t>
  </si>
  <si>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>: Changed name of ADC absolute accuracy spec and added comments</t>
    </r>
  </si>
  <si>
    <t>Uni-directional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</si>
</sst>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000"/>
    <numFmt numFmtId="166" formatCode="0.000000000000"/>
    <numFmt numFmtId="167" formatCode="0.000000"/>
    <numFmt numFmtId="168" formatCode="0.0000"/>
    <numFmt numFmtId="169" formatCode="0.00000"/>
    <numFmt numFmtId="170" formatCode="0.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rgb="FF3F3F76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136">
    <xf numFmtId="0" fontId="0" fillId="0" borderId="0" xfId="0"/>
    <xf numFmtId="0" fontId="5" fillId="0" borderId="0" xfId="0" applyFont="1"/>
    <xf numFmtId="0" fontId="4" fillId="0" borderId="2" xfId="0" applyFont="1" applyBorder="1"/>
    <xf numFmtId="0" fontId="0" fillId="0" borderId="0" xfId="0" applyFill="1" applyBorder="1"/>
    <xf numFmtId="0" fontId="2" fillId="2" borderId="1" xfId="2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0" fillId="0" borderId="15" xfId="0" applyBorder="1"/>
    <xf numFmtId="0" fontId="3" fillId="3" borderId="16" xfId="3" applyBorder="1"/>
    <xf numFmtId="0" fontId="3" fillId="3" borderId="17" xfId="3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3" borderId="22" xfId="3" applyBorder="1"/>
    <xf numFmtId="0" fontId="3" fillId="3" borderId="23" xfId="3" applyBorder="1"/>
    <xf numFmtId="0" fontId="0" fillId="0" borderId="24" xfId="0" applyBorder="1"/>
    <xf numFmtId="0" fontId="3" fillId="3" borderId="25" xfId="3" applyBorder="1"/>
    <xf numFmtId="0" fontId="3" fillId="3" borderId="26" xfId="3" applyBorder="1"/>
    <xf numFmtId="0" fontId="0" fillId="0" borderId="27" xfId="0" applyBorder="1"/>
    <xf numFmtId="0" fontId="0" fillId="0" borderId="28" xfId="0" applyBorder="1"/>
    <xf numFmtId="0" fontId="0" fillId="0" borderId="2" xfId="0" applyBorder="1"/>
    <xf numFmtId="0" fontId="0" fillId="0" borderId="29" xfId="0" applyBorder="1"/>
    <xf numFmtId="0" fontId="0" fillId="0" borderId="30" xfId="0" applyBorder="1"/>
    <xf numFmtId="0" fontId="3" fillId="3" borderId="31" xfId="3" applyBorder="1"/>
    <xf numFmtId="0" fontId="3" fillId="3" borderId="32" xfId="3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3" fillId="3" borderId="37" xfId="3" applyBorder="1"/>
    <xf numFmtId="0" fontId="3" fillId="3" borderId="38" xfId="3" applyBorder="1"/>
    <xf numFmtId="0" fontId="0" fillId="0" borderId="0" xfId="0" applyBorder="1"/>
    <xf numFmtId="0" fontId="12" fillId="0" borderId="0" xfId="0" applyFont="1" applyAlignment="1">
      <alignment horizontal="left"/>
    </xf>
    <xf numFmtId="0" fontId="4" fillId="0" borderId="0" xfId="0" applyFont="1"/>
    <xf numFmtId="14" fontId="0" fillId="0" borderId="0" xfId="0" applyNumberFormat="1"/>
    <xf numFmtId="0" fontId="4" fillId="4" borderId="16" xfId="3" applyFont="1" applyFill="1" applyBorder="1"/>
    <xf numFmtId="0" fontId="4" fillId="4" borderId="17" xfId="3" applyFont="1" applyFill="1" applyBorder="1"/>
    <xf numFmtId="164" fontId="4" fillId="4" borderId="16" xfId="3" applyNumberFormat="1" applyFont="1" applyFill="1" applyBorder="1"/>
    <xf numFmtId="164" fontId="4" fillId="4" borderId="17" xfId="3" applyNumberFormat="1" applyFont="1" applyFill="1" applyBorder="1"/>
    <xf numFmtId="0" fontId="4" fillId="4" borderId="25" xfId="3" applyFont="1" applyFill="1" applyBorder="1"/>
    <xf numFmtId="0" fontId="4" fillId="4" borderId="26" xfId="3" applyFont="1" applyFill="1" applyBorder="1"/>
    <xf numFmtId="164" fontId="4" fillId="4" borderId="25" xfId="3" applyNumberFormat="1" applyFont="1" applyFill="1" applyBorder="1"/>
    <xf numFmtId="164" fontId="4" fillId="4" borderId="26" xfId="3" applyNumberFormat="1" applyFont="1" applyFill="1" applyBorder="1"/>
    <xf numFmtId="0" fontId="4" fillId="4" borderId="31" xfId="3" applyFont="1" applyFill="1" applyBorder="1"/>
    <xf numFmtId="0" fontId="4" fillId="4" borderId="32" xfId="3" applyFont="1" applyFill="1" applyBorder="1"/>
    <xf numFmtId="164" fontId="4" fillId="4" borderId="31" xfId="3" applyNumberFormat="1" applyFont="1" applyFill="1" applyBorder="1"/>
    <xf numFmtId="164" fontId="4" fillId="4" borderId="32" xfId="3" applyNumberFormat="1" applyFont="1" applyFill="1" applyBorder="1"/>
    <xf numFmtId="0" fontId="2" fillId="5" borderId="2" xfId="2" applyFill="1" applyBorder="1" applyProtection="1">
      <protection locked="0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2" fillId="5" borderId="1" xfId="2" applyFill="1" applyAlignment="1" applyProtection="1">
      <alignment horizontal="center" vertical="center"/>
      <protection locked="0"/>
    </xf>
    <xf numFmtId="0" fontId="4" fillId="4" borderId="1" xfId="3" applyNumberFormat="1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2" xfId="2" applyFont="1" applyFill="1" applyBorder="1"/>
    <xf numFmtId="0" fontId="4" fillId="0" borderId="0" xfId="0" applyFont="1" applyBorder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40" xfId="2" applyFill="1" applyBorder="1" applyAlignment="1" applyProtection="1">
      <alignment horizontal="center" vertical="center"/>
      <protection locked="0"/>
    </xf>
    <xf numFmtId="165" fontId="0" fillId="0" borderId="0" xfId="1" applyNumberFormat="1" applyFont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2" fillId="5" borderId="2" xfId="2" applyFill="1" applyBorder="1" applyAlignment="1" applyProtection="1">
      <alignment horizontal="right"/>
      <protection locked="0"/>
    </xf>
    <xf numFmtId="167" fontId="4" fillId="4" borderId="2" xfId="3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0" fillId="0" borderId="0" xfId="0" applyFill="1"/>
    <xf numFmtId="0" fontId="7" fillId="0" borderId="0" xfId="0" applyFont="1"/>
    <xf numFmtId="0" fontId="7" fillId="0" borderId="0" xfId="2" applyFont="1" applyFill="1" applyBorder="1" applyProtection="1">
      <protection locked="0"/>
    </xf>
    <xf numFmtId="169" fontId="7" fillId="0" borderId="0" xfId="2" applyNumberFormat="1" applyFont="1" applyFill="1" applyBorder="1" applyProtection="1">
      <protection locked="0"/>
    </xf>
    <xf numFmtId="170" fontId="0" fillId="0" borderId="0" xfId="1" applyNumberFormat="1" applyFont="1"/>
    <xf numFmtId="11" fontId="0" fillId="0" borderId="0" xfId="1" applyNumberFormat="1" applyFont="1"/>
    <xf numFmtId="11" fontId="0" fillId="0" borderId="0" xfId="0" applyNumberFormat="1"/>
    <xf numFmtId="10" fontId="0" fillId="0" borderId="0" xfId="0" applyNumberFormat="1"/>
    <xf numFmtId="168" fontId="7" fillId="0" borderId="0" xfId="0" applyNumberFormat="1" applyFont="1"/>
    <xf numFmtId="167" fontId="7" fillId="0" borderId="0" xfId="0" applyNumberFormat="1" applyFont="1"/>
    <xf numFmtId="0" fontId="7" fillId="0" borderId="0" xfId="0" applyFont="1" applyAlignment="1">
      <alignment horizontal="left"/>
    </xf>
    <xf numFmtId="0" fontId="0" fillId="0" borderId="48" xfId="0" applyBorder="1"/>
    <xf numFmtId="165" fontId="0" fillId="0" borderId="49" xfId="0" applyNumberFormat="1" applyBorder="1"/>
    <xf numFmtId="0" fontId="0" fillId="0" borderId="50" xfId="0" applyBorder="1"/>
    <xf numFmtId="165" fontId="0" fillId="0" borderId="51" xfId="0" applyNumberFormat="1" applyBorder="1"/>
    <xf numFmtId="165" fontId="0" fillId="0" borderId="51" xfId="1" applyNumberFormat="1" applyFont="1" applyBorder="1"/>
    <xf numFmtId="0" fontId="0" fillId="0" borderId="52" xfId="0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0" fontId="0" fillId="0" borderId="43" xfId="0" applyBorder="1"/>
    <xf numFmtId="10" fontId="0" fillId="0" borderId="44" xfId="1" applyNumberFormat="1" applyFont="1" applyBorder="1"/>
    <xf numFmtId="0" fontId="0" fillId="0" borderId="44" xfId="0" applyBorder="1"/>
    <xf numFmtId="168" fontId="0" fillId="0" borderId="44" xfId="0" applyNumberFormat="1" applyBorder="1"/>
    <xf numFmtId="165" fontId="0" fillId="0" borderId="44" xfId="0" applyNumberFormat="1" applyBorder="1"/>
    <xf numFmtId="0" fontId="0" fillId="0" borderId="45" xfId="0" applyBorder="1"/>
    <xf numFmtId="165" fontId="0" fillId="0" borderId="47" xfId="0" applyNumberFormat="1" applyBorder="1"/>
    <xf numFmtId="0" fontId="4" fillId="0" borderId="54" xfId="0" applyFont="1" applyBorder="1"/>
    <xf numFmtId="0" fontId="4" fillId="0" borderId="55" xfId="0" applyFont="1" applyBorder="1"/>
    <xf numFmtId="4" fontId="4" fillId="4" borderId="56" xfId="1" applyNumberFormat="1" applyFont="1" applyFill="1" applyBorder="1" applyAlignment="1">
      <alignment horizontal="right"/>
    </xf>
    <xf numFmtId="0" fontId="4" fillId="0" borderId="57" xfId="0" applyFont="1" applyBorder="1"/>
    <xf numFmtId="167" fontId="4" fillId="4" borderId="54" xfId="3" applyNumberFormat="1" applyFont="1" applyFill="1" applyBorder="1" applyAlignment="1">
      <alignment horizontal="right"/>
    </xf>
    <xf numFmtId="4" fontId="4" fillId="4" borderId="56" xfId="3" applyNumberFormat="1" applyFont="1" applyFill="1" applyBorder="1" applyAlignment="1">
      <alignment horizontal="right"/>
    </xf>
    <xf numFmtId="4" fontId="4" fillId="4" borderId="58" xfId="3" applyNumberFormat="1" applyFont="1" applyFill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right"/>
    </xf>
    <xf numFmtId="0" fontId="6" fillId="0" borderId="2" xfId="2" applyFont="1" applyFill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13" fillId="0" borderId="41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4">
    <cellStyle name="Calculation" xfId="3" builtinId="22"/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248049</xdr:colOff>
      <xdr:row>47</xdr:row>
      <xdr:rowOff>160111</xdr:rowOff>
    </xdr:from>
    <xdr:to>
      <xdr:col>29</xdr:col>
      <xdr:colOff>179390</xdr:colOff>
      <xdr:row>56</xdr:row>
      <xdr:rowOff>88107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44F523D-E2DC-443C-923A-6F2641E9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370" y="7929790"/>
          <a:ext cx="7973163" cy="64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248049</xdr:colOff>
      <xdr:row>57</xdr:row>
      <xdr:rowOff>0</xdr:rowOff>
    </xdr:from>
    <xdr:to>
      <xdr:col>29</xdr:col>
      <xdr:colOff>138115</xdr:colOff>
      <xdr:row>60</xdr:row>
      <xdr:rowOff>104775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1F5D8F3-63ED-44CC-8D81-B2B417BD6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1408" y="10933906"/>
          <a:ext cx="6716316" cy="69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248049</xdr:colOff>
      <xdr:row>61</xdr:row>
      <xdr:rowOff>29765</xdr:rowOff>
    </xdr:from>
    <xdr:to>
      <xdr:col>26</xdr:col>
      <xdr:colOff>324249</xdr:colOff>
      <xdr:row>66</xdr:row>
      <xdr:rowOff>76597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91F198-31AE-4FD4-BC6E-94CF15EF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1408" y="11737578"/>
          <a:ext cx="5086747" cy="1009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248049</xdr:colOff>
      <xdr:row>69</xdr:row>
      <xdr:rowOff>49609</xdr:rowOff>
    </xdr:from>
    <xdr:to>
      <xdr:col>26</xdr:col>
      <xdr:colOff>286149</xdr:colOff>
      <xdr:row>74</xdr:row>
      <xdr:rowOff>116285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5F1C5FE-3109-44F2-B97E-5AE8CB23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1408" y="12908359"/>
          <a:ext cx="5048647" cy="100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687C-8805-4C8D-820D-DEED9FC8CB5C}">
  <dimension ref="A1:W89"/>
  <sheetViews>
    <sheetView tabSelected="1" zoomScale="85" zoomScaleNormal="85" workbookViewId="0">
      <selection activeCell="B3" sqref="B3"/>
    </sheetView>
  </sheetViews>
  <sheetFormatPr defaultRowHeight="14.5" x14ac:dyDescent="0.35"/>
  <cols>
    <col min="1" max="1" width="33.08984375" bestFit="1" customWidth="1"/>
    <col min="2" max="2" width="29.26953125" customWidth="1"/>
    <col min="3" max="3" width="39.54296875" customWidth="1"/>
    <col min="4" max="4" width="11.81640625" bestFit="1" customWidth="1"/>
    <col min="5" max="5" width="13.1796875" bestFit="1" customWidth="1"/>
    <col min="6" max="6" width="11.81640625" bestFit="1" customWidth="1"/>
    <col min="7" max="7" width="18.81640625" customWidth="1"/>
    <col min="8" max="8" width="11.81640625" customWidth="1"/>
    <col min="9" max="9" width="13.1796875" hidden="1" customWidth="1"/>
    <col min="10" max="10" width="11.81640625" hidden="1" customWidth="1"/>
    <col min="11" max="11" width="13.1796875" hidden="1" customWidth="1"/>
    <col min="12" max="12" width="11.81640625" hidden="1" customWidth="1"/>
    <col min="13" max="13" width="13.1796875" hidden="1" customWidth="1"/>
    <col min="14" max="14" width="15.08984375" hidden="1" customWidth="1"/>
    <col min="15" max="15" width="14.81640625" hidden="1" customWidth="1"/>
    <col min="16" max="16" width="13.1796875" hidden="1" customWidth="1"/>
    <col min="17" max="17" width="11.81640625" hidden="1" customWidth="1"/>
    <col min="18" max="18" width="13.1796875" hidden="1" customWidth="1"/>
    <col min="19" max="19" width="16.1796875" hidden="1" customWidth="1"/>
    <col min="20" max="20" width="3.54296875" customWidth="1"/>
    <col min="24" max="24" width="10.81640625" bestFit="1" customWidth="1"/>
  </cols>
  <sheetData>
    <row r="1" spans="1:23" ht="21" x14ac:dyDescent="0.5">
      <c r="A1" s="1" t="s">
        <v>3</v>
      </c>
    </row>
    <row r="2" spans="1:23" x14ac:dyDescent="0.35">
      <c r="F2" t="s">
        <v>49</v>
      </c>
    </row>
    <row r="3" spans="1:23" x14ac:dyDescent="0.35">
      <c r="A3" s="63" t="s">
        <v>64</v>
      </c>
      <c r="B3" s="57">
        <v>0</v>
      </c>
      <c r="C3" s="127" t="s">
        <v>48</v>
      </c>
      <c r="D3" s="128"/>
      <c r="E3" s="128"/>
      <c r="F3" s="60" t="s">
        <v>42</v>
      </c>
    </row>
    <row r="4" spans="1:23" x14ac:dyDescent="0.35">
      <c r="A4" s="63" t="s">
        <v>65</v>
      </c>
      <c r="B4" s="57">
        <v>0</v>
      </c>
      <c r="C4" s="127" t="s">
        <v>61</v>
      </c>
      <c r="D4" s="128"/>
      <c r="E4" s="128"/>
      <c r="F4" s="61" t="s">
        <v>43</v>
      </c>
    </row>
    <row r="5" spans="1:23" x14ac:dyDescent="0.35">
      <c r="A5" s="63" t="s">
        <v>66</v>
      </c>
      <c r="B5" s="57">
        <v>0</v>
      </c>
      <c r="C5" s="127" t="s">
        <v>62</v>
      </c>
      <c r="D5" s="128"/>
      <c r="E5" s="128"/>
      <c r="F5" s="68"/>
    </row>
    <row r="6" spans="1:23" x14ac:dyDescent="0.35">
      <c r="A6" s="2" t="s">
        <v>4</v>
      </c>
      <c r="B6" s="71" t="s">
        <v>105</v>
      </c>
      <c r="C6" s="127" t="s">
        <v>5</v>
      </c>
      <c r="D6" s="128"/>
      <c r="E6" s="128"/>
      <c r="G6" s="81"/>
      <c r="L6" s="81"/>
      <c r="M6" s="81"/>
      <c r="W6" s="65"/>
    </row>
    <row r="7" spans="1:23" hidden="1" x14ac:dyDescent="0.35">
      <c r="A7" s="63" t="s">
        <v>75</v>
      </c>
      <c r="B7" s="57">
        <v>5</v>
      </c>
      <c r="C7" s="127" t="s">
        <v>78</v>
      </c>
      <c r="D7" s="128"/>
      <c r="E7" s="128"/>
      <c r="G7" s="75"/>
      <c r="H7" s="77"/>
      <c r="J7" s="75"/>
      <c r="L7" s="75"/>
      <c r="M7" s="83"/>
      <c r="W7" s="65"/>
    </row>
    <row r="8" spans="1:23" hidden="1" x14ac:dyDescent="0.35">
      <c r="A8" s="63" t="s">
        <v>76</v>
      </c>
      <c r="B8" s="57">
        <v>5.0250000000000004</v>
      </c>
      <c r="C8" s="127" t="s">
        <v>79</v>
      </c>
      <c r="D8" s="128"/>
      <c r="E8" s="128"/>
      <c r="G8" s="75"/>
      <c r="H8" s="76"/>
      <c r="J8" s="75"/>
      <c r="L8" s="82"/>
      <c r="M8" s="83"/>
      <c r="U8" s="65"/>
    </row>
    <row r="9" spans="1:23" hidden="1" x14ac:dyDescent="0.35">
      <c r="A9" s="63" t="s">
        <v>77</v>
      </c>
      <c r="B9" s="57">
        <v>4.9749999999999996</v>
      </c>
      <c r="C9" s="127" t="s">
        <v>80</v>
      </c>
      <c r="D9" s="128"/>
      <c r="E9" s="128"/>
      <c r="G9" s="75"/>
      <c r="H9" s="76"/>
      <c r="J9" s="75"/>
      <c r="L9" s="82"/>
      <c r="M9" s="83"/>
    </row>
    <row r="10" spans="1:23" ht="29" x14ac:dyDescent="0.35">
      <c r="A10" s="110" t="s">
        <v>103</v>
      </c>
      <c r="B10" s="57">
        <v>2.7000000000000001E-3</v>
      </c>
      <c r="C10" s="111" t="s">
        <v>102</v>
      </c>
      <c r="D10" s="84"/>
      <c r="E10" s="84"/>
      <c r="G10" s="75"/>
      <c r="H10" s="76"/>
      <c r="J10" s="75"/>
      <c r="L10" s="82"/>
      <c r="M10" s="83"/>
    </row>
    <row r="12" spans="1:23" ht="21" hidden="1" x14ac:dyDescent="0.35">
      <c r="A12" s="4" t="s">
        <v>6</v>
      </c>
      <c r="B12" s="4">
        <v>3</v>
      </c>
      <c r="C12" t="s">
        <v>7</v>
      </c>
      <c r="D12" s="5"/>
      <c r="E12" s="5"/>
      <c r="F12" s="5"/>
      <c r="I12" s="5"/>
      <c r="J12" s="5"/>
      <c r="K12" s="5"/>
      <c r="L12" s="5"/>
      <c r="M12" s="5"/>
      <c r="N12" s="5"/>
      <c r="O12" s="5"/>
    </row>
    <row r="13" spans="1:23" ht="21" hidden="1" x14ac:dyDescent="0.35">
      <c r="A13" s="4" t="s">
        <v>8</v>
      </c>
      <c r="B13" s="4">
        <v>0</v>
      </c>
      <c r="C13" t="s">
        <v>9</v>
      </c>
      <c r="D13" s="5"/>
      <c r="E13" s="5"/>
      <c r="F13" s="5"/>
      <c r="I13" s="5"/>
      <c r="J13" s="5"/>
      <c r="K13" s="5"/>
      <c r="L13" s="5"/>
      <c r="M13" s="5"/>
      <c r="N13" s="5"/>
      <c r="O13" s="5"/>
    </row>
    <row r="14" spans="1:23" hidden="1" x14ac:dyDescent="0.35">
      <c r="A14" s="4" t="s">
        <v>10</v>
      </c>
      <c r="B14" s="4">
        <v>4.0999999999999996</v>
      </c>
      <c r="C14" t="s">
        <v>11</v>
      </c>
    </row>
    <row r="15" spans="1:23" hidden="1" x14ac:dyDescent="0.35">
      <c r="A15" s="4" t="s">
        <v>12</v>
      </c>
      <c r="B15" s="4">
        <v>0</v>
      </c>
      <c r="C15" t="s">
        <v>13</v>
      </c>
    </row>
    <row r="16" spans="1:23" ht="16.5" hidden="1" x14ac:dyDescent="0.45">
      <c r="A16" s="4" t="s">
        <v>14</v>
      </c>
      <c r="B16" s="4">
        <v>1200</v>
      </c>
      <c r="C16" s="3" t="s">
        <v>15</v>
      </c>
    </row>
    <row r="17" spans="1:19" ht="16.5" hidden="1" x14ac:dyDescent="0.45">
      <c r="A17" s="4" t="s">
        <v>16</v>
      </c>
      <c r="B17" s="4">
        <v>-1200</v>
      </c>
      <c r="C17" s="3" t="s">
        <v>17</v>
      </c>
    </row>
    <row r="18" spans="1:19" ht="15" thickBot="1" x14ac:dyDescent="0.4"/>
    <row r="19" spans="1:19" ht="17" thickBot="1" x14ac:dyDescent="0.5">
      <c r="C19" s="133" t="s">
        <v>45</v>
      </c>
      <c r="D19" s="134"/>
      <c r="E19" s="134"/>
      <c r="F19" s="135"/>
    </row>
    <row r="20" spans="1:19" ht="15" thickBot="1" x14ac:dyDescent="0.4">
      <c r="A20" s="6"/>
      <c r="B20" s="7"/>
      <c r="C20" s="129" t="s">
        <v>44</v>
      </c>
      <c r="D20" s="130"/>
      <c r="E20" s="129" t="s">
        <v>34</v>
      </c>
      <c r="F20" s="130"/>
      <c r="P20" s="131" t="s">
        <v>18</v>
      </c>
      <c r="Q20" s="132"/>
      <c r="R20" s="119" t="s">
        <v>19</v>
      </c>
      <c r="S20" s="120"/>
    </row>
    <row r="21" spans="1:19" ht="17" thickBot="1" x14ac:dyDescent="0.5">
      <c r="B21" s="8" t="s">
        <v>20</v>
      </c>
      <c r="C21" s="58" t="s">
        <v>21</v>
      </c>
      <c r="D21" s="59" t="s">
        <v>22</v>
      </c>
      <c r="E21" s="58" t="s">
        <v>21</v>
      </c>
      <c r="F21" s="59" t="s">
        <v>22</v>
      </c>
      <c r="I21" s="9" t="s">
        <v>23</v>
      </c>
      <c r="J21" s="10" t="s">
        <v>24</v>
      </c>
      <c r="K21" s="8" t="s">
        <v>2</v>
      </c>
      <c r="L21" s="11" t="s">
        <v>25</v>
      </c>
      <c r="M21" s="11" t="s">
        <v>26</v>
      </c>
      <c r="N21" s="8" t="s">
        <v>27</v>
      </c>
      <c r="O21" s="8" t="s">
        <v>28</v>
      </c>
      <c r="P21" s="12" t="s">
        <v>29</v>
      </c>
      <c r="Q21" s="13" t="s">
        <v>30</v>
      </c>
      <c r="R21" s="14" t="s">
        <v>29</v>
      </c>
      <c r="S21" s="15" t="s">
        <v>30</v>
      </c>
    </row>
    <row r="22" spans="1:19" x14ac:dyDescent="0.35">
      <c r="B22" s="16">
        <v>160</v>
      </c>
      <c r="C22" s="45">
        <f>MIN(P22,R22)</f>
        <v>656</v>
      </c>
      <c r="D22" s="46">
        <f>MAX(Q22,S22)</f>
        <v>0</v>
      </c>
      <c r="E22" s="47">
        <f>(C22-K22)/B22+K22</f>
        <v>4.0999999999999996</v>
      </c>
      <c r="F22" s="48">
        <f>(D22-K22)/B22+K22</f>
        <v>0</v>
      </c>
      <c r="I22" s="16">
        <v>1100</v>
      </c>
      <c r="J22" s="19">
        <f>I22/B22</f>
        <v>6.875</v>
      </c>
      <c r="K22" s="20">
        <f>IF($B$6="Uni-directional", 0, $B$3)</f>
        <v>0</v>
      </c>
      <c r="L22" s="21">
        <f>B12</f>
        <v>3</v>
      </c>
      <c r="M22" s="21">
        <f>B13</f>
        <v>0</v>
      </c>
      <c r="N22" s="20">
        <f>B14</f>
        <v>4.0999999999999996</v>
      </c>
      <c r="O22" s="22">
        <f>B15</f>
        <v>0</v>
      </c>
      <c r="P22" s="23">
        <f>MIN((L22-K22)*I22+K22, B16)</f>
        <v>1200</v>
      </c>
      <c r="Q22" s="24">
        <f>MAX((M22-K22)*I22+K22,B17)</f>
        <v>0</v>
      </c>
      <c r="R22" s="17">
        <f>MIN((N22-K22)*B22+K22, B16)</f>
        <v>656</v>
      </c>
      <c r="S22" s="18">
        <f>MAX((O22-K22)*B22+K22, B17)</f>
        <v>0</v>
      </c>
    </row>
    <row r="23" spans="1:19" x14ac:dyDescent="0.35">
      <c r="B23" s="25">
        <v>320</v>
      </c>
      <c r="C23" s="49">
        <f>MIN(P23,R23)</f>
        <v>1200</v>
      </c>
      <c r="D23" s="50">
        <f>MAX(Q23,S23)</f>
        <v>0</v>
      </c>
      <c r="E23" s="51">
        <f>(C23-K23)/B23+K23</f>
        <v>3.75</v>
      </c>
      <c r="F23" s="52">
        <f>(D23-K23)/B23+K23</f>
        <v>0</v>
      </c>
      <c r="I23" s="25">
        <v>1100</v>
      </c>
      <c r="J23" s="28">
        <f>I23/B23</f>
        <v>3.4375</v>
      </c>
      <c r="K23" s="20">
        <f>IF($B$6="Uni-directional", 0, $B$3)</f>
        <v>0</v>
      </c>
      <c r="L23" s="29">
        <f>B12</f>
        <v>3</v>
      </c>
      <c r="M23" s="29">
        <f>B13</f>
        <v>0</v>
      </c>
      <c r="N23" s="30">
        <f>B14</f>
        <v>4.0999999999999996</v>
      </c>
      <c r="O23" s="31">
        <f>B15</f>
        <v>0</v>
      </c>
      <c r="P23" s="23">
        <f>MIN((L23-K23)*I23+K23, B16)</f>
        <v>1200</v>
      </c>
      <c r="Q23" s="24">
        <f>MAX((M22-K23)*I23+K23,B17)</f>
        <v>0</v>
      </c>
      <c r="R23" s="26">
        <f>MIN((N23-K23)*B23+K23, B16)</f>
        <v>1200</v>
      </c>
      <c r="S23" s="27">
        <f>MAX((O23-K23)*B23+K23, B17)</f>
        <v>0</v>
      </c>
    </row>
    <row r="24" spans="1:19" x14ac:dyDescent="0.35">
      <c r="B24" s="25">
        <v>640</v>
      </c>
      <c r="C24" s="49">
        <f>MIN(P24,R24)</f>
        <v>1200</v>
      </c>
      <c r="D24" s="50">
        <f>MAX(Q24,S24)</f>
        <v>0</v>
      </c>
      <c r="E24" s="51">
        <f>(C24-K24)/B24+K24</f>
        <v>1.875</v>
      </c>
      <c r="F24" s="52">
        <f>(D24-K24)/B24+K24</f>
        <v>0</v>
      </c>
      <c r="I24" s="25">
        <v>1100</v>
      </c>
      <c r="J24" s="28">
        <f>I24/B24</f>
        <v>1.71875</v>
      </c>
      <c r="K24" s="20">
        <f>IF($B$6="Uni-directional", 0, $B$3)</f>
        <v>0</v>
      </c>
      <c r="L24" s="29">
        <f>B12</f>
        <v>3</v>
      </c>
      <c r="M24" s="29">
        <f>B13</f>
        <v>0</v>
      </c>
      <c r="N24" s="30">
        <f>B14</f>
        <v>4.0999999999999996</v>
      </c>
      <c r="O24" s="31">
        <f>B15</f>
        <v>0</v>
      </c>
      <c r="P24" s="23">
        <f>MIN((L24-K24)*I24+K24, B16)</f>
        <v>1200</v>
      </c>
      <c r="Q24" s="24">
        <f>MAX((M22-K24)*I24+K24,B17)</f>
        <v>0</v>
      </c>
      <c r="R24" s="26">
        <f>MIN((N24-K24)*B24+K24, B16)</f>
        <v>1200</v>
      </c>
      <c r="S24" s="27">
        <f>MAX((O24-K24)*B24+K24, B17)</f>
        <v>0</v>
      </c>
    </row>
    <row r="25" spans="1:19" ht="15" thickBot="1" x14ac:dyDescent="0.4">
      <c r="B25" s="32">
        <v>1000</v>
      </c>
      <c r="C25" s="53">
        <f>MIN(P25,R25)</f>
        <v>1200</v>
      </c>
      <c r="D25" s="54">
        <f>MAX(Q25,S25)</f>
        <v>0</v>
      </c>
      <c r="E25" s="55">
        <f>(C25-K25)/B25+K25</f>
        <v>1.2</v>
      </c>
      <c r="F25" s="56">
        <f>(D25-K25)/B25+K25</f>
        <v>0</v>
      </c>
      <c r="I25" s="32">
        <v>1100</v>
      </c>
      <c r="J25" s="35">
        <f>I25/B25</f>
        <v>1.1000000000000001</v>
      </c>
      <c r="K25" s="36">
        <f>IF($B$6="Uni-directional", 0, $B$3)</f>
        <v>0</v>
      </c>
      <c r="L25" s="37">
        <f>B12</f>
        <v>3</v>
      </c>
      <c r="M25" s="37">
        <f>B13</f>
        <v>0</v>
      </c>
      <c r="N25" s="36">
        <f>B14</f>
        <v>4.0999999999999996</v>
      </c>
      <c r="O25" s="38">
        <f>B15</f>
        <v>0</v>
      </c>
      <c r="P25" s="39">
        <f>MIN((L25-K25)*I25+K25, B16)</f>
        <v>1200</v>
      </c>
      <c r="Q25" s="40">
        <f>MAX((M22-K25)*I25+K25,B17)</f>
        <v>0</v>
      </c>
      <c r="R25" s="33">
        <f>MIN((N25-K25)*B25+K25, B16)</f>
        <v>1200</v>
      </c>
      <c r="S25" s="34">
        <f>MAX((O25-K25)*B25+K25, B17)</f>
        <v>0</v>
      </c>
    </row>
    <row r="26" spans="1:19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9" ht="16.5" x14ac:dyDescent="0.45">
      <c r="A28" s="2" t="s">
        <v>33</v>
      </c>
      <c r="B28" s="57">
        <v>320</v>
      </c>
    </row>
    <row r="29" spans="1:19" x14ac:dyDescent="0.35">
      <c r="A29" s="2" t="s">
        <v>44</v>
      </c>
      <c r="B29" s="57">
        <v>1000</v>
      </c>
      <c r="C29" s="118" t="str">
        <f>IF(AND(B29&gt;=B40,B29&lt;=B39), "","WARNING: Out of range for divider selection.")</f>
        <v/>
      </c>
      <c r="D29" s="118"/>
      <c r="E29" s="118"/>
      <c r="F29" s="118"/>
    </row>
    <row r="30" spans="1:19" x14ac:dyDescent="0.35">
      <c r="A30" s="2" t="s">
        <v>1</v>
      </c>
      <c r="B30" s="72">
        <f>IF( (B29-B46)/B28+B46&gt;B41,"Amplifier saturated high", IF((B29-B46)/B28+B46&lt;B42,"Amplifier saturated low", (B29-B46)/B28+B46))</f>
        <v>3.125</v>
      </c>
      <c r="C30" s="42"/>
      <c r="D30" s="42"/>
      <c r="E30" s="42"/>
      <c r="F30" s="42"/>
    </row>
    <row r="31" spans="1:19" x14ac:dyDescent="0.35">
      <c r="A31" s="2" t="s">
        <v>50</v>
      </c>
      <c r="B31" s="72">
        <f>IF(B61&gt;$B$14,"Amplifier saturated high",B61)</f>
        <v>3.1335643749999997</v>
      </c>
      <c r="C31" s="62"/>
      <c r="D31" s="62"/>
      <c r="E31" s="62"/>
      <c r="F31" s="62"/>
    </row>
    <row r="32" spans="1:19" ht="15" thickBot="1" x14ac:dyDescent="0.4">
      <c r="A32" s="101" t="s">
        <v>51</v>
      </c>
      <c r="B32" s="105">
        <f>IF(B62&lt;$B$15,"Amplifier saturated low",B62)</f>
        <v>3.1164393750000001</v>
      </c>
      <c r="C32" s="62"/>
      <c r="D32" s="62"/>
      <c r="E32" s="62"/>
      <c r="F32" s="62"/>
    </row>
    <row r="33" spans="1:6" ht="17" thickTop="1" x14ac:dyDescent="0.45">
      <c r="A33" s="102" t="s">
        <v>40</v>
      </c>
      <c r="B33" s="106" t="str">
        <f>"["&amp;IF(ROUND(B73,5)&lt;0, ROUND(B73,5),ROUND(B72,5))&amp;", "&amp;IF(ROUND(B72,5)&gt;0,ROUND(B72,5),ROUND(B73,5))&amp;"] %"</f>
        <v>[-0.17396, 0.17404] %</v>
      </c>
    </row>
    <row r="34" spans="1:6" ht="17" thickBot="1" x14ac:dyDescent="0.5">
      <c r="A34" s="104" t="s">
        <v>89</v>
      </c>
      <c r="B34" s="107" t="str">
        <f>"["&amp;ROUND(B75,5)&amp;", "&amp;ROUND(B74,5)&amp;"] %"</f>
        <v>[-0.08655, 0.08655] %</v>
      </c>
    </row>
    <row r="35" spans="1:6" ht="17" thickTop="1" x14ac:dyDescent="0.45">
      <c r="A35" s="102" t="s">
        <v>41</v>
      </c>
      <c r="B35" s="103" t="str">
        <f>"["&amp;IF(ROUND(B65,5)&lt;0,ROUND(B65,5),ROUND(B64,5))&amp;", "&amp;IF(ROUND(B64,5)&gt;0,ROUND(B64,5),ROUND(B65,5))&amp;"] %"</f>
        <v>[-0.27394, 0.27406] %</v>
      </c>
      <c r="E35" s="108"/>
    </row>
    <row r="36" spans="1:6" ht="19" customHeight="1" thickBot="1" x14ac:dyDescent="0.5">
      <c r="A36" s="104" t="s">
        <v>88</v>
      </c>
      <c r="B36" s="107" t="str">
        <f>"["&amp;ROUND(B67,5)&amp;", "&amp;ROUND(B66,5)&amp;"] %"</f>
        <v>[-0.08664, 0.08664] %</v>
      </c>
    </row>
    <row r="37" spans="1:6" ht="15" thickTop="1" x14ac:dyDescent="0.35">
      <c r="A37" s="64"/>
      <c r="B37" s="70"/>
    </row>
    <row r="38" spans="1:6" ht="15" thickBot="1" x14ac:dyDescent="0.4"/>
    <row r="39" spans="1:6" ht="15" thickTop="1" x14ac:dyDescent="0.35">
      <c r="A39" s="85" t="s">
        <v>32</v>
      </c>
      <c r="B39" s="91">
        <f>VLOOKUP($B$28,Inputs!$B$22:$F$25,2)</f>
        <v>1200</v>
      </c>
    </row>
    <row r="40" spans="1:6" x14ac:dyDescent="0.35">
      <c r="A40" s="87" t="s">
        <v>31</v>
      </c>
      <c r="B40" s="92">
        <f>VLOOKUP($B$28,Inputs!$B$22:$F$25,3)</f>
        <v>0</v>
      </c>
    </row>
    <row r="41" spans="1:6" x14ac:dyDescent="0.35">
      <c r="A41" s="87" t="s">
        <v>86</v>
      </c>
      <c r="B41" s="92">
        <f>VLOOKUP($B$28,Inputs!$B$22:$F$25,4)</f>
        <v>3.75</v>
      </c>
    </row>
    <row r="42" spans="1:6" ht="15" thickBot="1" x14ac:dyDescent="0.4">
      <c r="A42" s="90" t="s">
        <v>87</v>
      </c>
      <c r="B42" s="93">
        <f>VLOOKUP($B$28,Inputs!$B$22:$F$25,5)</f>
        <v>0</v>
      </c>
    </row>
    <row r="43" spans="1:6" ht="15" thickTop="1" x14ac:dyDescent="0.35">
      <c r="A43" s="94" t="s">
        <v>38</v>
      </c>
      <c r="B43" s="95">
        <v>2.5000000000000001E-3</v>
      </c>
    </row>
    <row r="44" spans="1:6" x14ac:dyDescent="0.35">
      <c r="A44" s="94" t="s">
        <v>39</v>
      </c>
      <c r="B44" s="95">
        <v>1.5E-3</v>
      </c>
    </row>
    <row r="45" spans="1:6" x14ac:dyDescent="0.35">
      <c r="A45" s="94" t="s">
        <v>0</v>
      </c>
      <c r="B45" s="96">
        <v>0.24</v>
      </c>
    </row>
    <row r="46" spans="1:6" x14ac:dyDescent="0.35">
      <c r="A46" s="94" t="s">
        <v>72</v>
      </c>
      <c r="B46" s="97">
        <f>IF($B$6="Bi-directional", B3, 0)</f>
        <v>0</v>
      </c>
      <c r="C46" s="112" t="s">
        <v>85</v>
      </c>
      <c r="D46" s="121"/>
      <c r="E46" s="121"/>
      <c r="F46" s="122"/>
    </row>
    <row r="47" spans="1:6" x14ac:dyDescent="0.35">
      <c r="A47" s="94" t="s">
        <v>73</v>
      </c>
      <c r="B47" s="97">
        <f t="shared" ref="B47:B48" si="0">IF($B$6="Bi-directional", B4, 0)</f>
        <v>0</v>
      </c>
      <c r="C47" s="123"/>
      <c r="D47" s="123"/>
      <c r="E47" s="123"/>
      <c r="F47" s="124"/>
    </row>
    <row r="48" spans="1:6" x14ac:dyDescent="0.35">
      <c r="A48" s="94" t="s">
        <v>74</v>
      </c>
      <c r="B48" s="97">
        <f t="shared" si="0"/>
        <v>0</v>
      </c>
      <c r="C48" s="125"/>
      <c r="D48" s="125"/>
      <c r="E48" s="125"/>
      <c r="F48" s="126"/>
    </row>
    <row r="49" spans="1:22" x14ac:dyDescent="0.35">
      <c r="A49" s="94" t="s">
        <v>81</v>
      </c>
      <c r="B49" s="95">
        <f>IF(B46 = 0, 0, (B47-B46)/B46)</f>
        <v>0</v>
      </c>
    </row>
    <row r="50" spans="1:22" x14ac:dyDescent="0.35">
      <c r="A50" s="94" t="s">
        <v>82</v>
      </c>
      <c r="B50" s="95">
        <f>IF(B46=0,0,(B48-B46)/B46)</f>
        <v>0</v>
      </c>
    </row>
    <row r="51" spans="1:22" hidden="1" x14ac:dyDescent="0.35">
      <c r="A51" s="94" t="s">
        <v>67</v>
      </c>
      <c r="B51" s="97">
        <f>B7</f>
        <v>5</v>
      </c>
    </row>
    <row r="52" spans="1:22" hidden="1" x14ac:dyDescent="0.35">
      <c r="A52" s="94" t="s">
        <v>68</v>
      </c>
      <c r="B52" s="97">
        <f>B8</f>
        <v>5.0250000000000004</v>
      </c>
    </row>
    <row r="53" spans="1:22" hidden="1" x14ac:dyDescent="0.35">
      <c r="A53" s="94" t="s">
        <v>69</v>
      </c>
      <c r="B53" s="97">
        <f>B9</f>
        <v>4.9749999999999996</v>
      </c>
    </row>
    <row r="54" spans="1:22" hidden="1" x14ac:dyDescent="0.35">
      <c r="A54" s="94" t="s">
        <v>70</v>
      </c>
      <c r="B54" s="95">
        <f>(B52-B51)/B51</f>
        <v>5.0000000000000712E-3</v>
      </c>
    </row>
    <row r="55" spans="1:22" hidden="1" x14ac:dyDescent="0.35">
      <c r="A55" s="94" t="s">
        <v>71</v>
      </c>
      <c r="B55" s="95">
        <f>(B53-B51)/B51</f>
        <v>-5.0000000000000712E-3</v>
      </c>
    </row>
    <row r="56" spans="1:22" ht="15" customHeight="1" x14ac:dyDescent="0.35">
      <c r="A56" s="94" t="s">
        <v>46</v>
      </c>
      <c r="B56" s="98">
        <f>IF($B$29-$B$46 &lt; 0,100*((1-$B$43)*(1+$B$45/($B$29-$B$46)-$B$49*$B$46/($B$29-$B$46))+$B$49*$B$46*$B$28/($B$29-$B$46)-1),100*((1+$B$43)*(1+$B$45/($B$29-$B$46)-$B$49*$B$46/($B$29-$B$46))+$B$49*$B$46*$B$28/($B$29-$B$46)-1))</f>
        <v>0.27405999999998709</v>
      </c>
      <c r="C56" s="112" t="s">
        <v>84</v>
      </c>
      <c r="D56" s="112"/>
      <c r="E56" s="112"/>
      <c r="F56" s="113"/>
    </row>
    <row r="57" spans="1:22" x14ac:dyDescent="0.35">
      <c r="A57" s="94" t="s">
        <v>47</v>
      </c>
      <c r="B57" s="98">
        <f>IF($B$29-$B$46 &lt; 0,100*((1+$B$43)*(1-$B$45/($B$29-$B$46)-$B$50*$B$46/($B$29-$B$46))+$B$50*$B$46*$B$28/($B$29-$B$46)-1),100*((1-$B$43)*(1-$B$45/($B$29-$B$46)-$B$50*$B$46/($B$29-$B$46))+$B$50*$B$46*$B$28/($B$29-$B$46)-1))</f>
        <v>-0.27393999999999474</v>
      </c>
      <c r="C57" s="114"/>
      <c r="D57" s="114"/>
      <c r="E57" s="114"/>
      <c r="F57" s="115"/>
    </row>
    <row r="58" spans="1:22" x14ac:dyDescent="0.35">
      <c r="A58" s="94" t="s">
        <v>59</v>
      </c>
      <c r="B58" s="98">
        <f>IF($B$29-$B$46 &lt; 0,100*((1-$B$44)*(1+$B$45/($B$29-$B$46)-$B$49*$B$46/($B$29-$B$46))+$B$49*$B$46*$B$28/($B$29-$B$46)-1),100*((1+$B$44)*(1+$B$45/($B$29-$B$46)-$B$49*$B$46/($B$29-$B$46))+$B$49*$B$46*$B$28/($B$29-$B$46)-1))</f>
        <v>0.17403600000001074</v>
      </c>
      <c r="C58" s="114"/>
      <c r="D58" s="114"/>
      <c r="E58" s="114"/>
      <c r="F58" s="115"/>
    </row>
    <row r="59" spans="1:22" ht="15.5" x14ac:dyDescent="0.35">
      <c r="A59" s="99" t="s">
        <v>60</v>
      </c>
      <c r="B59" s="100">
        <f>IF($B$29-$B$46 &lt; 0,100*((1+$B$44)*(1-$B$45/($B$29-$B$46)-$B$50*$B$46/($B$29-$B$46))+$B$50*$B$46*$B$28/($B$29-$B$46)-1),100*((1-$B$44)*(1-$B$45/($B$29-$B$46)-$B$50*$B$46/($B$29-$B$46))+$B$50*$B$46*$B$28/($B$29-$B$46)-1))</f>
        <v>-0.17396399999999312</v>
      </c>
      <c r="C59" s="116"/>
      <c r="D59" s="116"/>
      <c r="E59" s="116"/>
      <c r="F59" s="117"/>
      <c r="V59" s="73"/>
    </row>
    <row r="60" spans="1:22" ht="16" thickBot="1" x14ac:dyDescent="0.4">
      <c r="B60" s="69"/>
      <c r="V60" s="73"/>
    </row>
    <row r="61" spans="1:22" ht="15" thickTop="1" x14ac:dyDescent="0.35">
      <c r="A61" s="85" t="s">
        <v>56</v>
      </c>
      <c r="B61" s="86">
        <f>IF($B$29-$B$46 &lt; 0,((1-$B$43)/$B$28)*($B$29+$B$45-$B$47)+$B$47,((1+$B$43)/$B$28)*($B$29+$B$45-$B$47)+$B$47)</f>
        <v>3.1335643749999997</v>
      </c>
      <c r="C61" s="67"/>
      <c r="E61" s="79"/>
    </row>
    <row r="62" spans="1:22" ht="15.5" x14ac:dyDescent="0.35">
      <c r="A62" s="87" t="s">
        <v>55</v>
      </c>
      <c r="B62" s="88">
        <f>IF($B$29-$B$46 &lt; 0,((1+$B$43)/$B$28)*($B$29-$B$45-$B$48)+$B$48,((1-$B$43)/$B$28)*($B$29-$B$45-$B$48)+$B$48)</f>
        <v>3.1164393750000001</v>
      </c>
      <c r="E62" s="80"/>
      <c r="V62" s="73"/>
    </row>
    <row r="63" spans="1:22" ht="15.5" x14ac:dyDescent="0.35">
      <c r="A63" s="87" t="s">
        <v>54</v>
      </c>
      <c r="B63" s="88">
        <f>B30</f>
        <v>3.125</v>
      </c>
      <c r="E63" s="78"/>
      <c r="V63" s="73"/>
    </row>
    <row r="64" spans="1:22" ht="15" customHeight="1" x14ac:dyDescent="0.35">
      <c r="A64" s="87" t="s">
        <v>52</v>
      </c>
      <c r="B64" s="89">
        <f>IF($B$6="Bi-directional",((B61-$B$46)/($B$63-$B$46)-1)*100,($B$61/$B$63-1)*100)</f>
        <v>0.27405999999998709</v>
      </c>
      <c r="C64" s="112" t="s">
        <v>63</v>
      </c>
      <c r="D64" s="112"/>
      <c r="E64" s="112"/>
      <c r="F64" s="113"/>
    </row>
    <row r="65" spans="1:7" x14ac:dyDescent="0.35">
      <c r="A65" s="87" t="s">
        <v>53</v>
      </c>
      <c r="B65" s="89">
        <f>IF($B$6="Bi-directional",((B62-$B$46)/($B$63-$B$46)-1)*100,($B$62/$B$63-1)*100)</f>
        <v>-0.27393999999999474</v>
      </c>
      <c r="C65" s="116"/>
      <c r="D65" s="116"/>
      <c r="E65" s="116"/>
      <c r="F65" s="117"/>
      <c r="G65" s="66"/>
    </row>
    <row r="66" spans="1:7" x14ac:dyDescent="0.35">
      <c r="A66" s="87" t="s">
        <v>90</v>
      </c>
      <c r="B66" s="92">
        <f>(B10/B62)*100</f>
        <v>8.6637334313618725E-2</v>
      </c>
    </row>
    <row r="67" spans="1:7" ht="15" thickBot="1" x14ac:dyDescent="0.4">
      <c r="A67" s="90" t="s">
        <v>91</v>
      </c>
      <c r="B67" s="93">
        <f>-1*(B10/B62)*100</f>
        <v>-8.6637334313618725E-2</v>
      </c>
    </row>
    <row r="68" spans="1:7" ht="15.5" thickTop="1" thickBot="1" x14ac:dyDescent="0.4"/>
    <row r="69" spans="1:7" ht="15" thickTop="1" x14ac:dyDescent="0.35">
      <c r="A69" s="85" t="s">
        <v>57</v>
      </c>
      <c r="B69" s="86">
        <f>IF($B$29-$B$46 &lt; 0,((1-$B$44)/$B$28)*($B$29+$B$45-$B$47)+$B$47,((1+$B$44)/$B$28)*($B$29+$B$45-$B$47)+$B$47)</f>
        <v>3.130438625</v>
      </c>
    </row>
    <row r="70" spans="1:7" x14ac:dyDescent="0.35">
      <c r="A70" s="87" t="s">
        <v>58</v>
      </c>
      <c r="B70" s="88">
        <f>IF($B$29-$B$46 &lt; 0,((1+$B$44)/$B$28)*($B$29-$B$45-$B$48)+$B$48,((1-$B$44)/$B$28)*($B$29-$B$45-$B$48)+$B$48)</f>
        <v>3.1195636250000001</v>
      </c>
    </row>
    <row r="71" spans="1:7" x14ac:dyDescent="0.35">
      <c r="A71" s="87" t="s">
        <v>54</v>
      </c>
      <c r="B71" s="88">
        <f>B63</f>
        <v>3.125</v>
      </c>
    </row>
    <row r="72" spans="1:7" x14ac:dyDescent="0.35">
      <c r="A72" s="87" t="s">
        <v>59</v>
      </c>
      <c r="B72" s="89">
        <f>IF($B$6="Bi-directional",((B69-$B$46)/($B$71-$B$46)-1)*100,($B$69/$B$71-1)*100)</f>
        <v>0.17403600000001074</v>
      </c>
      <c r="C72" s="112" t="s">
        <v>63</v>
      </c>
      <c r="D72" s="112"/>
      <c r="E72" s="112"/>
      <c r="F72" s="113"/>
    </row>
    <row r="73" spans="1:7" x14ac:dyDescent="0.35">
      <c r="A73" s="87" t="s">
        <v>60</v>
      </c>
      <c r="B73" s="89">
        <f>IF($B$6="Bi-directional",((B70-$B$46)/($B$71-$B$46)-1)*100,($B$70/$B$71-1)*100)</f>
        <v>-0.17396399999999312</v>
      </c>
      <c r="C73" s="116"/>
      <c r="D73" s="116"/>
      <c r="E73" s="116"/>
      <c r="F73" s="117"/>
    </row>
    <row r="74" spans="1:7" x14ac:dyDescent="0.35">
      <c r="A74" s="87" t="s">
        <v>92</v>
      </c>
      <c r="B74" s="92">
        <f>(B10/B70)*100</f>
        <v>8.6550566828076797E-2</v>
      </c>
    </row>
    <row r="75" spans="1:7" ht="15" thickBot="1" x14ac:dyDescent="0.4">
      <c r="A75" s="90" t="s">
        <v>93</v>
      </c>
      <c r="B75" s="93">
        <f>-1*(B10/B70)*100</f>
        <v>-8.6550566828076797E-2</v>
      </c>
    </row>
    <row r="76" spans="1:7" ht="15" thickTop="1" x14ac:dyDescent="0.35"/>
    <row r="78" spans="1:7" hidden="1" x14ac:dyDescent="0.35">
      <c r="A78" t="s">
        <v>83</v>
      </c>
      <c r="B78" t="str">
        <f>IF(OR( ROUND(B56,6)&lt;&gt; ROUND(B64,6)), "ERROR", "NO ERROR")</f>
        <v>NO ERROR</v>
      </c>
    </row>
    <row r="79" spans="1:7" hidden="1" x14ac:dyDescent="0.35">
      <c r="A79" t="s">
        <v>83</v>
      </c>
      <c r="B79" t="str">
        <f>IF(OR( ROUND(B57,6)&lt;&gt; ROUND(B65,6)), "ERROR", "NO ERROR")</f>
        <v>NO ERROR</v>
      </c>
    </row>
    <row r="80" spans="1:7" hidden="1" x14ac:dyDescent="0.35">
      <c r="A80" t="s">
        <v>83</v>
      </c>
      <c r="B80" t="str">
        <f>IF(OR( ROUND(B58,6)&lt;&gt; ROUND(B72,6)), "ERROR", "NO ERROR")</f>
        <v>NO ERROR</v>
      </c>
    </row>
    <row r="81" spans="1:7" hidden="1" x14ac:dyDescent="0.35">
      <c r="A81" t="s">
        <v>83</v>
      </c>
      <c r="B81" t="str">
        <f>IF(OR( ROUND(B59,6)&lt;&gt; ROUND(B73,6)), "ERROR", "NO ERROR")</f>
        <v>NO ERROR</v>
      </c>
    </row>
    <row r="82" spans="1:7" x14ac:dyDescent="0.35">
      <c r="D82" s="66"/>
    </row>
    <row r="84" spans="1:7" x14ac:dyDescent="0.35">
      <c r="B84" s="66"/>
      <c r="G84" s="66"/>
    </row>
    <row r="85" spans="1:7" x14ac:dyDescent="0.35">
      <c r="B85" s="74"/>
    </row>
    <row r="86" spans="1:7" x14ac:dyDescent="0.35">
      <c r="B86" s="74"/>
      <c r="C86" s="66"/>
      <c r="G86" s="66"/>
    </row>
    <row r="87" spans="1:7" x14ac:dyDescent="0.35">
      <c r="B87" s="74"/>
      <c r="C87" s="66"/>
    </row>
    <row r="88" spans="1:7" x14ac:dyDescent="0.35">
      <c r="B88" s="74"/>
      <c r="C88" s="66"/>
    </row>
    <row r="89" spans="1:7" x14ac:dyDescent="0.35">
      <c r="C89" s="66"/>
    </row>
  </sheetData>
  <sheetProtection algorithmName="SHA-512" hashValue="2xmzTh/CVgmQAG9vosJRDBKgqMWaL6s2jxvTiWIwOR1vf43frUqRC+nsK0RuT+lvvRGD2tw3uS3pcl2uxBUfeA==" saltValue="xLnImDwmpNTTw/K/m71Qqw==" spinCount="100000" sheet="1" selectLockedCells="1"/>
  <mergeCells count="17">
    <mergeCell ref="C3:E3"/>
    <mergeCell ref="C6:E6"/>
    <mergeCell ref="C20:D20"/>
    <mergeCell ref="E20:F20"/>
    <mergeCell ref="P20:Q20"/>
    <mergeCell ref="C19:F19"/>
    <mergeCell ref="C4:E4"/>
    <mergeCell ref="C5:E5"/>
    <mergeCell ref="C7:E7"/>
    <mergeCell ref="C8:E8"/>
    <mergeCell ref="C9:E9"/>
    <mergeCell ref="C56:F59"/>
    <mergeCell ref="C64:F65"/>
    <mergeCell ref="C72:F73"/>
    <mergeCell ref="C29:F29"/>
    <mergeCell ref="R20:S20"/>
    <mergeCell ref="C46:F48"/>
  </mergeCells>
  <dataValidations count="4">
    <dataValidation type="list" allowBlank="1" showInputMessage="1" showErrorMessage="1" sqref="B6" xr:uid="{052207C9-9D63-4B78-BDC6-BA1A67398384}">
      <formula1>"Uni-directional, Bi-directional"</formula1>
    </dataValidation>
    <dataValidation type="decimal" allowBlank="1" showInputMessage="1" showErrorMessage="1" error="Must be between 0 and 3.2V." sqref="B3:B5 B7:B10" xr:uid="{EFF3C49D-EE78-45BD-A37C-4C7E32531344}">
      <formula1>0</formula1>
      <formula2>3.2</formula2>
    </dataValidation>
    <dataValidation type="list" allowBlank="1" showInputMessage="1" showErrorMessage="1" sqref="B28" xr:uid="{A2125E05-D213-4770-9105-627D13E7CC92}">
      <formula1>$B$22:$B$25</formula1>
    </dataValidation>
    <dataValidation type="decimal" allowBlank="1" showInputMessage="1" showErrorMessage="1" sqref="B29" xr:uid="{25A20089-B74B-49D2-B618-DFFBD909D4CF}">
      <formula1>-1200</formula1>
      <formula2>1200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11EF-BD38-436D-9AC6-0C6691DBA341}">
  <dimension ref="A2:C10"/>
  <sheetViews>
    <sheetView workbookViewId="0">
      <selection activeCell="D9" sqref="D9"/>
    </sheetView>
  </sheetViews>
  <sheetFormatPr defaultRowHeight="14.5" x14ac:dyDescent="0.35"/>
  <cols>
    <col min="1" max="1" width="9.7265625" bestFit="1" customWidth="1"/>
    <col min="2" max="2" width="8.54296875" bestFit="1" customWidth="1"/>
    <col min="3" max="3" width="76.453125" customWidth="1"/>
  </cols>
  <sheetData>
    <row r="2" spans="1:3" x14ac:dyDescent="0.35">
      <c r="A2" s="43" t="s">
        <v>35</v>
      </c>
      <c r="B2" s="43" t="s">
        <v>36</v>
      </c>
      <c r="C2" s="43" t="s">
        <v>37</v>
      </c>
    </row>
    <row r="3" spans="1:3" x14ac:dyDescent="0.35">
      <c r="A3" s="44">
        <v>45776</v>
      </c>
      <c r="B3">
        <v>0.1</v>
      </c>
      <c r="C3" t="s">
        <v>94</v>
      </c>
    </row>
    <row r="4" spans="1:3" x14ac:dyDescent="0.35">
      <c r="A4" s="44">
        <v>45796</v>
      </c>
      <c r="B4">
        <v>0.5</v>
      </c>
      <c r="C4" t="s">
        <v>95</v>
      </c>
    </row>
    <row r="5" spans="1:3" x14ac:dyDescent="0.35">
      <c r="C5" t="s">
        <v>96</v>
      </c>
    </row>
    <row r="6" spans="1:3" x14ac:dyDescent="0.35">
      <c r="A6" s="44">
        <v>45855</v>
      </c>
      <c r="B6">
        <v>0.6</v>
      </c>
      <c r="C6" t="s">
        <v>97</v>
      </c>
    </row>
    <row r="7" spans="1:3" x14ac:dyDescent="0.35">
      <c r="C7" t="s">
        <v>98</v>
      </c>
    </row>
    <row r="8" spans="1:3" x14ac:dyDescent="0.35">
      <c r="A8" s="44">
        <v>45866</v>
      </c>
      <c r="B8" s="109" t="s">
        <v>99</v>
      </c>
      <c r="C8" t="s">
        <v>101</v>
      </c>
    </row>
    <row r="9" spans="1:3" x14ac:dyDescent="0.35">
      <c r="C9" t="s">
        <v>100</v>
      </c>
    </row>
    <row r="10" spans="1:3" x14ac:dyDescent="0.35">
      <c r="A10" s="44">
        <v>45880</v>
      </c>
      <c r="B10" s="109" t="s">
        <v>99</v>
      </c>
      <c r="C10" t="s">
        <v>104</v>
      </c>
    </row>
  </sheetData>
  <sheetProtection algorithmName="SHA-512" hashValue="7gY5lyKfqn8Q2gVTYfe1Aa9NRDPucdXGyWUdgiVPZ56r3THQx0wQ9vimkL5JMB9JCjz9O1PVxVm88OASFh/YYA==" saltValue="/cJ3t+Jjd0LimeiLLwrPQQ==" spinCount="100000" sheet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4F2EF4284A1449535FE48C6B84A4F" ma:contentTypeVersion="15" ma:contentTypeDescription="Create a new document." ma:contentTypeScope="" ma:versionID="f8f2da75827183fcb699fa0d147f721a">
  <xsd:schema xmlns:xsd="http://www.w3.org/2001/XMLSchema" xmlns:xs="http://www.w3.org/2001/XMLSchema" xmlns:p="http://schemas.microsoft.com/office/2006/metadata/properties" xmlns:ns2="c60d5198-7d28-488c-91e1-f7e740dd2ce3" targetNamespace="http://schemas.microsoft.com/office/2006/metadata/properties" ma:root="true" ma:fieldsID="436172cff7f51ded1038e6b2658f3ba0" ns2:_="">
    <xsd:import namespace="c60d5198-7d28-488c-91e1-f7e740dd2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d5198-7d28-488c-91e1-f7e740dd2c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2B7FA8-0B4C-40AF-9993-8EB2BED35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5DAF4-57D0-428C-9BBF-74673999F6ED}"/>
</file>

<file path=customXml/itemProps3.xml><?xml version="1.0" encoding="utf-8"?>
<ds:datastoreItem xmlns:ds="http://schemas.openxmlformats.org/officeDocument/2006/customXml" ds:itemID="{63AD27E5-9637-48EA-AA99-5DD1AE890D0C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Inputs</vt:lpstr>
      <vt:lpstr>Revison History</vt:lpstr>
      <vt:lpstr>Inputs!OLE_LINK2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Greenberg, Craig</dc:creator>
  <cp:lastModifiedBy>Alsahhaf, Hussain</cp:lastModifiedBy>
  <dcterms:created xsi:type="dcterms:W3CDTF">2025-05-01T13:30:58Z</dcterms:created>
  <dcterms:modified xsi:type="dcterms:W3CDTF">2025-08-20T20:59:48Z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0x0101006AD4F2EF4284A1449535FE48C6B84A4F</vt:lpwstr>
  </property>
</Properties>
</file>