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updateLinks="never" codeName="ThisWorkbook" defaultThemeVersion="124226"/>
  <mc:AlternateContent xmlns:mc="http://schemas.openxmlformats.org/markup-compatibility/2006">
    <mc:Choice Requires="x15">
      <x15ac:absPath xmlns:x15ac="http://schemas.microsoft.com/office/spreadsheetml/2010/11/ac" url="C:\Users\A0502755\Documents\am263p_PET\"/>
    </mc:Choice>
  </mc:AlternateContent>
  <xr:revisionPtr revIDLastSave="0" documentId="13_ncr:1_{9BFE1ABF-C6BD-4292-8686-2926CB401BA0}" xr6:coauthVersionLast="36" xr6:coauthVersionMax="47" xr10:uidLastSave="{00000000-0000-0000-0000-000000000000}"/>
  <workbookProtection workbookAlgorithmName="SHA-512" workbookHashValue="7q7xkJbuvuI31TGds8JsqY3Fg0VwRFq0ZriR4K0c4PDelLAwnEQYC3hAJcuPtB955FkX1lHZ4y+PAkStOCZXuQ==" workbookSaltValue="PjDLBEDOPb9kKyUutmbzwg==" workbookSpinCount="100000" lockStructure="1"/>
  <bookViews>
    <workbookView xWindow="-105" yWindow="2115" windowWidth="20220" windowHeight="6780" tabRatio="944" firstSheet="1" activeTab="1" xr2:uid="{11AB1B62-1557-42EF-B638-57504D87EE32}"/>
  </bookViews>
  <sheets>
    <sheet name="Rev History" sheetId="281" state="hidden" r:id="rId1"/>
    <sheet name="Input" sheetId="279" r:id="rId2"/>
    <sheet name="TI Important Notice" sheetId="282" r:id="rId3"/>
    <sheet name="PWRCALC" sheetId="4" state="hidden" r:id="rId4"/>
    <sheet name="MDB" sheetId="266" state="hidden" r:id="rId5"/>
    <sheet name="AM261_UC" sheetId="276" state="hidden" r:id="rId6"/>
    <sheet name="AM273_UC" sheetId="223" state="hidden" r:id="rId7"/>
    <sheet name="AM240_UC" sheetId="274" state="hidden" r:id="rId8"/>
    <sheet name="AM241_UC" sheetId="275" state="hidden" r:id="rId9"/>
    <sheet name="AM273 Info" sheetId="262" state="hidden" r:id="rId10"/>
    <sheet name="AM261 Info" sheetId="278" state="hidden" r:id="rId11"/>
  </sheets>
  <externalReferences>
    <externalReference r:id="rId12"/>
    <externalReference r:id="rId13"/>
  </externalReferences>
  <definedNames>
    <definedName name="_xlnm._FilterDatabase" localSheetId="7" hidden="1">AM240_UC!$B$36:$M$77</definedName>
    <definedName name="_xlnm._FilterDatabase" localSheetId="8" hidden="1">AM241_UC!$B$50:$N$117</definedName>
    <definedName name="_xlnm._FilterDatabase" localSheetId="5" hidden="1">AM261_UC!$B$82:$AB$188</definedName>
    <definedName name="_xlnm._FilterDatabase" localSheetId="6" hidden="1">AM273_UC!$B$57:$Z$83</definedName>
    <definedName name="_xlnm._FilterDatabase" localSheetId="4" hidden="1">MDB!$A$16:$H$2067</definedName>
    <definedName name="_xlnm._FilterDatabase" localSheetId="3" hidden="1">PWRCALC!$A$2:$AM$223</definedName>
    <definedName name="ADC">Input!$B$21</definedName>
    <definedName name="ADC_Util">Input!$C$21</definedName>
    <definedName name="AM263P_UC" localSheetId="5">AM261_UC!$C$1:$CU$1</definedName>
    <definedName name="canfd_modes">PWRCALC!$A$369:$A$373</definedName>
    <definedName name="CMPSS">Input!$B$20</definedName>
    <definedName name="CMPSS_Util">Input!$C$20</definedName>
    <definedName name="CPSW_freq">Input!$B$16</definedName>
    <definedName name="cpsw_util">Input!$C$16</definedName>
    <definedName name="DAC">Input!$B$22</definedName>
    <definedName name="DAC_Util">Input!$C$22</definedName>
    <definedName name="dpi_modes">PWRCALC!$A$377:$A$538</definedName>
    <definedName name="Dyn_Int_Scale_LVT">PWRCALC!$D$796</definedName>
    <definedName name="Dyn_Int_Scale_OSVT">PWRCALC!$D$795</definedName>
    <definedName name="Dyn_Int_Scale_SVT">PWRCALC!$D$793</definedName>
    <definedName name="Dyn_Int_Scale_XSVT">PWRCALC!$D$794</definedName>
    <definedName name="Dyn_Sw_Scale_LVT">PWRCALC!$E$796</definedName>
    <definedName name="Dyn_Sw_Scale_OSVT">PWRCALC!$E$795</definedName>
    <definedName name="Dyn_Sw_Scale_SVT">PWRCALC!$E$793</definedName>
    <definedName name="Dyn_Sw_Scale_XSVT">PWRCALC!$E$794</definedName>
    <definedName name="ecap_modes">PWRCALC!$A$615:$A$624</definedName>
    <definedName name="EPWM">Input!$B$27</definedName>
    <definedName name="epwm_modes">PWRCALC!$A$633:$A$634</definedName>
    <definedName name="EPWM_Util">Input!$C$27</definedName>
    <definedName name="eqep_modes">PWRCALC!$A$627:$A$630</definedName>
    <definedName name="espi_modes">PWRCALC!$A$666:$A$669</definedName>
    <definedName name="Ethernet_0">Input!$B$23</definedName>
    <definedName name="ethernet_0_util">Input!$C$23</definedName>
    <definedName name="Ethernet_1">Input!$B$24</definedName>
    <definedName name="ethernet_1_util">Input!$C$24</definedName>
    <definedName name="ethernet_modes">PWRCALC!$A$336:$A$346</definedName>
    <definedName name="fan_modes">PWRCALC!$A$661:$A$663</definedName>
    <definedName name="flash_operation_modes">PWRCALC!$A$5351:$A$5352</definedName>
    <definedName name="fsi_modes">PWRCALC!$A$643:$A$646</definedName>
    <definedName name="gpio_modes">PWRCALC!$A$637:$A$640</definedName>
    <definedName name="gpmc_modes">PWRCALC!$A$349:$A$356</definedName>
    <definedName name="hsm_mode">Input!$B$12</definedName>
    <definedName name="hsm_util">Input!$C$12</definedName>
    <definedName name="i2c_modes">PWRCALC!$A$597:$A$602</definedName>
    <definedName name="i2c_od_modes">PWRCALC!$A$588:$A$594</definedName>
    <definedName name="ICSSM_freq">Input!$B$15</definedName>
    <definedName name="icssm_modes">PWRCALC!$A$320:$A$333</definedName>
    <definedName name="ICSSM_Util">Input!$C$15</definedName>
    <definedName name="lin_modes">PWRCALC!$A$649:$A$652</definedName>
    <definedName name="Lkg_Scale_VDD_LVT">PWRCALC!$B$796</definedName>
    <definedName name="Lkg_Scale_VDD_OSVT">PWRCALC!$B$795</definedName>
    <definedName name="Lkg_Scale_VDD_SVT">PWRCALC!$B$793</definedName>
    <definedName name="Lkg_Scale_VDD_XSVT">PWRCALC!$B$794</definedName>
    <definedName name="Lkg_Scale_VDDAR_LVT">PWRCALC!$C$796</definedName>
    <definedName name="Lkg_Scale_VDDAR_OSVT">PWRCALC!$C$795</definedName>
    <definedName name="Lkg_Scale_VDDAR_SVT">PWRCALC!$C$793</definedName>
    <definedName name="Lkg_Scale_VDDAR_XSVT">PWRCALC!$C$794</definedName>
    <definedName name="lkg_vdd_screen_pct">PWRCALC!$B$788</definedName>
    <definedName name="lkg_vddr_screen_pct">PWRCALC!$B$789</definedName>
    <definedName name="lpc_modes">PWRCALC!$A$672:$A$675</definedName>
    <definedName name="lvds_tx_aurora_modes">PWRCALC!$A$289:$A$295</definedName>
    <definedName name="LVT_dyn_int_adj">PWRCALC!$B$781</definedName>
    <definedName name="LVT_dyn_sw_adj">PWRCALC!$B$785</definedName>
    <definedName name="LVT_lkg_adj">PWRCALC!$B$777</definedName>
    <definedName name="MCAN">Input!$B$28</definedName>
    <definedName name="MCAN_Util">Input!$C$28</definedName>
    <definedName name="mcasp_modes">PWRCALC!$A$541:$A$568</definedName>
    <definedName name="MCSPI">Input!$B$29</definedName>
    <definedName name="MCSPI_Util">Input!$C$29</definedName>
    <definedName name="mcu_mode_0">Input!$B$13</definedName>
    <definedName name="mcu_mode_1">Input!$B$14</definedName>
    <definedName name="mcu_util_0">Input!$C$13</definedName>
    <definedName name="mcu_util_1">Input!$C$14</definedName>
    <definedName name="MDB">MDB!$A$16:$H$2067</definedName>
    <definedName name="mdb_cols">MDB!$A$16:$H$16</definedName>
    <definedName name="mdb_rows">MDB!$A$16:$A$2067</definedName>
    <definedName name="on_off_modes">PWRCALC!$A$260:$A$261</definedName>
    <definedName name="OSPI">Input!$B$25</definedName>
    <definedName name="ospi_modes">PWRCALC!$A$684:$A$708</definedName>
    <definedName name="Ospi_util">Input!$C$25</definedName>
    <definedName name="OSVT_dyn_int_adj">PWRCALC!$B$780</definedName>
    <definedName name="OSVT_dyn_sw_adj">PWRCALC!$B$784</definedName>
    <definedName name="OSVT_lkg_adj">PWRCALC!$B$776</definedName>
    <definedName name="pd_table">'[1]Control Panel'!$A$48:$B$51</definedName>
    <definedName name="peci_modes">PWRCALC!$A$678:$A$681</definedName>
    <definedName name="pll_modes">PWRCALC!$A$314:$A$316</definedName>
    <definedName name="process_corner">PWRCALC!$B$787</definedName>
    <definedName name="Process_Options">PWRCALC!$A$226:$A$228</definedName>
    <definedName name="qspi_modes">PWRCALC!$A$710:$A$769</definedName>
    <definedName name="qspi_util">Input!$C$25</definedName>
    <definedName name="Resolver">Input!$B$26</definedName>
    <definedName name="Resolver_util">Input!$C$26</definedName>
    <definedName name="Scaling_Table">PWRCALC!$E$799:$K$5335</definedName>
    <definedName name="Scaling_Table_Header">PWRCALC!$E$799:$K$799</definedName>
    <definedName name="sdfm_modes">PWRCALC!$A$655:$A$658</definedName>
    <definedName name="sdio_modes">PWRCALC!$A$360:$A$366</definedName>
    <definedName name="sip_mode">Input!$B$33</definedName>
    <definedName name="sip_non_sip_modes">PWRCALC!$A$256:$A$257</definedName>
    <definedName name="SPI_Mode">'[2]Control Panel'!$A$442:$A$471</definedName>
    <definedName name="spi_modes">PWRCALC!$A$571:$A$585</definedName>
    <definedName name="SVT_dyn_int_adj">PWRCALC!$B$778</definedName>
    <definedName name="SVT_dyn_sw_adj">PWRCALC!$B$782</definedName>
    <definedName name="SVT_Lkg_Adj">PWRCALC!$B$774</definedName>
    <definedName name="Temperature_Tj">Input!$B$32</definedName>
    <definedName name="Tj">Input!$B$32</definedName>
    <definedName name="tj_choices">PWRCALC!$A$238:$A$249</definedName>
    <definedName name="tj_choices_SIP">PWRCALC!$A$252:$A$253</definedName>
    <definedName name="Total">PWRCALC!#REF!</definedName>
    <definedName name="uart_modes">PWRCALC!$A$605:$A$612</definedName>
    <definedName name="usb2_modes">PWRCALC!$A$298:$A$311</definedName>
    <definedName name="vdd_choices">PWRCALC!$A$231:$A$235</definedName>
    <definedName name="VDD_CORE">Input!$B$38</definedName>
    <definedName name="vdd_core_sram_voltage">Input!$B$39</definedName>
    <definedName name="vdd_total">PWRCALC!$D$5339</definedName>
    <definedName name="vdda_total">PWRCALC!$D$5341</definedName>
    <definedName name="VDDAR_CORE">Input!$B$39</definedName>
    <definedName name="vddar_total">PWRCALC!$D$5340</definedName>
    <definedName name="vddio18_total">PWRCALC!$D$5342</definedName>
    <definedName name="vddio33_total">PWRCALC!$D$5343</definedName>
    <definedName name="XSVT_dyn_int_adj">PWRCALC!$B$779</definedName>
    <definedName name="XSVT_dyn_sw_adj">PWRCALC!$B$783</definedName>
    <definedName name="XSVT_Lkg_Adj">PWRCALC!$B$775</definedName>
  </definedNames>
  <calcPr calcId="191029"/>
</workbook>
</file>

<file path=xl/calcChain.xml><?xml version="1.0" encoding="utf-8"?>
<calcChain xmlns="http://schemas.openxmlformats.org/spreadsheetml/2006/main">
  <c r="B788" i="4" l="1"/>
  <c r="E796" i="4" l="1"/>
  <c r="D796" i="4"/>
  <c r="C796" i="4"/>
  <c r="E795" i="4"/>
  <c r="D795" i="4"/>
  <c r="C795" i="4"/>
  <c r="E794" i="4"/>
  <c r="D794" i="4"/>
  <c r="C794" i="4"/>
  <c r="E793" i="4"/>
  <c r="D793" i="4"/>
  <c r="C793" i="4"/>
  <c r="B777" i="4" l="1"/>
  <c r="B796" i="4" s="1"/>
  <c r="B776" i="4"/>
  <c r="B795" i="4" s="1"/>
  <c r="B775" i="4"/>
  <c r="B794" i="4" s="1"/>
  <c r="B774" i="4"/>
  <c r="B793" i="4" s="1"/>
  <c r="K6" i="4" l="1"/>
  <c r="K7" i="4"/>
  <c r="K20" i="4"/>
  <c r="K21" i="4"/>
  <c r="K43" i="4"/>
  <c r="K44" i="4"/>
  <c r="K45" i="4"/>
  <c r="K46" i="4"/>
  <c r="K47" i="4"/>
  <c r="K48" i="4"/>
  <c r="K49" i="4"/>
  <c r="K52" i="4"/>
  <c r="K53" i="4"/>
  <c r="K54" i="4"/>
  <c r="K55" i="4"/>
  <c r="K56" i="4"/>
  <c r="K57" i="4"/>
  <c r="K58" i="4"/>
  <c r="K59" i="4"/>
  <c r="K60" i="4"/>
  <c r="K61" i="4"/>
  <c r="K62" i="4"/>
  <c r="K63" i="4"/>
  <c r="K64" i="4"/>
  <c r="K65" i="4"/>
  <c r="K66" i="4"/>
  <c r="K67" i="4"/>
  <c r="K68" i="4"/>
  <c r="K69" i="4"/>
  <c r="K70" i="4"/>
  <c r="K71" i="4"/>
  <c r="K72" i="4"/>
  <c r="K97" i="4"/>
  <c r="K98" i="4"/>
  <c r="K99" i="4"/>
  <c r="K100" i="4"/>
  <c r="K101" i="4"/>
  <c r="K102" i="4"/>
  <c r="K103" i="4"/>
  <c r="K104"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7" i="4"/>
  <c r="K158" i="4"/>
  <c r="K197" i="4"/>
  <c r="K201" i="4"/>
  <c r="K202" i="4"/>
  <c r="K206" i="4"/>
  <c r="K207" i="4"/>
  <c r="K208" i="4"/>
  <c r="K209" i="4"/>
  <c r="K210" i="4"/>
  <c r="K211" i="4"/>
  <c r="K204" i="4"/>
  <c r="K194" i="4"/>
  <c r="K77" i="4"/>
  <c r="K164" i="4"/>
  <c r="K107" i="4"/>
  <c r="K175" i="4"/>
  <c r="K81" i="4"/>
  <c r="K16" i="4"/>
  <c r="K183" i="4"/>
  <c r="K88" i="4"/>
  <c r="K112" i="4"/>
  <c r="K182" i="4"/>
  <c r="K110" i="4"/>
  <c r="K120" i="4"/>
  <c r="K121" i="4"/>
  <c r="K177" i="4"/>
  <c r="K18" i="4"/>
  <c r="K80" i="4"/>
  <c r="K119" i="4"/>
  <c r="K82" i="4"/>
  <c r="K192" i="4"/>
  <c r="K221" i="4"/>
  <c r="K115" i="4"/>
  <c r="K84" i="4"/>
  <c r="K176" i="4"/>
  <c r="K187" i="4"/>
  <c r="K93" i="4"/>
  <c r="K219" i="4"/>
  <c r="K185" i="4"/>
  <c r="K169" i="4"/>
  <c r="K172" i="4"/>
  <c r="K178" i="4"/>
  <c r="K111" i="4"/>
  <c r="K106" i="4"/>
  <c r="K76" i="4"/>
  <c r="K83" i="4"/>
  <c r="K28" i="4"/>
  <c r="K186" i="4"/>
  <c r="K222" i="4"/>
  <c r="K4" i="4"/>
  <c r="K190" i="4"/>
  <c r="K167" i="4"/>
  <c r="K161" i="4"/>
  <c r="K214" i="4"/>
  <c r="K8" i="4"/>
  <c r="K13" i="4"/>
  <c r="K11" i="4"/>
  <c r="K171" i="4"/>
  <c r="K184" i="4"/>
  <c r="K217" i="4"/>
  <c r="K191" i="4"/>
  <c r="K180" i="4"/>
  <c r="K156" i="4"/>
  <c r="K79" i="4"/>
  <c r="K116" i="4"/>
  <c r="K108" i="4"/>
  <c r="K22" i="4"/>
  <c r="K189" i="4"/>
  <c r="K87" i="4"/>
  <c r="K90" i="4"/>
  <c r="K35" i="4"/>
  <c r="K33" i="4"/>
  <c r="K174" i="4"/>
  <c r="K25" i="4"/>
  <c r="K114" i="4"/>
  <c r="K29" i="4"/>
  <c r="K223" i="4"/>
  <c r="K198" i="4"/>
  <c r="K17" i="4"/>
  <c r="K203" i="4"/>
  <c r="K179" i="4"/>
  <c r="K200" i="4"/>
  <c r="K10" i="4"/>
  <c r="K118" i="4"/>
  <c r="K195" i="4"/>
  <c r="K160" i="4"/>
  <c r="K23" i="4"/>
  <c r="K109" i="4"/>
  <c r="K3" i="4"/>
  <c r="K181" i="4"/>
  <c r="K91" i="4"/>
  <c r="K170" i="4"/>
  <c r="K199" i="4"/>
  <c r="K15" i="4"/>
  <c r="K24" i="4"/>
  <c r="K154" i="4"/>
  <c r="K196" i="4"/>
  <c r="K212" i="4"/>
  <c r="K218" i="4"/>
  <c r="K30" i="4"/>
  <c r="K5" i="4"/>
  <c r="K173" i="4"/>
  <c r="K162" i="4"/>
  <c r="K89" i="4"/>
  <c r="K113" i="4"/>
  <c r="K26" i="4"/>
  <c r="K216" i="4"/>
  <c r="K92" i="4"/>
  <c r="K205" i="4"/>
  <c r="K220" i="4"/>
  <c r="K51" i="4"/>
  <c r="K215" i="4"/>
  <c r="K78" i="4"/>
  <c r="K168" i="4"/>
  <c r="K166" i="4"/>
  <c r="K50" i="4"/>
  <c r="K213" i="4"/>
  <c r="K155" i="4"/>
  <c r="K117" i="4"/>
  <c r="K163" i="4"/>
  <c r="K193" i="4"/>
  <c r="K165" i="4"/>
  <c r="K14" i="4"/>
  <c r="K105" i="4"/>
  <c r="K12" i="4"/>
  <c r="K188" i="4"/>
  <c r="K159" i="4"/>
  <c r="L31" i="4" l="1"/>
  <c r="L98" i="4" l="1"/>
  <c r="L99" i="4"/>
  <c r="L100" i="4"/>
  <c r="L101" i="4"/>
  <c r="L102" i="4"/>
  <c r="L103" i="4"/>
  <c r="L104" i="4"/>
  <c r="L97" i="4"/>
  <c r="L207" i="4"/>
  <c r="L208" i="4"/>
  <c r="L209" i="4"/>
  <c r="L210" i="4"/>
  <c r="L211" i="4"/>
  <c r="L206" i="4"/>
  <c r="L202" i="4"/>
  <c r="L201" i="4"/>
  <c r="L49" i="4"/>
  <c r="L48" i="4"/>
  <c r="L158"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L20" i="4" l="1"/>
  <c r="L197" i="4"/>
  <c r="L157" i="4"/>
  <c r="L149" i="4"/>
  <c r="L150" i="4"/>
  <c r="L151" i="4"/>
  <c r="L152" i="4"/>
  <c r="L153" i="4"/>
  <c r="L148" i="4"/>
  <c r="L123" i="4"/>
  <c r="L124" i="4"/>
  <c r="L125" i="4"/>
  <c r="L126" i="4"/>
  <c r="L127" i="4"/>
  <c r="L128" i="4"/>
  <c r="L129" i="4"/>
  <c r="L130" i="4"/>
  <c r="L131" i="4"/>
  <c r="L132" i="4"/>
  <c r="L133" i="4"/>
  <c r="L134" i="4"/>
  <c r="L135" i="4"/>
  <c r="L136" i="4"/>
  <c r="L137" i="4"/>
  <c r="L138" i="4"/>
  <c r="L139" i="4"/>
  <c r="L140" i="4"/>
  <c r="L141" i="4"/>
  <c r="L142" i="4"/>
  <c r="L143" i="4"/>
  <c r="L144" i="4"/>
  <c r="L145" i="4"/>
  <c r="L122" i="4"/>
  <c r="L72" i="4"/>
  <c r="L71" i="4"/>
  <c r="L53" i="4"/>
  <c r="L54" i="4"/>
  <c r="L55" i="4"/>
  <c r="L56" i="4"/>
  <c r="L57" i="4"/>
  <c r="L58" i="4"/>
  <c r="L59" i="4"/>
  <c r="L60" i="4"/>
  <c r="L61" i="4"/>
  <c r="L62" i="4"/>
  <c r="L63" i="4"/>
  <c r="L64" i="4"/>
  <c r="L65" i="4"/>
  <c r="L66" i="4"/>
  <c r="L67" i="4"/>
  <c r="L68" i="4"/>
  <c r="L69" i="4"/>
  <c r="L70" i="4"/>
  <c r="L52" i="4"/>
  <c r="L47" i="4"/>
  <c r="L45" i="4"/>
  <c r="L46" i="4"/>
  <c r="L43" i="4"/>
  <c r="L44" i="4"/>
  <c r="L19" i="4"/>
  <c r="L9" i="4"/>
  <c r="L7" i="4" l="1"/>
  <c r="L6" i="4"/>
  <c r="F1635" i="266" l="1"/>
  <c r="H1635" i="266"/>
  <c r="F1650" i="266"/>
  <c r="F1698" i="266"/>
  <c r="H1698" i="266"/>
  <c r="F1674" i="266"/>
  <c r="H1674" i="266"/>
  <c r="F1602" i="266"/>
  <c r="H1602" i="266"/>
  <c r="F1648" i="266" l="1"/>
  <c r="F1645" i="266"/>
  <c r="H1696" i="266" l="1"/>
  <c r="H1645" i="266" l="1"/>
  <c r="H1648" i="266"/>
  <c r="F1597" i="266" l="1"/>
  <c r="F1673" i="266" l="1"/>
  <c r="F1625" i="266" l="1"/>
  <c r="F1601" i="266"/>
  <c r="F1621" i="266"/>
  <c r="F1587" i="266" l="1"/>
  <c r="F1624" i="266" l="1"/>
  <c r="F1600" i="266"/>
  <c r="F1672" i="266"/>
  <c r="F1669" i="266"/>
  <c r="A1627" i="266"/>
  <c r="A1626" i="266"/>
  <c r="A1625" i="266"/>
  <c r="A1624" i="266"/>
  <c r="A1623" i="266"/>
  <c r="A1622" i="266"/>
  <c r="A1621" i="266"/>
  <c r="A1620" i="266"/>
  <c r="A1619" i="266"/>
  <c r="A1618" i="266"/>
  <c r="A1617" i="266"/>
  <c r="A1616" i="266"/>
  <c r="A1615" i="266"/>
  <c r="A1614" i="266"/>
  <c r="A1613" i="266"/>
  <c r="A1612" i="266"/>
  <c r="A1611" i="266"/>
  <c r="A1610" i="266"/>
  <c r="A1609" i="266"/>
  <c r="A1608" i="266"/>
  <c r="A1607" i="266"/>
  <c r="A1606" i="266"/>
  <c r="A1605" i="266"/>
  <c r="A1604" i="266"/>
  <c r="A1628" i="266"/>
  <c r="A1629" i="266"/>
  <c r="A1630" i="266"/>
  <c r="A1631" i="266"/>
  <c r="A1632" i="266"/>
  <c r="A1633" i="266"/>
  <c r="A1634" i="266"/>
  <c r="A1635" i="266"/>
  <c r="A1636" i="266"/>
  <c r="A1637" i="266"/>
  <c r="A1638" i="266"/>
  <c r="A1639" i="266"/>
  <c r="A1640" i="266"/>
  <c r="A1641" i="266"/>
  <c r="A1642" i="266"/>
  <c r="A1643" i="266"/>
  <c r="A1644" i="266"/>
  <c r="A1645" i="266"/>
  <c r="A1646" i="266"/>
  <c r="A1647" i="266"/>
  <c r="A1648" i="266"/>
  <c r="A1649" i="266"/>
  <c r="A1650" i="266"/>
  <c r="A1651" i="266"/>
  <c r="F1793" i="266" l="1"/>
  <c r="F1790" i="266"/>
  <c r="F1795" i="266" l="1"/>
  <c r="Q102" i="276" l="1"/>
  <c r="K102" i="276"/>
  <c r="AA30" i="276"/>
  <c r="AA102" i="276" s="1"/>
  <c r="Y30" i="276"/>
  <c r="Y102" i="276" s="1"/>
  <c r="W30" i="276"/>
  <c r="W102" i="276" s="1"/>
  <c r="U30" i="276"/>
  <c r="U102" i="276" s="1"/>
  <c r="S30" i="276"/>
  <c r="S102" i="276" s="1"/>
  <c r="O30" i="276"/>
  <c r="O102" i="276" s="1"/>
  <c r="M30" i="276"/>
  <c r="M102" i="276" s="1"/>
  <c r="AA28" i="276"/>
  <c r="S28" i="276"/>
  <c r="O28" i="276"/>
  <c r="M28" i="276"/>
  <c r="K28" i="276"/>
  <c r="K22" i="276" s="1"/>
  <c r="AA27" i="276"/>
  <c r="Y27" i="276"/>
  <c r="Y22" i="276" s="1"/>
  <c r="W27" i="276"/>
  <c r="W22" i="276" s="1"/>
  <c r="U27" i="276"/>
  <c r="S27" i="276"/>
  <c r="Q27" i="276"/>
  <c r="Q22" i="276" s="1"/>
  <c r="O27" i="276"/>
  <c r="M27" i="276"/>
  <c r="Q25" i="276"/>
  <c r="M25" i="276"/>
  <c r="U22" i="276"/>
  <c r="G22" i="276"/>
  <c r="E22" i="276"/>
  <c r="C22" i="276"/>
  <c r="AA2" i="276"/>
  <c r="Y2" i="276"/>
  <c r="W2" i="276"/>
  <c r="U2" i="276"/>
  <c r="AB1" i="276"/>
  <c r="Z1" i="276"/>
  <c r="X1" i="276"/>
  <c r="V1" i="276"/>
  <c r="T1" i="276"/>
  <c r="R1" i="276"/>
  <c r="P1" i="276"/>
  <c r="N1" i="276"/>
  <c r="L1" i="276"/>
  <c r="J1" i="276"/>
  <c r="H1" i="276"/>
  <c r="F1" i="276"/>
  <c r="D1" i="276"/>
  <c r="O22" i="276" l="1"/>
  <c r="S22" i="276"/>
  <c r="M22" i="276"/>
  <c r="F1486" i="266" l="1"/>
  <c r="F1485" i="266"/>
  <c r="F1484" i="266"/>
  <c r="F1481" i="266"/>
  <c r="F1842" i="266"/>
  <c r="F1510" i="266"/>
  <c r="F1509" i="266"/>
  <c r="F1508" i="266"/>
  <c r="F1505" i="266"/>
  <c r="A1511" i="266"/>
  <c r="A1510" i="266"/>
  <c r="A1509" i="266"/>
  <c r="A1508" i="266"/>
  <c r="A1507" i="266"/>
  <c r="A1506" i="266"/>
  <c r="A1505" i="266"/>
  <c r="F1504" i="266"/>
  <c r="A1504" i="266"/>
  <c r="A1503" i="266"/>
  <c r="A1502" i="266"/>
  <c r="A1501" i="266"/>
  <c r="A1500" i="266"/>
  <c r="A1499" i="266"/>
  <c r="A1498" i="266"/>
  <c r="A1497" i="266"/>
  <c r="A1496" i="266"/>
  <c r="A1495" i="266"/>
  <c r="A1494" i="266"/>
  <c r="A1493" i="266"/>
  <c r="A1492" i="266"/>
  <c r="A1491" i="266"/>
  <c r="A1490" i="266"/>
  <c r="A1489" i="266"/>
  <c r="A1488" i="266"/>
  <c r="F50" i="266" l="1"/>
  <c r="F49" i="266"/>
  <c r="F48" i="266"/>
  <c r="F46" i="266"/>
  <c r="F45" i="266"/>
  <c r="F44" i="266"/>
  <c r="A50" i="266" l="1"/>
  <c r="A49" i="266"/>
  <c r="A48" i="266"/>
  <c r="A47" i="266"/>
  <c r="A46" i="266"/>
  <c r="A45" i="266"/>
  <c r="A44" i="266"/>
  <c r="A43" i="266"/>
  <c r="A42" i="266"/>
  <c r="A41" i="266"/>
  <c r="A40" i="266"/>
  <c r="A39" i="266"/>
  <c r="A38" i="266"/>
  <c r="A37" i="266"/>
  <c r="A36" i="266"/>
  <c r="A35" i="266"/>
  <c r="A34" i="266"/>
  <c r="F1697" i="266" l="1"/>
  <c r="F223" i="266" l="1"/>
  <c r="M19" i="275" l="1"/>
  <c r="K19" i="275"/>
  <c r="I19" i="275"/>
  <c r="G19" i="275"/>
  <c r="E19" i="275"/>
  <c r="C19" i="275"/>
  <c r="N1" i="275"/>
  <c r="L1" i="275"/>
  <c r="J1" i="275"/>
  <c r="H1" i="275"/>
  <c r="F1" i="275"/>
  <c r="D1" i="275"/>
  <c r="A1146" i="266"/>
  <c r="A1147" i="266"/>
  <c r="A1148" i="266"/>
  <c r="A1149" i="266"/>
  <c r="A1150" i="266"/>
  <c r="A1151" i="266"/>
  <c r="A1152" i="266"/>
  <c r="A1153" i="266"/>
  <c r="A1154" i="266"/>
  <c r="A1155" i="266"/>
  <c r="A1156" i="266"/>
  <c r="A1157" i="266"/>
  <c r="A1158" i="266"/>
  <c r="A1159" i="266"/>
  <c r="A1160" i="266"/>
  <c r="A1161" i="266"/>
  <c r="A1162" i="266"/>
  <c r="A1163" i="266"/>
  <c r="A1164" i="266"/>
  <c r="A1357" i="266"/>
  <c r="A1356" i="266"/>
  <c r="A1355" i="266"/>
  <c r="A1354" i="266"/>
  <c r="A1353" i="266"/>
  <c r="A1352" i="266"/>
  <c r="A1351" i="266"/>
  <c r="A1350" i="266"/>
  <c r="A1349" i="266"/>
  <c r="A1348" i="266"/>
  <c r="A1347" i="266"/>
  <c r="A1346" i="266"/>
  <c r="A1345" i="266"/>
  <c r="A1344" i="266"/>
  <c r="A1343" i="266"/>
  <c r="A1342" i="266"/>
  <c r="A1341" i="266"/>
  <c r="A1340" i="266"/>
  <c r="A1339" i="266"/>
  <c r="A1338" i="266"/>
  <c r="A1337" i="266"/>
  <c r="A1336" i="266"/>
  <c r="A1335" i="266"/>
  <c r="A1334" i="266"/>
  <c r="A1333" i="266"/>
  <c r="A1332" i="266"/>
  <c r="A1331" i="266"/>
  <c r="A1330" i="266"/>
  <c r="A1329" i="266"/>
  <c r="A1328" i="266"/>
  <c r="A1327" i="266"/>
  <c r="A1326" i="266"/>
  <c r="A1325" i="266"/>
  <c r="A1324" i="266"/>
  <c r="A1323" i="266"/>
  <c r="A1322" i="266"/>
  <c r="A1321" i="266"/>
  <c r="A1320" i="266"/>
  <c r="A1319" i="266"/>
  <c r="A1318" i="266"/>
  <c r="A1317" i="266"/>
  <c r="A1316" i="266"/>
  <c r="A1315" i="266"/>
  <c r="A1314" i="266"/>
  <c r="A1313" i="266"/>
  <c r="A1312" i="266"/>
  <c r="A1311" i="266"/>
  <c r="A1310" i="266"/>
  <c r="A1309" i="266"/>
  <c r="A1308" i="266"/>
  <c r="A1307" i="266"/>
  <c r="A1306" i="266"/>
  <c r="A1305" i="266"/>
  <c r="A1304" i="266"/>
  <c r="A1303" i="266"/>
  <c r="A1302" i="266"/>
  <c r="A1301" i="266"/>
  <c r="A1300" i="266"/>
  <c r="A1299" i="266"/>
  <c r="A1194" i="266"/>
  <c r="A1193" i="266"/>
  <c r="A1192" i="266"/>
  <c r="A1191" i="266"/>
  <c r="A1190" i="266"/>
  <c r="A1189" i="266"/>
  <c r="A1188" i="266"/>
  <c r="A1187" i="266"/>
  <c r="A1186" i="266"/>
  <c r="A1185" i="266"/>
  <c r="A1184" i="266"/>
  <c r="A1183" i="266"/>
  <c r="A1182" i="266"/>
  <c r="A1181" i="266"/>
  <c r="A1180" i="266"/>
  <c r="A1179" i="266"/>
  <c r="A1178" i="266"/>
  <c r="A1177" i="266"/>
  <c r="A1176" i="266"/>
  <c r="A1175" i="266"/>
  <c r="A1174" i="266"/>
  <c r="A1173" i="266"/>
  <c r="A1172" i="266"/>
  <c r="A1171" i="266"/>
  <c r="A1170" i="266"/>
  <c r="A1169" i="266"/>
  <c r="A1168" i="266"/>
  <c r="A1167" i="266"/>
  <c r="A1166" i="266"/>
  <c r="A1165" i="266"/>
  <c r="A1223" i="266"/>
  <c r="A1222" i="266"/>
  <c r="A1221" i="266"/>
  <c r="A1220" i="266"/>
  <c r="A1219" i="266"/>
  <c r="A1218" i="266"/>
  <c r="A1217" i="266"/>
  <c r="A1216" i="266"/>
  <c r="A1215" i="266"/>
  <c r="A1214" i="266"/>
  <c r="A1213" i="266"/>
  <c r="A1212" i="266"/>
  <c r="A1211" i="266"/>
  <c r="A1210" i="266"/>
  <c r="A1209" i="266"/>
  <c r="A1208" i="266"/>
  <c r="A1207" i="266"/>
  <c r="A1206" i="266"/>
  <c r="A1205" i="266"/>
  <c r="A1204" i="266"/>
  <c r="A1203" i="266"/>
  <c r="A1202" i="266"/>
  <c r="A1201" i="266"/>
  <c r="A1200" i="266"/>
  <c r="A1199" i="266"/>
  <c r="A1198" i="266"/>
  <c r="A1197" i="266"/>
  <c r="A1196" i="266"/>
  <c r="A1195" i="266"/>
  <c r="M17" i="274" l="1"/>
  <c r="K17" i="274"/>
  <c r="I17" i="274"/>
  <c r="G17" i="274"/>
  <c r="E17" i="274"/>
  <c r="C17" i="274"/>
  <c r="L1" i="274"/>
  <c r="J1" i="274"/>
  <c r="H1" i="274"/>
  <c r="F1" i="274"/>
  <c r="D1" i="274"/>
  <c r="A1555" i="266"/>
  <c r="F1554" i="266"/>
  <c r="A1554" i="266"/>
  <c r="A1551" i="266"/>
  <c r="A1550" i="266"/>
  <c r="A1487" i="266"/>
  <c r="A1486" i="266"/>
  <c r="A1483" i="266"/>
  <c r="A1482" i="266"/>
  <c r="F1553" i="266"/>
  <c r="A1485" i="266"/>
  <c r="A1553" i="266"/>
  <c r="F1552" i="266"/>
  <c r="A1552" i="266"/>
  <c r="A1484" i="266"/>
  <c r="F1549" i="266"/>
  <c r="A1481" i="266"/>
  <c r="A1480" i="266"/>
  <c r="A1479" i="266"/>
  <c r="A1478" i="266"/>
  <c r="A1477" i="266"/>
  <c r="A1476" i="266"/>
  <c r="A1475" i="266"/>
  <c r="A1474" i="266"/>
  <c r="A1473" i="266"/>
  <c r="A1472" i="266"/>
  <c r="A1471" i="266"/>
  <c r="A1470" i="266"/>
  <c r="A1469" i="266"/>
  <c r="A1468" i="266"/>
  <c r="A1467" i="266"/>
  <c r="A1466" i="266"/>
  <c r="F771" i="266" l="1"/>
  <c r="F793" i="266"/>
  <c r="F861" i="266" l="1"/>
  <c r="F817" i="266" l="1"/>
  <c r="F839" i="266" l="1"/>
  <c r="F1590" i="266" l="1"/>
  <c r="A1699" i="266"/>
  <c r="A1698" i="266"/>
  <c r="A1697" i="266"/>
  <c r="A1696" i="266"/>
  <c r="A1695" i="266"/>
  <c r="A1694" i="266"/>
  <c r="A1693" i="266"/>
  <c r="A1692" i="266"/>
  <c r="A1691" i="266"/>
  <c r="A1690" i="266"/>
  <c r="A1689" i="266"/>
  <c r="A1688" i="266"/>
  <c r="A1687" i="266"/>
  <c r="A1683" i="266"/>
  <c r="A1686" i="266"/>
  <c r="A1685" i="266"/>
  <c r="A1684" i="266"/>
  <c r="A1682" i="266"/>
  <c r="A1681" i="266"/>
  <c r="A1680" i="266"/>
  <c r="A1679" i="266"/>
  <c r="A1678" i="266"/>
  <c r="A1677" i="266"/>
  <c r="A1676" i="266"/>
  <c r="A1675" i="266"/>
  <c r="A1674" i="266"/>
  <c r="A1673" i="266"/>
  <c r="A1672" i="266"/>
  <c r="A1671" i="266"/>
  <c r="A1670" i="266"/>
  <c r="A1669" i="266"/>
  <c r="A1668" i="266"/>
  <c r="A1667" i="266"/>
  <c r="A1666" i="266"/>
  <c r="A1665" i="266"/>
  <c r="A1664" i="266"/>
  <c r="A1663" i="266"/>
  <c r="A1659" i="266"/>
  <c r="A1662" i="266"/>
  <c r="A1661" i="266"/>
  <c r="A1660" i="266"/>
  <c r="A1658" i="266"/>
  <c r="A1657" i="266"/>
  <c r="A1656" i="266"/>
  <c r="A1655" i="266"/>
  <c r="A1654" i="266"/>
  <c r="A1653" i="266"/>
  <c r="A1652" i="266"/>
  <c r="F878" i="266" l="1"/>
  <c r="F881" i="266"/>
  <c r="F764" i="266"/>
  <c r="A1603" i="266" l="1"/>
  <c r="A1602" i="266"/>
  <c r="A1601" i="266"/>
  <c r="A1600" i="266"/>
  <c r="A1599" i="266"/>
  <c r="A1598" i="266"/>
  <c r="A1597" i="266"/>
  <c r="A1596" i="266"/>
  <c r="A1595" i="266"/>
  <c r="A1594" i="266"/>
  <c r="A1593" i="266"/>
  <c r="A1592" i="266"/>
  <c r="A1591" i="266"/>
  <c r="A1587" i="266"/>
  <c r="A1590" i="266"/>
  <c r="A1589" i="266"/>
  <c r="A1588" i="266"/>
  <c r="A1586" i="266"/>
  <c r="A1585" i="266"/>
  <c r="A1584" i="266"/>
  <c r="A1583" i="266"/>
  <c r="A1582" i="266"/>
  <c r="A1581" i="266"/>
  <c r="A1580" i="266"/>
  <c r="A172" i="266" l="1"/>
  <c r="A1771" i="266"/>
  <c r="A1742" i="266"/>
  <c r="A1757" i="266"/>
  <c r="A1741" i="266"/>
  <c r="A1764" i="266"/>
  <c r="A1727" i="266"/>
  <c r="A1750" i="266"/>
  <c r="A1726" i="266"/>
  <c r="H1298" i="266"/>
  <c r="A1298" i="266"/>
  <c r="H1297" i="266"/>
  <c r="A1297" i="266"/>
  <c r="H1296" i="266"/>
  <c r="A1296" i="266"/>
  <c r="H1295" i="266"/>
  <c r="A1295" i="266"/>
  <c r="H1294" i="266"/>
  <c r="A1294" i="266"/>
  <c r="H1293" i="266"/>
  <c r="A1293" i="266"/>
  <c r="H1292" i="266"/>
  <c r="A1292" i="266"/>
  <c r="H1291" i="266"/>
  <c r="A1291" i="266"/>
  <c r="F1368" i="266" l="1"/>
  <c r="F762" i="266" l="1"/>
  <c r="F1563" i="266"/>
  <c r="F1780" i="266"/>
  <c r="F876" i="266"/>
  <c r="F808" i="266"/>
  <c r="A1780" i="266"/>
  <c r="A1563" i="266"/>
  <c r="A876" i="266"/>
  <c r="A808" i="266"/>
  <c r="A762" i="266"/>
  <c r="A1783" i="266" l="1"/>
  <c r="A1566" i="266"/>
  <c r="A879" i="266"/>
  <c r="A811" i="266"/>
  <c r="A765" i="266"/>
  <c r="F810" i="266"/>
  <c r="A902" i="266" l="1"/>
  <c r="A900" i="266"/>
  <c r="G1129" i="266" l="1"/>
  <c r="G1128" i="266"/>
  <c r="G1127" i="266"/>
  <c r="G1126" i="266"/>
  <c r="G1125" i="266"/>
  <c r="G1124" i="266"/>
  <c r="Z1" i="223" l="1"/>
  <c r="X1" i="223"/>
  <c r="V1" i="223"/>
  <c r="T1" i="223"/>
  <c r="R1" i="223"/>
  <c r="P1" i="223"/>
  <c r="N1" i="223"/>
  <c r="L1" i="223"/>
  <c r="J1" i="223"/>
  <c r="H1" i="223"/>
  <c r="F1" i="223"/>
  <c r="U33" i="223"/>
  <c r="I33" i="223"/>
  <c r="E33" i="223"/>
  <c r="G33" i="223"/>
  <c r="D1" i="223"/>
  <c r="A179" i="266" l="1"/>
  <c r="A177" i="266"/>
  <c r="A176" i="266"/>
  <c r="A175" i="266"/>
  <c r="A178" i="266"/>
  <c r="A174" i="266"/>
  <c r="A171" i="266"/>
  <c r="A170" i="266"/>
  <c r="A173" i="266"/>
  <c r="A169" i="266"/>
  <c r="A166" i="266"/>
  <c r="A165" i="266"/>
  <c r="A164" i="266"/>
  <c r="A163" i="266"/>
  <c r="A168" i="266"/>
  <c r="A167" i="266"/>
  <c r="A162" i="266"/>
  <c r="A161" i="266"/>
  <c r="A160" i="266"/>
  <c r="A159" i="266"/>
  <c r="A158" i="266"/>
  <c r="A157" i="266"/>
  <c r="A156" i="266"/>
  <c r="A155" i="266"/>
  <c r="F225" i="266"/>
  <c r="A62" i="266"/>
  <c r="A58" i="266"/>
  <c r="A735" i="266" l="1"/>
  <c r="A110" i="266"/>
  <c r="A1376" i="266"/>
  <c r="A889" i="266"/>
  <c r="A1462" i="266"/>
  <c r="A987" i="266"/>
  <c r="A1009" i="266"/>
  <c r="A1576" i="266"/>
  <c r="A1793" i="266"/>
  <c r="A821" i="266"/>
  <c r="A843" i="266"/>
  <c r="A1530" i="266"/>
  <c r="A1420" i="266"/>
  <c r="A1398" i="266"/>
  <c r="A865" i="266"/>
  <c r="A797" i="266"/>
  <c r="A775" i="266"/>
  <c r="A1373" i="266"/>
  <c r="A886" i="266"/>
  <c r="A1459" i="266"/>
  <c r="A1549" i="266"/>
  <c r="A1006" i="266"/>
  <c r="A1573" i="266"/>
  <c r="A1790" i="266"/>
  <c r="A818" i="266"/>
  <c r="A840" i="266"/>
  <c r="A1527" i="266"/>
  <c r="A1417" i="266"/>
  <c r="A1395" i="266"/>
  <c r="A862" i="266"/>
  <c r="A794" i="266"/>
  <c r="A772" i="266"/>
  <c r="A1375" i="266"/>
  <c r="A888" i="266"/>
  <c r="A1461" i="266"/>
  <c r="A986" i="266"/>
  <c r="A1008" i="266"/>
  <c r="A1575" i="266"/>
  <c r="A1792" i="266"/>
  <c r="A820" i="266"/>
  <c r="A842" i="266"/>
  <c r="A1529" i="266"/>
  <c r="A1419" i="266"/>
  <c r="A1397" i="266"/>
  <c r="A864" i="266"/>
  <c r="A796" i="266"/>
  <c r="A774" i="266"/>
  <c r="A1374" i="266"/>
  <c r="A887" i="266"/>
  <c r="A1460" i="266"/>
  <c r="A985" i="266"/>
  <c r="A1007" i="266"/>
  <c r="A1574" i="266"/>
  <c r="A1791" i="266"/>
  <c r="A819" i="266"/>
  <c r="A841" i="266"/>
  <c r="A1528" i="266"/>
  <c r="A1418" i="266"/>
  <c r="A1396" i="266"/>
  <c r="A863" i="266"/>
  <c r="A795" i="266"/>
  <c r="A773" i="266"/>
  <c r="A1372" i="266"/>
  <c r="A885" i="266"/>
  <c r="A1458" i="266"/>
  <c r="A1548" i="266"/>
  <c r="A1005" i="266"/>
  <c r="A1572" i="266"/>
  <c r="A1789" i="266"/>
  <c r="A817" i="266"/>
  <c r="A839" i="266"/>
  <c r="A1526" i="266"/>
  <c r="A1416" i="266"/>
  <c r="A1394" i="266"/>
  <c r="A861" i="266"/>
  <c r="A793" i="266"/>
  <c r="A771" i="266"/>
  <c r="A1363" i="266"/>
  <c r="A874" i="266"/>
  <c r="A1449" i="266"/>
  <c r="A1539" i="266"/>
  <c r="A996" i="266"/>
  <c r="A1561" i="266"/>
  <c r="A1778" i="266"/>
  <c r="A806" i="266"/>
  <c r="A830" i="266"/>
  <c r="A1517" i="266"/>
  <c r="A1407" i="266"/>
  <c r="A1385" i="266"/>
  <c r="A852" i="266"/>
  <c r="A784" i="266"/>
  <c r="A760" i="266"/>
  <c r="A1378" i="266"/>
  <c r="A891" i="266"/>
  <c r="A1464" i="266"/>
  <c r="A989" i="266"/>
  <c r="A1011" i="266"/>
  <c r="A1578" i="266"/>
  <c r="A1795" i="266"/>
  <c r="A823" i="266"/>
  <c r="A845" i="266"/>
  <c r="A1532" i="266"/>
  <c r="A1422" i="266"/>
  <c r="A1400" i="266"/>
  <c r="A867" i="266"/>
  <c r="A799" i="266"/>
  <c r="A777" i="266"/>
  <c r="A1377" i="266"/>
  <c r="A890" i="266"/>
  <c r="A1463" i="266"/>
  <c r="A988" i="266"/>
  <c r="A1010" i="266"/>
  <c r="A1577" i="266"/>
  <c r="A1794" i="266"/>
  <c r="A822" i="266"/>
  <c r="A844" i="266"/>
  <c r="A1531" i="266"/>
  <c r="A1421" i="266"/>
  <c r="A1399" i="266"/>
  <c r="A866" i="266"/>
  <c r="A798" i="266"/>
  <c r="A776" i="266"/>
  <c r="A1365" i="266"/>
  <c r="A877" i="266"/>
  <c r="A1451" i="266"/>
  <c r="A1541" i="266"/>
  <c r="A998" i="266"/>
  <c r="A1564" i="266"/>
  <c r="A1781" i="266"/>
  <c r="A809" i="266"/>
  <c r="A832" i="266"/>
  <c r="A1519" i="266"/>
  <c r="A1409" i="266"/>
  <c r="A1387" i="266"/>
  <c r="A854" i="266"/>
  <c r="A786" i="266"/>
  <c r="A763" i="266"/>
  <c r="A1369" i="266"/>
  <c r="A882" i="266"/>
  <c r="A1455" i="266"/>
  <c r="A1545" i="266"/>
  <c r="A1002" i="266"/>
  <c r="A1569" i="266"/>
  <c r="A1786" i="266"/>
  <c r="A814" i="266"/>
  <c r="A836" i="266"/>
  <c r="A1523" i="266"/>
  <c r="A1413" i="266"/>
  <c r="A1391" i="266"/>
  <c r="A858" i="266"/>
  <c r="A790" i="266"/>
  <c r="A768" i="266"/>
  <c r="A1379" i="266"/>
  <c r="A892" i="266"/>
  <c r="A1465" i="266"/>
  <c r="A990" i="266"/>
  <c r="A1012" i="266"/>
  <c r="A1579" i="266"/>
  <c r="A1796" i="266"/>
  <c r="A824" i="266"/>
  <c r="A846" i="266"/>
  <c r="A1533" i="266"/>
  <c r="A1423" i="266"/>
  <c r="A1401" i="266"/>
  <c r="A868" i="266"/>
  <c r="A800" i="266"/>
  <c r="A778" i="266"/>
  <c r="A1367" i="266"/>
  <c r="A880" i="266"/>
  <c r="A1453" i="266"/>
  <c r="A1543" i="266"/>
  <c r="A1000" i="266"/>
  <c r="A1567" i="266"/>
  <c r="A1784" i="266"/>
  <c r="A812" i="266"/>
  <c r="A834" i="266"/>
  <c r="A1521" i="266"/>
  <c r="A1411" i="266"/>
  <c r="A1389" i="266"/>
  <c r="A856" i="266"/>
  <c r="A788" i="266"/>
  <c r="A766" i="266"/>
  <c r="A1358" i="266"/>
  <c r="A869" i="266"/>
  <c r="A1444" i="266"/>
  <c r="A1534" i="266"/>
  <c r="A991" i="266"/>
  <c r="A1556" i="266"/>
  <c r="A1773" i="266"/>
  <c r="A801" i="266"/>
  <c r="A825" i="266"/>
  <c r="A1512" i="266"/>
  <c r="A1402" i="266"/>
  <c r="A1380" i="266"/>
  <c r="A847" i="266"/>
  <c r="A779" i="266"/>
  <c r="A755" i="266"/>
  <c r="A1360" i="266"/>
  <c r="A871" i="266"/>
  <c r="A1446" i="266"/>
  <c r="A1536" i="266"/>
  <c r="A993" i="266"/>
  <c r="A1558" i="266"/>
  <c r="A1775" i="266"/>
  <c r="A803" i="266"/>
  <c r="A827" i="266"/>
  <c r="A1514" i="266"/>
  <c r="A1404" i="266"/>
  <c r="A1382" i="266"/>
  <c r="A849" i="266"/>
  <c r="A781" i="266"/>
  <c r="A757" i="266"/>
  <c r="A1361" i="266"/>
  <c r="A872" i="266"/>
  <c r="A1447" i="266"/>
  <c r="A1537" i="266"/>
  <c r="A994" i="266"/>
  <c r="A1559" i="266"/>
  <c r="A1776" i="266"/>
  <c r="A804" i="266"/>
  <c r="A828" i="266"/>
  <c r="A1515" i="266"/>
  <c r="A1405" i="266"/>
  <c r="A1383" i="266"/>
  <c r="A850" i="266"/>
  <c r="A782" i="266"/>
  <c r="A758" i="266"/>
  <c r="A1362" i="266"/>
  <c r="A873" i="266"/>
  <c r="A1448" i="266"/>
  <c r="A1538" i="266"/>
  <c r="A995" i="266"/>
  <c r="A1560" i="266"/>
  <c r="A1777" i="266"/>
  <c r="A805" i="266"/>
  <c r="A829" i="266"/>
  <c r="A1516" i="266"/>
  <c r="A1406" i="266"/>
  <c r="A1384" i="266"/>
  <c r="A851" i="266"/>
  <c r="A783" i="266"/>
  <c r="A759" i="266"/>
  <c r="A1370" i="266"/>
  <c r="A883" i="266"/>
  <c r="A1456" i="266"/>
  <c r="A1546" i="266"/>
  <c r="A1003" i="266"/>
  <c r="A1570" i="266"/>
  <c r="A1787" i="266"/>
  <c r="A815" i="266"/>
  <c r="A837" i="266"/>
  <c r="A1524" i="266"/>
  <c r="A1414" i="266"/>
  <c r="A1392" i="266"/>
  <c r="A859" i="266"/>
  <c r="A791" i="266"/>
  <c r="A769" i="266"/>
  <c r="A1366" i="266"/>
  <c r="A878" i="266"/>
  <c r="A1452" i="266"/>
  <c r="A1542" i="266"/>
  <c r="A999" i="266"/>
  <c r="A1565" i="266"/>
  <c r="A1782" i="266"/>
  <c r="A810" i="266"/>
  <c r="A833" i="266"/>
  <c r="A1520" i="266"/>
  <c r="A1410" i="266"/>
  <c r="A1388" i="266"/>
  <c r="A855" i="266"/>
  <c r="A787" i="266"/>
  <c r="A764" i="266"/>
  <c r="A1364" i="266"/>
  <c r="A875" i="266"/>
  <c r="A1450" i="266"/>
  <c r="A1540" i="266"/>
  <c r="A997" i="266"/>
  <c r="A1562" i="266"/>
  <c r="A1779" i="266"/>
  <c r="A807" i="266"/>
  <c r="A831" i="266"/>
  <c r="A1518" i="266"/>
  <c r="A1408" i="266"/>
  <c r="A1386" i="266"/>
  <c r="A853" i="266"/>
  <c r="A785" i="266"/>
  <c r="A761" i="266"/>
  <c r="A1371" i="266"/>
  <c r="A884" i="266"/>
  <c r="A1457" i="266"/>
  <c r="A1547" i="266"/>
  <c r="A1004" i="266"/>
  <c r="A1571" i="266"/>
  <c r="A1788" i="266"/>
  <c r="A816" i="266"/>
  <c r="A838" i="266"/>
  <c r="A1525" i="266"/>
  <c r="A1415" i="266"/>
  <c r="A1393" i="266"/>
  <c r="A860" i="266"/>
  <c r="A792" i="266"/>
  <c r="A770" i="266"/>
  <c r="A1368" i="266"/>
  <c r="A881" i="266"/>
  <c r="A1454" i="266"/>
  <c r="A1544" i="266"/>
  <c r="A1001" i="266"/>
  <c r="A1568" i="266"/>
  <c r="A1785" i="266"/>
  <c r="A813" i="266"/>
  <c r="A835" i="266"/>
  <c r="A1522" i="266"/>
  <c r="A1412" i="266"/>
  <c r="A1390" i="266"/>
  <c r="A857" i="266"/>
  <c r="A789" i="266"/>
  <c r="A767" i="266"/>
  <c r="A1359" i="266"/>
  <c r="A870" i="266"/>
  <c r="A1445" i="266"/>
  <c r="A1535" i="266"/>
  <c r="A992" i="266"/>
  <c r="A1557" i="266"/>
  <c r="A1774" i="266"/>
  <c r="A802" i="266"/>
  <c r="A826" i="266"/>
  <c r="A1513" i="266"/>
  <c r="A1403" i="266"/>
  <c r="A1381" i="266"/>
  <c r="A848" i="266"/>
  <c r="A780" i="266"/>
  <c r="A756" i="266"/>
  <c r="A1139" i="266"/>
  <c r="A1131" i="266"/>
  <c r="A1138" i="266"/>
  <c r="A1137" i="266"/>
  <c r="A1136" i="266"/>
  <c r="A1135" i="266"/>
  <c r="A1134" i="266"/>
  <c r="A1133" i="266"/>
  <c r="A1132" i="266"/>
  <c r="A1130" i="266"/>
  <c r="A1129" i="266"/>
  <c r="A1128" i="266"/>
  <c r="A1127" i="266"/>
  <c r="A1126" i="266"/>
  <c r="A1125" i="266"/>
  <c r="A1124" i="266"/>
  <c r="A1115" i="266"/>
  <c r="A1117" i="266"/>
  <c r="A1118" i="266"/>
  <c r="A1119" i="266"/>
  <c r="A1120" i="266"/>
  <c r="A1122" i="266"/>
  <c r="A1123" i="266"/>
  <c r="A1116" i="266"/>
  <c r="A1121" i="266"/>
  <c r="F1120" i="266"/>
  <c r="F1115" i="266"/>
  <c r="A1278" i="266"/>
  <c r="A1279" i="266"/>
  <c r="A1280" i="266"/>
  <c r="A1281" i="266"/>
  <c r="A1282" i="266"/>
  <c r="A1283" i="266"/>
  <c r="A1284" i="266"/>
  <c r="A1917" i="266"/>
  <c r="A1916" i="266"/>
  <c r="A1915" i="266"/>
  <c r="A1914" i="266"/>
  <c r="A1913" i="266"/>
  <c r="A1912" i="266"/>
  <c r="A1911" i="266"/>
  <c r="A1910" i="266"/>
  <c r="A1918" i="266"/>
  <c r="A1919" i="266"/>
  <c r="A1920" i="266"/>
  <c r="A1921" i="266"/>
  <c r="A1922" i="266"/>
  <c r="A1923" i="266"/>
  <c r="A1924" i="266"/>
  <c r="A1925" i="266"/>
  <c r="A75" i="266"/>
  <c r="A1042" i="266"/>
  <c r="A87" i="266"/>
  <c r="A76" i="266"/>
  <c r="A1043" i="266"/>
  <c r="A88" i="266"/>
  <c r="A77" i="266"/>
  <c r="A1044" i="266"/>
  <c r="A89" i="266"/>
  <c r="A69" i="266"/>
  <c r="A1036" i="266"/>
  <c r="A81" i="266"/>
  <c r="A70" i="266"/>
  <c r="A1037" i="266"/>
  <c r="A82" i="266"/>
  <c r="A74" i="266"/>
  <c r="A1041" i="266"/>
  <c r="A86" i="266"/>
  <c r="A73" i="266"/>
  <c r="A1040" i="266"/>
  <c r="A85" i="266"/>
  <c r="A67" i="266"/>
  <c r="A1034" i="266"/>
  <c r="A79" i="266"/>
  <c r="A72" i="266"/>
  <c r="A1039" i="266"/>
  <c r="A84" i="266"/>
  <c r="A68" i="266"/>
  <c r="A1035" i="266"/>
  <c r="A80" i="266"/>
  <c r="A71" i="266"/>
  <c r="A1038" i="266"/>
  <c r="A83" i="266"/>
  <c r="A66" i="266"/>
  <c r="A1033" i="266"/>
  <c r="A78" i="266"/>
  <c r="A99" i="266"/>
  <c r="A981" i="266"/>
  <c r="A206" i="266"/>
  <c r="A100" i="266"/>
  <c r="A982" i="266"/>
  <c r="A207" i="266"/>
  <c r="A101" i="266"/>
  <c r="A983" i="266"/>
  <c r="A208" i="266"/>
  <c r="A93" i="266"/>
  <c r="A975" i="266"/>
  <c r="A200" i="266"/>
  <c r="A94" i="266"/>
  <c r="A976" i="266"/>
  <c r="A201" i="266"/>
  <c r="A98" i="266"/>
  <c r="A980" i="266"/>
  <c r="A205" i="266"/>
  <c r="A97" i="266"/>
  <c r="A979" i="266"/>
  <c r="A204" i="266"/>
  <c r="A91" i="266"/>
  <c r="A973" i="266"/>
  <c r="A198" i="266"/>
  <c r="A96" i="266"/>
  <c r="A978" i="266"/>
  <c r="A203" i="266"/>
  <c r="A92" i="266"/>
  <c r="A974" i="266"/>
  <c r="A199" i="266"/>
  <c r="A95" i="266"/>
  <c r="A977" i="266"/>
  <c r="A202" i="266"/>
  <c r="A90" i="266"/>
  <c r="A972" i="266"/>
  <c r="A197" i="266"/>
  <c r="A147" i="266"/>
  <c r="A133" i="266"/>
  <c r="A127" i="266"/>
  <c r="A114" i="266"/>
  <c r="A119" i="266"/>
  <c r="A121" i="266"/>
  <c r="A120" i="266"/>
  <c r="A118" i="266"/>
  <c r="A117" i="266"/>
  <c r="A116" i="266"/>
  <c r="A115" i="266"/>
  <c r="A113" i="266"/>
  <c r="A154" i="266"/>
  <c r="A148" i="266"/>
  <c r="A135" i="266"/>
  <c r="A140" i="266"/>
  <c r="A142" i="266"/>
  <c r="A141" i="266"/>
  <c r="A139" i="266"/>
  <c r="A138" i="266"/>
  <c r="A137" i="266"/>
  <c r="A136" i="266"/>
  <c r="A134" i="266"/>
  <c r="A108" i="266"/>
  <c r="A103" i="266"/>
  <c r="A109" i="266"/>
  <c r="A107" i="266"/>
  <c r="A106" i="266"/>
  <c r="A105" i="266"/>
  <c r="A104" i="266"/>
  <c r="A102" i="266"/>
  <c r="A130" i="266"/>
  <c r="A129" i="266"/>
  <c r="A128" i="266"/>
  <c r="A131" i="266"/>
  <c r="A132" i="266"/>
  <c r="A124" i="266"/>
  <c r="A123" i="266"/>
  <c r="A122" i="266"/>
  <c r="A125" i="266"/>
  <c r="A126" i="266"/>
  <c r="A151" i="266"/>
  <c r="A150" i="266"/>
  <c r="A149" i="266"/>
  <c r="A152" i="266"/>
  <c r="A153" i="266"/>
  <c r="A145" i="266"/>
  <c r="A144" i="266"/>
  <c r="A143" i="266"/>
  <c r="A146" i="266"/>
  <c r="F149" i="266"/>
  <c r="F145" i="266"/>
  <c r="F144" i="266"/>
  <c r="F124" i="266"/>
  <c r="F123" i="266"/>
  <c r="F125" i="266"/>
  <c r="F122" i="266"/>
  <c r="F143" i="266"/>
  <c r="F146" i="266"/>
  <c r="F130" i="266"/>
  <c r="F129" i="266"/>
  <c r="F128" i="266"/>
  <c r="F131" i="266"/>
  <c r="F152" i="266"/>
  <c r="F133" i="266"/>
  <c r="F127" i="266"/>
  <c r="F154" i="266"/>
  <c r="F148" i="266"/>
  <c r="F112" i="266"/>
  <c r="F107" i="266"/>
  <c r="F102" i="266"/>
  <c r="A111" i="266"/>
  <c r="A112" i="266"/>
  <c r="A699" i="266"/>
  <c r="A701" i="266"/>
  <c r="A698" i="266"/>
  <c r="A697" i="266"/>
  <c r="A696" i="266"/>
  <c r="A695" i="266"/>
  <c r="A694" i="266"/>
  <c r="A693" i="266"/>
  <c r="A692" i="266"/>
  <c r="A700" i="266"/>
  <c r="F701" i="266"/>
  <c r="F700" i="266"/>
  <c r="F696" i="266"/>
  <c r="F692" i="266"/>
  <c r="A751" i="266" l="1"/>
  <c r="A752" i="266"/>
  <c r="A753" i="266"/>
  <c r="A747" i="266"/>
  <c r="A749" i="266"/>
  <c r="A754" i="266"/>
  <c r="A745" i="266"/>
  <c r="A743" i="266"/>
  <c r="F741" i="266"/>
  <c r="A741" i="266"/>
  <c r="A739" i="266"/>
  <c r="A737" i="266"/>
  <c r="F734" i="266"/>
  <c r="A734" i="266"/>
  <c r="A746" i="266"/>
  <c r="F748" i="266"/>
  <c r="A748" i="266"/>
  <c r="F750" i="266"/>
  <c r="A750" i="266"/>
  <c r="A744" i="266"/>
  <c r="A742" i="266"/>
  <c r="F740" i="266"/>
  <c r="A740" i="266"/>
  <c r="A738" i="266"/>
  <c r="A736" i="266"/>
  <c r="F733" i="266"/>
  <c r="A733" i="266"/>
  <c r="F195" i="266"/>
  <c r="F194" i="266"/>
  <c r="F196" i="266"/>
  <c r="F192" i="266"/>
  <c r="F191" i="266"/>
  <c r="F190" i="266"/>
  <c r="A193" i="266"/>
  <c r="A195" i="266"/>
  <c r="A194" i="266"/>
  <c r="A196" i="266"/>
  <c r="A189" i="266"/>
  <c r="A191" i="266"/>
  <c r="A190" i="266"/>
  <c r="A192" i="266"/>
  <c r="A181" i="266"/>
  <c r="A186" i="266"/>
  <c r="A188" i="266"/>
  <c r="A187" i="266"/>
  <c r="A185" i="266"/>
  <c r="A184" i="266"/>
  <c r="A183" i="266"/>
  <c r="A182" i="266"/>
  <c r="A180" i="266"/>
  <c r="F221" i="266"/>
  <c r="F224" i="266"/>
  <c r="A218" i="266"/>
  <c r="A222" i="266"/>
  <c r="F28" i="266"/>
  <c r="F27" i="266"/>
  <c r="F32" i="266"/>
  <c r="F31" i="266"/>
  <c r="A26" i="266"/>
  <c r="A30" i="266"/>
  <c r="A224" i="266"/>
  <c r="A223" i="266"/>
  <c r="A225" i="266"/>
  <c r="A220" i="266"/>
  <c r="A219" i="266"/>
  <c r="A221" i="266"/>
  <c r="A210" i="266"/>
  <c r="A215" i="266"/>
  <c r="A217" i="266"/>
  <c r="A216" i="266"/>
  <c r="A214" i="266"/>
  <c r="A213" i="266"/>
  <c r="A212" i="266"/>
  <c r="A211" i="266"/>
  <c r="A209" i="266"/>
  <c r="A32" i="266"/>
  <c r="A31" i="266"/>
  <c r="A33" i="266"/>
  <c r="A28" i="266"/>
  <c r="A27" i="266"/>
  <c r="A29" i="266"/>
  <c r="A18" i="266"/>
  <c r="A23" i="266"/>
  <c r="A25" i="266"/>
  <c r="A24" i="266"/>
  <c r="A22" i="266"/>
  <c r="A21" i="266"/>
  <c r="A20" i="266"/>
  <c r="A19" i="266"/>
  <c r="A17" i="266"/>
  <c r="A1431" i="266"/>
  <c r="F1432" i="266"/>
  <c r="A1432" i="266"/>
  <c r="F1433" i="266"/>
  <c r="A1433" i="266"/>
  <c r="A1430" i="266"/>
  <c r="A1429" i="266"/>
  <c r="F1428" i="266"/>
  <c r="A1428" i="266"/>
  <c r="A1427" i="266"/>
  <c r="A1426" i="266"/>
  <c r="A1425" i="266"/>
  <c r="F1424" i="266"/>
  <c r="A1424" i="266"/>
  <c r="A1443" i="266"/>
  <c r="A1440" i="266"/>
  <c r="A1439" i="266"/>
  <c r="A1438" i="266"/>
  <c r="A1437" i="266"/>
  <c r="A1436" i="266"/>
  <c r="A1435" i="266"/>
  <c r="A1434" i="266"/>
  <c r="A1441" i="266"/>
  <c r="A1442" i="266"/>
  <c r="F1438" i="266"/>
  <c r="F1442" i="266"/>
  <c r="F1443" i="266"/>
  <c r="F1434" i="266"/>
  <c r="F65" i="266"/>
  <c r="F61" i="266"/>
  <c r="A60" i="266"/>
  <c r="A64" i="266"/>
  <c r="A59" i="266"/>
  <c r="A61" i="266"/>
  <c r="A65" i="266"/>
  <c r="F60" i="266"/>
  <c r="F59" i="266"/>
  <c r="F64" i="266"/>
  <c r="F63" i="266"/>
  <c r="F51" i="266"/>
  <c r="A1818" i="266"/>
  <c r="A1817" i="266"/>
  <c r="A1816" i="266"/>
  <c r="A1815" i="266"/>
  <c r="A1814" i="266"/>
  <c r="A1813" i="266"/>
  <c r="A1812" i="266"/>
  <c r="A1811" i="266"/>
  <c r="A1810" i="266"/>
  <c r="A1809" i="266"/>
  <c r="A1808" i="266"/>
  <c r="A1807" i="266"/>
  <c r="A1806" i="266"/>
  <c r="A1805" i="266"/>
  <c r="A1804" i="266"/>
  <c r="A1803" i="266"/>
  <c r="A1802" i="266"/>
  <c r="A1801" i="266"/>
  <c r="A1800" i="266"/>
  <c r="A1840" i="266"/>
  <c r="A1839" i="266"/>
  <c r="A1838" i="266"/>
  <c r="A1837" i="266"/>
  <c r="A1836" i="266"/>
  <c r="A1835" i="266"/>
  <c r="A1834" i="266"/>
  <c r="A1833" i="266"/>
  <c r="A1832" i="266"/>
  <c r="A1831" i="266"/>
  <c r="A1830" i="266"/>
  <c r="A1829" i="266"/>
  <c r="A1828" i="266"/>
  <c r="A1827" i="266"/>
  <c r="A1826" i="266"/>
  <c r="A1825" i="266"/>
  <c r="A1824" i="266"/>
  <c r="A1823" i="266"/>
  <c r="A1822" i="266"/>
  <c r="A1821" i="266"/>
  <c r="A1820" i="266"/>
  <c r="A1819" i="266"/>
  <c r="A1799" i="266"/>
  <c r="A1798" i="266"/>
  <c r="A1797" i="266"/>
  <c r="A1772" i="266"/>
  <c r="A1770" i="266"/>
  <c r="A1769" i="266"/>
  <c r="A1767" i="266"/>
  <c r="A1768" i="266"/>
  <c r="A1766" i="266"/>
  <c r="A1765" i="266"/>
  <c r="A1763" i="266"/>
  <c r="A1762" i="266"/>
  <c r="A1761" i="266"/>
  <c r="A1760" i="266"/>
  <c r="A1759" i="266"/>
  <c r="A1758" i="266"/>
  <c r="A1756" i="266"/>
  <c r="A1755" i="266"/>
  <c r="A1753" i="266"/>
  <c r="A1754" i="266"/>
  <c r="A1752" i="266"/>
  <c r="A1751" i="266"/>
  <c r="A1749" i="266"/>
  <c r="A1748" i="266"/>
  <c r="A1747" i="266"/>
  <c r="A1746" i="266"/>
  <c r="A1745" i="266"/>
  <c r="A1744" i="266"/>
  <c r="A1743" i="266"/>
  <c r="A1740" i="266"/>
  <c r="A1739" i="266"/>
  <c r="A1738" i="266"/>
  <c r="A1737" i="266"/>
  <c r="A1735" i="266"/>
  <c r="A1736" i="266"/>
  <c r="A1733" i="266"/>
  <c r="A1734" i="266"/>
  <c r="A1732" i="266"/>
  <c r="A1731" i="266"/>
  <c r="A1730" i="266"/>
  <c r="A1729" i="266"/>
  <c r="A1728" i="266"/>
  <c r="A1725" i="266"/>
  <c r="A1724" i="266"/>
  <c r="A1723" i="266"/>
  <c r="A1722" i="266"/>
  <c r="A1721" i="266"/>
  <c r="A1720" i="266"/>
  <c r="A1719" i="266"/>
  <c r="A1718" i="266"/>
  <c r="A1717" i="266"/>
  <c r="A1716" i="266"/>
  <c r="A1715" i="266"/>
  <c r="A1714" i="266"/>
  <c r="A1713" i="266"/>
  <c r="A1712" i="266"/>
  <c r="A1711" i="266"/>
  <c r="A1710" i="266"/>
  <c r="A1709" i="266"/>
  <c r="A1708" i="266"/>
  <c r="A1707" i="266"/>
  <c r="A1706" i="266"/>
  <c r="A1705" i="266"/>
  <c r="A1704" i="266"/>
  <c r="A1703" i="266"/>
  <c r="A1702" i="266"/>
  <c r="A1701" i="266"/>
  <c r="A1700" i="266"/>
  <c r="A1909" i="266"/>
  <c r="A1908" i="266"/>
  <c r="A1907" i="266"/>
  <c r="A1906" i="266"/>
  <c r="F1905" i="266"/>
  <c r="A1905" i="266"/>
  <c r="A1904" i="266"/>
  <c r="F1903" i="266"/>
  <c r="A1903" i="266"/>
  <c r="A1902" i="266"/>
  <c r="F1901" i="266"/>
  <c r="A1901" i="266"/>
  <c r="A1900" i="266"/>
  <c r="F1899" i="266"/>
  <c r="A1899" i="266"/>
  <c r="A1898" i="266"/>
  <c r="F1897" i="266"/>
  <c r="A1897" i="266"/>
  <c r="A1896" i="266"/>
  <c r="F1895" i="266"/>
  <c r="A1895" i="266"/>
  <c r="A1894" i="266"/>
  <c r="A1893" i="266"/>
  <c r="A1892" i="266"/>
  <c r="A1891" i="266"/>
  <c r="F1890" i="266"/>
  <c r="A1890" i="266"/>
  <c r="A1889" i="266"/>
  <c r="F1888" i="266"/>
  <c r="A1888" i="266"/>
  <c r="A1887" i="266"/>
  <c r="F1886" i="266"/>
  <c r="A1886" i="266"/>
  <c r="A1885" i="266"/>
  <c r="F1884" i="266"/>
  <c r="A1884" i="266"/>
  <c r="A1883" i="266"/>
  <c r="F1882" i="266"/>
  <c r="A1882" i="266"/>
  <c r="A1881" i="266"/>
  <c r="F1880" i="266"/>
  <c r="A1880" i="266"/>
  <c r="A1879" i="266"/>
  <c r="A1878" i="266"/>
  <c r="A1877" i="266"/>
  <c r="A1876" i="266"/>
  <c r="F1875" i="266"/>
  <c r="A1875" i="266"/>
  <c r="A1874" i="266"/>
  <c r="F1873" i="266"/>
  <c r="A1873" i="266"/>
  <c r="A1872" i="266"/>
  <c r="F1871" i="266"/>
  <c r="A1871" i="266"/>
  <c r="A1870" i="266"/>
  <c r="F1869" i="266"/>
  <c r="A1869" i="266"/>
  <c r="A1868" i="266"/>
  <c r="F1867" i="266"/>
  <c r="A1867" i="266"/>
  <c r="A1866" i="266"/>
  <c r="F1865" i="266"/>
  <c r="A1865" i="266"/>
  <c r="A1864" i="266"/>
  <c r="A1863" i="266"/>
  <c r="A1862" i="266"/>
  <c r="A1861" i="266"/>
  <c r="F1860" i="266"/>
  <c r="A1860" i="266"/>
  <c r="A1859" i="266"/>
  <c r="F1858" i="266"/>
  <c r="A1858" i="266"/>
  <c r="A1857" i="266"/>
  <c r="F1856" i="266"/>
  <c r="A1856" i="266"/>
  <c r="A1855" i="266"/>
  <c r="F1854" i="266"/>
  <c r="A1854" i="266"/>
  <c r="A1853" i="266"/>
  <c r="F1852" i="266"/>
  <c r="A1852" i="266"/>
  <c r="A1851" i="266"/>
  <c r="F1850" i="266"/>
  <c r="A1850" i="266"/>
  <c r="A1849" i="266"/>
  <c r="A1848" i="266"/>
  <c r="A1847" i="266"/>
  <c r="A1846" i="266"/>
  <c r="A1845" i="266"/>
  <c r="A1844" i="266"/>
  <c r="A1843" i="266"/>
  <c r="A1842" i="266"/>
  <c r="A1841" i="266"/>
  <c r="A1277" i="266"/>
  <c r="A1263" i="266"/>
  <c r="A1262" i="266"/>
  <c r="A1275" i="266"/>
  <c r="A1274" i="266"/>
  <c r="A1273" i="266"/>
  <c r="A1272" i="266"/>
  <c r="A1271" i="266"/>
  <c r="A1270" i="266"/>
  <c r="A1261" i="266"/>
  <c r="A1269" i="266"/>
  <c r="A1268" i="266"/>
  <c r="A1267" i="266"/>
  <c r="A1266" i="266"/>
  <c r="A1265" i="266"/>
  <c r="A1264" i="266"/>
  <c r="A1260" i="266"/>
  <c r="A1276" i="266"/>
  <c r="A1259" i="266"/>
  <c r="A1246" i="266"/>
  <c r="A1245" i="266"/>
  <c r="A1258" i="266"/>
  <c r="A1257" i="266"/>
  <c r="A1256" i="266"/>
  <c r="A1255" i="266"/>
  <c r="A1254" i="266"/>
  <c r="A1253" i="266"/>
  <c r="A1244" i="266"/>
  <c r="A1252" i="266"/>
  <c r="A1251" i="266"/>
  <c r="A1250" i="266"/>
  <c r="A1249" i="266"/>
  <c r="A1248" i="266"/>
  <c r="A1247" i="266"/>
  <c r="A1243" i="266"/>
  <c r="A1242" i="266"/>
  <c r="A1241" i="266"/>
  <c r="A1240" i="266"/>
  <c r="A1239" i="266"/>
  <c r="A1238" i="266"/>
  <c r="A1237" i="266"/>
  <c r="A1236" i="266"/>
  <c r="A1235" i="266"/>
  <c r="A1234" i="266"/>
  <c r="A1233" i="266"/>
  <c r="A1232" i="266"/>
  <c r="A1231" i="266"/>
  <c r="A1230" i="266"/>
  <c r="A1229" i="266"/>
  <c r="A1228" i="266"/>
  <c r="A1227" i="266"/>
  <c r="A1226" i="266"/>
  <c r="A1225" i="266"/>
  <c r="A1224" i="266"/>
  <c r="A1114" i="266"/>
  <c r="A1113" i="266"/>
  <c r="A1112" i="266"/>
  <c r="A1111" i="266"/>
  <c r="A1110" i="266"/>
  <c r="A1109" i="266"/>
  <c r="A1108" i="266"/>
  <c r="A1107" i="266"/>
  <c r="A1106" i="266"/>
  <c r="A1105" i="266"/>
  <c r="A1104" i="266"/>
  <c r="A63" i="266"/>
  <c r="A57" i="266"/>
  <c r="A56" i="266"/>
  <c r="A55" i="266"/>
  <c r="A54" i="266"/>
  <c r="A53" i="266"/>
  <c r="A52" i="266"/>
  <c r="A51" i="266"/>
  <c r="A1103" i="266"/>
  <c r="A1102" i="266"/>
  <c r="A1101" i="266"/>
  <c r="A1100" i="266"/>
  <c r="A1099" i="266"/>
  <c r="A1098" i="266"/>
  <c r="A1097" i="266"/>
  <c r="A1096" i="266"/>
  <c r="A1095" i="266"/>
  <c r="A1094" i="266"/>
  <c r="A1093" i="266"/>
  <c r="A1092" i="266"/>
  <c r="A1091" i="266"/>
  <c r="A1090" i="266"/>
  <c r="A1089" i="266"/>
  <c r="A1088" i="266"/>
  <c r="A1087" i="266"/>
  <c r="A1086" i="266"/>
  <c r="A1085" i="266"/>
  <c r="A1084" i="266"/>
  <c r="A1083" i="266"/>
  <c r="A1082" i="266"/>
  <c r="A1081" i="266"/>
  <c r="A1080" i="266"/>
  <c r="A1079" i="266"/>
  <c r="A1078" i="266"/>
  <c r="A1077" i="266"/>
  <c r="A1076" i="266"/>
  <c r="A1075" i="266"/>
  <c r="A1074" i="266"/>
  <c r="A1073" i="266"/>
  <c r="A1072" i="266"/>
  <c r="A1071" i="266"/>
  <c r="A1070" i="266"/>
  <c r="A1069" i="266"/>
  <c r="A1068" i="266"/>
  <c r="A1067" i="266"/>
  <c r="A1066" i="266"/>
  <c r="A1065" i="266"/>
  <c r="A1064" i="266"/>
  <c r="A1063" i="266"/>
  <c r="A1062" i="266"/>
  <c r="A1061" i="266"/>
  <c r="A1060" i="266"/>
  <c r="A1059" i="266"/>
  <c r="A1058" i="266"/>
  <c r="A1057" i="266"/>
  <c r="A1056" i="266"/>
  <c r="A1055" i="266"/>
  <c r="A1054" i="266"/>
  <c r="A1053" i="266"/>
  <c r="A1052" i="266"/>
  <c r="A1051" i="266"/>
  <c r="A1050" i="266"/>
  <c r="A1049" i="266"/>
  <c r="A1048" i="266"/>
  <c r="A1047" i="266"/>
  <c r="A1046" i="266"/>
  <c r="A1045" i="266"/>
  <c r="A1032" i="266"/>
  <c r="A1031" i="266"/>
  <c r="A1030" i="266"/>
  <c r="A1029" i="266"/>
  <c r="A1028" i="266"/>
  <c r="A1027" i="266"/>
  <c r="A1026" i="266"/>
  <c r="A1025" i="266"/>
  <c r="A1024" i="266"/>
  <c r="A1023" i="266"/>
  <c r="A1022" i="266"/>
  <c r="A1021" i="266"/>
  <c r="A1020" i="266"/>
  <c r="A1019" i="266"/>
  <c r="A1018" i="266"/>
  <c r="A1017" i="266"/>
  <c r="A1016" i="266"/>
  <c r="A1015" i="266"/>
  <c r="A1014" i="266"/>
  <c r="A1013" i="266"/>
  <c r="A984" i="266"/>
  <c r="A971" i="266"/>
  <c r="A970" i="266"/>
  <c r="A969" i="266"/>
  <c r="A968" i="266"/>
  <c r="A967" i="266"/>
  <c r="A966" i="266"/>
  <c r="A965" i="266"/>
  <c r="A964" i="266"/>
  <c r="A963" i="266"/>
  <c r="A962" i="266"/>
  <c r="A961" i="266"/>
  <c r="A960" i="266"/>
  <c r="A959" i="266"/>
  <c r="A958" i="266"/>
  <c r="A957" i="266"/>
  <c r="A956" i="266"/>
  <c r="A955" i="266"/>
  <c r="A954" i="266"/>
  <c r="A953" i="266"/>
  <c r="A952" i="266"/>
  <c r="A951" i="266"/>
  <c r="A950" i="266"/>
  <c r="A949" i="266"/>
  <c r="A948" i="266"/>
  <c r="A947" i="266"/>
  <c r="A946" i="266"/>
  <c r="A945" i="266"/>
  <c r="A944" i="266"/>
  <c r="A943" i="266"/>
  <c r="A942" i="266"/>
  <c r="A941" i="266"/>
  <c r="A940" i="266"/>
  <c r="A939" i="266"/>
  <c r="A938" i="266"/>
  <c r="A937" i="266"/>
  <c r="A936" i="266"/>
  <c r="A935" i="266"/>
  <c r="A934" i="266"/>
  <c r="A933" i="266"/>
  <c r="A932" i="266"/>
  <c r="A931" i="266"/>
  <c r="A930" i="266"/>
  <c r="A929" i="266"/>
  <c r="A928" i="266"/>
  <c r="A927" i="266"/>
  <c r="A907" i="266"/>
  <c r="A906" i="266"/>
  <c r="A905" i="266"/>
  <c r="A904" i="266"/>
  <c r="A903" i="266"/>
  <c r="A901" i="266"/>
  <c r="A899" i="266"/>
  <c r="A898" i="266"/>
  <c r="A897" i="266"/>
  <c r="A896" i="266"/>
  <c r="A926" i="266"/>
  <c r="A925" i="266"/>
  <c r="A924" i="266"/>
  <c r="A923" i="266"/>
  <c r="A922" i="266"/>
  <c r="A921" i="266"/>
  <c r="A920" i="266"/>
  <c r="A919" i="266"/>
  <c r="A918" i="266"/>
  <c r="A917" i="266"/>
  <c r="A916" i="266"/>
  <c r="A915" i="266"/>
  <c r="A914" i="266"/>
  <c r="A913" i="266"/>
  <c r="A912" i="266"/>
  <c r="A911" i="266"/>
  <c r="A910" i="266"/>
  <c r="A909" i="266"/>
  <c r="A908" i="266"/>
  <c r="A895" i="266"/>
  <c r="A894" i="266"/>
  <c r="A893" i="266"/>
  <c r="A732" i="266"/>
  <c r="A731" i="266"/>
  <c r="A730" i="266"/>
  <c r="A729" i="266"/>
  <c r="A728" i="266"/>
  <c r="A727" i="266"/>
  <c r="A726" i="266"/>
  <c r="A725" i="266"/>
  <c r="A724" i="266"/>
  <c r="A723" i="266"/>
  <c r="A722" i="266"/>
  <c r="A721" i="266"/>
  <c r="A720" i="266"/>
  <c r="A719" i="266"/>
  <c r="A718" i="266"/>
  <c r="A717" i="266"/>
  <c r="A716" i="266"/>
  <c r="A715" i="266"/>
  <c r="A714" i="266"/>
  <c r="A713" i="266"/>
  <c r="A712" i="266"/>
  <c r="A711" i="266"/>
  <c r="A710" i="266"/>
  <c r="A709" i="266"/>
  <c r="A708" i="266"/>
  <c r="A707" i="266"/>
  <c r="A706" i="266"/>
  <c r="A705" i="266"/>
  <c r="A704" i="266"/>
  <c r="A703" i="266"/>
  <c r="A702" i="266"/>
  <c r="A1145" i="266"/>
  <c r="A1144" i="266"/>
  <c r="A1143" i="266"/>
  <c r="A1142" i="266"/>
  <c r="A1141" i="266"/>
  <c r="A1140" i="266"/>
  <c r="A1290" i="266"/>
  <c r="A1289" i="266"/>
  <c r="A1288" i="266"/>
  <c r="A1287" i="266"/>
  <c r="A1286" i="266"/>
  <c r="A1285" i="266"/>
  <c r="A691" i="266"/>
  <c r="A690" i="266"/>
  <c r="A689" i="266"/>
  <c r="A688" i="266"/>
  <c r="A687" i="266"/>
  <c r="A686" i="266"/>
  <c r="A685" i="266"/>
  <c r="A684" i="266"/>
  <c r="A683" i="266"/>
  <c r="A682" i="266"/>
  <c r="A681" i="266"/>
  <c r="A680" i="266"/>
  <c r="A679" i="266"/>
  <c r="A678" i="266"/>
  <c r="A677" i="266"/>
  <c r="A676" i="266"/>
  <c r="A675" i="266"/>
  <c r="A674" i="266"/>
  <c r="A673" i="266"/>
  <c r="A672" i="266"/>
  <c r="A646" i="266"/>
  <c r="A645" i="266"/>
  <c r="A644" i="266"/>
  <c r="A643" i="266"/>
  <c r="A642" i="266"/>
  <c r="A641" i="266"/>
  <c r="A640" i="266"/>
  <c r="A639" i="266"/>
  <c r="A638" i="266"/>
  <c r="A637" i="266"/>
  <c r="A636" i="266"/>
  <c r="A635" i="266"/>
  <c r="A634" i="266"/>
  <c r="A633" i="266"/>
  <c r="A632" i="266"/>
  <c r="A631" i="266"/>
  <c r="A630" i="266"/>
  <c r="A629" i="266"/>
  <c r="A628" i="266"/>
  <c r="A627" i="266"/>
  <c r="A626" i="266"/>
  <c r="A625" i="266"/>
  <c r="A624" i="266"/>
  <c r="A623" i="266"/>
  <c r="A622" i="266"/>
  <c r="A621" i="266"/>
  <c r="A620" i="266"/>
  <c r="A619" i="266"/>
  <c r="A618" i="266"/>
  <c r="A617" i="266"/>
  <c r="A616" i="266"/>
  <c r="A615" i="266"/>
  <c r="A614" i="266"/>
  <c r="A613" i="266"/>
  <c r="A612" i="266"/>
  <c r="A611" i="266"/>
  <c r="A610" i="266"/>
  <c r="A609" i="266"/>
  <c r="A608" i="266"/>
  <c r="A607" i="266"/>
  <c r="A606" i="266"/>
  <c r="A605" i="266"/>
  <c r="A604" i="266"/>
  <c r="A603" i="266"/>
  <c r="A602" i="266"/>
  <c r="A601" i="266"/>
  <c r="A600" i="266"/>
  <c r="A599" i="266"/>
  <c r="A598" i="266"/>
  <c r="A597" i="266"/>
  <c r="A596" i="266"/>
  <c r="A595" i="266"/>
  <c r="A594" i="266"/>
  <c r="A593" i="266"/>
  <c r="A592" i="266"/>
  <c r="A591" i="266"/>
  <c r="A590" i="266"/>
  <c r="A589" i="266"/>
  <c r="A588" i="266"/>
  <c r="A587" i="266"/>
  <c r="A586" i="266"/>
  <c r="A585" i="266"/>
  <c r="A584" i="266"/>
  <c r="A583" i="266"/>
  <c r="A582" i="266"/>
  <c r="A581" i="266"/>
  <c r="A580" i="266"/>
  <c r="A579" i="266"/>
  <c r="A578" i="266"/>
  <c r="A577" i="266"/>
  <c r="A576" i="266"/>
  <c r="A575" i="266"/>
  <c r="A574" i="266"/>
  <c r="A573" i="266"/>
  <c r="A572" i="266"/>
  <c r="A571" i="266"/>
  <c r="A570" i="266"/>
  <c r="A569" i="266"/>
  <c r="A568" i="266"/>
  <c r="A567" i="266"/>
  <c r="A566" i="266"/>
  <c r="A565" i="266"/>
  <c r="A564" i="266"/>
  <c r="A563" i="266"/>
  <c r="A562" i="266"/>
  <c r="A561" i="266"/>
  <c r="A560" i="266"/>
  <c r="A559" i="266"/>
  <c r="A558" i="266"/>
  <c r="A557" i="266"/>
  <c r="A556" i="266"/>
  <c r="A555" i="266"/>
  <c r="A554" i="266"/>
  <c r="A553" i="266"/>
  <c r="A552" i="266"/>
  <c r="A551" i="266"/>
  <c r="A550" i="266"/>
  <c r="A549" i="266"/>
  <c r="A548" i="266"/>
  <c r="A547" i="266"/>
  <c r="A546" i="266"/>
  <c r="A545" i="266"/>
  <c r="A544" i="266"/>
  <c r="A543" i="266"/>
  <c r="A542" i="266"/>
  <c r="A541" i="266"/>
  <c r="A540" i="266"/>
  <c r="A539" i="266"/>
  <c r="A538" i="266"/>
  <c r="A537" i="266"/>
  <c r="A536" i="266"/>
  <c r="A535" i="266"/>
  <c r="A534" i="266"/>
  <c r="A533" i="266"/>
  <c r="A532" i="266"/>
  <c r="A531" i="266"/>
  <c r="A530" i="266"/>
  <c r="A529" i="266"/>
  <c r="A528" i="266"/>
  <c r="A527" i="266"/>
  <c r="A526" i="266"/>
  <c r="A525" i="266"/>
  <c r="A524" i="266"/>
  <c r="A523" i="266"/>
  <c r="A522" i="266"/>
  <c r="A521" i="266"/>
  <c r="A520" i="266"/>
  <c r="A519" i="266"/>
  <c r="A518" i="266"/>
  <c r="A517" i="266"/>
  <c r="A516" i="266"/>
  <c r="A515" i="266"/>
  <c r="A514" i="266"/>
  <c r="A513" i="266"/>
  <c r="A512" i="266"/>
  <c r="A511" i="266"/>
  <c r="A510" i="266"/>
  <c r="A509" i="266"/>
  <c r="A508" i="266"/>
  <c r="A507" i="266"/>
  <c r="A506" i="266"/>
  <c r="A505" i="266"/>
  <c r="A504" i="266"/>
  <c r="A503" i="266"/>
  <c r="A502" i="266"/>
  <c r="A501" i="266"/>
  <c r="A500" i="266"/>
  <c r="A499" i="266"/>
  <c r="A498" i="266"/>
  <c r="A497" i="266"/>
  <c r="A496" i="266"/>
  <c r="A495" i="266"/>
  <c r="A494" i="266"/>
  <c r="A493" i="266"/>
  <c r="A492" i="266"/>
  <c r="A491" i="266"/>
  <c r="A490" i="266"/>
  <c r="A489" i="266"/>
  <c r="A488" i="266"/>
  <c r="A487" i="266"/>
  <c r="A486" i="266"/>
  <c r="A485" i="266"/>
  <c r="A484" i="266"/>
  <c r="A483" i="266"/>
  <c r="A482" i="266"/>
  <c r="A481" i="266"/>
  <c r="A480" i="266"/>
  <c r="A479" i="266"/>
  <c r="A478" i="266"/>
  <c r="A477" i="266"/>
  <c r="A476" i="266"/>
  <c r="A475" i="266"/>
  <c r="A474" i="266"/>
  <c r="A473" i="266"/>
  <c r="A472" i="266"/>
  <c r="A471" i="266"/>
  <c r="A470" i="266"/>
  <c r="A469" i="266"/>
  <c r="A468" i="266"/>
  <c r="A467" i="266"/>
  <c r="A466" i="266"/>
  <c r="A465" i="266"/>
  <c r="A464" i="266"/>
  <c r="A463" i="266"/>
  <c r="A462" i="266"/>
  <c r="A461" i="266"/>
  <c r="A460" i="266"/>
  <c r="A459" i="266"/>
  <c r="A458" i="266"/>
  <c r="A457" i="266"/>
  <c r="A456" i="266"/>
  <c r="A455" i="266"/>
  <c r="A454" i="266"/>
  <c r="A453" i="266"/>
  <c r="A452" i="266"/>
  <c r="A451" i="266"/>
  <c r="A450" i="266"/>
  <c r="A449" i="266"/>
  <c r="A448" i="266"/>
  <c r="A447" i="266"/>
  <c r="A446" i="266"/>
  <c r="A445" i="266"/>
  <c r="A444" i="266"/>
  <c r="A443" i="266"/>
  <c r="A442" i="266"/>
  <c r="A441" i="266"/>
  <c r="A440" i="266"/>
  <c r="A439" i="266"/>
  <c r="A438" i="266"/>
  <c r="A437" i="266"/>
  <c r="A436" i="266"/>
  <c r="A435" i="266"/>
  <c r="A434" i="266"/>
  <c r="A433" i="266"/>
  <c r="A432" i="266"/>
  <c r="A431" i="266"/>
  <c r="A430" i="266"/>
  <c r="A429" i="266"/>
  <c r="A428" i="266"/>
  <c r="A427" i="266"/>
  <c r="A426" i="266"/>
  <c r="A425" i="266"/>
  <c r="A424" i="266"/>
  <c r="A423" i="266"/>
  <c r="A422" i="266"/>
  <c r="A421" i="266"/>
  <c r="A420" i="266"/>
  <c r="A419" i="266"/>
  <c r="A418" i="266"/>
  <c r="A417" i="266"/>
  <c r="A416" i="266"/>
  <c r="A415" i="266"/>
  <c r="A414" i="266"/>
  <c r="A413" i="266"/>
  <c r="A412" i="266"/>
  <c r="A411" i="266"/>
  <c r="A410" i="266"/>
  <c r="A409" i="266"/>
  <c r="A408" i="266"/>
  <c r="A407" i="266"/>
  <c r="A406" i="266"/>
  <c r="A405" i="266"/>
  <c r="A404" i="266"/>
  <c r="A403" i="266"/>
  <c r="A402" i="266"/>
  <c r="A401" i="266"/>
  <c r="A400" i="266"/>
  <c r="A399" i="266"/>
  <c r="A398" i="266"/>
  <c r="A397" i="266"/>
  <c r="A396" i="266"/>
  <c r="A395" i="266"/>
  <c r="A394" i="266"/>
  <c r="A393" i="266"/>
  <c r="A392" i="266"/>
  <c r="A391" i="266"/>
  <c r="A390" i="266"/>
  <c r="A389" i="266"/>
  <c r="A388" i="266"/>
  <c r="A387" i="266"/>
  <c r="A386" i="266"/>
  <c r="A385" i="266"/>
  <c r="A384" i="266"/>
  <c r="A383" i="266"/>
  <c r="A382" i="266"/>
  <c r="A381" i="266"/>
  <c r="A380" i="266"/>
  <c r="A379" i="266"/>
  <c r="A378" i="266"/>
  <c r="A377" i="266"/>
  <c r="A376" i="266"/>
  <c r="A375" i="266"/>
  <c r="A374" i="266"/>
  <c r="A373" i="266"/>
  <c r="A372" i="266"/>
  <c r="A371" i="266"/>
  <c r="A370" i="266"/>
  <c r="A369" i="266"/>
  <c r="A368" i="266"/>
  <c r="A367" i="266"/>
  <c r="A366" i="266"/>
  <c r="A365" i="266"/>
  <c r="A364" i="266"/>
  <c r="A363" i="266"/>
  <c r="A362" i="266"/>
  <c r="A361" i="266"/>
  <c r="A360" i="266"/>
  <c r="A359" i="266"/>
  <c r="A358" i="266"/>
  <c r="A357" i="266"/>
  <c r="A356" i="266"/>
  <c r="A355" i="266"/>
  <c r="A354" i="266"/>
  <c r="A353" i="266"/>
  <c r="A352" i="266"/>
  <c r="A351" i="266"/>
  <c r="A350" i="266"/>
  <c r="A349" i="266"/>
  <c r="A348" i="266"/>
  <c r="A347" i="266"/>
  <c r="A346" i="266"/>
  <c r="A345" i="266"/>
  <c r="A344" i="266"/>
  <c r="A343" i="266"/>
  <c r="A342" i="266"/>
  <c r="A341" i="266"/>
  <c r="A340" i="266"/>
  <c r="A339" i="266"/>
  <c r="A338" i="266"/>
  <c r="A337" i="266"/>
  <c r="A336" i="266"/>
  <c r="A335" i="266"/>
  <c r="A334" i="266"/>
  <c r="A333" i="266"/>
  <c r="A332" i="266"/>
  <c r="A331" i="266"/>
  <c r="A330" i="266"/>
  <c r="A329" i="266"/>
  <c r="A328" i="266"/>
  <c r="A327" i="266"/>
  <c r="A326" i="266"/>
  <c r="A325" i="266"/>
  <c r="A324" i="266"/>
  <c r="A323" i="266"/>
  <c r="A322" i="266"/>
  <c r="A321" i="266"/>
  <c r="A320" i="266"/>
  <c r="A319" i="266"/>
  <c r="A318" i="266"/>
  <c r="A317" i="266"/>
  <c r="A316" i="266"/>
  <c r="A315" i="266"/>
  <c r="A314" i="266"/>
  <c r="A313" i="266"/>
  <c r="A312" i="266"/>
  <c r="A311" i="266"/>
  <c r="A310" i="266"/>
  <c r="A309" i="266"/>
  <c r="A308" i="266"/>
  <c r="A307" i="266"/>
  <c r="A306" i="266"/>
  <c r="A305" i="266"/>
  <c r="A304" i="266"/>
  <c r="A303" i="266"/>
  <c r="A302" i="266"/>
  <c r="A301" i="266"/>
  <c r="A300" i="266"/>
  <c r="A299" i="266"/>
  <c r="A298" i="266"/>
  <c r="A297" i="266"/>
  <c r="A296" i="266"/>
  <c r="A295" i="266"/>
  <c r="A294" i="266"/>
  <c r="A293" i="266"/>
  <c r="A292" i="266"/>
  <c r="A291" i="266"/>
  <c r="A290" i="266"/>
  <c r="A289" i="266"/>
  <c r="A288" i="266"/>
  <c r="A287" i="266"/>
  <c r="A286" i="266"/>
  <c r="A285" i="266"/>
  <c r="A284" i="266"/>
  <c r="A283" i="266"/>
  <c r="A282" i="266"/>
  <c r="A281" i="266"/>
  <c r="A280" i="266"/>
  <c r="A279" i="266"/>
  <c r="A278" i="266"/>
  <c r="A277" i="266"/>
  <c r="A276" i="266"/>
  <c r="A275" i="266"/>
  <c r="A274" i="266"/>
  <c r="A273" i="266"/>
  <c r="A272" i="266"/>
  <c r="A271" i="266"/>
  <c r="A270" i="266"/>
  <c r="A269" i="266"/>
  <c r="A268" i="266"/>
  <c r="A267" i="266"/>
  <c r="A266" i="266"/>
  <c r="A265" i="266"/>
  <c r="A264" i="266"/>
  <c r="A263" i="266"/>
  <c r="A262" i="266"/>
  <c r="A261" i="266"/>
  <c r="A260" i="266"/>
  <c r="A259" i="266"/>
  <c r="A258" i="266"/>
  <c r="A257" i="266"/>
  <c r="A256" i="266"/>
  <c r="A255" i="266"/>
  <c r="A254" i="266"/>
  <c r="A253" i="266"/>
  <c r="A252" i="266"/>
  <c r="A251" i="266"/>
  <c r="A250" i="266"/>
  <c r="A249" i="266"/>
  <c r="A248" i="266"/>
  <c r="A247" i="266"/>
  <c r="A246" i="266"/>
  <c r="A245" i="266"/>
  <c r="A244" i="266"/>
  <c r="A243" i="266"/>
  <c r="A242" i="266"/>
  <c r="A241" i="266"/>
  <c r="A240" i="266"/>
  <c r="A239" i="266"/>
  <c r="A238" i="266"/>
  <c r="A237" i="266"/>
  <c r="A236" i="266"/>
  <c r="A235" i="266"/>
  <c r="A234" i="266"/>
  <c r="A233" i="266"/>
  <c r="A232" i="266"/>
  <c r="A231" i="266"/>
  <c r="A230" i="266"/>
  <c r="A229" i="266"/>
  <c r="A228" i="266"/>
  <c r="A227" i="266"/>
  <c r="A226" i="266"/>
  <c r="A671" i="266"/>
  <c r="A670" i="266"/>
  <c r="A669" i="266"/>
  <c r="A668" i="266"/>
  <c r="A667" i="266"/>
  <c r="A666" i="266"/>
  <c r="A665" i="266"/>
  <c r="A664" i="266"/>
  <c r="A663" i="266"/>
  <c r="A662" i="266"/>
  <c r="A661" i="266"/>
  <c r="A660" i="266"/>
  <c r="A659" i="266"/>
  <c r="A658" i="266"/>
  <c r="A657" i="266"/>
  <c r="A656" i="266"/>
  <c r="A655" i="266"/>
  <c r="A654" i="266"/>
  <c r="A653" i="266"/>
  <c r="A652" i="266"/>
  <c r="A651" i="266"/>
  <c r="A650" i="266"/>
  <c r="A649" i="266"/>
  <c r="A648" i="266"/>
  <c r="A647" i="266"/>
  <c r="AG18" i="4" l="1"/>
  <c r="AE19" i="4"/>
  <c r="V56" i="4"/>
  <c r="T63" i="4"/>
  <c r="R38" i="4"/>
  <c r="AD20" i="4"/>
  <c r="AD21" i="4"/>
  <c r="AL10" i="4"/>
  <c r="AK27" i="4"/>
  <c r="T71" i="4"/>
  <c r="T45" i="4"/>
  <c r="O52" i="4"/>
  <c r="T53" i="4"/>
  <c r="V59" i="4"/>
  <c r="T70" i="4"/>
  <c r="R71" i="4"/>
  <c r="T57" i="4"/>
  <c r="V70" i="4"/>
  <c r="O68" i="4"/>
  <c r="V57" i="4"/>
  <c r="V37" i="4"/>
  <c r="V40" i="4"/>
  <c r="T37" i="4"/>
  <c r="V41" i="4"/>
  <c r="O73" i="4"/>
  <c r="AD7" i="4"/>
  <c r="AL20" i="4"/>
  <c r="AD18" i="4"/>
  <c r="AE8" i="4"/>
  <c r="AI26" i="4"/>
  <c r="AL9" i="4"/>
  <c r="AL21" i="4"/>
  <c r="AK6" i="4"/>
  <c r="AG20" i="4"/>
  <c r="AF21" i="4"/>
  <c r="AE10" i="4"/>
  <c r="AE30" i="4"/>
  <c r="AH17" i="4"/>
  <c r="AD27" i="4"/>
  <c r="AJ8" i="4"/>
  <c r="AG29" i="4"/>
  <c r="AI28" i="4"/>
  <c r="AL24" i="4"/>
  <c r="AD24" i="4"/>
  <c r="AF23" i="4"/>
  <c r="AH22" i="4"/>
  <c r="AG16" i="4"/>
  <c r="AI15" i="4"/>
  <c r="AK14" i="4"/>
  <c r="AE13" i="4"/>
  <c r="AG12" i="4"/>
  <c r="AI11" i="4"/>
  <c r="AH5" i="4"/>
  <c r="AJ4" i="4"/>
  <c r="AL3" i="4"/>
  <c r="AD3" i="4"/>
  <c r="AI22" i="4"/>
  <c r="AF13" i="4"/>
  <c r="AF29" i="4"/>
  <c r="AH28" i="4"/>
  <c r="AL25" i="4"/>
  <c r="AK24" i="4"/>
  <c r="AE23" i="4"/>
  <c r="AG22" i="4"/>
  <c r="AF16" i="4"/>
  <c r="AH15" i="4"/>
  <c r="AJ14" i="4"/>
  <c r="AL13" i="4"/>
  <c r="AD13" i="4"/>
  <c r="AF12" i="4"/>
  <c r="AH11" i="4"/>
  <c r="AG5" i="4"/>
  <c r="AI4" i="4"/>
  <c r="AK3" i="4"/>
  <c r="AG23" i="4"/>
  <c r="AK4" i="4"/>
  <c r="AE29" i="4"/>
  <c r="AG28" i="4"/>
  <c r="AK25" i="4"/>
  <c r="AJ24" i="4"/>
  <c r="AL23" i="4"/>
  <c r="AD23" i="4"/>
  <c r="AF22" i="4"/>
  <c r="AE16" i="4"/>
  <c r="AG15" i="4"/>
  <c r="AI14" i="4"/>
  <c r="AK13" i="4"/>
  <c r="AE12" i="4"/>
  <c r="AG11" i="4"/>
  <c r="AF5" i="4"/>
  <c r="AH4" i="4"/>
  <c r="AJ3" i="4"/>
  <c r="AJ15" i="4"/>
  <c r="AI5" i="4"/>
  <c r="AL29" i="4"/>
  <c r="AD29" i="4"/>
  <c r="AF28" i="4"/>
  <c r="AI25" i="4"/>
  <c r="AI24" i="4"/>
  <c r="AK23" i="4"/>
  <c r="AE22" i="4"/>
  <c r="AL16" i="4"/>
  <c r="AD16" i="4"/>
  <c r="AF15" i="4"/>
  <c r="AH14" i="4"/>
  <c r="AJ13" i="4"/>
  <c r="AL12" i="4"/>
  <c r="AD12" i="4"/>
  <c r="AF11" i="4"/>
  <c r="AE5" i="4"/>
  <c r="AG4" i="4"/>
  <c r="AI3" i="4"/>
  <c r="AJ28" i="4"/>
  <c r="AL14" i="4"/>
  <c r="AE3" i="4"/>
  <c r="AK29" i="4"/>
  <c r="AE28" i="4"/>
  <c r="AG25" i="4"/>
  <c r="AH24" i="4"/>
  <c r="AJ23" i="4"/>
  <c r="AL22" i="4"/>
  <c r="AD22" i="4"/>
  <c r="AK16" i="4"/>
  <c r="AE15" i="4"/>
  <c r="AG14" i="4"/>
  <c r="AI13" i="4"/>
  <c r="AK12" i="4"/>
  <c r="AE11" i="4"/>
  <c r="AL5" i="4"/>
  <c r="AD5" i="4"/>
  <c r="AF4" i="4"/>
  <c r="AH3" i="4"/>
  <c r="AE24" i="4"/>
  <c r="AJ11" i="4"/>
  <c r="AJ29" i="4"/>
  <c r="AL28" i="4"/>
  <c r="AD28" i="4"/>
  <c r="AE25" i="4"/>
  <c r="AG24" i="4"/>
  <c r="AI23" i="4"/>
  <c r="AK22" i="4"/>
  <c r="AJ16" i="4"/>
  <c r="AL15" i="4"/>
  <c r="AD15" i="4"/>
  <c r="AF14" i="4"/>
  <c r="AH13" i="4"/>
  <c r="AJ12" i="4"/>
  <c r="AL11" i="4"/>
  <c r="AD11" i="4"/>
  <c r="AK5" i="4"/>
  <c r="AE4" i="4"/>
  <c r="AG3" i="4"/>
  <c r="AH29" i="4"/>
  <c r="AH12" i="4"/>
  <c r="AI29" i="4"/>
  <c r="AK28" i="4"/>
  <c r="AD25" i="4"/>
  <c r="AF24" i="4"/>
  <c r="AH23" i="4"/>
  <c r="AJ22" i="4"/>
  <c r="AI16" i="4"/>
  <c r="AK15" i="4"/>
  <c r="AE14" i="4"/>
  <c r="AG13" i="4"/>
  <c r="AI12" i="4"/>
  <c r="AK11" i="4"/>
  <c r="AJ5" i="4"/>
  <c r="AL4" i="4"/>
  <c r="AD4" i="4"/>
  <c r="AF3" i="4"/>
  <c r="AH16" i="4"/>
  <c r="AD14" i="4"/>
  <c r="R86" i="4"/>
  <c r="O38" i="4"/>
  <c r="R85" i="4"/>
  <c r="R36" i="4"/>
  <c r="O39" i="4"/>
  <c r="O36" i="4"/>
  <c r="O46" i="4"/>
  <c r="O72" i="4"/>
  <c r="R46" i="4"/>
  <c r="R72" i="4"/>
  <c r="O45" i="4"/>
  <c r="O43" i="4"/>
  <c r="R45" i="4"/>
  <c r="R43" i="4"/>
  <c r="R44" i="4"/>
  <c r="O44" i="4"/>
  <c r="T56" i="4"/>
  <c r="O60" i="4"/>
  <c r="O58" i="4"/>
  <c r="T69" i="4"/>
  <c r="V53" i="4"/>
  <c r="R63" i="4"/>
  <c r="T60" i="4"/>
  <c r="T64" i="4"/>
  <c r="O63" i="4"/>
  <c r="T72" i="4"/>
  <c r="O64" i="4"/>
  <c r="T40" i="4"/>
  <c r="T73" i="4"/>
  <c r="V38" i="4"/>
  <c r="T74" i="4"/>
  <c r="R37" i="4"/>
  <c r="AH6" i="4"/>
  <c r="AJ21" i="4"/>
  <c r="AL26" i="4"/>
  <c r="AK9" i="4"/>
  <c r="AG27" i="4"/>
  <c r="AJ10" i="4"/>
  <c r="AJ26" i="4"/>
  <c r="AI7" i="4"/>
  <c r="AE21" i="4"/>
  <c r="AJ27" i="4"/>
  <c r="AG17" i="4"/>
  <c r="AK31" i="4"/>
  <c r="AF18" i="4"/>
  <c r="AL27" i="4"/>
  <c r="AG6" i="4"/>
  <c r="AK20" i="4"/>
  <c r="V60" i="4"/>
  <c r="V54" i="4"/>
  <c r="T85" i="4"/>
  <c r="AG7" i="4"/>
  <c r="AF25" i="4"/>
  <c r="T52" i="4"/>
  <c r="O53" i="4"/>
  <c r="O59" i="4"/>
  <c r="R62" i="4"/>
  <c r="R56" i="4"/>
  <c r="R57" i="4"/>
  <c r="T46" i="4"/>
  <c r="T65" i="4"/>
  <c r="O57" i="4"/>
  <c r="V44" i="4"/>
  <c r="V65" i="4"/>
  <c r="R73" i="4"/>
  <c r="R40" i="4"/>
  <c r="T41" i="4"/>
  <c r="V36" i="4"/>
  <c r="V39" i="4"/>
  <c r="AD8" i="4"/>
  <c r="AJ25" i="4"/>
  <c r="AF6" i="4"/>
  <c r="AI10" i="4"/>
  <c r="AI30" i="4"/>
  <c r="AD17" i="4"/>
  <c r="AH27" i="4"/>
  <c r="AG8" i="4"/>
  <c r="AK26" i="4"/>
  <c r="AD30" i="4"/>
  <c r="AE18" i="4"/>
  <c r="AH8" i="4"/>
  <c r="AD19" i="4"/>
  <c r="AF30" i="4"/>
  <c r="AE7" i="4"/>
  <c r="AI21" i="4"/>
  <c r="T43" i="4"/>
  <c r="R60" i="4"/>
  <c r="O75" i="4"/>
  <c r="AL18" i="4"/>
  <c r="AD9" i="4"/>
  <c r="AG9" i="4"/>
  <c r="AF26" i="4"/>
  <c r="V43" i="4"/>
  <c r="T58" i="4"/>
  <c r="O69" i="4"/>
  <c r="V69" i="4"/>
  <c r="V55" i="4"/>
  <c r="R53" i="4"/>
  <c r="R64" i="4"/>
  <c r="T68" i="4"/>
  <c r="T66" i="4"/>
  <c r="V64" i="4"/>
  <c r="V68" i="4"/>
  <c r="V66" i="4"/>
  <c r="V75" i="4"/>
  <c r="O86" i="4"/>
  <c r="R74" i="4"/>
  <c r="T39" i="4"/>
  <c r="T42" i="4"/>
  <c r="AJ9" i="4"/>
  <c r="AH26" i="4"/>
  <c r="AF7" i="4"/>
  <c r="AK17" i="4"/>
  <c r="AG31" i="4"/>
  <c r="AL17" i="4"/>
  <c r="AJ30" i="4"/>
  <c r="AE9" i="4"/>
  <c r="AI27" i="4"/>
  <c r="AL30" i="4"/>
  <c r="AK19" i="4"/>
  <c r="AH20" i="4"/>
  <c r="AL19" i="4"/>
  <c r="AD31" i="4"/>
  <c r="AK8" i="4"/>
  <c r="AG26" i="4"/>
  <c r="T55" i="4"/>
  <c r="V58" i="4"/>
  <c r="T44" i="4"/>
  <c r="O42" i="4"/>
  <c r="AK21" i="4"/>
  <c r="AI19" i="4"/>
  <c r="AF10" i="4"/>
  <c r="R55" i="4"/>
  <c r="T59" i="4"/>
  <c r="V62" i="4"/>
  <c r="R52" i="4"/>
  <c r="V71" i="4"/>
  <c r="V72" i="4"/>
  <c r="R65" i="4"/>
  <c r="R61" i="4"/>
  <c r="T67" i="4"/>
  <c r="O65" i="4"/>
  <c r="T61" i="4"/>
  <c r="V67" i="4"/>
  <c r="V42" i="4"/>
  <c r="T38" i="4"/>
  <c r="V85" i="4"/>
  <c r="R42" i="4"/>
  <c r="R75" i="4"/>
  <c r="AJ17" i="4"/>
  <c r="AF27" i="4"/>
  <c r="AL8" i="4"/>
  <c r="AI18" i="4"/>
  <c r="AJ7" i="4"/>
  <c r="AJ18" i="4"/>
  <c r="AH31" i="4"/>
  <c r="AK10" i="4"/>
  <c r="AK30" i="4"/>
  <c r="AE6" i="4"/>
  <c r="AI20" i="4"/>
  <c r="AD26" i="4"/>
  <c r="AJ20" i="4"/>
  <c r="AL31" i="4"/>
  <c r="AI9" i="4"/>
  <c r="AE27" i="4"/>
  <c r="T54" i="4"/>
  <c r="V63" i="4"/>
  <c r="R39" i="4"/>
  <c r="AF9" i="4"/>
  <c r="AF8" i="4"/>
  <c r="R59" i="4"/>
  <c r="T62" i="4"/>
  <c r="O55" i="4"/>
  <c r="R69" i="4"/>
  <c r="O56" i="4"/>
  <c r="R68" i="4"/>
  <c r="R66" i="4"/>
  <c r="O54" i="4"/>
  <c r="V46" i="4"/>
  <c r="O66" i="4"/>
  <c r="R54" i="4"/>
  <c r="O74" i="4"/>
  <c r="O37" i="4"/>
  <c r="R41" i="4"/>
  <c r="O40" i="4"/>
  <c r="V74" i="4"/>
  <c r="V86" i="4"/>
  <c r="AH18" i="4"/>
  <c r="AH30" i="4"/>
  <c r="AH10" i="4"/>
  <c r="AG19" i="4"/>
  <c r="AF17" i="4"/>
  <c r="AH19" i="4"/>
  <c r="AD10" i="4"/>
  <c r="AE17" i="4"/>
  <c r="AI31" i="4"/>
  <c r="AK7" i="4"/>
  <c r="AG21" i="4"/>
  <c r="AL7" i="4"/>
  <c r="AH21" i="4"/>
  <c r="AL6" i="4"/>
  <c r="AG10" i="4"/>
  <c r="AG30" i="4"/>
  <c r="O62" i="4"/>
  <c r="R58" i="4"/>
  <c r="O71" i="4"/>
  <c r="V45" i="4"/>
  <c r="V52" i="4"/>
  <c r="V61" i="4"/>
  <c r="R67" i="4"/>
  <c r="O70" i="4"/>
  <c r="O61" i="4"/>
  <c r="O67" i="4"/>
  <c r="R70" i="4"/>
  <c r="T75" i="4"/>
  <c r="O85" i="4"/>
  <c r="V73" i="4"/>
  <c r="T36" i="4"/>
  <c r="T86" i="4"/>
  <c r="AD6" i="4"/>
  <c r="AF19" i="4"/>
  <c r="AF31" i="4"/>
  <c r="AI6" i="4"/>
  <c r="AE20" i="4"/>
  <c r="AH7" i="4"/>
  <c r="AF20" i="4"/>
  <c r="AJ6" i="4"/>
  <c r="AK18" i="4"/>
  <c r="AJ31" i="4"/>
  <c r="AI8" i="4"/>
  <c r="AE26" i="4"/>
  <c r="AH9" i="4"/>
  <c r="AH25" i="4"/>
  <c r="AJ19" i="4"/>
  <c r="AI17" i="4"/>
  <c r="AE31" i="4"/>
  <c r="C34" i="4"/>
  <c r="F34" i="4"/>
  <c r="D34" i="4"/>
  <c r="E34" i="4"/>
  <c r="C10" i="4"/>
  <c r="J9" i="4"/>
  <c r="E9" i="4"/>
  <c r="D9" i="4"/>
  <c r="D8" i="4"/>
  <c r="F9" i="4"/>
  <c r="C9" i="4"/>
  <c r="J10" i="4"/>
  <c r="D10" i="4"/>
  <c r="F10" i="4"/>
  <c r="E10" i="4"/>
  <c r="J30" i="4"/>
  <c r="F30" i="4"/>
  <c r="J26" i="4"/>
  <c r="E30" i="4"/>
  <c r="F26" i="4"/>
  <c r="J18" i="4"/>
  <c r="D30" i="4"/>
  <c r="E26" i="4"/>
  <c r="F18" i="4"/>
  <c r="J17" i="4"/>
  <c r="C30" i="4"/>
  <c r="D26" i="4"/>
  <c r="E18" i="4"/>
  <c r="F17" i="4"/>
  <c r="C18" i="4"/>
  <c r="C26" i="4"/>
  <c r="D18" i="4"/>
  <c r="E17" i="4"/>
  <c r="D17" i="4"/>
  <c r="C17" i="4"/>
  <c r="C8" i="4"/>
  <c r="J8" i="4"/>
  <c r="F8" i="4"/>
  <c r="E8" i="4"/>
  <c r="F104" i="4"/>
  <c r="D103" i="4"/>
  <c r="E51" i="4"/>
  <c r="F50" i="4"/>
  <c r="C49" i="4"/>
  <c r="D48" i="4"/>
  <c r="E104" i="4"/>
  <c r="C103" i="4"/>
  <c r="D51" i="4"/>
  <c r="E50" i="4"/>
  <c r="F49" i="4"/>
  <c r="C48" i="4"/>
  <c r="D104" i="4"/>
  <c r="F103" i="4"/>
  <c r="C51" i="4"/>
  <c r="D50" i="4"/>
  <c r="E49" i="4"/>
  <c r="F48" i="4"/>
  <c r="C104" i="4"/>
  <c r="E103" i="4"/>
  <c r="F51" i="4"/>
  <c r="C50" i="4"/>
  <c r="D49" i="4"/>
  <c r="E48" i="4"/>
  <c r="E93" i="4"/>
  <c r="D93" i="4"/>
  <c r="C93" i="4"/>
  <c r="F93" i="4"/>
  <c r="D166" i="4"/>
  <c r="F162" i="4"/>
  <c r="D161" i="4"/>
  <c r="F160" i="4"/>
  <c r="D147" i="4"/>
  <c r="F146" i="4"/>
  <c r="D113" i="4"/>
  <c r="F112" i="4"/>
  <c r="D111" i="4"/>
  <c r="F110" i="4"/>
  <c r="D109" i="4"/>
  <c r="F108" i="4"/>
  <c r="E110" i="4"/>
  <c r="C109" i="4"/>
  <c r="F166" i="4"/>
  <c r="D160" i="4"/>
  <c r="D146" i="4"/>
  <c r="F111" i="4"/>
  <c r="F109" i="4"/>
  <c r="E147" i="4"/>
  <c r="E113" i="4"/>
  <c r="E111" i="4"/>
  <c r="C110" i="4"/>
  <c r="C108" i="4"/>
  <c r="C166" i="4"/>
  <c r="E162" i="4"/>
  <c r="C161" i="4"/>
  <c r="E160" i="4"/>
  <c r="C147" i="4"/>
  <c r="E146" i="4"/>
  <c r="C113" i="4"/>
  <c r="E112" i="4"/>
  <c r="C111" i="4"/>
  <c r="E108" i="4"/>
  <c r="D162" i="4"/>
  <c r="F161" i="4"/>
  <c r="F147" i="4"/>
  <c r="F113" i="4"/>
  <c r="D112" i="4"/>
  <c r="D110" i="4"/>
  <c r="D108" i="4"/>
  <c r="E166" i="4"/>
  <c r="C162" i="4"/>
  <c r="E161" i="4"/>
  <c r="C160" i="4"/>
  <c r="C146" i="4"/>
  <c r="C112" i="4"/>
  <c r="E109" i="4"/>
  <c r="E198" i="4"/>
  <c r="C197" i="4"/>
  <c r="E200" i="4"/>
  <c r="C199" i="4"/>
  <c r="E205" i="4"/>
  <c r="C204" i="4"/>
  <c r="E203" i="4"/>
  <c r="C213" i="4"/>
  <c r="E212" i="4"/>
  <c r="C211" i="4"/>
  <c r="E210" i="4"/>
  <c r="C209" i="4"/>
  <c r="E208" i="4"/>
  <c r="C207" i="4"/>
  <c r="E206" i="4"/>
  <c r="C202" i="4"/>
  <c r="E201" i="4"/>
  <c r="C223" i="4"/>
  <c r="E222" i="4"/>
  <c r="C221" i="4"/>
  <c r="E220" i="4"/>
  <c r="C219" i="4"/>
  <c r="E218" i="4"/>
  <c r="C217" i="4"/>
  <c r="E216" i="4"/>
  <c r="C215" i="4"/>
  <c r="E214" i="4"/>
  <c r="C102" i="4"/>
  <c r="E101" i="4"/>
  <c r="C100" i="4"/>
  <c r="F223" i="4"/>
  <c r="D222" i="4"/>
  <c r="F221" i="4"/>
  <c r="D220" i="4"/>
  <c r="F219" i="4"/>
  <c r="D218" i="4"/>
  <c r="F217" i="4"/>
  <c r="D216" i="4"/>
  <c r="F215" i="4"/>
  <c r="D214" i="4"/>
  <c r="F102" i="4"/>
  <c r="D101" i="4"/>
  <c r="F100" i="4"/>
  <c r="C198" i="4"/>
  <c r="E197" i="4"/>
  <c r="C200" i="4"/>
  <c r="E199" i="4"/>
  <c r="C205" i="4"/>
  <c r="E204" i="4"/>
  <c r="C203" i="4"/>
  <c r="E213" i="4"/>
  <c r="C212" i="4"/>
  <c r="E211" i="4"/>
  <c r="C210" i="4"/>
  <c r="E209" i="4"/>
  <c r="C208" i="4"/>
  <c r="E207" i="4"/>
  <c r="C206" i="4"/>
  <c r="E202" i="4"/>
  <c r="C201" i="4"/>
  <c r="E223" i="4"/>
  <c r="C222" i="4"/>
  <c r="E221" i="4"/>
  <c r="C220" i="4"/>
  <c r="E219" i="4"/>
  <c r="C218" i="4"/>
  <c r="E217" i="4"/>
  <c r="C216" i="4"/>
  <c r="E215" i="4"/>
  <c r="D197" i="4"/>
  <c r="D199" i="4"/>
  <c r="F203" i="4"/>
  <c r="F212" i="4"/>
  <c r="F210" i="4"/>
  <c r="D198" i="4"/>
  <c r="F197" i="4"/>
  <c r="D200" i="4"/>
  <c r="F199" i="4"/>
  <c r="D205" i="4"/>
  <c r="F204" i="4"/>
  <c r="D203" i="4"/>
  <c r="F213" i="4"/>
  <c r="D212" i="4"/>
  <c r="F211" i="4"/>
  <c r="D210" i="4"/>
  <c r="F209" i="4"/>
  <c r="D208" i="4"/>
  <c r="F207" i="4"/>
  <c r="D206" i="4"/>
  <c r="F202" i="4"/>
  <c r="D201" i="4"/>
  <c r="C214" i="4"/>
  <c r="E102" i="4"/>
  <c r="C101" i="4"/>
  <c r="E100" i="4"/>
  <c r="F198" i="4"/>
  <c r="F200" i="4"/>
  <c r="F205" i="4"/>
  <c r="D204" i="4"/>
  <c r="D213" i="4"/>
  <c r="D211" i="4"/>
  <c r="D209" i="4"/>
  <c r="F208" i="4"/>
  <c r="D207" i="4"/>
  <c r="D223" i="4"/>
  <c r="D219" i="4"/>
  <c r="D215" i="4"/>
  <c r="D100" i="4"/>
  <c r="D202" i="4"/>
  <c r="D217" i="4"/>
  <c r="D102" i="4"/>
  <c r="F222" i="4"/>
  <c r="F218" i="4"/>
  <c r="F201" i="4"/>
  <c r="F220" i="4"/>
  <c r="F216" i="4"/>
  <c r="F101" i="4"/>
  <c r="D221" i="4"/>
  <c r="F206" i="4"/>
  <c r="F214" i="4"/>
  <c r="E7" i="4"/>
  <c r="D6" i="4"/>
  <c r="F7" i="4"/>
  <c r="D7" i="4"/>
  <c r="J6" i="4"/>
  <c r="C6" i="4"/>
  <c r="J7" i="4"/>
  <c r="C7" i="4"/>
  <c r="F6" i="4"/>
  <c r="F19" i="4"/>
  <c r="E6" i="4"/>
  <c r="C19" i="4"/>
  <c r="D19" i="4"/>
  <c r="E19" i="4"/>
  <c r="C31" i="4"/>
  <c r="D31" i="4"/>
  <c r="E31" i="4"/>
  <c r="F31" i="4"/>
  <c r="J31" i="4"/>
  <c r="F27" i="4"/>
  <c r="J27" i="4"/>
  <c r="D27" i="4"/>
  <c r="C27" i="4"/>
  <c r="E27" i="4"/>
  <c r="J11" i="4"/>
  <c r="J15" i="4"/>
  <c r="J23" i="4"/>
  <c r="J28" i="4"/>
  <c r="F29" i="4"/>
  <c r="F28" i="4"/>
  <c r="F25" i="4"/>
  <c r="F22" i="4"/>
  <c r="F24" i="4"/>
  <c r="F23" i="4"/>
  <c r="F21" i="4"/>
  <c r="F20" i="4"/>
  <c r="F16" i="4"/>
  <c r="F15" i="4"/>
  <c r="F14" i="4"/>
  <c r="F13" i="4"/>
  <c r="F12" i="4"/>
  <c r="F11" i="4"/>
  <c r="F5" i="4"/>
  <c r="F4" i="4"/>
  <c r="F3" i="4"/>
  <c r="C189" i="4"/>
  <c r="D187" i="4"/>
  <c r="E186" i="4"/>
  <c r="F185" i="4"/>
  <c r="C184" i="4"/>
  <c r="D183" i="4"/>
  <c r="E182" i="4"/>
  <c r="F181" i="4"/>
  <c r="C180" i="4"/>
  <c r="D179" i="4"/>
  <c r="E178" i="4"/>
  <c r="F196" i="4"/>
  <c r="C195" i="4"/>
  <c r="D194" i="4"/>
  <c r="E193" i="4"/>
  <c r="F192" i="4"/>
  <c r="C191" i="4"/>
  <c r="D190" i="4"/>
  <c r="E188" i="4"/>
  <c r="F177" i="4"/>
  <c r="C176" i="4"/>
  <c r="D175" i="4"/>
  <c r="E174" i="4"/>
  <c r="F173" i="4"/>
  <c r="C172" i="4"/>
  <c r="D171" i="4"/>
  <c r="E170" i="4"/>
  <c r="F169" i="4"/>
  <c r="C168" i="4"/>
  <c r="D167" i="4"/>
  <c r="E165" i="4"/>
  <c r="F164" i="4"/>
  <c r="C163" i="4"/>
  <c r="D159" i="4"/>
  <c r="E158" i="4"/>
  <c r="F157" i="4"/>
  <c r="C156" i="4"/>
  <c r="D155" i="4"/>
  <c r="E154" i="4"/>
  <c r="F144" i="4"/>
  <c r="C143" i="4"/>
  <c r="D142" i="4"/>
  <c r="E141" i="4"/>
  <c r="F140" i="4"/>
  <c r="C139" i="4"/>
  <c r="D138" i="4"/>
  <c r="E137" i="4"/>
  <c r="F136" i="4"/>
  <c r="C135" i="4"/>
  <c r="D133" i="4"/>
  <c r="E132" i="4"/>
  <c r="F131" i="4"/>
  <c r="C130" i="4"/>
  <c r="D129" i="4"/>
  <c r="J12" i="4"/>
  <c r="J16" i="4"/>
  <c r="J24" i="4"/>
  <c r="J29" i="4"/>
  <c r="E29" i="4"/>
  <c r="E28" i="4"/>
  <c r="E25" i="4"/>
  <c r="E22" i="4"/>
  <c r="E24" i="4"/>
  <c r="E23" i="4"/>
  <c r="E21" i="4"/>
  <c r="E20" i="4"/>
  <c r="E16" i="4"/>
  <c r="E15" i="4"/>
  <c r="E14" i="4"/>
  <c r="E13" i="4"/>
  <c r="E12" i="4"/>
  <c r="E11" i="4"/>
  <c r="E5" i="4"/>
  <c r="E4" i="4"/>
  <c r="E3" i="4"/>
  <c r="F189" i="4"/>
  <c r="C187" i="4"/>
  <c r="D186" i="4"/>
  <c r="E185" i="4"/>
  <c r="F184" i="4"/>
  <c r="C183" i="4"/>
  <c r="D182" i="4"/>
  <c r="E181" i="4"/>
  <c r="F180" i="4"/>
  <c r="C179" i="4"/>
  <c r="D178" i="4"/>
  <c r="E196" i="4"/>
  <c r="F195" i="4"/>
  <c r="C194" i="4"/>
  <c r="D193" i="4"/>
  <c r="E192" i="4"/>
  <c r="F191" i="4"/>
  <c r="C190" i="4"/>
  <c r="D188" i="4"/>
  <c r="E177" i="4"/>
  <c r="F176" i="4"/>
  <c r="C175" i="4"/>
  <c r="D174" i="4"/>
  <c r="E173" i="4"/>
  <c r="F172" i="4"/>
  <c r="C171" i="4"/>
  <c r="D170" i="4"/>
  <c r="E169" i="4"/>
  <c r="F168" i="4"/>
  <c r="C167" i="4"/>
  <c r="D165" i="4"/>
  <c r="E164" i="4"/>
  <c r="F163" i="4"/>
  <c r="C159" i="4"/>
  <c r="D158" i="4"/>
  <c r="E157" i="4"/>
  <c r="F156" i="4"/>
  <c r="C155" i="4"/>
  <c r="D154" i="4"/>
  <c r="E144" i="4"/>
  <c r="F143" i="4"/>
  <c r="C142" i="4"/>
  <c r="D141" i="4"/>
  <c r="E140" i="4"/>
  <c r="F139" i="4"/>
  <c r="C138" i="4"/>
  <c r="D137" i="4"/>
  <c r="E136" i="4"/>
  <c r="F135" i="4"/>
  <c r="C133" i="4"/>
  <c r="D132" i="4"/>
  <c r="E131" i="4"/>
  <c r="F130" i="4"/>
  <c r="C129" i="4"/>
  <c r="J4" i="4"/>
  <c r="J13" i="4"/>
  <c r="J20" i="4"/>
  <c r="J22" i="4"/>
  <c r="J3" i="4"/>
  <c r="D29" i="4"/>
  <c r="D28" i="4"/>
  <c r="D25" i="4"/>
  <c r="D22" i="4"/>
  <c r="D24" i="4"/>
  <c r="D23" i="4"/>
  <c r="D21" i="4"/>
  <c r="D20" i="4"/>
  <c r="D16" i="4"/>
  <c r="D15" i="4"/>
  <c r="D14" i="4"/>
  <c r="D13" i="4"/>
  <c r="D12" i="4"/>
  <c r="D11" i="4"/>
  <c r="D5" i="4"/>
  <c r="D4" i="4"/>
  <c r="D3" i="4"/>
  <c r="E189" i="4"/>
  <c r="F187" i="4"/>
  <c r="C186" i="4"/>
  <c r="D185" i="4"/>
  <c r="E184" i="4"/>
  <c r="F183" i="4"/>
  <c r="C182" i="4"/>
  <c r="D181" i="4"/>
  <c r="E180" i="4"/>
  <c r="F179" i="4"/>
  <c r="C178" i="4"/>
  <c r="D196" i="4"/>
  <c r="E195" i="4"/>
  <c r="F194" i="4"/>
  <c r="C193" i="4"/>
  <c r="D192" i="4"/>
  <c r="E191" i="4"/>
  <c r="F190" i="4"/>
  <c r="C188" i="4"/>
  <c r="D177" i="4"/>
  <c r="E176" i="4"/>
  <c r="F175" i="4"/>
  <c r="C174" i="4"/>
  <c r="D173" i="4"/>
  <c r="E172" i="4"/>
  <c r="F171" i="4"/>
  <c r="C170" i="4"/>
  <c r="D169" i="4"/>
  <c r="E168" i="4"/>
  <c r="F167" i="4"/>
  <c r="C165" i="4"/>
  <c r="D164" i="4"/>
  <c r="E163" i="4"/>
  <c r="F159" i="4"/>
  <c r="C158" i="4"/>
  <c r="D157" i="4"/>
  <c r="E156" i="4"/>
  <c r="F155" i="4"/>
  <c r="C154" i="4"/>
  <c r="D144" i="4"/>
  <c r="E143" i="4"/>
  <c r="F142" i="4"/>
  <c r="C141" i="4"/>
  <c r="D140" i="4"/>
  <c r="E139" i="4"/>
  <c r="F138" i="4"/>
  <c r="C137" i="4"/>
  <c r="D136" i="4"/>
  <c r="E135" i="4"/>
  <c r="F133" i="4"/>
  <c r="C132" i="4"/>
  <c r="D131" i="4"/>
  <c r="E130" i="4"/>
  <c r="F129" i="4"/>
  <c r="C128" i="4"/>
  <c r="D127" i="4"/>
  <c r="E126" i="4"/>
  <c r="F125" i="4"/>
  <c r="C124" i="4"/>
  <c r="D153" i="4"/>
  <c r="E152" i="4"/>
  <c r="F151" i="4"/>
  <c r="C150" i="4"/>
  <c r="J5" i="4"/>
  <c r="J14" i="4"/>
  <c r="J21" i="4"/>
  <c r="J25" i="4"/>
  <c r="C29" i="4"/>
  <c r="C28" i="4"/>
  <c r="C25" i="4"/>
  <c r="C22" i="4"/>
  <c r="C24" i="4"/>
  <c r="C23" i="4"/>
  <c r="C21" i="4"/>
  <c r="C20" i="4"/>
  <c r="C16" i="4"/>
  <c r="C15" i="4"/>
  <c r="C14" i="4"/>
  <c r="C13" i="4"/>
  <c r="C12" i="4"/>
  <c r="C11" i="4"/>
  <c r="C5" i="4"/>
  <c r="C4" i="4"/>
  <c r="C3" i="4"/>
  <c r="D189" i="4"/>
  <c r="E187" i="4"/>
  <c r="F186" i="4"/>
  <c r="C185" i="4"/>
  <c r="D184" i="4"/>
  <c r="E183" i="4"/>
  <c r="F182" i="4"/>
  <c r="C181" i="4"/>
  <c r="D180" i="4"/>
  <c r="E179" i="4"/>
  <c r="F178" i="4"/>
  <c r="C196" i="4"/>
  <c r="D195" i="4"/>
  <c r="E194" i="4"/>
  <c r="F193" i="4"/>
  <c r="C192" i="4"/>
  <c r="D191" i="4"/>
  <c r="E190" i="4"/>
  <c r="F188" i="4"/>
  <c r="C177" i="4"/>
  <c r="D176" i="4"/>
  <c r="E175" i="4"/>
  <c r="F174" i="4"/>
  <c r="C173" i="4"/>
  <c r="D172" i="4"/>
  <c r="E171" i="4"/>
  <c r="F170" i="4"/>
  <c r="C169" i="4"/>
  <c r="D168" i="4"/>
  <c r="E167" i="4"/>
  <c r="F165" i="4"/>
  <c r="C164" i="4"/>
  <c r="D163" i="4"/>
  <c r="E159" i="4"/>
  <c r="F158" i="4"/>
  <c r="C157" i="4"/>
  <c r="D156" i="4"/>
  <c r="E155" i="4"/>
  <c r="F154" i="4"/>
  <c r="C144" i="4"/>
  <c r="D143" i="4"/>
  <c r="E142" i="4"/>
  <c r="F141" i="4"/>
  <c r="C140" i="4"/>
  <c r="D139" i="4"/>
  <c r="E138" i="4"/>
  <c r="F137" i="4"/>
  <c r="C136" i="4"/>
  <c r="D135" i="4"/>
  <c r="E133" i="4"/>
  <c r="F132" i="4"/>
  <c r="C131" i="4"/>
  <c r="D130" i="4"/>
  <c r="E129" i="4"/>
  <c r="F128" i="4"/>
  <c r="C127" i="4"/>
  <c r="D126" i="4"/>
  <c r="E125" i="4"/>
  <c r="F124" i="4"/>
  <c r="C153" i="4"/>
  <c r="D152" i="4"/>
  <c r="E151" i="4"/>
  <c r="F150" i="4"/>
  <c r="F126" i="4"/>
  <c r="C125" i="4"/>
  <c r="F152" i="4"/>
  <c r="C151" i="4"/>
  <c r="C149" i="4"/>
  <c r="D148" i="4"/>
  <c r="E145" i="4"/>
  <c r="F134" i="4"/>
  <c r="C123" i="4"/>
  <c r="D122" i="4"/>
  <c r="E121" i="4"/>
  <c r="F120" i="4"/>
  <c r="C119" i="4"/>
  <c r="D118" i="4"/>
  <c r="E117" i="4"/>
  <c r="F116" i="4"/>
  <c r="C115" i="4"/>
  <c r="D114" i="4"/>
  <c r="E107" i="4"/>
  <c r="F106" i="4"/>
  <c r="C105" i="4"/>
  <c r="D99" i="4"/>
  <c r="E98" i="4"/>
  <c r="F97" i="4"/>
  <c r="C96" i="4"/>
  <c r="D95" i="4"/>
  <c r="E94" i="4"/>
  <c r="E92" i="4"/>
  <c r="E91" i="4"/>
  <c r="E90" i="4"/>
  <c r="E89" i="4"/>
  <c r="E88" i="4"/>
  <c r="E87" i="4"/>
  <c r="E86" i="4"/>
  <c r="E85" i="4"/>
  <c r="E84" i="4"/>
  <c r="E83" i="4"/>
  <c r="E82" i="4"/>
  <c r="E79" i="4"/>
  <c r="E81" i="4"/>
  <c r="E80" i="4"/>
  <c r="E78" i="4"/>
  <c r="E77" i="4"/>
  <c r="E76" i="4"/>
  <c r="E75" i="4"/>
  <c r="E74" i="4"/>
  <c r="E73" i="4"/>
  <c r="E72" i="4"/>
  <c r="E71" i="4"/>
  <c r="E70" i="4"/>
  <c r="E69" i="4"/>
  <c r="E68" i="4"/>
  <c r="E67" i="4"/>
  <c r="E66" i="4"/>
  <c r="E65" i="4"/>
  <c r="E64" i="4"/>
  <c r="E63" i="4"/>
  <c r="E62" i="4"/>
  <c r="E61" i="4"/>
  <c r="E60" i="4"/>
  <c r="E59" i="4"/>
  <c r="E58" i="4"/>
  <c r="E57" i="4"/>
  <c r="E56" i="4"/>
  <c r="E55" i="4"/>
  <c r="E54" i="4"/>
  <c r="E53" i="4"/>
  <c r="E52" i="4"/>
  <c r="E47" i="4"/>
  <c r="E46" i="4"/>
  <c r="E45" i="4"/>
  <c r="E44" i="4"/>
  <c r="E43" i="4"/>
  <c r="F127" i="4"/>
  <c r="C126" i="4"/>
  <c r="F153" i="4"/>
  <c r="C152" i="4"/>
  <c r="F149" i="4"/>
  <c r="C148" i="4"/>
  <c r="D145" i="4"/>
  <c r="E134" i="4"/>
  <c r="F123" i="4"/>
  <c r="C122" i="4"/>
  <c r="D121" i="4"/>
  <c r="E120" i="4"/>
  <c r="F119" i="4"/>
  <c r="C118" i="4"/>
  <c r="D117" i="4"/>
  <c r="E116" i="4"/>
  <c r="F115" i="4"/>
  <c r="C114" i="4"/>
  <c r="D107" i="4"/>
  <c r="E106" i="4"/>
  <c r="F105" i="4"/>
  <c r="C99" i="4"/>
  <c r="D98" i="4"/>
  <c r="E97" i="4"/>
  <c r="F96" i="4"/>
  <c r="C95" i="4"/>
  <c r="D94" i="4"/>
  <c r="D92" i="4"/>
  <c r="D91" i="4"/>
  <c r="D90" i="4"/>
  <c r="D89" i="4"/>
  <c r="D88" i="4"/>
  <c r="D87" i="4"/>
  <c r="D86" i="4"/>
  <c r="D85" i="4"/>
  <c r="D84" i="4"/>
  <c r="D83" i="4"/>
  <c r="D82" i="4"/>
  <c r="D79" i="4"/>
  <c r="D81" i="4"/>
  <c r="D80" i="4"/>
  <c r="D78" i="4"/>
  <c r="D77" i="4"/>
  <c r="D76" i="4"/>
  <c r="D75" i="4"/>
  <c r="D74" i="4"/>
  <c r="D73" i="4"/>
  <c r="D72" i="4"/>
  <c r="D71" i="4"/>
  <c r="D70" i="4"/>
  <c r="D69" i="4"/>
  <c r="D68" i="4"/>
  <c r="D67" i="4"/>
  <c r="D66" i="4"/>
  <c r="D65" i="4"/>
  <c r="D64" i="4"/>
  <c r="D63" i="4"/>
  <c r="D62" i="4"/>
  <c r="D61" i="4"/>
  <c r="D60" i="4"/>
  <c r="D59" i="4"/>
  <c r="D58" i="4"/>
  <c r="D57" i="4"/>
  <c r="D56" i="4"/>
  <c r="D55" i="4"/>
  <c r="D54" i="4"/>
  <c r="D53" i="4"/>
  <c r="D52" i="4"/>
  <c r="D47" i="4"/>
  <c r="D46" i="4"/>
  <c r="D45" i="4"/>
  <c r="D44" i="4"/>
  <c r="E128" i="4"/>
  <c r="E127" i="4"/>
  <c r="E124" i="4"/>
  <c r="E153" i="4"/>
  <c r="E150" i="4"/>
  <c r="E149" i="4"/>
  <c r="F148" i="4"/>
  <c r="C145" i="4"/>
  <c r="D134" i="4"/>
  <c r="E123" i="4"/>
  <c r="F122" i="4"/>
  <c r="C121" i="4"/>
  <c r="D120" i="4"/>
  <c r="E119" i="4"/>
  <c r="F118" i="4"/>
  <c r="C117" i="4"/>
  <c r="D116" i="4"/>
  <c r="E115" i="4"/>
  <c r="F114" i="4"/>
  <c r="C107" i="4"/>
  <c r="D106" i="4"/>
  <c r="E105" i="4"/>
  <c r="F99" i="4"/>
  <c r="C98" i="4"/>
  <c r="D97" i="4"/>
  <c r="E96" i="4"/>
  <c r="F95" i="4"/>
  <c r="C94" i="4"/>
  <c r="C92" i="4"/>
  <c r="C91" i="4"/>
  <c r="C90" i="4"/>
  <c r="C89" i="4"/>
  <c r="C88" i="4"/>
  <c r="C87" i="4"/>
  <c r="C86" i="4"/>
  <c r="C85" i="4"/>
  <c r="C84" i="4"/>
  <c r="C83" i="4"/>
  <c r="C82" i="4"/>
  <c r="C79" i="4"/>
  <c r="C81" i="4"/>
  <c r="C80" i="4"/>
  <c r="C78" i="4"/>
  <c r="C77" i="4"/>
  <c r="C76" i="4"/>
  <c r="C75" i="4"/>
  <c r="C74" i="4"/>
  <c r="C73" i="4"/>
  <c r="C72" i="4"/>
  <c r="C71" i="4"/>
  <c r="C70" i="4"/>
  <c r="C69" i="4"/>
  <c r="C68" i="4"/>
  <c r="C67" i="4"/>
  <c r="C66" i="4"/>
  <c r="C65" i="4"/>
  <c r="C64" i="4"/>
  <c r="C63" i="4"/>
  <c r="C62" i="4"/>
  <c r="C61" i="4"/>
  <c r="C60" i="4"/>
  <c r="C59" i="4"/>
  <c r="C58" i="4"/>
  <c r="C57" i="4"/>
  <c r="C56" i="4"/>
  <c r="C55" i="4"/>
  <c r="C54" i="4"/>
  <c r="C53" i="4"/>
  <c r="C52" i="4"/>
  <c r="C47" i="4"/>
  <c r="C46" i="4"/>
  <c r="C45" i="4"/>
  <c r="C44" i="4"/>
  <c r="C43" i="4"/>
  <c r="C35" i="4"/>
  <c r="C33" i="4"/>
  <c r="C32" i="4"/>
  <c r="C41" i="4"/>
  <c r="C42" i="4"/>
  <c r="C40" i="4"/>
  <c r="C39" i="4"/>
  <c r="C38" i="4"/>
  <c r="C37" i="4"/>
  <c r="D128" i="4"/>
  <c r="D125" i="4"/>
  <c r="D124" i="4"/>
  <c r="D151" i="4"/>
  <c r="D150" i="4"/>
  <c r="D149" i="4"/>
  <c r="E148" i="4"/>
  <c r="F145" i="4"/>
  <c r="C134" i="4"/>
  <c r="D123" i="4"/>
  <c r="E122" i="4"/>
  <c r="F121" i="4"/>
  <c r="C120" i="4"/>
  <c r="D119" i="4"/>
  <c r="E118" i="4"/>
  <c r="F117" i="4"/>
  <c r="C116" i="4"/>
  <c r="D115" i="4"/>
  <c r="E114" i="4"/>
  <c r="F107" i="4"/>
  <c r="C106" i="4"/>
  <c r="D105" i="4"/>
  <c r="E99" i="4"/>
  <c r="F98" i="4"/>
  <c r="C97" i="4"/>
  <c r="D96" i="4"/>
  <c r="E95" i="4"/>
  <c r="F94" i="4"/>
  <c r="F92" i="4"/>
  <c r="F91" i="4"/>
  <c r="F90" i="4"/>
  <c r="F89" i="4"/>
  <c r="F88" i="4"/>
  <c r="F87" i="4"/>
  <c r="F86" i="4"/>
  <c r="F85" i="4"/>
  <c r="F84" i="4"/>
  <c r="F83" i="4"/>
  <c r="F82" i="4"/>
  <c r="F79" i="4"/>
  <c r="F81" i="4"/>
  <c r="F80" i="4"/>
  <c r="F78" i="4"/>
  <c r="F77" i="4"/>
  <c r="F76" i="4"/>
  <c r="F75" i="4"/>
  <c r="F74" i="4"/>
  <c r="F73" i="4"/>
  <c r="F72" i="4"/>
  <c r="F71" i="4"/>
  <c r="F70" i="4"/>
  <c r="F69" i="4"/>
  <c r="F68" i="4"/>
  <c r="F67" i="4"/>
  <c r="F66" i="4"/>
  <c r="F65" i="4"/>
  <c r="F64" i="4"/>
  <c r="F63" i="4"/>
  <c r="F62" i="4"/>
  <c r="F61" i="4"/>
  <c r="F60" i="4"/>
  <c r="F59" i="4"/>
  <c r="F58" i="4"/>
  <c r="F57" i="4"/>
  <c r="F56" i="4"/>
  <c r="F55" i="4"/>
  <c r="F54" i="4"/>
  <c r="F53" i="4"/>
  <c r="F52" i="4"/>
  <c r="F47" i="4"/>
  <c r="F46" i="4"/>
  <c r="F45" i="4"/>
  <c r="F44" i="4"/>
  <c r="F43" i="4"/>
  <c r="F35" i="4"/>
  <c r="F33" i="4"/>
  <c r="F32" i="4"/>
  <c r="F41" i="4"/>
  <c r="F42" i="4"/>
  <c r="F40" i="4"/>
  <c r="F39" i="4"/>
  <c r="F38" i="4"/>
  <c r="F37" i="4"/>
  <c r="E33" i="4"/>
  <c r="E41" i="4"/>
  <c r="E40" i="4"/>
  <c r="E38" i="4"/>
  <c r="D43" i="4"/>
  <c r="D33" i="4"/>
  <c r="D41" i="4"/>
  <c r="D40" i="4"/>
  <c r="D38" i="4"/>
  <c r="E35" i="4"/>
  <c r="E32" i="4"/>
  <c r="E42" i="4"/>
  <c r="E39" i="4"/>
  <c r="E37" i="4"/>
  <c r="D35" i="4"/>
  <c r="D32" i="4"/>
  <c r="D42" i="4"/>
  <c r="D39" i="4"/>
  <c r="D37" i="4"/>
  <c r="F36" i="4"/>
  <c r="D36" i="4"/>
  <c r="E36" i="4"/>
  <c r="C36" i="4"/>
  <c r="C26" i="223"/>
  <c r="C25" i="223"/>
  <c r="C31" i="223"/>
  <c r="C30" i="223"/>
  <c r="C23" i="223"/>
  <c r="W12" i="223" l="1"/>
  <c r="Y28" i="223" l="1"/>
  <c r="W28" i="223"/>
  <c r="S28" i="223"/>
  <c r="Q28" i="223"/>
  <c r="O28" i="223"/>
  <c r="M28" i="223"/>
  <c r="K28" i="223"/>
  <c r="Y29" i="223"/>
  <c r="W29" i="223"/>
  <c r="S29" i="223"/>
  <c r="Q29" i="223"/>
  <c r="O29" i="223"/>
  <c r="M29" i="223"/>
  <c r="K29" i="223"/>
  <c r="Y24" i="223"/>
  <c r="W24" i="223"/>
  <c r="S24" i="223"/>
  <c r="Q24" i="223"/>
  <c r="O24" i="223"/>
  <c r="M24" i="223"/>
  <c r="K24" i="223"/>
  <c r="C24" i="223"/>
  <c r="C29" i="223"/>
  <c r="M33" i="223" l="1"/>
  <c r="W33" i="223"/>
  <c r="Y33" i="223"/>
  <c r="Q33" i="223"/>
  <c r="O33" i="223"/>
  <c r="K33" i="223"/>
  <c r="S33" i="223"/>
  <c r="C28" i="223" l="1"/>
  <c r="C33" i="223" s="1"/>
  <c r="S12" i="223" l="1"/>
  <c r="Q12" i="223"/>
  <c r="M12" i="223" l="1"/>
  <c r="U12" i="223" l="1"/>
  <c r="O12" i="223"/>
  <c r="S2" i="223"/>
  <c r="Q2" i="223"/>
  <c r="O2" i="223"/>
  <c r="M2" i="223"/>
  <c r="Y12" i="223" l="1"/>
  <c r="K12" i="223"/>
  <c r="Y2" i="223" l="1"/>
  <c r="L16" i="4"/>
  <c r="L15" i="4"/>
  <c r="L200" i="4"/>
  <c r="L13" i="4"/>
  <c r="L12" i="4"/>
  <c r="L11" i="4"/>
  <c r="L199" i="4"/>
  <c r="L14" i="4"/>
  <c r="L18" i="4"/>
  <c r="L221" i="4"/>
  <c r="L17" i="4"/>
  <c r="L212" i="4"/>
  <c r="V34" i="4" l="1"/>
  <c r="T34" i="4"/>
  <c r="R34" i="4"/>
  <c r="O34" i="4"/>
  <c r="M146" i="4"/>
  <c r="M108" i="4"/>
  <c r="M113" i="4"/>
  <c r="M215" i="4"/>
  <c r="M205" i="4"/>
  <c r="M219" i="4"/>
  <c r="M202" i="4"/>
  <c r="M209" i="4"/>
  <c r="L219" i="4"/>
  <c r="L111" i="4"/>
  <c r="L198" i="4"/>
  <c r="L93" i="4"/>
  <c r="L10" i="4"/>
  <c r="L203" i="4"/>
  <c r="L215" i="4"/>
  <c r="L217" i="4"/>
  <c r="L109" i="4"/>
  <c r="L146" i="4"/>
  <c r="L26" i="4"/>
  <c r="L213" i="4"/>
  <c r="L204" i="4"/>
  <c r="L3" i="4"/>
  <c r="L162" i="4"/>
  <c r="L222" i="4"/>
  <c r="L8" i="4"/>
  <c r="L160" i="4"/>
  <c r="L205" i="4"/>
  <c r="L218" i="4"/>
  <c r="L112" i="4"/>
  <c r="L110" i="4"/>
  <c r="L51" i="4"/>
  <c r="L166" i="4"/>
  <c r="L108" i="4"/>
  <c r="L220" i="4"/>
  <c r="L50" i="4"/>
  <c r="L30" i="4"/>
  <c r="L216" i="4"/>
  <c r="L161" i="4"/>
  <c r="L113" i="4"/>
  <c r="L223" i="4"/>
  <c r="L147" i="4"/>
  <c r="L214" i="4"/>
  <c r="R49" i="4" l="1"/>
  <c r="V49" i="4"/>
  <c r="T49" i="4"/>
  <c r="R93" i="4"/>
  <c r="V93" i="4"/>
  <c r="T93" i="4"/>
  <c r="V48" i="4"/>
  <c r="T48" i="4"/>
  <c r="R48" i="4"/>
  <c r="R51" i="4"/>
  <c r="V51" i="4"/>
  <c r="T51" i="4"/>
  <c r="V50" i="4"/>
  <c r="T50" i="4"/>
  <c r="R50" i="4"/>
  <c r="O49" i="4"/>
  <c r="O93" i="4"/>
  <c r="O48" i="4"/>
  <c r="O51" i="4"/>
  <c r="O50" i="4"/>
  <c r="M160" i="4"/>
  <c r="M221" i="4"/>
  <c r="M223" i="4"/>
  <c r="M217" i="4"/>
  <c r="M208" i="4"/>
  <c r="M207" i="4"/>
  <c r="M211" i="4"/>
  <c r="M210" i="4"/>
  <c r="M218" i="4"/>
  <c r="M197" i="4"/>
  <c r="M147" i="4"/>
  <c r="M199" i="4"/>
  <c r="M102" i="4"/>
  <c r="M101" i="4"/>
  <c r="M204" i="4"/>
  <c r="M162" i="4"/>
  <c r="M220" i="4"/>
  <c r="M112" i="4"/>
  <c r="M110" i="4"/>
  <c r="M201" i="4"/>
  <c r="M111" i="4"/>
  <c r="M161" i="4"/>
  <c r="M166" i="4"/>
  <c r="M216" i="4"/>
  <c r="M103" i="4"/>
  <c r="M213" i="4"/>
  <c r="M198" i="4"/>
  <c r="M104" i="4"/>
  <c r="M214" i="4"/>
  <c r="M100" i="4"/>
  <c r="M212" i="4"/>
  <c r="M206" i="4"/>
  <c r="M222" i="4"/>
  <c r="M203" i="4"/>
  <c r="M109" i="4"/>
  <c r="M200" i="4"/>
  <c r="L74" i="4"/>
  <c r="L90" i="4"/>
  <c r="L37" i="4"/>
  <c r="L33" i="4"/>
  <c r="L196" i="4"/>
  <c r="L29" i="4"/>
  <c r="L92" i="4"/>
  <c r="L195" i="4"/>
  <c r="L94" i="4"/>
  <c r="L173" i="4"/>
  <c r="L95" i="4"/>
  <c r="L183" i="4"/>
  <c r="L163" i="4"/>
  <c r="L177" i="4"/>
  <c r="L21" i="4"/>
  <c r="L156" i="4"/>
  <c r="L154" i="4"/>
  <c r="L167" i="4"/>
  <c r="L77" i="4"/>
  <c r="L75" i="4"/>
  <c r="L170" i="4"/>
  <c r="L38" i="4"/>
  <c r="L176" i="4"/>
  <c r="L35" i="4"/>
  <c r="L181" i="4"/>
  <c r="L118" i="4"/>
  <c r="L155" i="4"/>
  <c r="L164" i="4"/>
  <c r="L121" i="4"/>
  <c r="L192" i="4"/>
  <c r="L120" i="4"/>
  <c r="L84" i="4"/>
  <c r="L106" i="4"/>
  <c r="L87" i="4"/>
  <c r="L178" i="4"/>
  <c r="L86" i="4"/>
  <c r="L189" i="4"/>
  <c r="L119" i="4"/>
  <c r="L180" i="4"/>
  <c r="L187" i="4"/>
  <c r="L169" i="4"/>
  <c r="L188" i="4"/>
  <c r="L179" i="4"/>
  <c r="L182" i="4"/>
  <c r="L88" i="4"/>
  <c r="L193" i="4"/>
  <c r="L82" i="4"/>
  <c r="L117" i="4"/>
  <c r="L89" i="4"/>
  <c r="L40" i="4"/>
  <c r="L83" i="4"/>
  <c r="L23" i="4"/>
  <c r="L79" i="4"/>
  <c r="L41" i="4"/>
  <c r="L91" i="4"/>
  <c r="L172" i="4"/>
  <c r="L159" i="4"/>
  <c r="L5" i="4"/>
  <c r="L85" i="4"/>
  <c r="L24" i="4"/>
  <c r="L168" i="4"/>
  <c r="L105" i="4"/>
  <c r="L78" i="4"/>
  <c r="L171" i="4"/>
  <c r="L42" i="4"/>
  <c r="L73" i="4"/>
  <c r="L96" i="4"/>
  <c r="L191" i="4"/>
  <c r="L186" i="4"/>
  <c r="L81" i="4"/>
  <c r="L115" i="4"/>
  <c r="L25" i="4"/>
  <c r="L175" i="4"/>
  <c r="L184" i="4"/>
  <c r="L22" i="4"/>
  <c r="L4" i="4"/>
  <c r="L116" i="4"/>
  <c r="L80" i="4"/>
  <c r="L185" i="4"/>
  <c r="L114" i="4"/>
  <c r="L107" i="4"/>
  <c r="L190" i="4"/>
  <c r="L194" i="4"/>
  <c r="L39" i="4"/>
  <c r="L76" i="4"/>
  <c r="L165" i="4"/>
  <c r="R89" i="4" l="1"/>
  <c r="V89" i="4"/>
  <c r="T89" i="4"/>
  <c r="R47" i="4"/>
  <c r="V47" i="4"/>
  <c r="T47" i="4"/>
  <c r="V90" i="4"/>
  <c r="T90" i="4"/>
  <c r="R90" i="4"/>
  <c r="V78" i="4"/>
  <c r="T78" i="4"/>
  <c r="R78" i="4"/>
  <c r="V84" i="4"/>
  <c r="T84" i="4"/>
  <c r="R84" i="4"/>
  <c r="R33" i="4"/>
  <c r="V33" i="4"/>
  <c r="T33" i="4"/>
  <c r="R77" i="4"/>
  <c r="V77" i="4"/>
  <c r="T77" i="4"/>
  <c r="R83" i="4"/>
  <c r="V83" i="4"/>
  <c r="T83" i="4"/>
  <c r="V32" i="4"/>
  <c r="T32" i="4"/>
  <c r="R32" i="4"/>
  <c r="R91" i="4"/>
  <c r="V91" i="4"/>
  <c r="T91" i="4"/>
  <c r="V92" i="4"/>
  <c r="T92" i="4"/>
  <c r="R92" i="4"/>
  <c r="R79" i="4"/>
  <c r="V79" i="4"/>
  <c r="T79" i="4"/>
  <c r="R81" i="4"/>
  <c r="V81" i="4"/>
  <c r="T81" i="4"/>
  <c r="V80" i="4"/>
  <c r="T80" i="4"/>
  <c r="R80" i="4"/>
  <c r="V88" i="4"/>
  <c r="T88" i="4"/>
  <c r="R88" i="4"/>
  <c r="V82" i="4"/>
  <c r="T82" i="4"/>
  <c r="R82" i="4"/>
  <c r="R35" i="4"/>
  <c r="V35" i="4"/>
  <c r="T35" i="4"/>
  <c r="R87" i="4"/>
  <c r="V87" i="4"/>
  <c r="T87" i="4"/>
  <c r="V76" i="4"/>
  <c r="T76" i="4"/>
  <c r="R76" i="4"/>
  <c r="O89" i="4"/>
  <c r="O47" i="4"/>
  <c r="O90" i="4"/>
  <c r="O78" i="4"/>
  <c r="O84" i="4"/>
  <c r="O33" i="4"/>
  <c r="O77" i="4"/>
  <c r="O83" i="4"/>
  <c r="O32" i="4"/>
  <c r="O91" i="4"/>
  <c r="O92" i="4"/>
  <c r="O79" i="4"/>
  <c r="O81" i="4"/>
  <c r="O80" i="4"/>
  <c r="O88" i="4"/>
  <c r="O82" i="4"/>
  <c r="O35" i="4"/>
  <c r="O87" i="4"/>
  <c r="O76" i="4"/>
  <c r="M177" i="4"/>
  <c r="M107" i="4"/>
  <c r="M128" i="4"/>
  <c r="M150" i="4"/>
  <c r="M154" i="4"/>
  <c r="M186" i="4"/>
  <c r="M187" i="4"/>
  <c r="M135" i="4"/>
  <c r="M120" i="4"/>
  <c r="M139" i="4"/>
  <c r="M94" i="4"/>
  <c r="M148" i="4"/>
  <c r="M143" i="4"/>
  <c r="M125" i="4"/>
  <c r="M138" i="4"/>
  <c r="M189" i="4"/>
  <c r="M172" i="4"/>
  <c r="M181" i="4"/>
  <c r="M132" i="4"/>
  <c r="M170" i="4"/>
  <c r="M131" i="4"/>
  <c r="M144" i="4"/>
  <c r="M178" i="4"/>
  <c r="M142" i="4"/>
  <c r="M157" i="4"/>
  <c r="M191" i="4"/>
  <c r="M169" i="4"/>
  <c r="M152" i="4"/>
  <c r="M129" i="4"/>
  <c r="M141" i="4"/>
  <c r="M95" i="4"/>
  <c r="M149" i="4"/>
  <c r="M133" i="4"/>
  <c r="M175" i="4"/>
  <c r="M193" i="4"/>
  <c r="M115" i="4"/>
  <c r="M124" i="4"/>
  <c r="M156" i="4"/>
  <c r="M153" i="4"/>
  <c r="M137" i="4"/>
  <c r="M106" i="4"/>
  <c r="M182" i="4"/>
  <c r="M190" i="4"/>
  <c r="M116" i="4"/>
  <c r="M96" i="4"/>
  <c r="M174" i="4"/>
  <c r="M179" i="4"/>
  <c r="M196" i="4"/>
  <c r="M173" i="4"/>
  <c r="M176" i="4"/>
  <c r="M180" i="4"/>
  <c r="M165" i="4"/>
  <c r="M167" i="4"/>
  <c r="M99" i="4"/>
  <c r="M171" i="4"/>
  <c r="M114" i="4"/>
  <c r="M168" i="4"/>
  <c r="M140" i="4"/>
  <c r="M126" i="4"/>
  <c r="M123" i="4"/>
  <c r="M105" i="4"/>
  <c r="M130" i="4"/>
  <c r="M195" i="4"/>
  <c r="M159" i="4"/>
  <c r="M163" i="4"/>
  <c r="M184" i="4"/>
  <c r="M192" i="4"/>
  <c r="M194" i="4"/>
  <c r="M188" i="4"/>
  <c r="M97" i="4"/>
  <c r="M164" i="4"/>
  <c r="M183" i="4"/>
  <c r="M151" i="4"/>
  <c r="M117" i="4"/>
  <c r="M136" i="4"/>
  <c r="M122" i="4"/>
  <c r="M158" i="4"/>
  <c r="M155" i="4"/>
  <c r="M127" i="4"/>
  <c r="M134" i="4"/>
  <c r="M118" i="4"/>
  <c r="M185" i="4"/>
  <c r="M119" i="4"/>
  <c r="M121" i="4"/>
  <c r="M145" i="4"/>
  <c r="M98" i="4"/>
  <c r="C5341" i="4" l="1"/>
  <c r="O166" i="4" l="1"/>
  <c r="V197" i="4"/>
  <c r="N6" i="4"/>
  <c r="N21" i="4"/>
  <c r="N8" i="4"/>
  <c r="N10" i="4"/>
  <c r="N20" i="4"/>
  <c r="O202" i="4"/>
  <c r="O17" i="4"/>
  <c r="N50" i="4"/>
  <c r="Q89" i="4"/>
  <c r="S88" i="4"/>
  <c r="U87" i="4"/>
  <c r="S85" i="4"/>
  <c r="Q79" i="4"/>
  <c r="S78" i="4"/>
  <c r="U77" i="4"/>
  <c r="Q47" i="4"/>
  <c r="U46" i="4"/>
  <c r="Q45" i="4"/>
  <c r="U44" i="4"/>
  <c r="Q43" i="4"/>
  <c r="U42" i="4"/>
  <c r="Q41" i="4"/>
  <c r="U40" i="4"/>
  <c r="Q39" i="4"/>
  <c r="U38" i="4"/>
  <c r="Q37" i="4"/>
  <c r="U36" i="4"/>
  <c r="Q32" i="4"/>
  <c r="U35" i="4"/>
  <c r="Q48" i="4"/>
  <c r="Q33" i="4"/>
  <c r="S32" i="4"/>
  <c r="Q88" i="4"/>
  <c r="S87" i="4"/>
  <c r="U84" i="4"/>
  <c r="Q78" i="4"/>
  <c r="S77" i="4"/>
  <c r="U76" i="4"/>
  <c r="S74" i="4"/>
  <c r="S72" i="4"/>
  <c r="S70" i="4"/>
  <c r="S68" i="4"/>
  <c r="S66" i="4"/>
  <c r="S64" i="4"/>
  <c r="S62" i="4"/>
  <c r="S60" i="4"/>
  <c r="S58" i="4"/>
  <c r="S56" i="4"/>
  <c r="S54" i="4"/>
  <c r="S52" i="4"/>
  <c r="Q54" i="4"/>
  <c r="U53" i="4"/>
  <c r="U34" i="4"/>
  <c r="U93" i="4"/>
  <c r="Q87" i="4"/>
  <c r="U86" i="4"/>
  <c r="Q85" i="4"/>
  <c r="S84" i="4"/>
  <c r="U83" i="4"/>
  <c r="Q77" i="4"/>
  <c r="S76" i="4"/>
  <c r="U51" i="4"/>
  <c r="S46" i="4"/>
  <c r="S44" i="4"/>
  <c r="S42" i="4"/>
  <c r="S40" i="4"/>
  <c r="S38" i="4"/>
  <c r="S36" i="4"/>
  <c r="Q56" i="4"/>
  <c r="U55" i="4"/>
  <c r="U50" i="4"/>
  <c r="Q35" i="4"/>
  <c r="S34" i="4"/>
  <c r="S93" i="4"/>
  <c r="U92" i="4"/>
  <c r="Q84" i="4"/>
  <c r="S83" i="4"/>
  <c r="U82" i="4"/>
  <c r="Q76" i="4"/>
  <c r="U75" i="4"/>
  <c r="Q74" i="4"/>
  <c r="U73" i="4"/>
  <c r="Q72" i="4"/>
  <c r="U71" i="4"/>
  <c r="Q70" i="4"/>
  <c r="U69" i="4"/>
  <c r="Q68" i="4"/>
  <c r="U67" i="4"/>
  <c r="Q66" i="4"/>
  <c r="U65" i="4"/>
  <c r="Q64" i="4"/>
  <c r="U63" i="4"/>
  <c r="Q62" i="4"/>
  <c r="U61" i="4"/>
  <c r="Q60" i="4"/>
  <c r="U59" i="4"/>
  <c r="Q58" i="4"/>
  <c r="U57" i="4"/>
  <c r="Q52" i="4"/>
  <c r="S51" i="4"/>
  <c r="U48" i="4"/>
  <c r="Q93" i="4"/>
  <c r="S92" i="4"/>
  <c r="U91" i="4"/>
  <c r="S86" i="4"/>
  <c r="Q83" i="4"/>
  <c r="S82" i="4"/>
  <c r="U81" i="4"/>
  <c r="Q51" i="4"/>
  <c r="S50" i="4"/>
  <c r="U49" i="4"/>
  <c r="Q46" i="4"/>
  <c r="U45" i="4"/>
  <c r="Q44" i="4"/>
  <c r="U43" i="4"/>
  <c r="Q42" i="4"/>
  <c r="U41" i="4"/>
  <c r="Q40" i="4"/>
  <c r="U39" i="4"/>
  <c r="Q38" i="4"/>
  <c r="U37" i="4"/>
  <c r="Q36" i="4"/>
  <c r="S35" i="4"/>
  <c r="S47" i="4"/>
  <c r="Q92" i="4"/>
  <c r="S91" i="4"/>
  <c r="U90" i="4"/>
  <c r="Q82" i="4"/>
  <c r="S81" i="4"/>
  <c r="U80" i="4"/>
  <c r="S75" i="4"/>
  <c r="S73" i="4"/>
  <c r="S71" i="4"/>
  <c r="S69" i="4"/>
  <c r="S67" i="4"/>
  <c r="S65" i="4"/>
  <c r="S63" i="4"/>
  <c r="S61" i="4"/>
  <c r="S59" i="4"/>
  <c r="S57" i="4"/>
  <c r="S55" i="4"/>
  <c r="S53" i="4"/>
  <c r="Q50" i="4"/>
  <c r="S49" i="4"/>
  <c r="U33" i="4"/>
  <c r="Q91" i="4"/>
  <c r="S90" i="4"/>
  <c r="U89" i="4"/>
  <c r="Q86" i="4"/>
  <c r="U85" i="4"/>
  <c r="Q81" i="4"/>
  <c r="S80" i="4"/>
  <c r="U79" i="4"/>
  <c r="Q49" i="4"/>
  <c r="S48" i="4"/>
  <c r="U47" i="4"/>
  <c r="S45" i="4"/>
  <c r="S43" i="4"/>
  <c r="S41" i="4"/>
  <c r="S39" i="4"/>
  <c r="S37" i="4"/>
  <c r="Q34" i="4"/>
  <c r="S33" i="4"/>
  <c r="U32" i="4"/>
  <c r="Q57" i="4"/>
  <c r="U56" i="4"/>
  <c r="Q53" i="4"/>
  <c r="U52" i="4"/>
  <c r="Q90" i="4"/>
  <c r="S89" i="4"/>
  <c r="U88" i="4"/>
  <c r="Q80" i="4"/>
  <c r="S79" i="4"/>
  <c r="U78" i="4"/>
  <c r="Q75" i="4"/>
  <c r="U74" i="4"/>
  <c r="Q73" i="4"/>
  <c r="U72" i="4"/>
  <c r="Q71" i="4"/>
  <c r="U70" i="4"/>
  <c r="Q69" i="4"/>
  <c r="U68" i="4"/>
  <c r="Q67" i="4"/>
  <c r="U66" i="4"/>
  <c r="Q65" i="4"/>
  <c r="U64" i="4"/>
  <c r="Q63" i="4"/>
  <c r="U62" i="4"/>
  <c r="Q61" i="4"/>
  <c r="U60" i="4"/>
  <c r="Q59" i="4"/>
  <c r="U58" i="4"/>
  <c r="Q55" i="4"/>
  <c r="U54" i="4"/>
  <c r="N79" i="4"/>
  <c r="O223" i="4"/>
  <c r="T97" i="4"/>
  <c r="V99" i="4"/>
  <c r="T99" i="4"/>
  <c r="V98" i="4"/>
  <c r="T98" i="4"/>
  <c r="V100" i="4"/>
  <c r="T100" i="4"/>
  <c r="V97" i="4"/>
  <c r="V208" i="4"/>
  <c r="V200" i="4"/>
  <c r="V220" i="4"/>
  <c r="V160" i="4"/>
  <c r="T109" i="4"/>
  <c r="V207" i="4"/>
  <c r="T210" i="4"/>
  <c r="T201" i="4"/>
  <c r="V112" i="4"/>
  <c r="T222" i="4"/>
  <c r="V216" i="4"/>
  <c r="V162" i="4"/>
  <c r="T208" i="4"/>
  <c r="T200" i="4"/>
  <c r="T220" i="4"/>
  <c r="T160" i="4"/>
  <c r="V109" i="4"/>
  <c r="T207" i="4"/>
  <c r="V214" i="4"/>
  <c r="V111" i="4"/>
  <c r="T221" i="4"/>
  <c r="T112" i="4"/>
  <c r="V199" i="4"/>
  <c r="T216" i="4"/>
  <c r="T162" i="4"/>
  <c r="V113" i="4"/>
  <c r="V212" i="4"/>
  <c r="V146" i="4"/>
  <c r="V215" i="4"/>
  <c r="T213" i="4"/>
  <c r="V108" i="4"/>
  <c r="T214" i="4"/>
  <c r="T111" i="4"/>
  <c r="V221" i="4"/>
  <c r="T199" i="4"/>
  <c r="V223" i="4"/>
  <c r="T113" i="4"/>
  <c r="T212" i="4"/>
  <c r="T146" i="4"/>
  <c r="T215" i="4"/>
  <c r="V213" i="4"/>
  <c r="T108" i="4"/>
  <c r="V104" i="4"/>
  <c r="V147" i="4"/>
  <c r="T223" i="4"/>
  <c r="V219" i="4"/>
  <c r="V203" i="4"/>
  <c r="T101" i="4"/>
  <c r="V198" i="4"/>
  <c r="V110" i="4"/>
  <c r="T104" i="4"/>
  <c r="T147" i="4"/>
  <c r="V103" i="4"/>
  <c r="T219" i="4"/>
  <c r="T203" i="4"/>
  <c r="V101" i="4"/>
  <c r="T198" i="4"/>
  <c r="T110" i="4"/>
  <c r="V218" i="4"/>
  <c r="V204" i="4"/>
  <c r="V161" i="4"/>
  <c r="T103" i="4"/>
  <c r="V209" i="4"/>
  <c r="V211" i="4"/>
  <c r="V202" i="4"/>
  <c r="V166" i="4"/>
  <c r="T205" i="4"/>
  <c r="T218" i="4"/>
  <c r="T204" i="4"/>
  <c r="V102" i="4"/>
  <c r="T161" i="4"/>
  <c r="V206" i="4"/>
  <c r="V217" i="4"/>
  <c r="T209" i="4"/>
  <c r="T211" i="4"/>
  <c r="T202" i="4"/>
  <c r="T166" i="4"/>
  <c r="V205" i="4"/>
  <c r="V210" i="4"/>
  <c r="V201" i="4"/>
  <c r="T197" i="4"/>
  <c r="T102" i="4"/>
  <c r="V222" i="4"/>
  <c r="T206" i="4"/>
  <c r="T217" i="4"/>
  <c r="V151" i="4"/>
  <c r="V144" i="4"/>
  <c r="T169" i="4"/>
  <c r="V182" i="4"/>
  <c r="T118" i="4"/>
  <c r="V173" i="4"/>
  <c r="T142" i="4"/>
  <c r="V136" i="4"/>
  <c r="V149" i="4"/>
  <c r="V159" i="4"/>
  <c r="V168" i="4"/>
  <c r="V94" i="4"/>
  <c r="T152" i="4"/>
  <c r="T150" i="4"/>
  <c r="V165" i="4"/>
  <c r="V140" i="4"/>
  <c r="V145" i="4"/>
  <c r="V126" i="4"/>
  <c r="V192" i="4"/>
  <c r="V185" i="4"/>
  <c r="V194" i="4"/>
  <c r="V115" i="4"/>
  <c r="T148" i="4"/>
  <c r="T130" i="4"/>
  <c r="T151" i="4"/>
  <c r="T144" i="4"/>
  <c r="V183" i="4"/>
  <c r="T182" i="4"/>
  <c r="V138" i="4"/>
  <c r="V193" i="4"/>
  <c r="V176" i="4"/>
  <c r="T136" i="4"/>
  <c r="V106" i="4"/>
  <c r="T159" i="4"/>
  <c r="T168" i="4"/>
  <c r="T94" i="4"/>
  <c r="V122" i="4"/>
  <c r="V114" i="4"/>
  <c r="T140" i="4"/>
  <c r="T145" i="4"/>
  <c r="T126" i="4"/>
  <c r="T192" i="4"/>
  <c r="T185" i="4"/>
  <c r="T194" i="4"/>
  <c r="T115" i="4"/>
  <c r="V143" i="4"/>
  <c r="V132" i="4"/>
  <c r="V121" i="4"/>
  <c r="T183" i="4"/>
  <c r="V187" i="4"/>
  <c r="T138" i="4"/>
  <c r="T193" i="4"/>
  <c r="T176" i="4"/>
  <c r="V131" i="4"/>
  <c r="T106" i="4"/>
  <c r="T117" i="4"/>
  <c r="V190" i="4"/>
  <c r="T181" i="4"/>
  <c r="T122" i="4"/>
  <c r="T114" i="4"/>
  <c r="V95" i="4"/>
  <c r="V163" i="4"/>
  <c r="V155" i="4"/>
  <c r="V184" i="4"/>
  <c r="V156" i="4"/>
  <c r="V127" i="4"/>
  <c r="V164" i="4"/>
  <c r="T143" i="4"/>
  <c r="T132" i="4"/>
  <c r="T121" i="4"/>
  <c r="T187" i="4"/>
  <c r="V179" i="4"/>
  <c r="V178" i="4"/>
  <c r="T131" i="4"/>
  <c r="V196" i="4"/>
  <c r="V117" i="4"/>
  <c r="T190" i="4"/>
  <c r="V188" i="4"/>
  <c r="V181" i="4"/>
  <c r="V137" i="4"/>
  <c r="V170" i="4"/>
  <c r="T95" i="4"/>
  <c r="T163" i="4"/>
  <c r="T155" i="4"/>
  <c r="T184" i="4"/>
  <c r="T156" i="4"/>
  <c r="T127" i="4"/>
  <c r="T164" i="4"/>
  <c r="V158" i="4"/>
  <c r="V96" i="4"/>
  <c r="T179" i="4"/>
  <c r="T178" i="4"/>
  <c r="T196" i="4"/>
  <c r="V134" i="4"/>
  <c r="V107" i="4"/>
  <c r="T188" i="4"/>
  <c r="T137" i="4"/>
  <c r="T170" i="4"/>
  <c r="V124" i="4"/>
  <c r="T125" i="4"/>
  <c r="T141" i="4"/>
  <c r="V105" i="4"/>
  <c r="V180" i="4"/>
  <c r="V154" i="4"/>
  <c r="V175" i="4"/>
  <c r="V186" i="4"/>
  <c r="T158" i="4"/>
  <c r="T96" i="4"/>
  <c r="T157" i="4"/>
  <c r="V177" i="4"/>
  <c r="V120" i="4"/>
  <c r="V195" i="4"/>
  <c r="T134" i="4"/>
  <c r="T107" i="4"/>
  <c r="V128" i="4"/>
  <c r="V116" i="4"/>
  <c r="T124" i="4"/>
  <c r="V125" i="4"/>
  <c r="V141" i="4"/>
  <c r="T105" i="4"/>
  <c r="T180" i="4"/>
  <c r="T154" i="4"/>
  <c r="T175" i="4"/>
  <c r="T186" i="4"/>
  <c r="V129" i="4"/>
  <c r="V171" i="4"/>
  <c r="V174" i="4"/>
  <c r="V157" i="4"/>
  <c r="T177" i="4"/>
  <c r="T120" i="4"/>
  <c r="T195" i="4"/>
  <c r="T189" i="4"/>
  <c r="V172" i="4"/>
  <c r="V123" i="4"/>
  <c r="T128" i="4"/>
  <c r="T116" i="4"/>
  <c r="V119" i="4"/>
  <c r="V167" i="4"/>
  <c r="V191" i="4"/>
  <c r="V139" i="4"/>
  <c r="T133" i="4"/>
  <c r="V153" i="4"/>
  <c r="V135" i="4"/>
  <c r="T129" i="4"/>
  <c r="T171" i="4"/>
  <c r="V169" i="4"/>
  <c r="T174" i="4"/>
  <c r="V118" i="4"/>
  <c r="T173" i="4"/>
  <c r="V142" i="4"/>
  <c r="V189" i="4"/>
  <c r="T149" i="4"/>
  <c r="T172" i="4"/>
  <c r="T123" i="4"/>
  <c r="V152" i="4"/>
  <c r="V150" i="4"/>
  <c r="T165" i="4"/>
  <c r="T119" i="4"/>
  <c r="T167" i="4"/>
  <c r="T191" i="4"/>
  <c r="T139" i="4"/>
  <c r="V133" i="4"/>
  <c r="T153" i="4"/>
  <c r="T135" i="4"/>
  <c r="V148" i="4"/>
  <c r="V130" i="4"/>
  <c r="N3" i="4"/>
  <c r="O128" i="4"/>
  <c r="N22" i="4"/>
  <c r="P28" i="4"/>
  <c r="N24" i="4"/>
  <c r="O130" i="4"/>
  <c r="N51" i="4"/>
  <c r="O121" i="4"/>
  <c r="N19" i="4"/>
  <c r="O197" i="4"/>
  <c r="N78" i="4"/>
  <c r="N23" i="4"/>
  <c r="O125" i="4"/>
  <c r="N32" i="4"/>
  <c r="O215" i="4"/>
  <c r="O198" i="4"/>
  <c r="N11" i="4"/>
  <c r="N4" i="4"/>
  <c r="O199" i="4"/>
  <c r="O164" i="4"/>
  <c r="N62" i="4"/>
  <c r="O114" i="4"/>
  <c r="O170" i="4"/>
  <c r="N39" i="4"/>
  <c r="O19" i="4"/>
  <c r="O3" i="4"/>
  <c r="O100" i="4"/>
  <c r="O7" i="4"/>
  <c r="O187" i="4"/>
  <c r="P9" i="4"/>
  <c r="O23" i="4"/>
  <c r="O6" i="4"/>
  <c r="O11" i="4"/>
  <c r="O201" i="4"/>
  <c r="O209" i="4"/>
  <c r="N93" i="4"/>
  <c r="P31" i="4"/>
  <c r="O5" i="4"/>
  <c r="O12" i="4"/>
  <c r="O18" i="4"/>
  <c r="N27" i="4"/>
  <c r="N31" i="4"/>
  <c r="N9" i="4"/>
  <c r="N14" i="4"/>
  <c r="O147" i="4"/>
  <c r="O181" i="4"/>
  <c r="O136" i="4"/>
  <c r="O41" i="4"/>
  <c r="O117" i="4"/>
  <c r="O218" i="4"/>
  <c r="O148" i="4"/>
  <c r="O150" i="4"/>
  <c r="O172" i="4"/>
  <c r="O184" i="4"/>
  <c r="O101" i="4"/>
  <c r="O98" i="4"/>
  <c r="O191" i="4"/>
  <c r="O219" i="4"/>
  <c r="O126" i="4"/>
  <c r="O115" i="4"/>
  <c r="N74" i="4"/>
  <c r="N88" i="4"/>
  <c r="N89" i="4"/>
  <c r="N92" i="4"/>
  <c r="N59" i="4"/>
  <c r="N65" i="4"/>
  <c r="N82" i="4"/>
  <c r="N35" i="4"/>
  <c r="P26" i="4"/>
  <c r="P23" i="4"/>
  <c r="P20" i="4"/>
  <c r="P30" i="4"/>
  <c r="P7" i="4"/>
  <c r="N18" i="4"/>
  <c r="O112" i="4"/>
  <c r="O188" i="4"/>
  <c r="O105" i="4"/>
  <c r="O137" i="4"/>
  <c r="O132" i="4"/>
  <c r="O104" i="4"/>
  <c r="H104" i="4" s="1"/>
  <c r="O165" i="4"/>
  <c r="O203" i="4"/>
  <c r="O186" i="4"/>
  <c r="O139" i="4"/>
  <c r="O113" i="4"/>
  <c r="O142" i="4"/>
  <c r="O189" i="4"/>
  <c r="O216" i="4"/>
  <c r="O119" i="4"/>
  <c r="O120" i="4"/>
  <c r="N44" i="4"/>
  <c r="N90" i="4"/>
  <c r="N42" i="4"/>
  <c r="N67" i="4"/>
  <c r="N83" i="4"/>
  <c r="N43" i="4"/>
  <c r="N53" i="4"/>
  <c r="P11" i="4"/>
  <c r="P18" i="4"/>
  <c r="P25" i="4"/>
  <c r="P16" i="4"/>
  <c r="P8" i="4"/>
  <c r="O29" i="4"/>
  <c r="O24" i="4"/>
  <c r="O15" i="4"/>
  <c r="N26" i="4"/>
  <c r="N15" i="4"/>
  <c r="O26" i="4"/>
  <c r="O27" i="4"/>
  <c r="O30" i="4"/>
  <c r="N28" i="4"/>
  <c r="N12" i="4"/>
  <c r="N16" i="4"/>
  <c r="N17" i="4"/>
  <c r="O161" i="4"/>
  <c r="O171" i="4"/>
  <c r="O183" i="4"/>
  <c r="O163" i="4"/>
  <c r="O182" i="4"/>
  <c r="O213" i="4"/>
  <c r="O138" i="4"/>
  <c r="O207" i="4"/>
  <c r="O222" i="4"/>
  <c r="O141" i="4"/>
  <c r="O208" i="4"/>
  <c r="O135" i="4"/>
  <c r="O140" i="4"/>
  <c r="O97" i="4"/>
  <c r="O149" i="4"/>
  <c r="O108" i="4"/>
  <c r="N80" i="4"/>
  <c r="N49" i="4"/>
  <c r="N72" i="4"/>
  <c r="N91" i="4"/>
  <c r="N68" i="4"/>
  <c r="N45" i="4"/>
  <c r="N77" i="4"/>
  <c r="N48" i="4"/>
  <c r="P17" i="4"/>
  <c r="P13" i="4"/>
  <c r="P22" i="4"/>
  <c r="P14" i="4"/>
  <c r="P3" i="4"/>
  <c r="O20" i="4"/>
  <c r="O4" i="4"/>
  <c r="O9" i="4"/>
  <c r="N13" i="4"/>
  <c r="N7" i="4"/>
  <c r="O99" i="4"/>
  <c r="O177" i="4"/>
  <c r="O212" i="4"/>
  <c r="O173" i="4"/>
  <c r="O153" i="4"/>
  <c r="O109" i="4"/>
  <c r="O178" i="4"/>
  <c r="O205" i="4"/>
  <c r="O168" i="4"/>
  <c r="H168" i="4" s="1"/>
  <c r="O157" i="4"/>
  <c r="O107" i="4"/>
  <c r="O185" i="4"/>
  <c r="O158" i="4"/>
  <c r="O159" i="4"/>
  <c r="O180" i="4"/>
  <c r="O211" i="4"/>
  <c r="N64" i="4"/>
  <c r="N70" i="4"/>
  <c r="N37" i="4"/>
  <c r="N46" i="4"/>
  <c r="N73" i="4"/>
  <c r="N84" i="4"/>
  <c r="N86" i="4"/>
  <c r="N69" i="4"/>
  <c r="P24" i="4"/>
  <c r="P12" i="4"/>
  <c r="P10" i="4"/>
  <c r="O21" i="4"/>
  <c r="O25" i="4"/>
  <c r="O16" i="4"/>
  <c r="O14" i="4"/>
  <c r="N25" i="4"/>
  <c r="N30" i="4"/>
  <c r="O176" i="4"/>
  <c r="O195" i="4"/>
  <c r="O116" i="4"/>
  <c r="O162" i="4"/>
  <c r="O214" i="4"/>
  <c r="O174" i="4"/>
  <c r="O143" i="4"/>
  <c r="O194" i="4"/>
  <c r="O110" i="4"/>
  <c r="O118" i="4"/>
  <c r="O94" i="4"/>
  <c r="O155" i="4"/>
  <c r="O169" i="4"/>
  <c r="O190" i="4"/>
  <c r="O152" i="4"/>
  <c r="O129" i="4"/>
  <c r="O210" i="4"/>
  <c r="N56" i="4"/>
  <c r="N81" i="4"/>
  <c r="N52" i="4"/>
  <c r="N38" i="4"/>
  <c r="N33" i="4"/>
  <c r="N66" i="4"/>
  <c r="N60" i="4"/>
  <c r="N76" i="4"/>
  <c r="P15" i="4"/>
  <c r="P19" i="4"/>
  <c r="P29" i="4"/>
  <c r="O156" i="4"/>
  <c r="O217" i="4"/>
  <c r="O106" i="4"/>
  <c r="O124" i="4"/>
  <c r="O175" i="4"/>
  <c r="O144" i="4"/>
  <c r="O146" i="4"/>
  <c r="O122" i="4"/>
  <c r="O102" i="4"/>
  <c r="O196" i="4"/>
  <c r="O134" i="4"/>
  <c r="O111" i="4"/>
  <c r="O145" i="4"/>
  <c r="O95" i="4"/>
  <c r="O204" i="4"/>
  <c r="N47" i="4"/>
  <c r="N54" i="4"/>
  <c r="N41" i="4"/>
  <c r="N71" i="4"/>
  <c r="N57" i="4"/>
  <c r="N55" i="4"/>
  <c r="N36" i="4"/>
  <c r="N75" i="4"/>
  <c r="P6" i="4"/>
  <c r="P21" i="4"/>
  <c r="P4" i="4"/>
  <c r="O22" i="4"/>
  <c r="O13" i="4"/>
  <c r="O31" i="4"/>
  <c r="O123" i="4"/>
  <c r="O8" i="4"/>
  <c r="O10" i="4"/>
  <c r="O28" i="4"/>
  <c r="N29" i="4"/>
  <c r="N5" i="4"/>
  <c r="O154" i="4"/>
  <c r="O179" i="4"/>
  <c r="O131" i="4"/>
  <c r="O103" i="4"/>
  <c r="O133" i="4"/>
  <c r="O206" i="4"/>
  <c r="O193" i="4"/>
  <c r="O192" i="4"/>
  <c r="O220" i="4"/>
  <c r="O96" i="4"/>
  <c r="O160" i="4"/>
  <c r="O151" i="4"/>
  <c r="O127" i="4"/>
  <c r="O200" i="4"/>
  <c r="O221" i="4"/>
  <c r="O167" i="4"/>
  <c r="N40" i="4"/>
  <c r="N85" i="4"/>
  <c r="N87" i="4"/>
  <c r="N58" i="4"/>
  <c r="N61" i="4"/>
  <c r="N34" i="4"/>
  <c r="N63" i="4"/>
  <c r="P27" i="4"/>
  <c r="P5" i="4"/>
  <c r="H46" i="4" l="1"/>
  <c r="H39" i="4"/>
  <c r="H95" i="4"/>
  <c r="H144" i="4"/>
  <c r="H96" i="4"/>
  <c r="H126" i="4"/>
  <c r="H159" i="4"/>
  <c r="H203" i="4"/>
  <c r="H127" i="4"/>
  <c r="H34" i="4"/>
  <c r="H101" i="4"/>
  <c r="H70" i="4"/>
  <c r="H71" i="4"/>
  <c r="H201" i="4"/>
  <c r="H77" i="4"/>
  <c r="H97" i="4"/>
  <c r="H192" i="4"/>
  <c r="H216" i="4"/>
  <c r="H62" i="4"/>
  <c r="H42" i="4"/>
  <c r="H63" i="4"/>
  <c r="H33" i="4"/>
  <c r="H58" i="4"/>
  <c r="H81" i="4"/>
  <c r="H45" i="4"/>
  <c r="H169" i="4"/>
  <c r="H85" i="4"/>
  <c r="H55" i="4"/>
  <c r="H76" i="4"/>
  <c r="H132" i="4"/>
  <c r="H135" i="4"/>
  <c r="H206" i="4"/>
  <c r="H16" i="4"/>
  <c r="H98" i="4"/>
  <c r="H124" i="4"/>
  <c r="H152" i="4"/>
  <c r="H141" i="4"/>
  <c r="H209" i="4"/>
  <c r="H207" i="4"/>
  <c r="H28" i="4"/>
  <c r="H133" i="4"/>
  <c r="H10" i="4"/>
  <c r="H122" i="4"/>
  <c r="H138" i="4"/>
  <c r="H51" i="4"/>
  <c r="H60" i="4"/>
  <c r="H99" i="4"/>
  <c r="H69" i="4"/>
  <c r="H78" i="4"/>
  <c r="H197" i="4"/>
  <c r="H53" i="4"/>
  <c r="H38" i="4"/>
  <c r="H75" i="4"/>
  <c r="H43" i="4"/>
  <c r="H92" i="4"/>
  <c r="H54" i="4"/>
  <c r="H151" i="4"/>
  <c r="H8" i="4"/>
  <c r="H210" i="4"/>
  <c r="H22" i="4"/>
  <c r="H90" i="4"/>
  <c r="H139" i="4"/>
  <c r="H84" i="4"/>
  <c r="H48" i="4"/>
  <c r="H158" i="4"/>
  <c r="H87" i="4"/>
  <c r="H36" i="4"/>
  <c r="H37" i="4"/>
  <c r="H68" i="4"/>
  <c r="H140" i="4"/>
  <c r="H83" i="4"/>
  <c r="H89" i="4"/>
  <c r="H136" i="4"/>
  <c r="H103" i="4"/>
  <c r="H91" i="4"/>
  <c r="H67" i="4"/>
  <c r="H137" i="4"/>
  <c r="H88" i="4"/>
  <c r="H145" i="4"/>
  <c r="H40" i="4"/>
  <c r="H57" i="4"/>
  <c r="H64" i="4"/>
  <c r="H208" i="4"/>
  <c r="H66" i="4"/>
  <c r="H93" i="4"/>
  <c r="H86" i="4"/>
  <c r="H148" i="4"/>
  <c r="H100" i="4"/>
  <c r="H61" i="4"/>
  <c r="H47" i="4"/>
  <c r="H73" i="4"/>
  <c r="H183" i="4"/>
  <c r="H175" i="4"/>
  <c r="H219" i="4"/>
  <c r="H24" i="4"/>
  <c r="H128" i="4"/>
  <c r="H146" i="4"/>
  <c r="H107" i="4"/>
  <c r="H181" i="4"/>
  <c r="H147" i="4"/>
  <c r="H187" i="4"/>
  <c r="H106" i="4"/>
  <c r="H174" i="4"/>
  <c r="H167" i="4"/>
  <c r="H180" i="4"/>
  <c r="H179" i="4"/>
  <c r="H21" i="4"/>
  <c r="H18" i="4"/>
  <c r="H6" i="4"/>
  <c r="H31" i="4"/>
  <c r="H157" i="4"/>
  <c r="H129" i="4"/>
  <c r="H26" i="4"/>
  <c r="H79" i="4"/>
  <c r="H149" i="4"/>
  <c r="H15" i="4"/>
  <c r="H50" i="4"/>
  <c r="H131" i="4"/>
  <c r="H123" i="4"/>
  <c r="H56" i="4"/>
  <c r="H29" i="4"/>
  <c r="H12" i="4"/>
  <c r="H23" i="4"/>
  <c r="H170" i="4"/>
  <c r="H17" i="4"/>
  <c r="H30" i="4"/>
  <c r="H142" i="4"/>
  <c r="H5" i="4"/>
  <c r="H32" i="4"/>
  <c r="H130" i="4"/>
  <c r="H202" i="4"/>
  <c r="H13" i="4"/>
  <c r="H72" i="4"/>
  <c r="H74" i="4"/>
  <c r="H125" i="4"/>
  <c r="H20" i="4"/>
  <c r="H143" i="4"/>
  <c r="H211" i="4"/>
  <c r="H49" i="4"/>
  <c r="H35" i="4"/>
  <c r="H150" i="4"/>
  <c r="H7" i="4"/>
  <c r="H41" i="4"/>
  <c r="H14" i="4"/>
  <c r="H80" i="4"/>
  <c r="H44" i="4"/>
  <c r="H82" i="4"/>
  <c r="H9" i="4"/>
  <c r="H134" i="4"/>
  <c r="H65" i="4"/>
  <c r="H3" i="4"/>
  <c r="H52" i="4"/>
  <c r="H25" i="4"/>
  <c r="H153" i="4"/>
  <c r="H4" i="4"/>
  <c r="H59" i="4"/>
  <c r="H27" i="4"/>
  <c r="H11" i="4"/>
  <c r="H19" i="4"/>
  <c r="H94" i="4"/>
  <c r="H185" i="4"/>
  <c r="H213" i="4"/>
  <c r="H198" i="4"/>
  <c r="H182" i="4"/>
  <c r="H111" i="4"/>
  <c r="H178" i="4"/>
  <c r="H112" i="4"/>
  <c r="H109" i="4"/>
  <c r="H200" i="4"/>
  <c r="H155" i="4"/>
  <c r="H162" i="4"/>
  <c r="H160" i="4"/>
  <c r="H212" i="4"/>
  <c r="H205" i="4"/>
  <c r="H214" i="4"/>
  <c r="H163" i="4"/>
  <c r="H114" i="4"/>
  <c r="H177" i="4"/>
  <c r="H171" i="4"/>
  <c r="H199" i="4"/>
  <c r="H156" i="4"/>
  <c r="H218" i="4"/>
  <c r="H193" i="4"/>
  <c r="H102" i="4"/>
  <c r="H119" i="4"/>
  <c r="H166" i="4"/>
  <c r="H204" i="4"/>
  <c r="H121" i="4"/>
  <c r="H116" i="4"/>
  <c r="H118" i="4"/>
  <c r="H195" i="4"/>
  <c r="H189" i="4"/>
  <c r="H215" i="4"/>
  <c r="H154" i="4"/>
  <c r="H105" i="4"/>
  <c r="H188" i="4"/>
  <c r="H164" i="4"/>
  <c r="H217" i="4"/>
  <c r="H161" i="4"/>
  <c r="H191" i="4"/>
  <c r="H117" i="4"/>
  <c r="H184" i="4"/>
  <c r="H220" i="4"/>
  <c r="H194" i="4"/>
  <c r="H113" i="4"/>
  <c r="H172" i="4"/>
  <c r="H115" i="4"/>
  <c r="H223" i="4"/>
  <c r="H110" i="4"/>
  <c r="H222" i="4"/>
  <c r="H186" i="4"/>
  <c r="H108" i="4"/>
  <c r="H120" i="4"/>
  <c r="H176" i="4"/>
  <c r="H221" i="4"/>
  <c r="H196" i="4"/>
  <c r="H190" i="4"/>
  <c r="H165" i="4"/>
  <c r="H173" i="4"/>
  <c r="B5343" i="4"/>
  <c r="B5341" i="4"/>
  <c r="D5341" i="4" s="1"/>
  <c r="C40" i="279" s="1"/>
  <c r="D40" i="279" s="1"/>
  <c r="B5342" i="4"/>
  <c r="C5342" i="4"/>
  <c r="C5343" i="4"/>
  <c r="B5339" i="4"/>
  <c r="C5339" i="4"/>
  <c r="B5340" i="4"/>
  <c r="D5340" i="4" s="1"/>
  <c r="C39" i="279" s="1"/>
  <c r="D39" i="279" s="1"/>
  <c r="E227" i="4" l="1"/>
  <c r="E228" i="4"/>
  <c r="E229" i="4"/>
  <c r="E230" i="4" s="1"/>
  <c r="B5344" i="4"/>
  <c r="C5344" i="4"/>
  <c r="D5343" i="4"/>
  <c r="D5342" i="4"/>
  <c r="C41" i="279" s="1"/>
  <c r="D41" i="279" s="1"/>
  <c r="D5339" i="4"/>
  <c r="C42" i="279" l="1"/>
  <c r="D42" i="279" s="1"/>
  <c r="C38" i="279"/>
  <c r="D38" i="279" s="1"/>
  <c r="D5344" i="4"/>
  <c r="D43" i="279" l="1"/>
  <c r="C43" i="2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Carson, Paul</author>
  </authors>
  <commentList>
    <comment ref="R2" authorId="0" shapeId="0" xr:uid="{90EE59B4-C59D-44F4-8379-9049D15ABCE9}">
      <text>
        <r>
          <rPr>
            <b/>
            <sz val="9"/>
            <color indexed="81"/>
            <rFont val="Tahoma"/>
            <family val="2"/>
          </rPr>
          <t>Carson, Paul:</t>
        </r>
        <r>
          <rPr>
            <sz val="9"/>
            <color indexed="81"/>
            <rFont val="Tahoma"/>
            <family val="2"/>
          </rPr>
          <t xml:space="preserve">
VDD dynamic power of cell - generally scaled the same way that the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Carson, Paul</author>
  </authors>
  <commentList>
    <comment ref="F31" authorId="0" shapeId="0" xr:uid="{30F5EDFA-101F-452F-8D1E-48CB456AD9C5}">
      <text>
        <r>
          <rPr>
            <b/>
            <sz val="9"/>
            <color indexed="81"/>
            <rFont val="Tahoma"/>
            <family val="2"/>
          </rPr>
          <t>Carson, Paul:</t>
        </r>
        <r>
          <rPr>
            <sz val="9"/>
            <color indexed="81"/>
            <rFont val="Tahoma"/>
            <family val="2"/>
          </rPr>
          <t xml:space="preserve">
1.15 mA per ADC 5/12/21.  
https://confluence.itg.ti.com/display/EPDANALOG/Power+Estimates</t>
        </r>
      </text>
    </comment>
    <comment ref="F48" authorId="0" shapeId="0" xr:uid="{D9BB8C4C-3126-4902-A80D-0E6BD186D1E5}">
      <text>
        <r>
          <rPr>
            <b/>
            <sz val="9"/>
            <color indexed="81"/>
            <rFont val="Tahoma"/>
            <family val="2"/>
          </rPr>
          <t>Carson, Paul:</t>
        </r>
        <r>
          <rPr>
            <sz val="9"/>
            <color indexed="81"/>
            <rFont val="Tahoma"/>
            <family val="2"/>
          </rPr>
          <t xml:space="preserve">
1.15 mA per ADC 5/12/21.  
https://confluence.itg.ti.com/display/EPDANALOG/Power+Estimates</t>
        </r>
      </text>
    </comment>
    <comment ref="F1485" authorId="0" shapeId="0" xr:uid="{32574772-BC07-4D8A-A959-65CBA8917B36}">
      <text>
        <r>
          <rPr>
            <b/>
            <sz val="10"/>
            <color indexed="81"/>
            <rFont val="Tahoma"/>
            <family val="2"/>
          </rPr>
          <t>Carson, Paul:</t>
        </r>
        <r>
          <rPr>
            <sz val="10"/>
            <color indexed="81"/>
            <rFont val="Tahoma"/>
            <family val="2"/>
          </rPr>
          <t xml:space="preserve">
3/4/22 took stdcell raw area ratio of 63p/63 and multiplied it by 63 lkg.  Then divided by 1.5x to model removal of the 2.5% LVT cells.</t>
        </r>
      </text>
    </comment>
    <comment ref="F1553" authorId="0" shapeId="0" xr:uid="{670B4D8B-54BE-43DE-B0E0-B65CF943D428}">
      <text>
        <r>
          <rPr>
            <b/>
            <sz val="10"/>
            <color indexed="81"/>
            <rFont val="Tahoma"/>
            <family val="2"/>
          </rPr>
          <t>Carson, Paul:</t>
        </r>
        <r>
          <rPr>
            <sz val="10"/>
            <color indexed="81"/>
            <rFont val="Tahoma"/>
            <family val="2"/>
          </rPr>
          <t xml:space="preserve">
3/4/22 took stdcell raw area ratio of 63p/63 and multiplied it by 63 lkg.  Then divided by 1.5x to model removal of the 2.5% LVT cells.</t>
        </r>
      </text>
    </comment>
    <comment ref="F1565" authorId="0" shapeId="0" xr:uid="{A646C760-829A-4959-BA76-8FFF6378EC8B}">
      <text>
        <r>
          <rPr>
            <b/>
            <sz val="10"/>
            <color indexed="81"/>
            <rFont val="Tahoma"/>
            <family val="2"/>
          </rPr>
          <t>Carson, Paul:</t>
        </r>
        <r>
          <rPr>
            <sz val="10"/>
            <color indexed="81"/>
            <rFont val="Tahoma"/>
            <family val="2"/>
          </rPr>
          <t xml:space="preserve">
3/4/22 re-inspected the macro list.  Filered out analog and efuse.  Subtracted out macro area in subchips.  The remainder is top level sram and rom.</t>
        </r>
      </text>
    </comment>
    <comment ref="F1601" authorId="0" shapeId="0" xr:uid="{255B18C5-E2D0-4763-AFD3-2F7D661EF997}">
      <text>
        <r>
          <rPr>
            <b/>
            <sz val="10"/>
            <color indexed="81"/>
            <rFont val="Tahoma"/>
            <family val="2"/>
          </rPr>
          <t>Carson, Paul:</t>
        </r>
        <r>
          <rPr>
            <sz val="10"/>
            <color indexed="81"/>
            <rFont val="Tahoma"/>
            <family val="2"/>
          </rPr>
          <t xml:space="preserve">
8/24/22 took stdcell raw area ratio of 63p/63 and multiplied it by am63 lkg.  Then divided by 1.52x to model removal of the 2.5% LVT cells.
On 8/24/23 I modeled the impact of moving to 50% XSVT - a design team goal for all blocks - from 25% XSVT and reducing SVT from 70% to 45%.  XSVT is half the leakage of SVT.  I calculated the leakage impact of this VT mix change and it would reduce leakage by 1/1.18.  I also applied that factor to the subchips, which are being optimized as well.</t>
        </r>
      </text>
    </comment>
    <comment ref="F1625" authorId="0" shapeId="0" xr:uid="{EB1F333F-7B9A-4381-9C1E-875AEC81AACE}">
      <text>
        <r>
          <rPr>
            <b/>
            <sz val="10"/>
            <color indexed="81"/>
            <rFont val="Tahoma"/>
            <family val="2"/>
          </rPr>
          <t>Carson, Paul:</t>
        </r>
        <r>
          <rPr>
            <sz val="10"/>
            <color indexed="81"/>
            <rFont val="Tahoma"/>
            <family val="2"/>
          </rPr>
          <t xml:space="preserve">
8/24/22 took stdcell raw area ratio of 63p/63 and multiplied it by am63 lkg.  Then divided by 1.52x to model removal of the 2.5% LVT cells.
On 8/24/23 I modeled the impact of moving to 50% XSVT - a design team goal for all blocks - from 25% XSVT and reducing SVT from 70% to 45%.  XSVT is half the leakage of SVT.  I calculated the leakage impact of this VT mix change and it would reduce leakage by 1/1.18.  I also applied that factor to the subchips, which are being optimized as well.</t>
        </r>
      </text>
    </comment>
    <comment ref="F1673" authorId="0" shapeId="0" xr:uid="{4186D918-6FE9-409C-8D02-F98C009952C6}">
      <text>
        <r>
          <rPr>
            <b/>
            <sz val="9"/>
            <color indexed="81"/>
            <rFont val="Tahoma"/>
            <family val="2"/>
          </rPr>
          <t>Carson, Paul:</t>
        </r>
        <r>
          <rPr>
            <sz val="9"/>
            <color indexed="81"/>
            <rFont val="Tahoma"/>
            <family val="2"/>
          </rPr>
          <t xml:space="preserve">
8/24/22 move to 50% XSVT reduces leakage by a factor of 1/1.27</t>
        </r>
      </text>
    </comment>
    <comment ref="H1993" authorId="0" shapeId="0" xr:uid="{46CB8BCB-BE07-48D2-97E9-2061C429022D}">
      <text>
        <r>
          <rPr>
            <b/>
            <sz val="10"/>
            <color indexed="81"/>
            <rFont val="Tahoma"/>
            <family val="2"/>
          </rPr>
          <t>Carson, Paul:</t>
        </r>
        <r>
          <rPr>
            <sz val="10"/>
            <color indexed="81"/>
            <rFont val="Tahoma"/>
            <family val="2"/>
          </rPr>
          <t xml:space="preserve">
8/24/22 took stdcell raw area ratio of 63p/63 and multiplied it by am63 lkg.  Then divided by 1.52x to model removal of the 2.5% LVT cells.
On 8/24/23 I modeled the impact of moving to 50% XSVT - a design team goal for all blocks - from 25% XSVT and reducing SVT from 70% to 45%.  XSVT is half the leakage of SVT.  I calculated the leakage impact of this VT mix change and it would reduce leakage by 1/1.18.  I also applied that factor to the subchips, which are being optimized as well.</t>
        </r>
      </text>
    </comment>
    <comment ref="F2041" authorId="0" shapeId="0" xr:uid="{D4FC0104-5054-44D9-A68C-C310D777A844}">
      <text>
        <r>
          <rPr>
            <b/>
            <sz val="9"/>
            <color indexed="81"/>
            <rFont val="Tahoma"/>
            <family val="2"/>
          </rPr>
          <t>Carson, Paul:</t>
        </r>
        <r>
          <rPr>
            <sz val="9"/>
            <color indexed="81"/>
            <rFont val="Tahoma"/>
            <family val="2"/>
          </rPr>
          <t xml:space="preserve">
8/24/22 move to 50% XSVT reduces leakage by a factor of 1/1.27</t>
        </r>
      </text>
    </comment>
    <comment ref="H2041" authorId="0" shapeId="0" xr:uid="{5B28FC53-0D85-4572-9A8D-4F0432058626}">
      <text>
        <r>
          <rPr>
            <b/>
            <sz val="9"/>
            <color indexed="81"/>
            <rFont val="Tahoma"/>
            <family val="2"/>
          </rPr>
          <t>Carson, Paul:</t>
        </r>
        <r>
          <rPr>
            <sz val="9"/>
            <color indexed="81"/>
            <rFont val="Tahoma"/>
            <family val="2"/>
          </rPr>
          <t xml:space="preserve">
8/24/22 move to 50% XSVT reduces leakage by a factor of 1/1.27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CE6818B6-F492-4C76-9ED8-67F7165137A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57F285B6-BDC6-4E6A-BC3C-33C69B729CC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O2" authorId="0" shapeId="0" xr:uid="{CFCCC158-2697-473E-86E4-1C50B71D9C0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Q2" authorId="0" shapeId="0" xr:uid="{F7A735AF-AEF9-421F-967B-FBAEE420BF3C}">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S2" authorId="0" shapeId="0" xr:uid="{14584B69-8F48-496D-BD78-6BA120D0DA7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U2" authorId="0" shapeId="0" xr:uid="{F22EB869-CE1D-408A-9582-BED94833594C}">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W2" authorId="0" shapeId="0" xr:uid="{7711B5CC-E484-49A6-A33E-5063FA8084D3}">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Y2" authorId="0" shapeId="0" xr:uid="{54D73C44-E644-4A9B-8B98-6E1EE508D11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AA2" authorId="0" shapeId="0" xr:uid="{1D5D8861-7A99-4C24-B1DF-053F40233D6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11CF7C7B-4DBB-44DD-B78F-48753E04E639}">
      <text>
        <r>
          <rPr>
            <b/>
            <sz val="9"/>
            <color indexed="81"/>
            <rFont val="Tahoma"/>
            <family val="2"/>
          </rPr>
          <t>Carson, Paul:</t>
        </r>
        <r>
          <rPr>
            <sz val="9"/>
            <color indexed="81"/>
            <rFont val="Tahoma"/>
            <family val="2"/>
          </rPr>
          <t xml:space="preserve">
Used ppt from Jonathan dated "October 2017".</t>
        </r>
      </text>
    </comment>
    <comment ref="E5" authorId="1" shapeId="0" xr:uid="{4E4F7A15-0334-4581-B9E0-1B14718DC690}">
      <text>
        <r>
          <rPr>
            <b/>
            <sz val="9"/>
            <color indexed="81"/>
            <rFont val="Tahoma"/>
            <family val="2"/>
          </rPr>
          <t>Carson, Paul:</t>
        </r>
        <r>
          <rPr>
            <sz val="9"/>
            <color indexed="81"/>
            <rFont val="Tahoma"/>
            <family val="2"/>
          </rPr>
          <t xml:space="preserve">
Used ppt from Jonathan dated "October 2017".</t>
        </r>
      </text>
    </comment>
    <comment ref="G5" authorId="1" shapeId="0" xr:uid="{CF36BE82-CC11-439C-A272-CF27E3DFCD99}">
      <text>
        <r>
          <rPr>
            <b/>
            <sz val="9"/>
            <color indexed="81"/>
            <rFont val="Tahoma"/>
            <family val="2"/>
          </rPr>
          <t>Carson, Paul:</t>
        </r>
        <r>
          <rPr>
            <sz val="9"/>
            <color indexed="81"/>
            <rFont val="Tahoma"/>
            <family val="2"/>
          </rPr>
          <t xml:space="preserve">
Used ppt from Jonathan dated "October 2017".</t>
        </r>
      </text>
    </comment>
    <comment ref="I5" authorId="1" shapeId="0" xr:uid="{03106F1C-C67D-41B5-896E-EBBF1507EE16}">
      <text>
        <r>
          <rPr>
            <b/>
            <sz val="9"/>
            <color indexed="81"/>
            <rFont val="Tahoma"/>
            <family val="2"/>
          </rPr>
          <t>Carson, Paul:</t>
        </r>
        <r>
          <rPr>
            <sz val="9"/>
            <color indexed="81"/>
            <rFont val="Tahoma"/>
            <family val="2"/>
          </rPr>
          <t xml:space="preserve">
Used ppt from Jonathan dated "October 2017".</t>
        </r>
      </text>
    </comment>
    <comment ref="K5" authorId="1" shapeId="0" xr:uid="{67624667-0B8D-4076-BE3D-5B8ADF221B17}">
      <text>
        <r>
          <rPr>
            <b/>
            <sz val="9"/>
            <color indexed="81"/>
            <rFont val="Tahoma"/>
            <family val="2"/>
          </rPr>
          <t>Carson, Paul:</t>
        </r>
        <r>
          <rPr>
            <sz val="9"/>
            <color indexed="81"/>
            <rFont val="Tahoma"/>
            <family val="2"/>
          </rPr>
          <t xml:space="preserve">
Used ppt from Jonathan dated "October 2017".</t>
        </r>
      </text>
    </comment>
    <comment ref="M5" authorId="1" shapeId="0" xr:uid="{76D2A3D8-0654-4529-9056-7B56AEEC031E}">
      <text>
        <r>
          <rPr>
            <b/>
            <sz val="9"/>
            <color indexed="81"/>
            <rFont val="Tahoma"/>
            <family val="2"/>
          </rPr>
          <t>Carson, Paul:</t>
        </r>
        <r>
          <rPr>
            <sz val="9"/>
            <color indexed="81"/>
            <rFont val="Tahoma"/>
            <family val="2"/>
          </rPr>
          <t xml:space="preserve">
Used ppt from Jonathan dated "October 2017".</t>
        </r>
      </text>
    </comment>
    <comment ref="O5" authorId="1" shapeId="0" xr:uid="{909046C5-D616-440F-85BE-DE4BC734705C}">
      <text>
        <r>
          <rPr>
            <b/>
            <sz val="9"/>
            <color indexed="81"/>
            <rFont val="Tahoma"/>
            <family val="2"/>
          </rPr>
          <t>Carson, Paul:</t>
        </r>
        <r>
          <rPr>
            <sz val="9"/>
            <color indexed="81"/>
            <rFont val="Tahoma"/>
            <family val="2"/>
          </rPr>
          <t xml:space="preserve">
Used ppt from Jonathan dated "October 2017".</t>
        </r>
      </text>
    </comment>
    <comment ref="Q5" authorId="1" shapeId="0" xr:uid="{8C2F1F02-2834-427B-83EC-4F5EA01ADE1C}">
      <text>
        <r>
          <rPr>
            <b/>
            <sz val="9"/>
            <color indexed="81"/>
            <rFont val="Tahoma"/>
            <family val="2"/>
          </rPr>
          <t>Carson, Paul:</t>
        </r>
        <r>
          <rPr>
            <sz val="9"/>
            <color indexed="81"/>
            <rFont val="Tahoma"/>
            <family val="2"/>
          </rPr>
          <t xml:space="preserve">
Used ppt from Jonathan dated "October 2017".</t>
        </r>
      </text>
    </comment>
    <comment ref="S5" authorId="1" shapeId="0" xr:uid="{68B90E89-DA19-4C04-9122-B52087CCAA9F}">
      <text>
        <r>
          <rPr>
            <b/>
            <sz val="9"/>
            <color indexed="81"/>
            <rFont val="Tahoma"/>
            <family val="2"/>
          </rPr>
          <t>Carson, Paul:</t>
        </r>
        <r>
          <rPr>
            <sz val="9"/>
            <color indexed="81"/>
            <rFont val="Tahoma"/>
            <family val="2"/>
          </rPr>
          <t xml:space="preserve">
Used ppt from Jonathan dated "October 2017".</t>
        </r>
      </text>
    </comment>
    <comment ref="U5" authorId="1" shapeId="0" xr:uid="{2F8F1B57-428F-4D28-A8CF-D14F1832FE25}">
      <text>
        <r>
          <rPr>
            <b/>
            <sz val="9"/>
            <color indexed="81"/>
            <rFont val="Tahoma"/>
            <family val="2"/>
          </rPr>
          <t>Carson, Paul:</t>
        </r>
        <r>
          <rPr>
            <sz val="9"/>
            <color indexed="81"/>
            <rFont val="Tahoma"/>
            <family val="2"/>
          </rPr>
          <t xml:space="preserve">
Used ppt from Jonathan dated "October 2017".</t>
        </r>
      </text>
    </comment>
    <comment ref="W5" authorId="1" shapeId="0" xr:uid="{5801F450-30C1-4877-B688-1A17989C1F46}">
      <text>
        <r>
          <rPr>
            <b/>
            <sz val="9"/>
            <color indexed="81"/>
            <rFont val="Tahoma"/>
            <family val="2"/>
          </rPr>
          <t>Carson, Paul:</t>
        </r>
        <r>
          <rPr>
            <sz val="9"/>
            <color indexed="81"/>
            <rFont val="Tahoma"/>
            <family val="2"/>
          </rPr>
          <t xml:space="preserve">
Used ppt from Jonathan dated "October 2017".</t>
        </r>
      </text>
    </comment>
    <comment ref="Y5" authorId="1" shapeId="0" xr:uid="{C5179909-D4EC-454F-B807-955F421D8887}">
      <text>
        <r>
          <rPr>
            <b/>
            <sz val="9"/>
            <color indexed="81"/>
            <rFont val="Tahoma"/>
            <family val="2"/>
          </rPr>
          <t>Carson, Paul:</t>
        </r>
        <r>
          <rPr>
            <sz val="9"/>
            <color indexed="81"/>
            <rFont val="Tahoma"/>
            <family val="2"/>
          </rPr>
          <t xml:space="preserve">
Used ppt from Jonathan dated "October 2017".</t>
        </r>
      </text>
    </comment>
    <comment ref="AA5" authorId="1" shapeId="0" xr:uid="{5668C102-74AF-4251-82E1-560589C64C77}">
      <text>
        <r>
          <rPr>
            <b/>
            <sz val="9"/>
            <color indexed="81"/>
            <rFont val="Tahoma"/>
            <family val="2"/>
          </rPr>
          <t>Carson, Paul:</t>
        </r>
        <r>
          <rPr>
            <sz val="9"/>
            <color indexed="81"/>
            <rFont val="Tahoma"/>
            <family val="2"/>
          </rPr>
          <t xml:space="preserve">
Used ppt from Jonathan dated "October 2017".</t>
        </r>
      </text>
    </comment>
    <comment ref="K19" authorId="1" shapeId="0" xr:uid="{9D1DDCB0-9943-4983-84A4-72DAD8B905D2}">
      <text>
        <r>
          <rPr>
            <b/>
            <sz val="9"/>
            <color indexed="81"/>
            <rFont val="Tahoma"/>
            <family val="2"/>
          </rPr>
          <t>Carson, Paul:</t>
        </r>
        <r>
          <rPr>
            <sz val="9"/>
            <color indexed="81"/>
            <rFont val="Tahoma"/>
            <family val="2"/>
          </rPr>
          <t xml:space="preserve">
RMII debug/service mode</t>
        </r>
      </text>
    </comment>
    <comment ref="K20" authorId="1" shapeId="0" xr:uid="{E0EBAD97-0A90-4714-A839-BCBC453A98D4}">
      <text>
        <r>
          <rPr>
            <b/>
            <sz val="9"/>
            <color indexed="81"/>
            <rFont val="Tahoma"/>
            <family val="2"/>
          </rPr>
          <t>Carson, Paul:</t>
        </r>
        <r>
          <rPr>
            <sz val="9"/>
            <color indexed="81"/>
            <rFont val="Tahoma"/>
            <family val="2"/>
          </rPr>
          <t xml:space="preserve">
RMII debug/service mode</t>
        </r>
      </text>
    </comment>
    <comment ref="K25" authorId="1" shapeId="0" xr:uid="{24A9E602-FD9B-45FD-85DF-D683C1297FD8}">
      <text>
        <r>
          <rPr>
            <b/>
            <sz val="9"/>
            <color indexed="81"/>
            <rFont val="Tahoma"/>
            <family val="2"/>
          </rPr>
          <t>Carson, Paul:</t>
        </r>
        <r>
          <rPr>
            <sz val="9"/>
            <color indexed="81"/>
            <rFont val="Tahoma"/>
            <family val="2"/>
          </rPr>
          <t xml:space="preserve">
4 CANFD @ 50% packet load - 2 for redundancy only.</t>
        </r>
      </text>
    </comment>
    <comment ref="M25" authorId="1" shapeId="0" xr:uid="{A2B3CB13-A72C-4D67-8725-92122DB906AE}">
      <text>
        <r>
          <rPr>
            <b/>
            <sz val="9"/>
            <color indexed="81"/>
            <rFont val="Tahoma"/>
            <family val="2"/>
          </rPr>
          <t>Carson, Paul:</t>
        </r>
        <r>
          <rPr>
            <sz val="9"/>
            <color indexed="81"/>
            <rFont val="Tahoma"/>
            <family val="2"/>
          </rPr>
          <t xml:space="preserve">
2 CANFD active at 50% packet load
</t>
        </r>
      </text>
    </comment>
    <comment ref="Q25" authorId="1" shapeId="0" xr:uid="{1D816D1B-06A7-4DC5-8BD6-495AADD0F39C}">
      <text>
        <r>
          <rPr>
            <b/>
            <sz val="9"/>
            <color indexed="81"/>
            <rFont val="Tahoma"/>
            <family val="2"/>
          </rPr>
          <t>Carson, Paul:</t>
        </r>
        <r>
          <rPr>
            <sz val="9"/>
            <color indexed="81"/>
            <rFont val="Tahoma"/>
            <family val="2"/>
          </rPr>
          <t xml:space="preserve">
2 CANFD active at 50% packet load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00000000-0006-0000-0A00-00000100000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EC4EF6DB-6FF4-40CD-90A6-F0ED5A82F661}">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O2" authorId="0" shapeId="0" xr:uid="{9FECA349-A158-4481-83C4-0E68FBADBFF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Q2" authorId="0" shapeId="0" xr:uid="{8FB2AAFF-8DCB-42B5-AC8E-6F2B9D995AE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S2" authorId="0" shapeId="0" xr:uid="{902CFCA5-F42A-4DC0-821C-BE726C54DAA8}">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U2" authorId="0" shapeId="0" xr:uid="{8CE284B8-EE40-4251-8E76-135CE8A7331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W2" authorId="0" shapeId="0" xr:uid="{00000000-0006-0000-0A00-00000700000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Y2" authorId="0" shapeId="0" xr:uid="{00000000-0006-0000-0A00-00000800000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00000000-0006-0000-0A00-000060000000}">
      <text>
        <r>
          <rPr>
            <b/>
            <sz val="9"/>
            <color indexed="81"/>
            <rFont val="Tahoma"/>
            <family val="2"/>
          </rPr>
          <t>Carson, Paul:</t>
        </r>
        <r>
          <rPr>
            <sz val="9"/>
            <color indexed="81"/>
            <rFont val="Tahoma"/>
            <family val="2"/>
          </rPr>
          <t xml:space="preserve">
Used ppt from Jonathan dated "October 2017".</t>
        </r>
      </text>
    </comment>
    <comment ref="E5" authorId="1" shapeId="0" xr:uid="{EADD8723-E2D6-47DB-8D73-609BB044BB22}">
      <text>
        <r>
          <rPr>
            <b/>
            <sz val="9"/>
            <color indexed="81"/>
            <rFont val="Tahoma"/>
            <family val="2"/>
          </rPr>
          <t>Carson, Paul:</t>
        </r>
        <r>
          <rPr>
            <sz val="9"/>
            <color indexed="81"/>
            <rFont val="Tahoma"/>
            <family val="2"/>
          </rPr>
          <t xml:space="preserve">
Used ppt from Jonathan dated "October 2017".</t>
        </r>
      </text>
    </comment>
    <comment ref="G5" authorId="1" shapeId="0" xr:uid="{AFE9068D-D8E8-4196-9296-DC25E0788444}">
      <text>
        <r>
          <rPr>
            <b/>
            <sz val="9"/>
            <color indexed="81"/>
            <rFont val="Tahoma"/>
            <family val="2"/>
          </rPr>
          <t>Carson, Paul:</t>
        </r>
        <r>
          <rPr>
            <sz val="9"/>
            <color indexed="81"/>
            <rFont val="Tahoma"/>
            <family val="2"/>
          </rPr>
          <t xml:space="preserve">
Used ppt from Jonathan dated "October 2017".</t>
        </r>
      </text>
    </comment>
    <comment ref="I5" authorId="1" shapeId="0" xr:uid="{DA4C88AE-4397-4598-9868-BA8E006C90D3}">
      <text>
        <r>
          <rPr>
            <b/>
            <sz val="9"/>
            <color indexed="81"/>
            <rFont val="Tahoma"/>
            <family val="2"/>
          </rPr>
          <t>Carson, Paul:</t>
        </r>
        <r>
          <rPr>
            <sz val="9"/>
            <color indexed="81"/>
            <rFont val="Tahoma"/>
            <family val="2"/>
          </rPr>
          <t xml:space="preserve">
Used ppt from Jonathan dated "October 2017".</t>
        </r>
      </text>
    </comment>
    <comment ref="K5" authorId="1" shapeId="0" xr:uid="{9E7A123E-D77A-49A8-B040-E4EAD94BC1C4}">
      <text>
        <r>
          <rPr>
            <b/>
            <sz val="9"/>
            <color indexed="81"/>
            <rFont val="Tahoma"/>
            <family val="2"/>
          </rPr>
          <t>Carson, Paul:</t>
        </r>
        <r>
          <rPr>
            <sz val="9"/>
            <color indexed="81"/>
            <rFont val="Tahoma"/>
            <family val="2"/>
          </rPr>
          <t xml:space="preserve">
Used ppt from Jonathan dated "October 2017".</t>
        </r>
      </text>
    </comment>
    <comment ref="M5" authorId="1" shapeId="0" xr:uid="{05A0ACB3-2E84-4D27-9180-82909A62058A}">
      <text>
        <r>
          <rPr>
            <b/>
            <sz val="9"/>
            <color indexed="81"/>
            <rFont val="Tahoma"/>
            <family val="2"/>
          </rPr>
          <t>Carson, Paul:</t>
        </r>
        <r>
          <rPr>
            <sz val="9"/>
            <color indexed="81"/>
            <rFont val="Tahoma"/>
            <family val="2"/>
          </rPr>
          <t xml:space="preserve">
Used ppt from Jonathan dated "October 2017".</t>
        </r>
      </text>
    </comment>
    <comment ref="O5" authorId="1" shapeId="0" xr:uid="{52EDC053-3D00-4C9F-8B7E-D91A311A4D7B}">
      <text>
        <r>
          <rPr>
            <b/>
            <sz val="9"/>
            <color indexed="81"/>
            <rFont val="Tahoma"/>
            <family val="2"/>
          </rPr>
          <t>Carson, Paul:</t>
        </r>
        <r>
          <rPr>
            <sz val="9"/>
            <color indexed="81"/>
            <rFont val="Tahoma"/>
            <family val="2"/>
          </rPr>
          <t xml:space="preserve">
Used ppt from Jonathan dated "October 2017".</t>
        </r>
      </text>
    </comment>
    <comment ref="Q5" authorId="1" shapeId="0" xr:uid="{44F9BC19-DA5B-4C6A-90FB-DDA4F7D9520C}">
      <text>
        <r>
          <rPr>
            <b/>
            <sz val="9"/>
            <color indexed="81"/>
            <rFont val="Tahoma"/>
            <family val="2"/>
          </rPr>
          <t>Carson, Paul:</t>
        </r>
        <r>
          <rPr>
            <sz val="9"/>
            <color indexed="81"/>
            <rFont val="Tahoma"/>
            <family val="2"/>
          </rPr>
          <t xml:space="preserve">
Used ppt from Jonathan dated "October 2017".</t>
        </r>
      </text>
    </comment>
    <comment ref="S5" authorId="1" shapeId="0" xr:uid="{E3152AED-EF9D-4CCA-B083-06BD7031D3E4}">
      <text>
        <r>
          <rPr>
            <b/>
            <sz val="9"/>
            <color indexed="81"/>
            <rFont val="Tahoma"/>
            <family val="2"/>
          </rPr>
          <t>Carson, Paul:</t>
        </r>
        <r>
          <rPr>
            <sz val="9"/>
            <color indexed="81"/>
            <rFont val="Tahoma"/>
            <family val="2"/>
          </rPr>
          <t xml:space="preserve">
Used ppt from Jonathan dated "October 2017".</t>
        </r>
      </text>
    </comment>
    <comment ref="U5" authorId="1" shapeId="0" xr:uid="{ED7F2444-CB7E-4174-A94F-AA292CA86B75}">
      <text>
        <r>
          <rPr>
            <b/>
            <sz val="9"/>
            <color indexed="81"/>
            <rFont val="Tahoma"/>
            <family val="2"/>
          </rPr>
          <t>Carson, Paul:</t>
        </r>
        <r>
          <rPr>
            <sz val="9"/>
            <color indexed="81"/>
            <rFont val="Tahoma"/>
            <family val="2"/>
          </rPr>
          <t xml:space="preserve">
Used ppt from Jonathan dated "October 2017".</t>
        </r>
      </text>
    </comment>
    <comment ref="W5" authorId="1" shapeId="0" xr:uid="{894824DE-A897-44B3-99AF-78B01461CD32}">
      <text>
        <r>
          <rPr>
            <b/>
            <sz val="9"/>
            <color indexed="81"/>
            <rFont val="Tahoma"/>
            <family val="2"/>
          </rPr>
          <t>Carson, Paul:</t>
        </r>
        <r>
          <rPr>
            <sz val="9"/>
            <color indexed="81"/>
            <rFont val="Tahoma"/>
            <family val="2"/>
          </rPr>
          <t xml:space="preserve">
Used ppt from Jonathan dated "October 2017".</t>
        </r>
      </text>
    </comment>
    <comment ref="Y5" authorId="1" shapeId="0" xr:uid="{0DD3B6D7-B53E-4618-AD5D-5256F0D226E5}">
      <text>
        <r>
          <rPr>
            <b/>
            <sz val="9"/>
            <color indexed="81"/>
            <rFont val="Tahoma"/>
            <family val="2"/>
          </rPr>
          <t>Carson, Paul:</t>
        </r>
        <r>
          <rPr>
            <sz val="9"/>
            <color indexed="81"/>
            <rFont val="Tahoma"/>
            <family val="2"/>
          </rPr>
          <t xml:space="preserve">
Used ppt from Jonathan dated "October 2017".</t>
        </r>
      </text>
    </comment>
    <comment ref="B15" authorId="1" shapeId="0" xr:uid="{7FD1904F-F919-4AE7-84C8-30A55061E446}">
      <text>
        <r>
          <rPr>
            <sz val="9"/>
            <color indexed="81"/>
            <rFont val="Tahoma"/>
            <family val="2"/>
          </rPr>
          <t>These cells contain a % which represents the simulated % of the dynamic power not contained in the white rows).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92AD6169-3147-4A89-BFD5-38BDFAECB4C2}">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EB71AC78-E45A-4FC5-9A96-953E8C0A9B36}">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4CA54488-BFAE-4D45-AC1D-67AEB5D9521D}">
      <text>
        <r>
          <rPr>
            <b/>
            <sz val="9"/>
            <color indexed="81"/>
            <rFont val="Tahoma"/>
            <family val="2"/>
          </rPr>
          <t>Carson, Paul:</t>
        </r>
        <r>
          <rPr>
            <sz val="9"/>
            <color indexed="81"/>
            <rFont val="Tahoma"/>
            <family val="2"/>
          </rPr>
          <t xml:space="preserve">
Used ppt from Jonathan dated "October 2017".</t>
        </r>
      </text>
    </comment>
    <comment ref="E5" authorId="1" shapeId="0" xr:uid="{43AB2726-2ADF-486A-9504-D0CC1FC65061}">
      <text>
        <r>
          <rPr>
            <b/>
            <sz val="9"/>
            <color indexed="81"/>
            <rFont val="Tahoma"/>
            <family val="2"/>
          </rPr>
          <t>Carson, Paul:</t>
        </r>
        <r>
          <rPr>
            <sz val="9"/>
            <color indexed="81"/>
            <rFont val="Tahoma"/>
            <family val="2"/>
          </rPr>
          <t xml:space="preserve">
Used ppt from Jonathan dated "October 2017".</t>
        </r>
      </text>
    </comment>
    <comment ref="G5" authorId="1" shapeId="0" xr:uid="{2F5DE26E-3557-4549-AF8D-0549DCABBCFB}">
      <text>
        <r>
          <rPr>
            <b/>
            <sz val="9"/>
            <color indexed="81"/>
            <rFont val="Tahoma"/>
            <family val="2"/>
          </rPr>
          <t>Carson, Paul:</t>
        </r>
        <r>
          <rPr>
            <sz val="9"/>
            <color indexed="81"/>
            <rFont val="Tahoma"/>
            <family val="2"/>
          </rPr>
          <t xml:space="preserve">
Used ppt from Jonathan dated "October 2017".</t>
        </r>
      </text>
    </comment>
    <comment ref="I5" authorId="1" shapeId="0" xr:uid="{550FF762-61A0-4119-A5C2-6598D01D660C}">
      <text>
        <r>
          <rPr>
            <b/>
            <sz val="9"/>
            <color indexed="81"/>
            <rFont val="Tahoma"/>
            <family val="2"/>
          </rPr>
          <t>Carson, Paul:</t>
        </r>
        <r>
          <rPr>
            <sz val="9"/>
            <color indexed="81"/>
            <rFont val="Tahoma"/>
            <family val="2"/>
          </rPr>
          <t xml:space="preserve">
Used ppt from Jonathan dated "October 2017".</t>
        </r>
      </text>
    </comment>
    <comment ref="K5" authorId="1" shapeId="0" xr:uid="{CC1EBA3F-3FDE-4242-B9D7-C76755283A32}">
      <text>
        <r>
          <rPr>
            <b/>
            <sz val="9"/>
            <color indexed="81"/>
            <rFont val="Tahoma"/>
            <family val="2"/>
          </rPr>
          <t>Carson, Paul:</t>
        </r>
        <r>
          <rPr>
            <sz val="9"/>
            <color indexed="81"/>
            <rFont val="Tahoma"/>
            <family val="2"/>
          </rPr>
          <t xml:space="preserve">
Used ppt from Jonathan dated "October 2017".</t>
        </r>
      </text>
    </comment>
    <comment ref="M5" authorId="1" shapeId="0" xr:uid="{78259718-2DCC-4E34-BF81-7B81862B2D3C}">
      <text>
        <r>
          <rPr>
            <b/>
            <sz val="9"/>
            <color indexed="81"/>
            <rFont val="Tahoma"/>
            <family val="2"/>
          </rPr>
          <t>Carson, Paul:</t>
        </r>
        <r>
          <rPr>
            <sz val="9"/>
            <color indexed="81"/>
            <rFont val="Tahoma"/>
            <family val="2"/>
          </rPr>
          <t xml:space="preserve">
Used ppt from Jonathan dated "October 2017".</t>
        </r>
      </text>
    </comment>
    <comment ref="K15" authorId="1" shapeId="0" xr:uid="{02A4234D-F835-4EAB-BB6D-39D95D374785}">
      <text>
        <r>
          <rPr>
            <b/>
            <sz val="9"/>
            <color indexed="81"/>
            <rFont val="Tahoma"/>
            <family val="2"/>
          </rPr>
          <t>Carson, Paul:</t>
        </r>
        <r>
          <rPr>
            <sz val="9"/>
            <color indexed="81"/>
            <rFont val="Tahoma"/>
            <family val="2"/>
          </rPr>
          <t xml:space="preserve">
RMII debug/service mode</t>
        </r>
      </text>
    </comment>
    <comment ref="K18" authorId="1" shapeId="0" xr:uid="{02138EFD-23A8-47CE-B94F-1E1A343C2796}">
      <text>
        <r>
          <rPr>
            <b/>
            <sz val="9"/>
            <color indexed="81"/>
            <rFont val="Tahoma"/>
            <family val="2"/>
          </rPr>
          <t>Carson, Paul:</t>
        </r>
        <r>
          <rPr>
            <sz val="9"/>
            <color indexed="81"/>
            <rFont val="Tahoma"/>
            <family val="2"/>
          </rPr>
          <t xml:space="preserve">
4 CANFD @ 50% packet load - 2 for redundancy only.</t>
        </r>
      </text>
    </comment>
    <comment ref="M18" authorId="1" shapeId="0" xr:uid="{4A6AA425-C45A-4EA3-B481-50EEEECE7F54}">
      <text>
        <r>
          <rPr>
            <b/>
            <sz val="9"/>
            <color indexed="81"/>
            <rFont val="Tahoma"/>
            <family val="2"/>
          </rPr>
          <t>Carson, Paul:</t>
        </r>
        <r>
          <rPr>
            <sz val="9"/>
            <color indexed="81"/>
            <rFont val="Tahoma"/>
            <family val="2"/>
          </rPr>
          <t xml:space="preserve">
2 CANFD active at 50% packet load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C3A71D00-8666-4FE4-8A33-DA68DDE2AFF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17A6D998-8B01-45CC-A4E2-9BD293BCCCD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23BC9DC0-5902-4F56-9BE1-7D021EDCC631}">
      <text>
        <r>
          <rPr>
            <b/>
            <sz val="9"/>
            <color indexed="81"/>
            <rFont val="Tahoma"/>
            <family val="2"/>
          </rPr>
          <t>Carson, Paul:</t>
        </r>
        <r>
          <rPr>
            <sz val="9"/>
            <color indexed="81"/>
            <rFont val="Tahoma"/>
            <family val="2"/>
          </rPr>
          <t xml:space="preserve">
Used ppt from Jonathan dated "October 2017".</t>
        </r>
      </text>
    </comment>
    <comment ref="E5" authorId="1" shapeId="0" xr:uid="{507BA1C6-CDF4-4841-8F49-814AD3250D4E}">
      <text>
        <r>
          <rPr>
            <b/>
            <sz val="9"/>
            <color indexed="81"/>
            <rFont val="Tahoma"/>
            <family val="2"/>
          </rPr>
          <t>Carson, Paul:</t>
        </r>
        <r>
          <rPr>
            <sz val="9"/>
            <color indexed="81"/>
            <rFont val="Tahoma"/>
            <family val="2"/>
          </rPr>
          <t xml:space="preserve">
Used ppt from Jonathan dated "October 2017".</t>
        </r>
      </text>
    </comment>
    <comment ref="G5" authorId="1" shapeId="0" xr:uid="{0DC16935-C4AB-4416-B9A4-9D5B04557D8E}">
      <text>
        <r>
          <rPr>
            <b/>
            <sz val="9"/>
            <color indexed="81"/>
            <rFont val="Tahoma"/>
            <family val="2"/>
          </rPr>
          <t>Carson, Paul:</t>
        </r>
        <r>
          <rPr>
            <sz val="9"/>
            <color indexed="81"/>
            <rFont val="Tahoma"/>
            <family val="2"/>
          </rPr>
          <t xml:space="preserve">
Used ppt from Jonathan dated "October 2017".</t>
        </r>
      </text>
    </comment>
    <comment ref="I5" authorId="1" shapeId="0" xr:uid="{B53C183C-F961-4FCC-84A1-DE6C66F341F7}">
      <text>
        <r>
          <rPr>
            <b/>
            <sz val="9"/>
            <color indexed="81"/>
            <rFont val="Tahoma"/>
            <family val="2"/>
          </rPr>
          <t>Carson, Paul:</t>
        </r>
        <r>
          <rPr>
            <sz val="9"/>
            <color indexed="81"/>
            <rFont val="Tahoma"/>
            <family val="2"/>
          </rPr>
          <t xml:space="preserve">
Used ppt from Jonathan dated "October 2017".</t>
        </r>
      </text>
    </comment>
    <comment ref="K5" authorId="1" shapeId="0" xr:uid="{681AF62C-6FD1-4623-B871-8E9A956A3868}">
      <text>
        <r>
          <rPr>
            <b/>
            <sz val="9"/>
            <color indexed="81"/>
            <rFont val="Tahoma"/>
            <family val="2"/>
          </rPr>
          <t>Carson, Paul:</t>
        </r>
        <r>
          <rPr>
            <sz val="9"/>
            <color indexed="81"/>
            <rFont val="Tahoma"/>
            <family val="2"/>
          </rPr>
          <t xml:space="preserve">
Used ppt from Jonathan dated "October 2017".</t>
        </r>
      </text>
    </comment>
    <comment ref="M5" authorId="1" shapeId="0" xr:uid="{8E255C1E-1268-44D3-8723-7BA37042AD87}">
      <text>
        <r>
          <rPr>
            <b/>
            <sz val="9"/>
            <color indexed="81"/>
            <rFont val="Tahoma"/>
            <family val="2"/>
          </rPr>
          <t>Carson, Paul:</t>
        </r>
        <r>
          <rPr>
            <sz val="9"/>
            <color indexed="81"/>
            <rFont val="Tahoma"/>
            <family val="2"/>
          </rPr>
          <t xml:space="preserve">
Used ppt from Jonathan dated "October 2017".</t>
        </r>
      </text>
    </comment>
    <comment ref="K17" authorId="1" shapeId="0" xr:uid="{4967C0FD-1C60-43C2-BDA6-E94B0C59694A}">
      <text>
        <r>
          <rPr>
            <b/>
            <sz val="9"/>
            <color indexed="81"/>
            <rFont val="Tahoma"/>
            <family val="2"/>
          </rPr>
          <t>Carson, Paul:</t>
        </r>
        <r>
          <rPr>
            <sz val="9"/>
            <color indexed="81"/>
            <rFont val="Tahoma"/>
            <family val="2"/>
          </rPr>
          <t xml:space="preserve">
RMII debug/service mode</t>
        </r>
      </text>
    </comment>
    <comment ref="K20" authorId="1" shapeId="0" xr:uid="{86DBDD30-25DF-4811-8467-BA0AF9DA68FB}">
      <text>
        <r>
          <rPr>
            <b/>
            <sz val="9"/>
            <color indexed="81"/>
            <rFont val="Tahoma"/>
            <family val="2"/>
          </rPr>
          <t>Carson, Paul:</t>
        </r>
        <r>
          <rPr>
            <sz val="9"/>
            <color indexed="81"/>
            <rFont val="Tahoma"/>
            <family val="2"/>
          </rPr>
          <t xml:space="preserve">
4 CANFD @ 50% packet load - 2 for redundancy only.</t>
        </r>
      </text>
    </comment>
    <comment ref="M20" authorId="1" shapeId="0" xr:uid="{22EC664D-C3DD-42E9-8A50-393546129E36}">
      <text>
        <r>
          <rPr>
            <b/>
            <sz val="9"/>
            <color indexed="81"/>
            <rFont val="Tahoma"/>
            <family val="2"/>
          </rPr>
          <t>Carson, Paul:</t>
        </r>
        <r>
          <rPr>
            <sz val="9"/>
            <color indexed="81"/>
            <rFont val="Tahoma"/>
            <family val="2"/>
          </rPr>
          <t xml:space="preserve">
2 CANFD active at 50% packet load
</t>
        </r>
      </text>
    </comment>
  </commentList>
</comments>
</file>

<file path=xl/sharedStrings.xml><?xml version="1.0" encoding="utf-8"?>
<sst xmlns="http://schemas.openxmlformats.org/spreadsheetml/2006/main" count="29270" uniqueCount="6571">
  <si>
    <t>Type</t>
  </si>
  <si>
    <t>type</t>
  </si>
  <si>
    <t>QTY</t>
  </si>
  <si>
    <t>Block Name</t>
  </si>
  <si>
    <t>Total</t>
  </si>
  <si>
    <t>VDD</t>
  </si>
  <si>
    <t>Temperature</t>
  </si>
  <si>
    <t>ICSSM</t>
  </si>
  <si>
    <t>GP_Core_CTL</t>
  </si>
  <si>
    <t>Instance Name</t>
  </si>
  <si>
    <t>Physical Name</t>
  </si>
  <si>
    <t>_0</t>
  </si>
  <si>
    <t>_1</t>
  </si>
  <si>
    <t>_2</t>
  </si>
  <si>
    <t>_3</t>
  </si>
  <si>
    <t>_4</t>
  </si>
  <si>
    <t>_5</t>
  </si>
  <si>
    <t>_6</t>
  </si>
  <si>
    <t>_7</t>
  </si>
  <si>
    <t>_8</t>
  </si>
  <si>
    <t>_multiple</t>
  </si>
  <si>
    <t>Release</t>
  </si>
  <si>
    <t>_9</t>
  </si>
  <si>
    <t>_10</t>
  </si>
  <si>
    <t>_11</t>
  </si>
  <si>
    <t>eQEP_0</t>
  </si>
  <si>
    <t>eQEP_1</t>
  </si>
  <si>
    <t>eQEP_2</t>
  </si>
  <si>
    <t>I2C_1</t>
  </si>
  <si>
    <t>I2C_2</t>
  </si>
  <si>
    <t>I2C_1mbs</t>
  </si>
  <si>
    <t>I2C_3</t>
  </si>
  <si>
    <t>McASP_0</t>
  </si>
  <si>
    <t>McASP_1</t>
  </si>
  <si>
    <t>McASP_2</t>
  </si>
  <si>
    <t>I2C_4</t>
  </si>
  <si>
    <t>VDD lkg</t>
  </si>
  <si>
    <t>I2C_OD_0</t>
  </si>
  <si>
    <t>Use Case Mode</t>
  </si>
  <si>
    <t>Idle</t>
  </si>
  <si>
    <t>N/A</t>
  </si>
  <si>
    <t>LVCMOS IO</t>
  </si>
  <si>
    <t>Description</t>
  </si>
  <si>
    <t>Description of Use Case as in SRD</t>
  </si>
  <si>
    <t>Long Name</t>
  </si>
  <si>
    <t>CAN FD off</t>
  </si>
  <si>
    <t>100% utilization for trend tracking</t>
  </si>
  <si>
    <t>Leakage</t>
  </si>
  <si>
    <t>TBD6</t>
  </si>
  <si>
    <t>TBD7</t>
  </si>
  <si>
    <t>100%</t>
  </si>
  <si>
    <t>VD_Core VDD</t>
  </si>
  <si>
    <t>Burn In</t>
  </si>
  <si>
    <t>Source</t>
  </si>
  <si>
    <t>P Carson</t>
  </si>
  <si>
    <t>Updated on:</t>
  </si>
  <si>
    <t>Target Power</t>
  </si>
  <si>
    <t>TBD</t>
  </si>
  <si>
    <t>Complex IO Utilization &amp; Modes</t>
  </si>
  <si>
    <t>Transistor Type</t>
  </si>
  <si>
    <t>200 mhz Scan Shift, 50% toggle on flops, all blocks on, 0.8V room temp</t>
  </si>
  <si>
    <t>VDD_Core</t>
  </si>
  <si>
    <t>Stuck At Test (Scan)</t>
  </si>
  <si>
    <t>Aurora</t>
  </si>
  <si>
    <t>Date</t>
  </si>
  <si>
    <t>CBA</t>
  </si>
  <si>
    <t>SPI</t>
  </si>
  <si>
    <t>UART</t>
  </si>
  <si>
    <t>GPIO</t>
  </si>
  <si>
    <t>I2C</t>
  </si>
  <si>
    <t>LIN</t>
  </si>
  <si>
    <t>_12</t>
  </si>
  <si>
    <t>_13</t>
  </si>
  <si>
    <t>_14</t>
  </si>
  <si>
    <t>_15</t>
  </si>
  <si>
    <t>_16</t>
  </si>
  <si>
    <t>_17</t>
  </si>
  <si>
    <t>_18</t>
  </si>
  <si>
    <t>_19</t>
  </si>
  <si>
    <t>strong</t>
  </si>
  <si>
    <t>DFTSS</t>
  </si>
  <si>
    <t>LVCMOS</t>
  </si>
  <si>
    <t>UC 1.1</t>
  </si>
  <si>
    <t>UC 1.2</t>
  </si>
  <si>
    <t>UC 2.1</t>
  </si>
  <si>
    <t>Automotive Traction Invertor</t>
  </si>
  <si>
    <t>Automotive Advance Power Convertor</t>
  </si>
  <si>
    <t>Industrial AC Invertor</t>
  </si>
  <si>
    <t>Industrial Communications Remote IO</t>
  </si>
  <si>
    <t>Industrial Grid Fixed String Invertor</t>
  </si>
  <si>
    <t>1.4W&lt;</t>
  </si>
  <si>
    <t>1.8W&lt;</t>
  </si>
  <si>
    <t>1.1W&lt;</t>
  </si>
  <si>
    <t>0.5W&lt;</t>
  </si>
  <si>
    <t>SRD 0.7</t>
  </si>
  <si>
    <t>CPSW3x</t>
  </si>
  <si>
    <t>ICSSM Off</t>
  </si>
  <si>
    <t>MMCSD_On</t>
  </si>
  <si>
    <t>MMCSD_Off</t>
  </si>
  <si>
    <t>eHRPWM</t>
  </si>
  <si>
    <t>Tj</t>
  </si>
  <si>
    <t>eMMC HS200 SDR 100 MBs</t>
  </si>
  <si>
    <t>RGMII-1000 1.8V</t>
  </si>
  <si>
    <t>Radar Use Case</t>
  </si>
  <si>
    <t>vt</t>
  </si>
  <si>
    <t>proc</t>
  </si>
  <si>
    <t>lkg_nW</t>
  </si>
  <si>
    <t>int_nW_per_100Mhz</t>
  </si>
  <si>
    <t>switch_nW_per_100Mhz</t>
  </si>
  <si>
    <t>osvt</t>
  </si>
  <si>
    <t>svt</t>
  </si>
  <si>
    <t>xsvt</t>
  </si>
  <si>
    <t>hvt</t>
  </si>
  <si>
    <t>weak</t>
  </si>
  <si>
    <t>typ</t>
  </si>
  <si>
    <t>lvt</t>
  </si>
  <si>
    <t>xlvt</t>
  </si>
  <si>
    <t>Vdd</t>
  </si>
  <si>
    <t>LkG_Scale</t>
  </si>
  <si>
    <t>Dyn_INT_Scale</t>
  </si>
  <si>
    <t>DYN_SW_Scale</t>
  </si>
  <si>
    <t>match_string</t>
  </si>
  <si>
    <t>Tj List</t>
  </si>
  <si>
    <t>Strong</t>
  </si>
  <si>
    <t>SVT Scaling</t>
  </si>
  <si>
    <t>XSVT Scaling</t>
  </si>
  <si>
    <t>OSVT Scaling</t>
  </si>
  <si>
    <t>Dyn Int Scaling</t>
  </si>
  <si>
    <t>Dyn SW Scaling</t>
  </si>
  <si>
    <t>Value</t>
  </si>
  <si>
    <t>SVT_Lkg_Adj</t>
  </si>
  <si>
    <t>XSVT_Lkg_Adj</t>
  </si>
  <si>
    <t>OSVT_lkg_adj</t>
  </si>
  <si>
    <t>SVT_dyn_int_adj</t>
  </si>
  <si>
    <t>XSVT_dyn_int_adj</t>
  </si>
  <si>
    <t>OSVT_dyn_int_adj</t>
  </si>
  <si>
    <t>SVT_dyn_sw_adj</t>
  </si>
  <si>
    <t>XSVT_dyn_sw_adj</t>
  </si>
  <si>
    <t>OSVT_dyn_sw_adj</t>
  </si>
  <si>
    <t>CANFD</t>
  </si>
  <si>
    <t>0.9_-40_hvt_strong</t>
  </si>
  <si>
    <t>0.9_-40_hvt_typ</t>
  </si>
  <si>
    <t>0.9_-40_hvt_weak</t>
  </si>
  <si>
    <t>0.925_-40_hvt_strong</t>
  </si>
  <si>
    <t>0.925_-40_hvt_typ</t>
  </si>
  <si>
    <t>0.925_-40_hvt_weak</t>
  </si>
  <si>
    <t>0.95_-40_hvt_strong</t>
  </si>
  <si>
    <t>0.95_-40_hvt_typ</t>
  </si>
  <si>
    <t>0.95_-40_hvt_weak</t>
  </si>
  <si>
    <t>0.975_-40_hvt_strong</t>
  </si>
  <si>
    <t>0.975_-40_hvt_typ</t>
  </si>
  <si>
    <t>0.975_-40_hvt_weak</t>
  </si>
  <si>
    <t>1_-40_hvt_strong</t>
  </si>
  <si>
    <t>1_-40_hvt_typ</t>
  </si>
  <si>
    <t>1_-40_hvt_weak</t>
  </si>
  <si>
    <t>1.025_-40_hvt_strong</t>
  </si>
  <si>
    <t>1.025_-40_hvt_typ</t>
  </si>
  <si>
    <t>1.025_-40_hvt_weak</t>
  </si>
  <si>
    <t>1.05_-40_hvt_strong</t>
  </si>
  <si>
    <t>1.05_-40_hvt_typ</t>
  </si>
  <si>
    <t>1.05_-40_hvt_weak</t>
  </si>
  <si>
    <t>1.075_-40_hvt_strong</t>
  </si>
  <si>
    <t>1.075_-40_hvt_typ</t>
  </si>
  <si>
    <t>1.075_-40_hvt_weak</t>
  </si>
  <si>
    <t>1.1_-40_hvt_strong</t>
  </si>
  <si>
    <t>1.1_-40_hvt_typ</t>
  </si>
  <si>
    <t>1.1_-40_hvt_weak</t>
  </si>
  <si>
    <t>1.125_-40_hvt_strong</t>
  </si>
  <si>
    <t>1.125_-40_hvt_typ</t>
  </si>
  <si>
    <t>1.125_-40_hvt_weak</t>
  </si>
  <si>
    <t>1.15_-40_hvt_strong</t>
  </si>
  <si>
    <t>1.15_-40_hvt_typ</t>
  </si>
  <si>
    <t>1.15_-40_hvt_weak</t>
  </si>
  <si>
    <t>1.175_-40_hvt_strong</t>
  </si>
  <si>
    <t>1.175_-40_hvt_typ</t>
  </si>
  <si>
    <t>1.175_-40_hvt_weak</t>
  </si>
  <si>
    <t>1.2_-40_hvt_strong</t>
  </si>
  <si>
    <t>1.2_-40_hvt_typ</t>
  </si>
  <si>
    <t>1.2_-40_hvt_weak</t>
  </si>
  <si>
    <t>1.225_-40_hvt_strong</t>
  </si>
  <si>
    <t>1.225_-40_hvt_typ</t>
  </si>
  <si>
    <t>1.225_-40_hvt_weak</t>
  </si>
  <si>
    <t>1.25_-40_hvt_strong</t>
  </si>
  <si>
    <t>1.25_-40_hvt_typ</t>
  </si>
  <si>
    <t>1.25_-40_hvt_weak</t>
  </si>
  <si>
    <t>1.275_-40_hvt_strong</t>
  </si>
  <si>
    <t>1.275_-40_hvt_typ</t>
  </si>
  <si>
    <t>1.275_-40_hvt_weak</t>
  </si>
  <si>
    <t>1.3_-40_hvt_strong</t>
  </si>
  <si>
    <t>1.3_-40_hvt_typ</t>
  </si>
  <si>
    <t>1.3_-40_hvt_weak</t>
  </si>
  <si>
    <t>1.325_-40_hvt_strong</t>
  </si>
  <si>
    <t>1.325_-40_hvt_typ</t>
  </si>
  <si>
    <t>1.325_-40_hvt_weak</t>
  </si>
  <si>
    <t>1.35_-40_hvt_strong</t>
  </si>
  <si>
    <t>1.35_-40_hvt_typ</t>
  </si>
  <si>
    <t>1.35_-40_hvt_weak</t>
  </si>
  <si>
    <t>1.375_-40_hvt_strong</t>
  </si>
  <si>
    <t>1.375_-40_hvt_typ</t>
  </si>
  <si>
    <t>1.375_-40_hvt_weak</t>
  </si>
  <si>
    <t>1.4_-40_hvt_strong</t>
  </si>
  <si>
    <t>1.4_-40_hvt_typ</t>
  </si>
  <si>
    <t>1.4_-40_hvt_weak</t>
  </si>
  <si>
    <t>0.9_-20_hvt_strong</t>
  </si>
  <si>
    <t>0.9_-20_hvt_typ</t>
  </si>
  <si>
    <t>0.9_-20_hvt_weak</t>
  </si>
  <si>
    <t>0.925_-20_hvt_strong</t>
  </si>
  <si>
    <t>0.925_-20_hvt_typ</t>
  </si>
  <si>
    <t>0.925_-20_hvt_weak</t>
  </si>
  <si>
    <t>0.95_-20_hvt_strong</t>
  </si>
  <si>
    <t>0.95_-20_hvt_typ</t>
  </si>
  <si>
    <t>0.95_-20_hvt_weak</t>
  </si>
  <si>
    <t>0.975_-20_hvt_strong</t>
  </si>
  <si>
    <t>0.975_-20_hvt_typ</t>
  </si>
  <si>
    <t>0.975_-20_hvt_weak</t>
  </si>
  <si>
    <t>1_-20_hvt_strong</t>
  </si>
  <si>
    <t>1_-20_hvt_typ</t>
  </si>
  <si>
    <t>1_-20_hvt_weak</t>
  </si>
  <si>
    <t>1.025_-20_hvt_strong</t>
  </si>
  <si>
    <t>1.025_-20_hvt_typ</t>
  </si>
  <si>
    <t>1.025_-20_hvt_weak</t>
  </si>
  <si>
    <t>1.05_-20_hvt_strong</t>
  </si>
  <si>
    <t>1.05_-20_hvt_typ</t>
  </si>
  <si>
    <t>1.05_-20_hvt_weak</t>
  </si>
  <si>
    <t>1.075_-20_hvt_strong</t>
  </si>
  <si>
    <t>1.075_-20_hvt_typ</t>
  </si>
  <si>
    <t>1.075_-20_hvt_weak</t>
  </si>
  <si>
    <t>1.1_-20_hvt_strong</t>
  </si>
  <si>
    <t>1.1_-20_hvt_typ</t>
  </si>
  <si>
    <t>1.1_-20_hvt_weak</t>
  </si>
  <si>
    <t>1.125_-20_hvt_strong</t>
  </si>
  <si>
    <t>1.125_-20_hvt_typ</t>
  </si>
  <si>
    <t>1.125_-20_hvt_weak</t>
  </si>
  <si>
    <t>1.15_-20_hvt_strong</t>
  </si>
  <si>
    <t>1.15_-20_hvt_typ</t>
  </si>
  <si>
    <t>1.15_-20_hvt_weak</t>
  </si>
  <si>
    <t>1.175_-20_hvt_strong</t>
  </si>
  <si>
    <t>1.175_-20_hvt_typ</t>
  </si>
  <si>
    <t>1.175_-20_hvt_weak</t>
  </si>
  <si>
    <t>1.2_-20_hvt_strong</t>
  </si>
  <si>
    <t>1.2_-20_hvt_typ</t>
  </si>
  <si>
    <t>1.2_-20_hvt_weak</t>
  </si>
  <si>
    <t>1.225_-20_hvt_strong</t>
  </si>
  <si>
    <t>1.225_-20_hvt_typ</t>
  </si>
  <si>
    <t>1.225_-20_hvt_weak</t>
  </si>
  <si>
    <t>1.25_-20_hvt_strong</t>
  </si>
  <si>
    <t>1.25_-20_hvt_typ</t>
  </si>
  <si>
    <t>1.25_-20_hvt_weak</t>
  </si>
  <si>
    <t>1.275_-20_hvt_strong</t>
  </si>
  <si>
    <t>1.275_-20_hvt_typ</t>
  </si>
  <si>
    <t>1.275_-20_hvt_weak</t>
  </si>
  <si>
    <t>1.3_-20_hvt_strong</t>
  </si>
  <si>
    <t>1.3_-20_hvt_typ</t>
  </si>
  <si>
    <t>1.3_-20_hvt_weak</t>
  </si>
  <si>
    <t>1.325_-20_hvt_strong</t>
  </si>
  <si>
    <t>1.325_-20_hvt_typ</t>
  </si>
  <si>
    <t>1.325_-20_hvt_weak</t>
  </si>
  <si>
    <t>1.35_-20_hvt_strong</t>
  </si>
  <si>
    <t>1.35_-20_hvt_typ</t>
  </si>
  <si>
    <t>1.35_-20_hvt_weak</t>
  </si>
  <si>
    <t>1.375_-20_hvt_strong</t>
  </si>
  <si>
    <t>1.375_-20_hvt_typ</t>
  </si>
  <si>
    <t>1.375_-20_hvt_weak</t>
  </si>
  <si>
    <t>1.4_-20_hvt_strong</t>
  </si>
  <si>
    <t>1.4_-20_hvt_typ</t>
  </si>
  <si>
    <t>1.4_-20_hvt_weak</t>
  </si>
  <si>
    <t>0.9_0_hvt_strong</t>
  </si>
  <si>
    <t>0.9_0_hvt_typ</t>
  </si>
  <si>
    <t>0.9_0_hvt_weak</t>
  </si>
  <si>
    <t>0.925_0_hvt_strong</t>
  </si>
  <si>
    <t>0.925_0_hvt_typ</t>
  </si>
  <si>
    <t>0.925_0_hvt_weak</t>
  </si>
  <si>
    <t>0.95_0_hvt_strong</t>
  </si>
  <si>
    <t>0.95_0_hvt_typ</t>
  </si>
  <si>
    <t>0.95_0_hvt_weak</t>
  </si>
  <si>
    <t>0.975_0_hvt_strong</t>
  </si>
  <si>
    <t>0.975_0_hvt_typ</t>
  </si>
  <si>
    <t>0.975_0_hvt_weak</t>
  </si>
  <si>
    <t>1_0_hvt_strong</t>
  </si>
  <si>
    <t>1_0_hvt_typ</t>
  </si>
  <si>
    <t>1_0_hvt_weak</t>
  </si>
  <si>
    <t>1.025_0_hvt_strong</t>
  </si>
  <si>
    <t>1.025_0_hvt_typ</t>
  </si>
  <si>
    <t>1.025_0_hvt_weak</t>
  </si>
  <si>
    <t>1.05_0_hvt_strong</t>
  </si>
  <si>
    <t>1.05_0_hvt_typ</t>
  </si>
  <si>
    <t>1.05_0_hvt_weak</t>
  </si>
  <si>
    <t>1.075_0_hvt_strong</t>
  </si>
  <si>
    <t>1.075_0_hvt_typ</t>
  </si>
  <si>
    <t>1.075_0_hvt_weak</t>
  </si>
  <si>
    <t>1.1_0_hvt_strong</t>
  </si>
  <si>
    <t>1.1_0_hvt_typ</t>
  </si>
  <si>
    <t>1.1_0_hvt_weak</t>
  </si>
  <si>
    <t>1.125_0_hvt_strong</t>
  </si>
  <si>
    <t>1.125_0_hvt_typ</t>
  </si>
  <si>
    <t>1.125_0_hvt_weak</t>
  </si>
  <si>
    <t>1.15_0_hvt_strong</t>
  </si>
  <si>
    <t>1.15_0_hvt_typ</t>
  </si>
  <si>
    <t>1.15_0_hvt_weak</t>
  </si>
  <si>
    <t>1.175_0_hvt_strong</t>
  </si>
  <si>
    <t>1.175_0_hvt_typ</t>
  </si>
  <si>
    <t>1.175_0_hvt_weak</t>
  </si>
  <si>
    <t>1.2_0_hvt_strong</t>
  </si>
  <si>
    <t>1.2_0_hvt_typ</t>
  </si>
  <si>
    <t>1.2_0_hvt_weak</t>
  </si>
  <si>
    <t>1.225_0_hvt_strong</t>
  </si>
  <si>
    <t>1.225_0_hvt_typ</t>
  </si>
  <si>
    <t>1.225_0_hvt_weak</t>
  </si>
  <si>
    <t>1.25_0_hvt_strong</t>
  </si>
  <si>
    <t>1.25_0_hvt_typ</t>
  </si>
  <si>
    <t>1.25_0_hvt_weak</t>
  </si>
  <si>
    <t>1.275_0_hvt_strong</t>
  </si>
  <si>
    <t>1.275_0_hvt_typ</t>
  </si>
  <si>
    <t>1.275_0_hvt_weak</t>
  </si>
  <si>
    <t>1.3_0_hvt_strong</t>
  </si>
  <si>
    <t>1.3_0_hvt_typ</t>
  </si>
  <si>
    <t>1.3_0_hvt_weak</t>
  </si>
  <si>
    <t>1.325_0_hvt_strong</t>
  </si>
  <si>
    <t>1.325_0_hvt_typ</t>
  </si>
  <si>
    <t>1.325_0_hvt_weak</t>
  </si>
  <si>
    <t>1.35_0_hvt_strong</t>
  </si>
  <si>
    <t>1.35_0_hvt_typ</t>
  </si>
  <si>
    <t>1.35_0_hvt_weak</t>
  </si>
  <si>
    <t>1.375_0_hvt_strong</t>
  </si>
  <si>
    <t>1.375_0_hvt_typ</t>
  </si>
  <si>
    <t>1.375_0_hvt_weak</t>
  </si>
  <si>
    <t>1.4_0_hvt_strong</t>
  </si>
  <si>
    <t>1.4_0_hvt_typ</t>
  </si>
  <si>
    <t>1.4_0_hvt_weak</t>
  </si>
  <si>
    <t>0.9_25_hvt_strong</t>
  </si>
  <si>
    <t>0.9_25_hvt_typ</t>
  </si>
  <si>
    <t>0.9_25_hvt_weak</t>
  </si>
  <si>
    <t>0.925_25_hvt_strong</t>
  </si>
  <si>
    <t>0.925_25_hvt_typ</t>
  </si>
  <si>
    <t>0.925_25_hvt_weak</t>
  </si>
  <si>
    <t>0.95_25_hvt_strong</t>
  </si>
  <si>
    <t>0.95_25_hvt_typ</t>
  </si>
  <si>
    <t>0.95_25_hvt_weak</t>
  </si>
  <si>
    <t>0.975_25_hvt_strong</t>
  </si>
  <si>
    <t>0.975_25_hvt_typ</t>
  </si>
  <si>
    <t>0.975_25_hvt_weak</t>
  </si>
  <si>
    <t>1_25_hvt_strong</t>
  </si>
  <si>
    <t>1_25_hvt_typ</t>
  </si>
  <si>
    <t>1_25_hvt_weak</t>
  </si>
  <si>
    <t>1.025_25_hvt_strong</t>
  </si>
  <si>
    <t>1.025_25_hvt_typ</t>
  </si>
  <si>
    <t>1.025_25_hvt_weak</t>
  </si>
  <si>
    <t>1.05_25_hvt_strong</t>
  </si>
  <si>
    <t>1.05_25_hvt_typ</t>
  </si>
  <si>
    <t>1.05_25_hvt_weak</t>
  </si>
  <si>
    <t>1.075_25_hvt_strong</t>
  </si>
  <si>
    <t>1.075_25_hvt_typ</t>
  </si>
  <si>
    <t>1.075_25_hvt_weak</t>
  </si>
  <si>
    <t>1.1_25_hvt_strong</t>
  </si>
  <si>
    <t>1.1_25_hvt_typ</t>
  </si>
  <si>
    <t>1.1_25_hvt_weak</t>
  </si>
  <si>
    <t>1.125_25_hvt_strong</t>
  </si>
  <si>
    <t>1.125_25_hvt_typ</t>
  </si>
  <si>
    <t>1.125_25_hvt_weak</t>
  </si>
  <si>
    <t>1.15_25_hvt_strong</t>
  </si>
  <si>
    <t>1.15_25_hvt_typ</t>
  </si>
  <si>
    <t>1.15_25_hvt_weak</t>
  </si>
  <si>
    <t>1.175_25_hvt_strong</t>
  </si>
  <si>
    <t>1.175_25_hvt_typ</t>
  </si>
  <si>
    <t>1.175_25_hvt_weak</t>
  </si>
  <si>
    <t>1.2_25_hvt_strong</t>
  </si>
  <si>
    <t>1.2_25_hvt_typ</t>
  </si>
  <si>
    <t>1.2_25_hvt_weak</t>
  </si>
  <si>
    <t>1.225_25_hvt_strong</t>
  </si>
  <si>
    <t>1.225_25_hvt_typ</t>
  </si>
  <si>
    <t>1.225_25_hvt_weak</t>
  </si>
  <si>
    <t>1.25_25_hvt_strong</t>
  </si>
  <si>
    <t>1.25_25_hvt_typ</t>
  </si>
  <si>
    <t>1.25_25_hvt_weak</t>
  </si>
  <si>
    <t>1.275_25_hvt_strong</t>
  </si>
  <si>
    <t>1.275_25_hvt_typ</t>
  </si>
  <si>
    <t>1.275_25_hvt_weak</t>
  </si>
  <si>
    <t>1.3_25_hvt_strong</t>
  </si>
  <si>
    <t>1.3_25_hvt_typ</t>
  </si>
  <si>
    <t>1.3_25_hvt_weak</t>
  </si>
  <si>
    <t>1.325_25_hvt_strong</t>
  </si>
  <si>
    <t>1.325_25_hvt_typ</t>
  </si>
  <si>
    <t>1.325_25_hvt_weak</t>
  </si>
  <si>
    <t>1.35_25_hvt_strong</t>
  </si>
  <si>
    <t>1.35_25_hvt_typ</t>
  </si>
  <si>
    <t>1.35_25_hvt_weak</t>
  </si>
  <si>
    <t>1.375_25_hvt_strong</t>
  </si>
  <si>
    <t>1.375_25_hvt_typ</t>
  </si>
  <si>
    <t>1.375_25_hvt_weak</t>
  </si>
  <si>
    <t>1.4_25_hvt_strong</t>
  </si>
  <si>
    <t>1.4_25_hvt_typ</t>
  </si>
  <si>
    <t>1.4_25_hvt_weak</t>
  </si>
  <si>
    <t>0.9_50_hvt_strong</t>
  </si>
  <si>
    <t>0.9_50_hvt_typ</t>
  </si>
  <si>
    <t>0.9_50_hvt_weak</t>
  </si>
  <si>
    <t>0.925_50_hvt_strong</t>
  </si>
  <si>
    <t>0.925_50_hvt_typ</t>
  </si>
  <si>
    <t>0.925_50_hvt_weak</t>
  </si>
  <si>
    <t>0.95_50_hvt_strong</t>
  </si>
  <si>
    <t>0.95_50_hvt_typ</t>
  </si>
  <si>
    <t>0.95_50_hvt_weak</t>
  </si>
  <si>
    <t>0.975_50_hvt_strong</t>
  </si>
  <si>
    <t>0.975_50_hvt_typ</t>
  </si>
  <si>
    <t>0.975_50_hvt_weak</t>
  </si>
  <si>
    <t>1_50_hvt_strong</t>
  </si>
  <si>
    <t>1_50_hvt_typ</t>
  </si>
  <si>
    <t>1_50_hvt_weak</t>
  </si>
  <si>
    <t>1.025_50_hvt_strong</t>
  </si>
  <si>
    <t>1.025_50_hvt_typ</t>
  </si>
  <si>
    <t>1.025_50_hvt_weak</t>
  </si>
  <si>
    <t>1.05_50_hvt_strong</t>
  </si>
  <si>
    <t>1.05_50_hvt_typ</t>
  </si>
  <si>
    <t>1.05_50_hvt_weak</t>
  </si>
  <si>
    <t>1.075_50_hvt_strong</t>
  </si>
  <si>
    <t>1.075_50_hvt_typ</t>
  </si>
  <si>
    <t>1.075_50_hvt_weak</t>
  </si>
  <si>
    <t>1.1_50_hvt_strong</t>
  </si>
  <si>
    <t>1.1_50_hvt_typ</t>
  </si>
  <si>
    <t>1.1_50_hvt_weak</t>
  </si>
  <si>
    <t>1.125_50_hvt_strong</t>
  </si>
  <si>
    <t>1.125_50_hvt_typ</t>
  </si>
  <si>
    <t>1.125_50_hvt_weak</t>
  </si>
  <si>
    <t>1.15_50_hvt_strong</t>
  </si>
  <si>
    <t>1.15_50_hvt_typ</t>
  </si>
  <si>
    <t>1.15_50_hvt_weak</t>
  </si>
  <si>
    <t>1.175_50_hvt_strong</t>
  </si>
  <si>
    <t>1.175_50_hvt_typ</t>
  </si>
  <si>
    <t>1.175_50_hvt_weak</t>
  </si>
  <si>
    <t>1.2_50_hvt_strong</t>
  </si>
  <si>
    <t>1.2_50_hvt_typ</t>
  </si>
  <si>
    <t>1.2_50_hvt_weak</t>
  </si>
  <si>
    <t>1.225_50_hvt_strong</t>
  </si>
  <si>
    <t>1.225_50_hvt_typ</t>
  </si>
  <si>
    <t>1.225_50_hvt_weak</t>
  </si>
  <si>
    <t>1.25_50_hvt_strong</t>
  </si>
  <si>
    <t>1.25_50_hvt_typ</t>
  </si>
  <si>
    <t>1.25_50_hvt_weak</t>
  </si>
  <si>
    <t>1.275_50_hvt_strong</t>
  </si>
  <si>
    <t>1.275_50_hvt_typ</t>
  </si>
  <si>
    <t>1.275_50_hvt_weak</t>
  </si>
  <si>
    <t>1.3_50_hvt_strong</t>
  </si>
  <si>
    <t>1.3_50_hvt_typ</t>
  </si>
  <si>
    <t>1.3_50_hvt_weak</t>
  </si>
  <si>
    <t>1.325_50_hvt_strong</t>
  </si>
  <si>
    <t>1.325_50_hvt_typ</t>
  </si>
  <si>
    <t>1.325_50_hvt_weak</t>
  </si>
  <si>
    <t>1.35_50_hvt_strong</t>
  </si>
  <si>
    <t>1.35_50_hvt_typ</t>
  </si>
  <si>
    <t>1.35_50_hvt_weak</t>
  </si>
  <si>
    <t>1.375_50_hvt_strong</t>
  </si>
  <si>
    <t>1.375_50_hvt_typ</t>
  </si>
  <si>
    <t>1.375_50_hvt_weak</t>
  </si>
  <si>
    <t>1.4_50_hvt_strong</t>
  </si>
  <si>
    <t>1.4_50_hvt_typ</t>
  </si>
  <si>
    <t>1.4_50_hvt_weak</t>
  </si>
  <si>
    <t>0.9_75_hvt_strong</t>
  </si>
  <si>
    <t>0.9_75_hvt_typ</t>
  </si>
  <si>
    <t>0.9_75_hvt_weak</t>
  </si>
  <si>
    <t>0.925_75_hvt_strong</t>
  </si>
  <si>
    <t>0.925_75_hvt_typ</t>
  </si>
  <si>
    <t>0.925_75_hvt_weak</t>
  </si>
  <si>
    <t>0.95_75_hvt_strong</t>
  </si>
  <si>
    <t>0.95_75_hvt_typ</t>
  </si>
  <si>
    <t>0.95_75_hvt_weak</t>
  </si>
  <si>
    <t>0.975_75_hvt_strong</t>
  </si>
  <si>
    <t>0.975_75_hvt_typ</t>
  </si>
  <si>
    <t>0.975_75_hvt_weak</t>
  </si>
  <si>
    <t>1_75_hvt_strong</t>
  </si>
  <si>
    <t>1_75_hvt_typ</t>
  </si>
  <si>
    <t>1_75_hvt_weak</t>
  </si>
  <si>
    <t>1.025_75_hvt_strong</t>
  </si>
  <si>
    <t>1.025_75_hvt_typ</t>
  </si>
  <si>
    <t>1.025_75_hvt_weak</t>
  </si>
  <si>
    <t>1.05_75_hvt_strong</t>
  </si>
  <si>
    <t>1.05_75_hvt_typ</t>
  </si>
  <si>
    <t>1.05_75_hvt_weak</t>
  </si>
  <si>
    <t>1.075_75_hvt_strong</t>
  </si>
  <si>
    <t>1.075_75_hvt_typ</t>
  </si>
  <si>
    <t>1.075_75_hvt_weak</t>
  </si>
  <si>
    <t>1.1_75_hvt_strong</t>
  </si>
  <si>
    <t>1.1_75_hvt_typ</t>
  </si>
  <si>
    <t>1.1_75_hvt_weak</t>
  </si>
  <si>
    <t>1.125_75_hvt_strong</t>
  </si>
  <si>
    <t>1.125_75_hvt_typ</t>
  </si>
  <si>
    <t>1.125_75_hvt_weak</t>
  </si>
  <si>
    <t>1.15_75_hvt_strong</t>
  </si>
  <si>
    <t>1.15_75_hvt_typ</t>
  </si>
  <si>
    <t>1.15_75_hvt_weak</t>
  </si>
  <si>
    <t>1.175_75_hvt_strong</t>
  </si>
  <si>
    <t>1.175_75_hvt_typ</t>
  </si>
  <si>
    <t>1.175_75_hvt_weak</t>
  </si>
  <si>
    <t>1.2_75_hvt_strong</t>
  </si>
  <si>
    <t>1.2_75_hvt_typ</t>
  </si>
  <si>
    <t>1.2_75_hvt_weak</t>
  </si>
  <si>
    <t>1.225_75_hvt_strong</t>
  </si>
  <si>
    <t>1.225_75_hvt_typ</t>
  </si>
  <si>
    <t>1.225_75_hvt_weak</t>
  </si>
  <si>
    <t>1.25_75_hvt_strong</t>
  </si>
  <si>
    <t>1.25_75_hvt_typ</t>
  </si>
  <si>
    <t>1.25_75_hvt_weak</t>
  </si>
  <si>
    <t>1.275_75_hvt_strong</t>
  </si>
  <si>
    <t>1.275_75_hvt_typ</t>
  </si>
  <si>
    <t>1.275_75_hvt_weak</t>
  </si>
  <si>
    <t>1.3_75_hvt_strong</t>
  </si>
  <si>
    <t>1.3_75_hvt_typ</t>
  </si>
  <si>
    <t>1.3_75_hvt_weak</t>
  </si>
  <si>
    <t>1.325_75_hvt_strong</t>
  </si>
  <si>
    <t>1.325_75_hvt_typ</t>
  </si>
  <si>
    <t>1.325_75_hvt_weak</t>
  </si>
  <si>
    <t>1.35_75_hvt_strong</t>
  </si>
  <si>
    <t>1.35_75_hvt_typ</t>
  </si>
  <si>
    <t>1.35_75_hvt_weak</t>
  </si>
  <si>
    <t>1.375_75_hvt_strong</t>
  </si>
  <si>
    <t>1.375_75_hvt_typ</t>
  </si>
  <si>
    <t>1.375_75_hvt_weak</t>
  </si>
  <si>
    <t>1.4_75_hvt_strong</t>
  </si>
  <si>
    <t>1.4_75_hvt_typ</t>
  </si>
  <si>
    <t>1.4_75_hvt_weak</t>
  </si>
  <si>
    <t>0.9_85_hvt_strong</t>
  </si>
  <si>
    <t>0.9_85_hvt_typ</t>
  </si>
  <si>
    <t>0.9_85_hvt_weak</t>
  </si>
  <si>
    <t>0.925_85_hvt_strong</t>
  </si>
  <si>
    <t>0.925_85_hvt_typ</t>
  </si>
  <si>
    <t>0.925_85_hvt_weak</t>
  </si>
  <si>
    <t>0.95_85_hvt_strong</t>
  </si>
  <si>
    <t>0.95_85_hvt_typ</t>
  </si>
  <si>
    <t>0.95_85_hvt_weak</t>
  </si>
  <si>
    <t>0.975_85_hvt_strong</t>
  </si>
  <si>
    <t>0.975_85_hvt_typ</t>
  </si>
  <si>
    <t>0.975_85_hvt_weak</t>
  </si>
  <si>
    <t>1_85_hvt_strong</t>
  </si>
  <si>
    <t>1_85_hvt_typ</t>
  </si>
  <si>
    <t>1_85_hvt_weak</t>
  </si>
  <si>
    <t>1.025_85_hvt_strong</t>
  </si>
  <si>
    <t>1.025_85_hvt_typ</t>
  </si>
  <si>
    <t>1.025_85_hvt_weak</t>
  </si>
  <si>
    <t>1.05_85_hvt_strong</t>
  </si>
  <si>
    <t>1.05_85_hvt_typ</t>
  </si>
  <si>
    <t>1.05_85_hvt_weak</t>
  </si>
  <si>
    <t>1.075_85_hvt_strong</t>
  </si>
  <si>
    <t>1.075_85_hvt_typ</t>
  </si>
  <si>
    <t>1.075_85_hvt_weak</t>
  </si>
  <si>
    <t>1.1_85_hvt_strong</t>
  </si>
  <si>
    <t>1.1_85_hvt_typ</t>
  </si>
  <si>
    <t>1.1_85_hvt_weak</t>
  </si>
  <si>
    <t>1.125_85_hvt_strong</t>
  </si>
  <si>
    <t>1.125_85_hvt_typ</t>
  </si>
  <si>
    <t>1.125_85_hvt_weak</t>
  </si>
  <si>
    <t>1.15_85_hvt_strong</t>
  </si>
  <si>
    <t>1.15_85_hvt_typ</t>
  </si>
  <si>
    <t>1.15_85_hvt_weak</t>
  </si>
  <si>
    <t>1.175_85_hvt_strong</t>
  </si>
  <si>
    <t>1.175_85_hvt_typ</t>
  </si>
  <si>
    <t>1.175_85_hvt_weak</t>
  </si>
  <si>
    <t>1.2_85_hvt_strong</t>
  </si>
  <si>
    <t>1.2_85_hvt_typ</t>
  </si>
  <si>
    <t>1.2_85_hvt_weak</t>
  </si>
  <si>
    <t>1.225_85_hvt_strong</t>
  </si>
  <si>
    <t>1.225_85_hvt_typ</t>
  </si>
  <si>
    <t>1.225_85_hvt_weak</t>
  </si>
  <si>
    <t>1.25_85_hvt_strong</t>
  </si>
  <si>
    <t>1.25_85_hvt_typ</t>
  </si>
  <si>
    <t>1.25_85_hvt_weak</t>
  </si>
  <si>
    <t>1.275_85_hvt_strong</t>
  </si>
  <si>
    <t>1.275_85_hvt_typ</t>
  </si>
  <si>
    <t>1.275_85_hvt_weak</t>
  </si>
  <si>
    <t>1.3_85_hvt_strong</t>
  </si>
  <si>
    <t>1.3_85_hvt_typ</t>
  </si>
  <si>
    <t>1.3_85_hvt_weak</t>
  </si>
  <si>
    <t>1.325_85_hvt_strong</t>
  </si>
  <si>
    <t>1.325_85_hvt_typ</t>
  </si>
  <si>
    <t>1.325_85_hvt_weak</t>
  </si>
  <si>
    <t>1.35_85_hvt_strong</t>
  </si>
  <si>
    <t>1.35_85_hvt_typ</t>
  </si>
  <si>
    <t>1.35_85_hvt_weak</t>
  </si>
  <si>
    <t>1.375_85_hvt_strong</t>
  </si>
  <si>
    <t>1.375_85_hvt_typ</t>
  </si>
  <si>
    <t>1.375_85_hvt_weak</t>
  </si>
  <si>
    <t>1.4_85_hvt_strong</t>
  </si>
  <si>
    <t>1.4_85_hvt_typ</t>
  </si>
  <si>
    <t>1.4_85_hvt_weak</t>
  </si>
  <si>
    <t>0.9_100_hvt_strong</t>
  </si>
  <si>
    <t>0.9_100_hvt_typ</t>
  </si>
  <si>
    <t>0.9_100_hvt_weak</t>
  </si>
  <si>
    <t>0.925_100_hvt_strong</t>
  </si>
  <si>
    <t>0.925_100_hvt_typ</t>
  </si>
  <si>
    <t>0.925_100_hvt_weak</t>
  </si>
  <si>
    <t>0.95_100_hvt_strong</t>
  </si>
  <si>
    <t>0.95_100_hvt_typ</t>
  </si>
  <si>
    <t>0.95_100_hvt_weak</t>
  </si>
  <si>
    <t>0.975_100_hvt_strong</t>
  </si>
  <si>
    <t>0.975_100_hvt_typ</t>
  </si>
  <si>
    <t>0.975_100_hvt_weak</t>
  </si>
  <si>
    <t>1_100_hvt_strong</t>
  </si>
  <si>
    <t>1_100_hvt_typ</t>
  </si>
  <si>
    <t>1_100_hvt_weak</t>
  </si>
  <si>
    <t>1.025_100_hvt_strong</t>
  </si>
  <si>
    <t>1.025_100_hvt_typ</t>
  </si>
  <si>
    <t>1.025_100_hvt_weak</t>
  </si>
  <si>
    <t>1.05_100_hvt_strong</t>
  </si>
  <si>
    <t>1.05_100_hvt_typ</t>
  </si>
  <si>
    <t>1.05_100_hvt_weak</t>
  </si>
  <si>
    <t>1.075_100_hvt_strong</t>
  </si>
  <si>
    <t>1.075_100_hvt_typ</t>
  </si>
  <si>
    <t>1.075_100_hvt_weak</t>
  </si>
  <si>
    <t>1.1_100_hvt_strong</t>
  </si>
  <si>
    <t>1.1_100_hvt_typ</t>
  </si>
  <si>
    <t>1.1_100_hvt_weak</t>
  </si>
  <si>
    <t>1.125_100_hvt_strong</t>
  </si>
  <si>
    <t>1.125_100_hvt_typ</t>
  </si>
  <si>
    <t>1.125_100_hvt_weak</t>
  </si>
  <si>
    <t>1.15_100_hvt_strong</t>
  </si>
  <si>
    <t>1.15_100_hvt_typ</t>
  </si>
  <si>
    <t>1.15_100_hvt_weak</t>
  </si>
  <si>
    <t>1.175_100_hvt_strong</t>
  </si>
  <si>
    <t>1.175_100_hvt_typ</t>
  </si>
  <si>
    <t>1.175_100_hvt_weak</t>
  </si>
  <si>
    <t>1.2_100_hvt_strong</t>
  </si>
  <si>
    <t>1.2_100_hvt_typ</t>
  </si>
  <si>
    <t>1.2_100_hvt_weak</t>
  </si>
  <si>
    <t>1.225_100_hvt_strong</t>
  </si>
  <si>
    <t>1.225_100_hvt_typ</t>
  </si>
  <si>
    <t>1.225_100_hvt_weak</t>
  </si>
  <si>
    <t>1.25_100_hvt_strong</t>
  </si>
  <si>
    <t>1.25_100_hvt_typ</t>
  </si>
  <si>
    <t>1.25_100_hvt_weak</t>
  </si>
  <si>
    <t>1.275_100_hvt_strong</t>
  </si>
  <si>
    <t>1.275_100_hvt_typ</t>
  </si>
  <si>
    <t>1.275_100_hvt_weak</t>
  </si>
  <si>
    <t>1.3_100_hvt_strong</t>
  </si>
  <si>
    <t>1.3_100_hvt_typ</t>
  </si>
  <si>
    <t>1.3_100_hvt_weak</t>
  </si>
  <si>
    <t>1.325_100_hvt_strong</t>
  </si>
  <si>
    <t>1.325_100_hvt_typ</t>
  </si>
  <si>
    <t>1.325_100_hvt_weak</t>
  </si>
  <si>
    <t>1.35_100_hvt_strong</t>
  </si>
  <si>
    <t>1.35_100_hvt_typ</t>
  </si>
  <si>
    <t>1.35_100_hvt_weak</t>
  </si>
  <si>
    <t>1.375_100_hvt_strong</t>
  </si>
  <si>
    <t>1.375_100_hvt_typ</t>
  </si>
  <si>
    <t>1.375_100_hvt_weak</t>
  </si>
  <si>
    <t>1.4_100_hvt_strong</t>
  </si>
  <si>
    <t>1.4_100_hvt_typ</t>
  </si>
  <si>
    <t>1.4_100_hvt_weak</t>
  </si>
  <si>
    <t>0.9_105_hvt_strong</t>
  </si>
  <si>
    <t>0.9_105_hvt_typ</t>
  </si>
  <si>
    <t>0.9_105_hvt_weak</t>
  </si>
  <si>
    <t>0.925_105_hvt_strong</t>
  </si>
  <si>
    <t>0.925_105_hvt_typ</t>
  </si>
  <si>
    <t>0.925_105_hvt_weak</t>
  </si>
  <si>
    <t>0.95_105_hvt_strong</t>
  </si>
  <si>
    <t>0.95_105_hvt_typ</t>
  </si>
  <si>
    <t>0.95_105_hvt_weak</t>
  </si>
  <si>
    <t>0.975_105_hvt_strong</t>
  </si>
  <si>
    <t>0.975_105_hvt_typ</t>
  </si>
  <si>
    <t>0.975_105_hvt_weak</t>
  </si>
  <si>
    <t>1_105_hvt_strong</t>
  </si>
  <si>
    <t>1_105_hvt_typ</t>
  </si>
  <si>
    <t>1_105_hvt_weak</t>
  </si>
  <si>
    <t>1.025_105_hvt_strong</t>
  </si>
  <si>
    <t>1.025_105_hvt_typ</t>
  </si>
  <si>
    <t>1.025_105_hvt_weak</t>
  </si>
  <si>
    <t>1.05_105_hvt_strong</t>
  </si>
  <si>
    <t>1.05_105_hvt_typ</t>
  </si>
  <si>
    <t>1.05_105_hvt_weak</t>
  </si>
  <si>
    <t>1.075_105_hvt_strong</t>
  </si>
  <si>
    <t>1.075_105_hvt_typ</t>
  </si>
  <si>
    <t>1.075_105_hvt_weak</t>
  </si>
  <si>
    <t>1.1_105_hvt_strong</t>
  </si>
  <si>
    <t>1.1_105_hvt_typ</t>
  </si>
  <si>
    <t>1.1_105_hvt_weak</t>
  </si>
  <si>
    <t>1.125_105_hvt_strong</t>
  </si>
  <si>
    <t>1.125_105_hvt_typ</t>
  </si>
  <si>
    <t>1.125_105_hvt_weak</t>
  </si>
  <si>
    <t>1.15_105_hvt_strong</t>
  </si>
  <si>
    <t>1.15_105_hvt_typ</t>
  </si>
  <si>
    <t>1.15_105_hvt_weak</t>
  </si>
  <si>
    <t>1.175_105_hvt_strong</t>
  </si>
  <si>
    <t>1.175_105_hvt_typ</t>
  </si>
  <si>
    <t>1.175_105_hvt_weak</t>
  </si>
  <si>
    <t>1.2_105_hvt_strong</t>
  </si>
  <si>
    <t>1.2_105_hvt_typ</t>
  </si>
  <si>
    <t>1.2_105_hvt_weak</t>
  </si>
  <si>
    <t>1.225_105_hvt_strong</t>
  </si>
  <si>
    <t>1.225_105_hvt_typ</t>
  </si>
  <si>
    <t>1.225_105_hvt_weak</t>
  </si>
  <si>
    <t>1.25_105_hvt_strong</t>
  </si>
  <si>
    <t>1.25_105_hvt_typ</t>
  </si>
  <si>
    <t>1.25_105_hvt_weak</t>
  </si>
  <si>
    <t>1.275_105_hvt_strong</t>
  </si>
  <si>
    <t>1.275_105_hvt_typ</t>
  </si>
  <si>
    <t>1.275_105_hvt_weak</t>
  </si>
  <si>
    <t>1.3_105_hvt_strong</t>
  </si>
  <si>
    <t>1.3_105_hvt_typ</t>
  </si>
  <si>
    <t>1.3_105_hvt_weak</t>
  </si>
  <si>
    <t>1.325_105_hvt_strong</t>
  </si>
  <si>
    <t>1.325_105_hvt_typ</t>
  </si>
  <si>
    <t>1.325_105_hvt_weak</t>
  </si>
  <si>
    <t>1.35_105_hvt_strong</t>
  </si>
  <si>
    <t>1.35_105_hvt_typ</t>
  </si>
  <si>
    <t>1.35_105_hvt_weak</t>
  </si>
  <si>
    <t>1.375_105_hvt_strong</t>
  </si>
  <si>
    <t>1.375_105_hvt_typ</t>
  </si>
  <si>
    <t>1.375_105_hvt_weak</t>
  </si>
  <si>
    <t>1.4_105_hvt_strong</t>
  </si>
  <si>
    <t>1.4_105_hvt_typ</t>
  </si>
  <si>
    <t>1.4_105_hvt_weak</t>
  </si>
  <si>
    <t>0.9_125_hvt_strong</t>
  </si>
  <si>
    <t>0.9_125_hvt_typ</t>
  </si>
  <si>
    <t>0.9_125_hvt_weak</t>
  </si>
  <si>
    <t>0.925_125_hvt_strong</t>
  </si>
  <si>
    <t>0.925_125_hvt_typ</t>
  </si>
  <si>
    <t>0.925_125_hvt_weak</t>
  </si>
  <si>
    <t>0.95_125_hvt_strong</t>
  </si>
  <si>
    <t>0.95_125_hvt_typ</t>
  </si>
  <si>
    <t>0.95_125_hvt_weak</t>
  </si>
  <si>
    <t>0.975_125_hvt_strong</t>
  </si>
  <si>
    <t>0.975_125_hvt_typ</t>
  </si>
  <si>
    <t>0.975_125_hvt_weak</t>
  </si>
  <si>
    <t>1_125_hvt_strong</t>
  </si>
  <si>
    <t>1_125_hvt_typ</t>
  </si>
  <si>
    <t>1_125_hvt_weak</t>
  </si>
  <si>
    <t>1.025_125_hvt_strong</t>
  </si>
  <si>
    <t>1.025_125_hvt_typ</t>
  </si>
  <si>
    <t>1.025_125_hvt_weak</t>
  </si>
  <si>
    <t>1.05_125_hvt_strong</t>
  </si>
  <si>
    <t>1.05_125_hvt_typ</t>
  </si>
  <si>
    <t>1.05_125_hvt_weak</t>
  </si>
  <si>
    <t>1.075_125_hvt_strong</t>
  </si>
  <si>
    <t>1.075_125_hvt_typ</t>
  </si>
  <si>
    <t>1.075_125_hvt_weak</t>
  </si>
  <si>
    <t>1.1_125_hvt_strong</t>
  </si>
  <si>
    <t>1.1_125_hvt_typ</t>
  </si>
  <si>
    <t>1.1_125_hvt_weak</t>
  </si>
  <si>
    <t>1.125_125_hvt_strong</t>
  </si>
  <si>
    <t>1.125_125_hvt_typ</t>
  </si>
  <si>
    <t>1.125_125_hvt_weak</t>
  </si>
  <si>
    <t>1.15_125_hvt_strong</t>
  </si>
  <si>
    <t>1.15_125_hvt_typ</t>
  </si>
  <si>
    <t>1.15_125_hvt_weak</t>
  </si>
  <si>
    <t>1.175_125_hvt_strong</t>
  </si>
  <si>
    <t>1.175_125_hvt_typ</t>
  </si>
  <si>
    <t>1.175_125_hvt_weak</t>
  </si>
  <si>
    <t>1.2_125_hvt_strong</t>
  </si>
  <si>
    <t>1.2_125_hvt_typ</t>
  </si>
  <si>
    <t>1.2_125_hvt_weak</t>
  </si>
  <si>
    <t>1.225_125_hvt_strong</t>
  </si>
  <si>
    <t>1.225_125_hvt_typ</t>
  </si>
  <si>
    <t>1.225_125_hvt_weak</t>
  </si>
  <si>
    <t>1.25_125_hvt_strong</t>
  </si>
  <si>
    <t>1.25_125_hvt_typ</t>
  </si>
  <si>
    <t>1.25_125_hvt_weak</t>
  </si>
  <si>
    <t>1.275_125_hvt_strong</t>
  </si>
  <si>
    <t>1.275_125_hvt_typ</t>
  </si>
  <si>
    <t>1.275_125_hvt_weak</t>
  </si>
  <si>
    <t>1.3_125_hvt_strong</t>
  </si>
  <si>
    <t>1.3_125_hvt_typ</t>
  </si>
  <si>
    <t>1.3_125_hvt_weak</t>
  </si>
  <si>
    <t>1.325_125_hvt_strong</t>
  </si>
  <si>
    <t>1.325_125_hvt_typ</t>
  </si>
  <si>
    <t>1.325_125_hvt_weak</t>
  </si>
  <si>
    <t>1.35_125_hvt_strong</t>
  </si>
  <si>
    <t>1.35_125_hvt_typ</t>
  </si>
  <si>
    <t>1.35_125_hvt_weak</t>
  </si>
  <si>
    <t>1.375_125_hvt_strong</t>
  </si>
  <si>
    <t>1.375_125_hvt_typ</t>
  </si>
  <si>
    <t>1.375_125_hvt_weak</t>
  </si>
  <si>
    <t>1.4_125_hvt_strong</t>
  </si>
  <si>
    <t>1.4_125_hvt_typ</t>
  </si>
  <si>
    <t>1.4_125_hvt_weak</t>
  </si>
  <si>
    <t>0.9_140_hvt_strong</t>
  </si>
  <si>
    <t>0.9_140_hvt_typ</t>
  </si>
  <si>
    <t>0.9_140_hvt_weak</t>
  </si>
  <si>
    <t>0.925_140_hvt_strong</t>
  </si>
  <si>
    <t>0.925_140_hvt_typ</t>
  </si>
  <si>
    <t>0.925_140_hvt_weak</t>
  </si>
  <si>
    <t>0.95_140_hvt_strong</t>
  </si>
  <si>
    <t>0.95_140_hvt_typ</t>
  </si>
  <si>
    <t>0.95_140_hvt_weak</t>
  </si>
  <si>
    <t>0.975_140_hvt_strong</t>
  </si>
  <si>
    <t>0.975_140_hvt_typ</t>
  </si>
  <si>
    <t>0.975_140_hvt_weak</t>
  </si>
  <si>
    <t>1_140_hvt_strong</t>
  </si>
  <si>
    <t>1_140_hvt_typ</t>
  </si>
  <si>
    <t>1_140_hvt_weak</t>
  </si>
  <si>
    <t>1.025_140_hvt_strong</t>
  </si>
  <si>
    <t>1.025_140_hvt_typ</t>
  </si>
  <si>
    <t>1.025_140_hvt_weak</t>
  </si>
  <si>
    <t>1.05_140_hvt_strong</t>
  </si>
  <si>
    <t>1.05_140_hvt_typ</t>
  </si>
  <si>
    <t>1.05_140_hvt_weak</t>
  </si>
  <si>
    <t>1.075_140_hvt_strong</t>
  </si>
  <si>
    <t>1.075_140_hvt_typ</t>
  </si>
  <si>
    <t>1.075_140_hvt_weak</t>
  </si>
  <si>
    <t>1.1_140_hvt_strong</t>
  </si>
  <si>
    <t>1.1_140_hvt_typ</t>
  </si>
  <si>
    <t>1.1_140_hvt_weak</t>
  </si>
  <si>
    <t>1.125_140_hvt_strong</t>
  </si>
  <si>
    <t>1.125_140_hvt_typ</t>
  </si>
  <si>
    <t>1.125_140_hvt_weak</t>
  </si>
  <si>
    <t>1.15_140_hvt_strong</t>
  </si>
  <si>
    <t>1.15_140_hvt_typ</t>
  </si>
  <si>
    <t>1.15_140_hvt_weak</t>
  </si>
  <si>
    <t>1.175_140_hvt_strong</t>
  </si>
  <si>
    <t>1.175_140_hvt_typ</t>
  </si>
  <si>
    <t>1.175_140_hvt_weak</t>
  </si>
  <si>
    <t>1.2_140_hvt_strong</t>
  </si>
  <si>
    <t>1.2_140_hvt_typ</t>
  </si>
  <si>
    <t>1.2_140_hvt_weak</t>
  </si>
  <si>
    <t>1.225_140_hvt_strong</t>
  </si>
  <si>
    <t>1.225_140_hvt_typ</t>
  </si>
  <si>
    <t>1.225_140_hvt_weak</t>
  </si>
  <si>
    <t>1.25_140_hvt_strong</t>
  </si>
  <si>
    <t>1.25_140_hvt_typ</t>
  </si>
  <si>
    <t>1.25_140_hvt_weak</t>
  </si>
  <si>
    <t>1.275_140_hvt_strong</t>
  </si>
  <si>
    <t>1.275_140_hvt_typ</t>
  </si>
  <si>
    <t>1.275_140_hvt_weak</t>
  </si>
  <si>
    <t>1.3_140_hvt_strong</t>
  </si>
  <si>
    <t>1.3_140_hvt_typ</t>
  </si>
  <si>
    <t>1.3_140_hvt_weak</t>
  </si>
  <si>
    <t>1.325_140_hvt_strong</t>
  </si>
  <si>
    <t>1.325_140_hvt_typ</t>
  </si>
  <si>
    <t>1.325_140_hvt_weak</t>
  </si>
  <si>
    <t>1.35_140_hvt_strong</t>
  </si>
  <si>
    <t>1.35_140_hvt_typ</t>
  </si>
  <si>
    <t>1.35_140_hvt_weak</t>
  </si>
  <si>
    <t>1.375_140_hvt_strong</t>
  </si>
  <si>
    <t>1.375_140_hvt_typ</t>
  </si>
  <si>
    <t>1.375_140_hvt_weak</t>
  </si>
  <si>
    <t>1.4_140_hvt_strong</t>
  </si>
  <si>
    <t>1.4_140_hvt_typ</t>
  </si>
  <si>
    <t>1.4_140_hvt_weak</t>
  </si>
  <si>
    <t>0.9_150_hvt_strong</t>
  </si>
  <si>
    <t>0.9_150_hvt_typ</t>
  </si>
  <si>
    <t>0.9_150_hvt_weak</t>
  </si>
  <si>
    <t>0.925_150_hvt_strong</t>
  </si>
  <si>
    <t>0.925_150_hvt_typ</t>
  </si>
  <si>
    <t>0.925_150_hvt_weak</t>
  </si>
  <si>
    <t>0.95_150_hvt_strong</t>
  </si>
  <si>
    <t>0.95_150_hvt_typ</t>
  </si>
  <si>
    <t>0.95_150_hvt_weak</t>
  </si>
  <si>
    <t>0.975_150_hvt_strong</t>
  </si>
  <si>
    <t>0.975_150_hvt_typ</t>
  </si>
  <si>
    <t>0.975_150_hvt_weak</t>
  </si>
  <si>
    <t>1_150_hvt_strong</t>
  </si>
  <si>
    <t>1_150_hvt_typ</t>
  </si>
  <si>
    <t>1_150_hvt_weak</t>
  </si>
  <si>
    <t>1.025_150_hvt_strong</t>
  </si>
  <si>
    <t>1.025_150_hvt_typ</t>
  </si>
  <si>
    <t>1.025_150_hvt_weak</t>
  </si>
  <si>
    <t>1.05_150_hvt_strong</t>
  </si>
  <si>
    <t>1.05_150_hvt_typ</t>
  </si>
  <si>
    <t>1.05_150_hvt_weak</t>
  </si>
  <si>
    <t>1.075_150_hvt_strong</t>
  </si>
  <si>
    <t>1.075_150_hvt_typ</t>
  </si>
  <si>
    <t>1.075_150_hvt_weak</t>
  </si>
  <si>
    <t>1.1_150_hvt_strong</t>
  </si>
  <si>
    <t>1.1_150_hvt_typ</t>
  </si>
  <si>
    <t>1.1_150_hvt_weak</t>
  </si>
  <si>
    <t>1.125_150_hvt_strong</t>
  </si>
  <si>
    <t>1.125_150_hvt_typ</t>
  </si>
  <si>
    <t>1.125_150_hvt_weak</t>
  </si>
  <si>
    <t>1.15_150_hvt_strong</t>
  </si>
  <si>
    <t>1.15_150_hvt_typ</t>
  </si>
  <si>
    <t>1.15_150_hvt_weak</t>
  </si>
  <si>
    <t>1.175_150_hvt_strong</t>
  </si>
  <si>
    <t>1.175_150_hvt_typ</t>
  </si>
  <si>
    <t>1.175_150_hvt_weak</t>
  </si>
  <si>
    <t>1.2_150_hvt_strong</t>
  </si>
  <si>
    <t>1.2_150_hvt_typ</t>
  </si>
  <si>
    <t>1.2_150_hvt_weak</t>
  </si>
  <si>
    <t>1.225_150_hvt_strong</t>
  </si>
  <si>
    <t>1.225_150_hvt_typ</t>
  </si>
  <si>
    <t>1.225_150_hvt_weak</t>
  </si>
  <si>
    <t>1.25_150_hvt_strong</t>
  </si>
  <si>
    <t>1.25_150_hvt_typ</t>
  </si>
  <si>
    <t>1.25_150_hvt_weak</t>
  </si>
  <si>
    <t>1.275_150_hvt_strong</t>
  </si>
  <si>
    <t>1.275_150_hvt_typ</t>
  </si>
  <si>
    <t>1.275_150_hvt_weak</t>
  </si>
  <si>
    <t>1.3_150_hvt_strong</t>
  </si>
  <si>
    <t>1.3_150_hvt_typ</t>
  </si>
  <si>
    <t>1.3_150_hvt_weak</t>
  </si>
  <si>
    <t>1.325_150_hvt_strong</t>
  </si>
  <si>
    <t>1.325_150_hvt_typ</t>
  </si>
  <si>
    <t>1.325_150_hvt_weak</t>
  </si>
  <si>
    <t>1.35_150_hvt_strong</t>
  </si>
  <si>
    <t>1.35_150_hvt_typ</t>
  </si>
  <si>
    <t>1.35_150_hvt_weak</t>
  </si>
  <si>
    <t>1.375_150_hvt_strong</t>
  </si>
  <si>
    <t>1.375_150_hvt_typ</t>
  </si>
  <si>
    <t>1.375_150_hvt_weak</t>
  </si>
  <si>
    <t>1.4_150_hvt_strong</t>
  </si>
  <si>
    <t>1.4_150_hvt_typ</t>
  </si>
  <si>
    <t>1.4_150_hvt_weak</t>
  </si>
  <si>
    <t>0.9_-40_lvt_strong</t>
  </si>
  <si>
    <t>0.9_-40_lvt_typ</t>
  </si>
  <si>
    <t>0.9_-40_lvt_weak</t>
  </si>
  <si>
    <t>0.925_-40_lvt_strong</t>
  </si>
  <si>
    <t>0.925_-40_lvt_typ</t>
  </si>
  <si>
    <t>0.925_-40_lvt_weak</t>
  </si>
  <si>
    <t>0.95_-40_lvt_strong</t>
  </si>
  <si>
    <t>0.95_-40_lvt_typ</t>
  </si>
  <si>
    <t>0.95_-40_lvt_weak</t>
  </si>
  <si>
    <t>0.975_-40_lvt_strong</t>
  </si>
  <si>
    <t>0.975_-40_lvt_typ</t>
  </si>
  <si>
    <t>0.975_-40_lvt_weak</t>
  </si>
  <si>
    <t>1_-40_lvt_strong</t>
  </si>
  <si>
    <t>1_-40_lvt_typ</t>
  </si>
  <si>
    <t>1_-40_lvt_weak</t>
  </si>
  <si>
    <t>1.025_-40_lvt_strong</t>
  </si>
  <si>
    <t>1.025_-40_lvt_typ</t>
  </si>
  <si>
    <t>1.025_-40_lvt_weak</t>
  </si>
  <si>
    <t>1.05_-40_lvt_strong</t>
  </si>
  <si>
    <t>1.05_-40_lvt_typ</t>
  </si>
  <si>
    <t>1.05_-40_lvt_weak</t>
  </si>
  <si>
    <t>1.075_-40_lvt_strong</t>
  </si>
  <si>
    <t>1.075_-40_lvt_typ</t>
  </si>
  <si>
    <t>1.075_-40_lvt_weak</t>
  </si>
  <si>
    <t>1.1_-40_lvt_strong</t>
  </si>
  <si>
    <t>1.1_-40_lvt_typ</t>
  </si>
  <si>
    <t>1.1_-40_lvt_weak</t>
  </si>
  <si>
    <t>1.125_-40_lvt_strong</t>
  </si>
  <si>
    <t>1.125_-40_lvt_typ</t>
  </si>
  <si>
    <t>1.125_-40_lvt_weak</t>
  </si>
  <si>
    <t>1.15_-40_lvt_strong</t>
  </si>
  <si>
    <t>1.15_-40_lvt_typ</t>
  </si>
  <si>
    <t>1.15_-40_lvt_weak</t>
  </si>
  <si>
    <t>1.175_-40_lvt_strong</t>
  </si>
  <si>
    <t>1.175_-40_lvt_typ</t>
  </si>
  <si>
    <t>1.175_-40_lvt_weak</t>
  </si>
  <si>
    <t>1.2_-40_lvt_strong</t>
  </si>
  <si>
    <t>1.2_-40_lvt_typ</t>
  </si>
  <si>
    <t>1.2_-40_lvt_weak</t>
  </si>
  <si>
    <t>1.225_-40_lvt_strong</t>
  </si>
  <si>
    <t>1.225_-40_lvt_typ</t>
  </si>
  <si>
    <t>1.225_-40_lvt_weak</t>
  </si>
  <si>
    <t>1.25_-40_lvt_strong</t>
  </si>
  <si>
    <t>1.25_-40_lvt_typ</t>
  </si>
  <si>
    <t>1.25_-40_lvt_weak</t>
  </si>
  <si>
    <t>1.275_-40_lvt_strong</t>
  </si>
  <si>
    <t>1.275_-40_lvt_typ</t>
  </si>
  <si>
    <t>1.275_-40_lvt_weak</t>
  </si>
  <si>
    <t>1.3_-40_lvt_strong</t>
  </si>
  <si>
    <t>1.3_-40_lvt_typ</t>
  </si>
  <si>
    <t>1.3_-40_lvt_weak</t>
  </si>
  <si>
    <t>1.325_-40_lvt_strong</t>
  </si>
  <si>
    <t>1.325_-40_lvt_typ</t>
  </si>
  <si>
    <t>1.325_-40_lvt_weak</t>
  </si>
  <si>
    <t>1.35_-40_lvt_strong</t>
  </si>
  <si>
    <t>1.35_-40_lvt_typ</t>
  </si>
  <si>
    <t>1.35_-40_lvt_weak</t>
  </si>
  <si>
    <t>1.375_-40_lvt_strong</t>
  </si>
  <si>
    <t>1.375_-40_lvt_typ</t>
  </si>
  <si>
    <t>1.375_-40_lvt_weak</t>
  </si>
  <si>
    <t>1.4_-40_lvt_strong</t>
  </si>
  <si>
    <t>1.4_-40_lvt_typ</t>
  </si>
  <si>
    <t>1.4_-40_lvt_weak</t>
  </si>
  <si>
    <t>0.9_-20_lvt_strong</t>
  </si>
  <si>
    <t>0.9_-20_lvt_typ</t>
  </si>
  <si>
    <t>0.9_-20_lvt_weak</t>
  </si>
  <si>
    <t>0.925_-20_lvt_strong</t>
  </si>
  <si>
    <t>0.925_-20_lvt_typ</t>
  </si>
  <si>
    <t>0.925_-20_lvt_weak</t>
  </si>
  <si>
    <t>0.95_-20_lvt_strong</t>
  </si>
  <si>
    <t>0.95_-20_lvt_typ</t>
  </si>
  <si>
    <t>0.95_-20_lvt_weak</t>
  </si>
  <si>
    <t>0.975_-20_lvt_strong</t>
  </si>
  <si>
    <t>0.975_-20_lvt_typ</t>
  </si>
  <si>
    <t>0.975_-20_lvt_weak</t>
  </si>
  <si>
    <t>1_-20_lvt_strong</t>
  </si>
  <si>
    <t>1_-20_lvt_typ</t>
  </si>
  <si>
    <t>1_-20_lvt_weak</t>
  </si>
  <si>
    <t>1.025_-20_lvt_strong</t>
  </si>
  <si>
    <t>1.025_-20_lvt_typ</t>
  </si>
  <si>
    <t>1.025_-20_lvt_weak</t>
  </si>
  <si>
    <t>1.05_-20_lvt_strong</t>
  </si>
  <si>
    <t>1.05_-20_lvt_typ</t>
  </si>
  <si>
    <t>1.05_-20_lvt_weak</t>
  </si>
  <si>
    <t>1.075_-20_lvt_strong</t>
  </si>
  <si>
    <t>1.075_-20_lvt_typ</t>
  </si>
  <si>
    <t>1.075_-20_lvt_weak</t>
  </si>
  <si>
    <t>1.1_-20_lvt_strong</t>
  </si>
  <si>
    <t>1.1_-20_lvt_typ</t>
  </si>
  <si>
    <t>1.1_-20_lvt_weak</t>
  </si>
  <si>
    <t>1.125_-20_lvt_strong</t>
  </si>
  <si>
    <t>1.125_-20_lvt_typ</t>
  </si>
  <si>
    <t>1.125_-20_lvt_weak</t>
  </si>
  <si>
    <t>1.15_-20_lvt_strong</t>
  </si>
  <si>
    <t>1.15_-20_lvt_typ</t>
  </si>
  <si>
    <t>1.15_-20_lvt_weak</t>
  </si>
  <si>
    <t>1.175_-20_lvt_strong</t>
  </si>
  <si>
    <t>1.175_-20_lvt_typ</t>
  </si>
  <si>
    <t>1.175_-20_lvt_weak</t>
  </si>
  <si>
    <t>1.2_-20_lvt_strong</t>
  </si>
  <si>
    <t>1.2_-20_lvt_typ</t>
  </si>
  <si>
    <t>1.2_-20_lvt_weak</t>
  </si>
  <si>
    <t>1.225_-20_lvt_strong</t>
  </si>
  <si>
    <t>1.225_-20_lvt_typ</t>
  </si>
  <si>
    <t>1.225_-20_lvt_weak</t>
  </si>
  <si>
    <t>1.25_-20_lvt_strong</t>
  </si>
  <si>
    <t>1.25_-20_lvt_typ</t>
  </si>
  <si>
    <t>1.25_-20_lvt_weak</t>
  </si>
  <si>
    <t>1.275_-20_lvt_strong</t>
  </si>
  <si>
    <t>1.275_-20_lvt_typ</t>
  </si>
  <si>
    <t>1.275_-20_lvt_weak</t>
  </si>
  <si>
    <t>1.3_-20_lvt_strong</t>
  </si>
  <si>
    <t>1.3_-20_lvt_typ</t>
  </si>
  <si>
    <t>1.3_-20_lvt_weak</t>
  </si>
  <si>
    <t>1.325_-20_lvt_strong</t>
  </si>
  <si>
    <t>1.325_-20_lvt_typ</t>
  </si>
  <si>
    <t>1.325_-20_lvt_weak</t>
  </si>
  <si>
    <t>1.35_-20_lvt_strong</t>
  </si>
  <si>
    <t>1.35_-20_lvt_typ</t>
  </si>
  <si>
    <t>1.35_-20_lvt_weak</t>
  </si>
  <si>
    <t>1.375_-20_lvt_strong</t>
  </si>
  <si>
    <t>1.375_-20_lvt_typ</t>
  </si>
  <si>
    <t>1.375_-20_lvt_weak</t>
  </si>
  <si>
    <t>1.4_-20_lvt_strong</t>
  </si>
  <si>
    <t>1.4_-20_lvt_typ</t>
  </si>
  <si>
    <t>1.4_-20_lvt_weak</t>
  </si>
  <si>
    <t>0.9_0_lvt_strong</t>
  </si>
  <si>
    <t>0.9_0_lvt_typ</t>
  </si>
  <si>
    <t>0.9_0_lvt_weak</t>
  </si>
  <si>
    <t>0.925_0_lvt_strong</t>
  </si>
  <si>
    <t>0.925_0_lvt_typ</t>
  </si>
  <si>
    <t>0.925_0_lvt_weak</t>
  </si>
  <si>
    <t>0.95_0_lvt_strong</t>
  </si>
  <si>
    <t>0.95_0_lvt_typ</t>
  </si>
  <si>
    <t>0.95_0_lvt_weak</t>
  </si>
  <si>
    <t>0.975_0_lvt_strong</t>
  </si>
  <si>
    <t>0.975_0_lvt_typ</t>
  </si>
  <si>
    <t>0.975_0_lvt_weak</t>
  </si>
  <si>
    <t>1_0_lvt_strong</t>
  </si>
  <si>
    <t>1_0_lvt_typ</t>
  </si>
  <si>
    <t>1_0_lvt_weak</t>
  </si>
  <si>
    <t>1.025_0_lvt_strong</t>
  </si>
  <si>
    <t>1.025_0_lvt_typ</t>
  </si>
  <si>
    <t>1.025_0_lvt_weak</t>
  </si>
  <si>
    <t>1.05_0_lvt_strong</t>
  </si>
  <si>
    <t>1.05_0_lvt_typ</t>
  </si>
  <si>
    <t>1.05_0_lvt_weak</t>
  </si>
  <si>
    <t>1.075_0_lvt_strong</t>
  </si>
  <si>
    <t>1.075_0_lvt_typ</t>
  </si>
  <si>
    <t>1.075_0_lvt_weak</t>
  </si>
  <si>
    <t>1.1_0_lvt_strong</t>
  </si>
  <si>
    <t>1.1_0_lvt_typ</t>
  </si>
  <si>
    <t>1.1_0_lvt_weak</t>
  </si>
  <si>
    <t>1.125_0_lvt_strong</t>
  </si>
  <si>
    <t>1.125_0_lvt_typ</t>
  </si>
  <si>
    <t>1.125_0_lvt_weak</t>
  </si>
  <si>
    <t>1.15_0_lvt_strong</t>
  </si>
  <si>
    <t>1.15_0_lvt_typ</t>
  </si>
  <si>
    <t>1.15_0_lvt_weak</t>
  </si>
  <si>
    <t>1.175_0_lvt_strong</t>
  </si>
  <si>
    <t>1.175_0_lvt_typ</t>
  </si>
  <si>
    <t>1.175_0_lvt_weak</t>
  </si>
  <si>
    <t>1.2_0_lvt_strong</t>
  </si>
  <si>
    <t>1.2_0_lvt_typ</t>
  </si>
  <si>
    <t>1.2_0_lvt_weak</t>
  </si>
  <si>
    <t>1.225_0_lvt_strong</t>
  </si>
  <si>
    <t>1.225_0_lvt_typ</t>
  </si>
  <si>
    <t>1.225_0_lvt_weak</t>
  </si>
  <si>
    <t>1.25_0_lvt_strong</t>
  </si>
  <si>
    <t>1.25_0_lvt_typ</t>
  </si>
  <si>
    <t>1.25_0_lvt_weak</t>
  </si>
  <si>
    <t>1.275_0_lvt_strong</t>
  </si>
  <si>
    <t>1.275_0_lvt_typ</t>
  </si>
  <si>
    <t>1.275_0_lvt_weak</t>
  </si>
  <si>
    <t>1.3_0_lvt_strong</t>
  </si>
  <si>
    <t>1.3_0_lvt_typ</t>
  </si>
  <si>
    <t>1.3_0_lvt_weak</t>
  </si>
  <si>
    <t>1.325_0_lvt_strong</t>
  </si>
  <si>
    <t>1.325_0_lvt_typ</t>
  </si>
  <si>
    <t>1.325_0_lvt_weak</t>
  </si>
  <si>
    <t>1.35_0_lvt_strong</t>
  </si>
  <si>
    <t>1.35_0_lvt_typ</t>
  </si>
  <si>
    <t>1.35_0_lvt_weak</t>
  </si>
  <si>
    <t>1.375_0_lvt_strong</t>
  </si>
  <si>
    <t>1.375_0_lvt_typ</t>
  </si>
  <si>
    <t>1.375_0_lvt_weak</t>
  </si>
  <si>
    <t>1.4_0_lvt_strong</t>
  </si>
  <si>
    <t>1.4_0_lvt_typ</t>
  </si>
  <si>
    <t>1.4_0_lvt_weak</t>
  </si>
  <si>
    <t>0.9_25_lvt_strong</t>
  </si>
  <si>
    <t>0.9_25_lvt_typ</t>
  </si>
  <si>
    <t>0.9_25_lvt_weak</t>
  </si>
  <si>
    <t>0.925_25_lvt_strong</t>
  </si>
  <si>
    <t>0.925_25_lvt_typ</t>
  </si>
  <si>
    <t>0.925_25_lvt_weak</t>
  </si>
  <si>
    <t>0.95_25_lvt_strong</t>
  </si>
  <si>
    <t>0.95_25_lvt_typ</t>
  </si>
  <si>
    <t>0.95_25_lvt_weak</t>
  </si>
  <si>
    <t>0.975_25_lvt_strong</t>
  </si>
  <si>
    <t>0.975_25_lvt_typ</t>
  </si>
  <si>
    <t>0.975_25_lvt_weak</t>
  </si>
  <si>
    <t>1_25_lvt_strong</t>
  </si>
  <si>
    <t>1_25_lvt_typ</t>
  </si>
  <si>
    <t>1_25_lvt_weak</t>
  </si>
  <si>
    <t>1.025_25_lvt_strong</t>
  </si>
  <si>
    <t>1.025_25_lvt_typ</t>
  </si>
  <si>
    <t>1.025_25_lvt_weak</t>
  </si>
  <si>
    <t>1.05_25_lvt_strong</t>
  </si>
  <si>
    <t>1.05_25_lvt_typ</t>
  </si>
  <si>
    <t>1.05_25_lvt_weak</t>
  </si>
  <si>
    <t>1.075_25_lvt_strong</t>
  </si>
  <si>
    <t>1.075_25_lvt_typ</t>
  </si>
  <si>
    <t>1.075_25_lvt_weak</t>
  </si>
  <si>
    <t>1.1_25_lvt_strong</t>
  </si>
  <si>
    <t>1.1_25_lvt_typ</t>
  </si>
  <si>
    <t>1.1_25_lvt_weak</t>
  </si>
  <si>
    <t>1.125_25_lvt_strong</t>
  </si>
  <si>
    <t>1.125_25_lvt_typ</t>
  </si>
  <si>
    <t>1.125_25_lvt_weak</t>
  </si>
  <si>
    <t>1.15_25_lvt_strong</t>
  </si>
  <si>
    <t>1.15_25_lvt_typ</t>
  </si>
  <si>
    <t>1.15_25_lvt_weak</t>
  </si>
  <si>
    <t>1.175_25_lvt_strong</t>
  </si>
  <si>
    <t>1.175_25_lvt_typ</t>
  </si>
  <si>
    <t>1.175_25_lvt_weak</t>
  </si>
  <si>
    <t>1.2_25_lvt_strong</t>
  </si>
  <si>
    <t>1.2_25_lvt_typ</t>
  </si>
  <si>
    <t>1.2_25_lvt_weak</t>
  </si>
  <si>
    <t>1.225_25_lvt_strong</t>
  </si>
  <si>
    <t>1.225_25_lvt_typ</t>
  </si>
  <si>
    <t>1.225_25_lvt_weak</t>
  </si>
  <si>
    <t>1.25_25_lvt_strong</t>
  </si>
  <si>
    <t>1.25_25_lvt_typ</t>
  </si>
  <si>
    <t>1.25_25_lvt_weak</t>
  </si>
  <si>
    <t>1.275_25_lvt_strong</t>
  </si>
  <si>
    <t>1.275_25_lvt_typ</t>
  </si>
  <si>
    <t>1.275_25_lvt_weak</t>
  </si>
  <si>
    <t>1.3_25_lvt_strong</t>
  </si>
  <si>
    <t>1.3_25_lvt_typ</t>
  </si>
  <si>
    <t>1.3_25_lvt_weak</t>
  </si>
  <si>
    <t>1.325_25_lvt_strong</t>
  </si>
  <si>
    <t>1.325_25_lvt_typ</t>
  </si>
  <si>
    <t>1.325_25_lvt_weak</t>
  </si>
  <si>
    <t>1.35_25_lvt_strong</t>
  </si>
  <si>
    <t>1.35_25_lvt_typ</t>
  </si>
  <si>
    <t>1.35_25_lvt_weak</t>
  </si>
  <si>
    <t>1.375_25_lvt_strong</t>
  </si>
  <si>
    <t>1.375_25_lvt_typ</t>
  </si>
  <si>
    <t>1.375_25_lvt_weak</t>
  </si>
  <si>
    <t>1.4_25_lvt_strong</t>
  </si>
  <si>
    <t>1.4_25_lvt_typ</t>
  </si>
  <si>
    <t>1.4_25_lvt_weak</t>
  </si>
  <si>
    <t>0.9_50_lvt_strong</t>
  </si>
  <si>
    <t>0.9_50_lvt_typ</t>
  </si>
  <si>
    <t>0.9_50_lvt_weak</t>
  </si>
  <si>
    <t>0.925_50_lvt_strong</t>
  </si>
  <si>
    <t>0.925_50_lvt_typ</t>
  </si>
  <si>
    <t>0.925_50_lvt_weak</t>
  </si>
  <si>
    <t>0.95_50_lvt_strong</t>
  </si>
  <si>
    <t>0.95_50_lvt_typ</t>
  </si>
  <si>
    <t>0.95_50_lvt_weak</t>
  </si>
  <si>
    <t>0.975_50_lvt_strong</t>
  </si>
  <si>
    <t>0.975_50_lvt_typ</t>
  </si>
  <si>
    <t>0.975_50_lvt_weak</t>
  </si>
  <si>
    <t>1_50_lvt_strong</t>
  </si>
  <si>
    <t>1_50_lvt_typ</t>
  </si>
  <si>
    <t>1_50_lvt_weak</t>
  </si>
  <si>
    <t>1.025_50_lvt_strong</t>
  </si>
  <si>
    <t>1.025_50_lvt_typ</t>
  </si>
  <si>
    <t>1.025_50_lvt_weak</t>
  </si>
  <si>
    <t>1.05_50_lvt_strong</t>
  </si>
  <si>
    <t>1.05_50_lvt_typ</t>
  </si>
  <si>
    <t>1.05_50_lvt_weak</t>
  </si>
  <si>
    <t>1.075_50_lvt_strong</t>
  </si>
  <si>
    <t>1.075_50_lvt_typ</t>
  </si>
  <si>
    <t>1.075_50_lvt_weak</t>
  </si>
  <si>
    <t>1.1_50_lvt_strong</t>
  </si>
  <si>
    <t>1.1_50_lvt_typ</t>
  </si>
  <si>
    <t>1.1_50_lvt_weak</t>
  </si>
  <si>
    <t>1.125_50_lvt_strong</t>
  </si>
  <si>
    <t>1.125_50_lvt_typ</t>
  </si>
  <si>
    <t>1.125_50_lvt_weak</t>
  </si>
  <si>
    <t>1.15_50_lvt_strong</t>
  </si>
  <si>
    <t>1.15_50_lvt_typ</t>
  </si>
  <si>
    <t>1.15_50_lvt_weak</t>
  </si>
  <si>
    <t>1.175_50_lvt_strong</t>
  </si>
  <si>
    <t>1.175_50_lvt_typ</t>
  </si>
  <si>
    <t>1.175_50_lvt_weak</t>
  </si>
  <si>
    <t>1.2_50_lvt_strong</t>
  </si>
  <si>
    <t>1.2_50_lvt_typ</t>
  </si>
  <si>
    <t>1.2_50_lvt_weak</t>
  </si>
  <si>
    <t>1.225_50_lvt_strong</t>
  </si>
  <si>
    <t>1.225_50_lvt_typ</t>
  </si>
  <si>
    <t>1.225_50_lvt_weak</t>
  </si>
  <si>
    <t>1.25_50_lvt_strong</t>
  </si>
  <si>
    <t>1.25_50_lvt_typ</t>
  </si>
  <si>
    <t>1.25_50_lvt_weak</t>
  </si>
  <si>
    <t>1.275_50_lvt_strong</t>
  </si>
  <si>
    <t>1.275_50_lvt_typ</t>
  </si>
  <si>
    <t>1.275_50_lvt_weak</t>
  </si>
  <si>
    <t>1.3_50_lvt_strong</t>
  </si>
  <si>
    <t>1.3_50_lvt_typ</t>
  </si>
  <si>
    <t>1.3_50_lvt_weak</t>
  </si>
  <si>
    <t>1.325_50_lvt_strong</t>
  </si>
  <si>
    <t>1.325_50_lvt_typ</t>
  </si>
  <si>
    <t>1.325_50_lvt_weak</t>
  </si>
  <si>
    <t>1.35_50_lvt_strong</t>
  </si>
  <si>
    <t>1.35_50_lvt_typ</t>
  </si>
  <si>
    <t>1.35_50_lvt_weak</t>
  </si>
  <si>
    <t>1.375_50_lvt_strong</t>
  </si>
  <si>
    <t>1.375_50_lvt_typ</t>
  </si>
  <si>
    <t>1.375_50_lvt_weak</t>
  </si>
  <si>
    <t>1.4_50_lvt_strong</t>
  </si>
  <si>
    <t>1.4_50_lvt_typ</t>
  </si>
  <si>
    <t>1.4_50_lvt_weak</t>
  </si>
  <si>
    <t>0.9_75_lvt_strong</t>
  </si>
  <si>
    <t>0.9_75_lvt_typ</t>
  </si>
  <si>
    <t>0.9_75_lvt_weak</t>
  </si>
  <si>
    <t>0.925_75_lvt_strong</t>
  </si>
  <si>
    <t>0.925_75_lvt_typ</t>
  </si>
  <si>
    <t>0.925_75_lvt_weak</t>
  </si>
  <si>
    <t>0.95_75_lvt_strong</t>
  </si>
  <si>
    <t>0.95_75_lvt_typ</t>
  </si>
  <si>
    <t>0.95_75_lvt_weak</t>
  </si>
  <si>
    <t>0.975_75_lvt_strong</t>
  </si>
  <si>
    <t>0.975_75_lvt_typ</t>
  </si>
  <si>
    <t>0.975_75_lvt_weak</t>
  </si>
  <si>
    <t>1_75_lvt_strong</t>
  </si>
  <si>
    <t>1_75_lvt_typ</t>
  </si>
  <si>
    <t>1_75_lvt_weak</t>
  </si>
  <si>
    <t>1.025_75_lvt_strong</t>
  </si>
  <si>
    <t>1.025_75_lvt_typ</t>
  </si>
  <si>
    <t>1.025_75_lvt_weak</t>
  </si>
  <si>
    <t>1.05_75_lvt_strong</t>
  </si>
  <si>
    <t>1.05_75_lvt_typ</t>
  </si>
  <si>
    <t>1.05_75_lvt_weak</t>
  </si>
  <si>
    <t>1.075_75_lvt_strong</t>
  </si>
  <si>
    <t>1.075_75_lvt_typ</t>
  </si>
  <si>
    <t>1.075_75_lvt_weak</t>
  </si>
  <si>
    <t>1.1_75_lvt_strong</t>
  </si>
  <si>
    <t>1.1_75_lvt_typ</t>
  </si>
  <si>
    <t>1.1_75_lvt_weak</t>
  </si>
  <si>
    <t>1.125_75_lvt_strong</t>
  </si>
  <si>
    <t>1.125_75_lvt_typ</t>
  </si>
  <si>
    <t>1.125_75_lvt_weak</t>
  </si>
  <si>
    <t>1.15_75_lvt_strong</t>
  </si>
  <si>
    <t>1.15_75_lvt_typ</t>
  </si>
  <si>
    <t>1.15_75_lvt_weak</t>
  </si>
  <si>
    <t>1.175_75_lvt_strong</t>
  </si>
  <si>
    <t>1.175_75_lvt_typ</t>
  </si>
  <si>
    <t>1.175_75_lvt_weak</t>
  </si>
  <si>
    <t>1.2_75_lvt_strong</t>
  </si>
  <si>
    <t>1.2_75_lvt_typ</t>
  </si>
  <si>
    <t>1.2_75_lvt_weak</t>
  </si>
  <si>
    <t>1.225_75_lvt_strong</t>
  </si>
  <si>
    <t>1.225_75_lvt_typ</t>
  </si>
  <si>
    <t>1.225_75_lvt_weak</t>
  </si>
  <si>
    <t>1.25_75_lvt_strong</t>
  </si>
  <si>
    <t>1.25_75_lvt_typ</t>
  </si>
  <si>
    <t>1.25_75_lvt_weak</t>
  </si>
  <si>
    <t>1.275_75_lvt_strong</t>
  </si>
  <si>
    <t>1.275_75_lvt_typ</t>
  </si>
  <si>
    <t>1.275_75_lvt_weak</t>
  </si>
  <si>
    <t>1.3_75_lvt_strong</t>
  </si>
  <si>
    <t>1.3_75_lvt_typ</t>
  </si>
  <si>
    <t>1.3_75_lvt_weak</t>
  </si>
  <si>
    <t>1.325_75_lvt_strong</t>
  </si>
  <si>
    <t>1.325_75_lvt_typ</t>
  </si>
  <si>
    <t>1.325_75_lvt_weak</t>
  </si>
  <si>
    <t>1.35_75_lvt_strong</t>
  </si>
  <si>
    <t>1.35_75_lvt_typ</t>
  </si>
  <si>
    <t>1.35_75_lvt_weak</t>
  </si>
  <si>
    <t>1.375_75_lvt_strong</t>
  </si>
  <si>
    <t>1.375_75_lvt_typ</t>
  </si>
  <si>
    <t>1.375_75_lvt_weak</t>
  </si>
  <si>
    <t>1.4_75_lvt_strong</t>
  </si>
  <si>
    <t>1.4_75_lvt_typ</t>
  </si>
  <si>
    <t>1.4_75_lvt_weak</t>
  </si>
  <si>
    <t>0.9_85_lvt_strong</t>
  </si>
  <si>
    <t>0.9_85_lvt_typ</t>
  </si>
  <si>
    <t>0.9_85_lvt_weak</t>
  </si>
  <si>
    <t>0.925_85_lvt_strong</t>
  </si>
  <si>
    <t>0.925_85_lvt_typ</t>
  </si>
  <si>
    <t>0.925_85_lvt_weak</t>
  </si>
  <si>
    <t>0.95_85_lvt_strong</t>
  </si>
  <si>
    <t>0.95_85_lvt_typ</t>
  </si>
  <si>
    <t>0.95_85_lvt_weak</t>
  </si>
  <si>
    <t>0.975_85_lvt_strong</t>
  </si>
  <si>
    <t>0.975_85_lvt_typ</t>
  </si>
  <si>
    <t>0.975_85_lvt_weak</t>
  </si>
  <si>
    <t>1_85_lvt_strong</t>
  </si>
  <si>
    <t>1_85_lvt_typ</t>
  </si>
  <si>
    <t>1_85_lvt_weak</t>
  </si>
  <si>
    <t>1.025_85_lvt_strong</t>
  </si>
  <si>
    <t>1.025_85_lvt_typ</t>
  </si>
  <si>
    <t>1.025_85_lvt_weak</t>
  </si>
  <si>
    <t>1.05_85_lvt_strong</t>
  </si>
  <si>
    <t>1.05_85_lvt_typ</t>
  </si>
  <si>
    <t>1.05_85_lvt_weak</t>
  </si>
  <si>
    <t>1.075_85_lvt_strong</t>
  </si>
  <si>
    <t>1.075_85_lvt_typ</t>
  </si>
  <si>
    <t>1.075_85_lvt_weak</t>
  </si>
  <si>
    <t>1.1_85_lvt_strong</t>
  </si>
  <si>
    <t>1.1_85_lvt_typ</t>
  </si>
  <si>
    <t>1.1_85_lvt_weak</t>
  </si>
  <si>
    <t>1.125_85_lvt_strong</t>
  </si>
  <si>
    <t>1.125_85_lvt_typ</t>
  </si>
  <si>
    <t>1.125_85_lvt_weak</t>
  </si>
  <si>
    <t>1.15_85_lvt_strong</t>
  </si>
  <si>
    <t>1.15_85_lvt_typ</t>
  </si>
  <si>
    <t>1.15_85_lvt_weak</t>
  </si>
  <si>
    <t>1.175_85_lvt_strong</t>
  </si>
  <si>
    <t>1.175_85_lvt_typ</t>
  </si>
  <si>
    <t>1.175_85_lvt_weak</t>
  </si>
  <si>
    <t>1.2_85_lvt_strong</t>
  </si>
  <si>
    <t>1.2_85_lvt_typ</t>
  </si>
  <si>
    <t>1.2_85_lvt_weak</t>
  </si>
  <si>
    <t>1.225_85_lvt_strong</t>
  </si>
  <si>
    <t>1.225_85_lvt_typ</t>
  </si>
  <si>
    <t>1.225_85_lvt_weak</t>
  </si>
  <si>
    <t>1.25_85_lvt_strong</t>
  </si>
  <si>
    <t>1.25_85_lvt_typ</t>
  </si>
  <si>
    <t>1.25_85_lvt_weak</t>
  </si>
  <si>
    <t>1.275_85_lvt_strong</t>
  </si>
  <si>
    <t>1.275_85_lvt_typ</t>
  </si>
  <si>
    <t>1.275_85_lvt_weak</t>
  </si>
  <si>
    <t>1.3_85_lvt_strong</t>
  </si>
  <si>
    <t>1.3_85_lvt_typ</t>
  </si>
  <si>
    <t>1.3_85_lvt_weak</t>
  </si>
  <si>
    <t>1.325_85_lvt_strong</t>
  </si>
  <si>
    <t>1.325_85_lvt_typ</t>
  </si>
  <si>
    <t>1.325_85_lvt_weak</t>
  </si>
  <si>
    <t>1.35_85_lvt_strong</t>
  </si>
  <si>
    <t>1.35_85_lvt_typ</t>
  </si>
  <si>
    <t>1.35_85_lvt_weak</t>
  </si>
  <si>
    <t>1.375_85_lvt_strong</t>
  </si>
  <si>
    <t>1.375_85_lvt_typ</t>
  </si>
  <si>
    <t>1.375_85_lvt_weak</t>
  </si>
  <si>
    <t>1.4_85_lvt_strong</t>
  </si>
  <si>
    <t>1.4_85_lvt_typ</t>
  </si>
  <si>
    <t>1.4_85_lvt_weak</t>
  </si>
  <si>
    <t>0.9_100_lvt_strong</t>
  </si>
  <si>
    <t>0.9_100_lvt_typ</t>
  </si>
  <si>
    <t>0.9_100_lvt_weak</t>
  </si>
  <si>
    <t>0.925_100_lvt_strong</t>
  </si>
  <si>
    <t>0.925_100_lvt_typ</t>
  </si>
  <si>
    <t>0.925_100_lvt_weak</t>
  </si>
  <si>
    <t>0.95_100_lvt_strong</t>
  </si>
  <si>
    <t>0.95_100_lvt_typ</t>
  </si>
  <si>
    <t>0.95_100_lvt_weak</t>
  </si>
  <si>
    <t>0.975_100_lvt_strong</t>
  </si>
  <si>
    <t>0.975_100_lvt_typ</t>
  </si>
  <si>
    <t>0.975_100_lvt_weak</t>
  </si>
  <si>
    <t>1_100_lvt_strong</t>
  </si>
  <si>
    <t>1_100_lvt_typ</t>
  </si>
  <si>
    <t>1_100_lvt_weak</t>
  </si>
  <si>
    <t>1.025_100_lvt_strong</t>
  </si>
  <si>
    <t>1.025_100_lvt_typ</t>
  </si>
  <si>
    <t>1.025_100_lvt_weak</t>
  </si>
  <si>
    <t>1.05_100_lvt_strong</t>
  </si>
  <si>
    <t>1.05_100_lvt_typ</t>
  </si>
  <si>
    <t>1.05_100_lvt_weak</t>
  </si>
  <si>
    <t>1.075_100_lvt_strong</t>
  </si>
  <si>
    <t>1.075_100_lvt_typ</t>
  </si>
  <si>
    <t>1.075_100_lvt_weak</t>
  </si>
  <si>
    <t>1.1_100_lvt_strong</t>
  </si>
  <si>
    <t>1.1_100_lvt_typ</t>
  </si>
  <si>
    <t>1.1_100_lvt_weak</t>
  </si>
  <si>
    <t>1.125_100_lvt_strong</t>
  </si>
  <si>
    <t>1.125_100_lvt_typ</t>
  </si>
  <si>
    <t>1.125_100_lvt_weak</t>
  </si>
  <si>
    <t>1.15_100_lvt_strong</t>
  </si>
  <si>
    <t>1.15_100_lvt_typ</t>
  </si>
  <si>
    <t>1.15_100_lvt_weak</t>
  </si>
  <si>
    <t>1.175_100_lvt_strong</t>
  </si>
  <si>
    <t>1.175_100_lvt_typ</t>
  </si>
  <si>
    <t>1.175_100_lvt_weak</t>
  </si>
  <si>
    <t>1.2_100_lvt_strong</t>
  </si>
  <si>
    <t>1.2_100_lvt_typ</t>
  </si>
  <si>
    <t>1.2_100_lvt_weak</t>
  </si>
  <si>
    <t>1.225_100_lvt_strong</t>
  </si>
  <si>
    <t>1.225_100_lvt_typ</t>
  </si>
  <si>
    <t>1.225_100_lvt_weak</t>
  </si>
  <si>
    <t>1.25_100_lvt_strong</t>
  </si>
  <si>
    <t>1.25_100_lvt_typ</t>
  </si>
  <si>
    <t>1.25_100_lvt_weak</t>
  </si>
  <si>
    <t>1.275_100_lvt_strong</t>
  </si>
  <si>
    <t>1.275_100_lvt_typ</t>
  </si>
  <si>
    <t>1.275_100_lvt_weak</t>
  </si>
  <si>
    <t>1.3_100_lvt_strong</t>
  </si>
  <si>
    <t>1.3_100_lvt_typ</t>
  </si>
  <si>
    <t>1.3_100_lvt_weak</t>
  </si>
  <si>
    <t>1.325_100_lvt_strong</t>
  </si>
  <si>
    <t>1.325_100_lvt_typ</t>
  </si>
  <si>
    <t>1.325_100_lvt_weak</t>
  </si>
  <si>
    <t>1.35_100_lvt_strong</t>
  </si>
  <si>
    <t>1.35_100_lvt_typ</t>
  </si>
  <si>
    <t>1.35_100_lvt_weak</t>
  </si>
  <si>
    <t>1.375_100_lvt_strong</t>
  </si>
  <si>
    <t>1.375_100_lvt_typ</t>
  </si>
  <si>
    <t>1.375_100_lvt_weak</t>
  </si>
  <si>
    <t>1.4_100_lvt_strong</t>
  </si>
  <si>
    <t>1.4_100_lvt_typ</t>
  </si>
  <si>
    <t>1.4_100_lvt_weak</t>
  </si>
  <si>
    <t>0.9_105_lvt_strong</t>
  </si>
  <si>
    <t>0.9_105_lvt_typ</t>
  </si>
  <si>
    <t>0.9_105_lvt_weak</t>
  </si>
  <si>
    <t>0.925_105_lvt_strong</t>
  </si>
  <si>
    <t>0.925_105_lvt_typ</t>
  </si>
  <si>
    <t>0.925_105_lvt_weak</t>
  </si>
  <si>
    <t>0.95_105_lvt_strong</t>
  </si>
  <si>
    <t>0.95_105_lvt_typ</t>
  </si>
  <si>
    <t>0.95_105_lvt_weak</t>
  </si>
  <si>
    <t>0.975_105_lvt_strong</t>
  </si>
  <si>
    <t>0.975_105_lvt_typ</t>
  </si>
  <si>
    <t>0.975_105_lvt_weak</t>
  </si>
  <si>
    <t>1_105_lvt_strong</t>
  </si>
  <si>
    <t>1_105_lvt_typ</t>
  </si>
  <si>
    <t>1_105_lvt_weak</t>
  </si>
  <si>
    <t>1.025_105_lvt_strong</t>
  </si>
  <si>
    <t>1.025_105_lvt_typ</t>
  </si>
  <si>
    <t>1.025_105_lvt_weak</t>
  </si>
  <si>
    <t>1.05_105_lvt_strong</t>
  </si>
  <si>
    <t>1.05_105_lvt_typ</t>
  </si>
  <si>
    <t>1.05_105_lvt_weak</t>
  </si>
  <si>
    <t>1.075_105_lvt_strong</t>
  </si>
  <si>
    <t>1.075_105_lvt_typ</t>
  </si>
  <si>
    <t>1.075_105_lvt_weak</t>
  </si>
  <si>
    <t>1.1_105_lvt_strong</t>
  </si>
  <si>
    <t>1.1_105_lvt_typ</t>
  </si>
  <si>
    <t>1.1_105_lvt_weak</t>
  </si>
  <si>
    <t>1.125_105_lvt_strong</t>
  </si>
  <si>
    <t>1.125_105_lvt_typ</t>
  </si>
  <si>
    <t>1.125_105_lvt_weak</t>
  </si>
  <si>
    <t>1.15_105_lvt_strong</t>
  </si>
  <si>
    <t>1.15_105_lvt_typ</t>
  </si>
  <si>
    <t>1.15_105_lvt_weak</t>
  </si>
  <si>
    <t>1.175_105_lvt_strong</t>
  </si>
  <si>
    <t>1.175_105_lvt_typ</t>
  </si>
  <si>
    <t>1.175_105_lvt_weak</t>
  </si>
  <si>
    <t>1.2_105_lvt_strong</t>
  </si>
  <si>
    <t>1.2_105_lvt_typ</t>
  </si>
  <si>
    <t>1.2_105_lvt_weak</t>
  </si>
  <si>
    <t>1.225_105_lvt_strong</t>
  </si>
  <si>
    <t>1.225_105_lvt_typ</t>
  </si>
  <si>
    <t>1.225_105_lvt_weak</t>
  </si>
  <si>
    <t>1.25_105_lvt_strong</t>
  </si>
  <si>
    <t>1.25_105_lvt_typ</t>
  </si>
  <si>
    <t>1.25_105_lvt_weak</t>
  </si>
  <si>
    <t>1.275_105_lvt_strong</t>
  </si>
  <si>
    <t>1.275_105_lvt_typ</t>
  </si>
  <si>
    <t>1.275_105_lvt_weak</t>
  </si>
  <si>
    <t>1.3_105_lvt_strong</t>
  </si>
  <si>
    <t>1.3_105_lvt_typ</t>
  </si>
  <si>
    <t>1.3_105_lvt_weak</t>
  </si>
  <si>
    <t>1.325_105_lvt_strong</t>
  </si>
  <si>
    <t>1.325_105_lvt_typ</t>
  </si>
  <si>
    <t>1.325_105_lvt_weak</t>
  </si>
  <si>
    <t>1.35_105_lvt_strong</t>
  </si>
  <si>
    <t>1.35_105_lvt_typ</t>
  </si>
  <si>
    <t>1.35_105_lvt_weak</t>
  </si>
  <si>
    <t>1.375_105_lvt_strong</t>
  </si>
  <si>
    <t>1.375_105_lvt_typ</t>
  </si>
  <si>
    <t>1.375_105_lvt_weak</t>
  </si>
  <si>
    <t>1.4_105_lvt_strong</t>
  </si>
  <si>
    <t>1.4_105_lvt_typ</t>
  </si>
  <si>
    <t>1.4_105_lvt_weak</t>
  </si>
  <si>
    <t>0.9_125_lvt_strong</t>
  </si>
  <si>
    <t>0.9_125_lvt_typ</t>
  </si>
  <si>
    <t>0.9_125_lvt_weak</t>
  </si>
  <si>
    <t>0.925_125_lvt_strong</t>
  </si>
  <si>
    <t>0.925_125_lvt_typ</t>
  </si>
  <si>
    <t>0.925_125_lvt_weak</t>
  </si>
  <si>
    <t>0.95_125_lvt_strong</t>
  </si>
  <si>
    <t>0.95_125_lvt_typ</t>
  </si>
  <si>
    <t>0.95_125_lvt_weak</t>
  </si>
  <si>
    <t>0.975_125_lvt_strong</t>
  </si>
  <si>
    <t>0.975_125_lvt_typ</t>
  </si>
  <si>
    <t>0.975_125_lvt_weak</t>
  </si>
  <si>
    <t>1_125_lvt_strong</t>
  </si>
  <si>
    <t>1_125_lvt_typ</t>
  </si>
  <si>
    <t>1_125_lvt_weak</t>
  </si>
  <si>
    <t>1.025_125_lvt_strong</t>
  </si>
  <si>
    <t>1.025_125_lvt_typ</t>
  </si>
  <si>
    <t>1.025_125_lvt_weak</t>
  </si>
  <si>
    <t>1.05_125_lvt_strong</t>
  </si>
  <si>
    <t>1.05_125_lvt_typ</t>
  </si>
  <si>
    <t>1.05_125_lvt_weak</t>
  </si>
  <si>
    <t>1.075_125_lvt_strong</t>
  </si>
  <si>
    <t>1.075_125_lvt_typ</t>
  </si>
  <si>
    <t>1.075_125_lvt_weak</t>
  </si>
  <si>
    <t>1.1_125_lvt_strong</t>
  </si>
  <si>
    <t>1.1_125_lvt_typ</t>
  </si>
  <si>
    <t>1.1_125_lvt_weak</t>
  </si>
  <si>
    <t>1.125_125_lvt_strong</t>
  </si>
  <si>
    <t>1.125_125_lvt_typ</t>
  </si>
  <si>
    <t>1.125_125_lvt_weak</t>
  </si>
  <si>
    <t>1.15_125_lvt_strong</t>
  </si>
  <si>
    <t>1.15_125_lvt_typ</t>
  </si>
  <si>
    <t>1.15_125_lvt_weak</t>
  </si>
  <si>
    <t>1.175_125_lvt_strong</t>
  </si>
  <si>
    <t>1.175_125_lvt_typ</t>
  </si>
  <si>
    <t>1.175_125_lvt_weak</t>
  </si>
  <si>
    <t>1.2_125_lvt_strong</t>
  </si>
  <si>
    <t>1.2_125_lvt_typ</t>
  </si>
  <si>
    <t>1.2_125_lvt_weak</t>
  </si>
  <si>
    <t>1.225_125_lvt_strong</t>
  </si>
  <si>
    <t>1.225_125_lvt_typ</t>
  </si>
  <si>
    <t>1.225_125_lvt_weak</t>
  </si>
  <si>
    <t>1.25_125_lvt_strong</t>
  </si>
  <si>
    <t>1.25_125_lvt_typ</t>
  </si>
  <si>
    <t>1.25_125_lvt_weak</t>
  </si>
  <si>
    <t>1.275_125_lvt_strong</t>
  </si>
  <si>
    <t>1.275_125_lvt_typ</t>
  </si>
  <si>
    <t>1.275_125_lvt_weak</t>
  </si>
  <si>
    <t>1.3_125_lvt_strong</t>
  </si>
  <si>
    <t>1.3_125_lvt_typ</t>
  </si>
  <si>
    <t>1.3_125_lvt_weak</t>
  </si>
  <si>
    <t>1.325_125_lvt_strong</t>
  </si>
  <si>
    <t>1.325_125_lvt_typ</t>
  </si>
  <si>
    <t>1.325_125_lvt_weak</t>
  </si>
  <si>
    <t>1.35_125_lvt_strong</t>
  </si>
  <si>
    <t>1.35_125_lvt_typ</t>
  </si>
  <si>
    <t>1.35_125_lvt_weak</t>
  </si>
  <si>
    <t>1.375_125_lvt_strong</t>
  </si>
  <si>
    <t>1.375_125_lvt_typ</t>
  </si>
  <si>
    <t>1.375_125_lvt_weak</t>
  </si>
  <si>
    <t>1.4_125_lvt_strong</t>
  </si>
  <si>
    <t>1.4_125_lvt_typ</t>
  </si>
  <si>
    <t>1.4_125_lvt_weak</t>
  </si>
  <si>
    <t>0.9_140_lvt_strong</t>
  </si>
  <si>
    <t>0.9_140_lvt_typ</t>
  </si>
  <si>
    <t>0.9_140_lvt_weak</t>
  </si>
  <si>
    <t>0.925_140_lvt_strong</t>
  </si>
  <si>
    <t>0.925_140_lvt_typ</t>
  </si>
  <si>
    <t>0.925_140_lvt_weak</t>
  </si>
  <si>
    <t>0.95_140_lvt_strong</t>
  </si>
  <si>
    <t>0.95_140_lvt_typ</t>
  </si>
  <si>
    <t>0.95_140_lvt_weak</t>
  </si>
  <si>
    <t>0.975_140_lvt_strong</t>
  </si>
  <si>
    <t>0.975_140_lvt_typ</t>
  </si>
  <si>
    <t>0.975_140_lvt_weak</t>
  </si>
  <si>
    <t>1_140_lvt_strong</t>
  </si>
  <si>
    <t>1_140_lvt_typ</t>
  </si>
  <si>
    <t>1_140_lvt_weak</t>
  </si>
  <si>
    <t>1.025_140_lvt_strong</t>
  </si>
  <si>
    <t>1.025_140_lvt_typ</t>
  </si>
  <si>
    <t>1.025_140_lvt_weak</t>
  </si>
  <si>
    <t>1.05_140_lvt_strong</t>
  </si>
  <si>
    <t>1.05_140_lvt_typ</t>
  </si>
  <si>
    <t>1.05_140_lvt_weak</t>
  </si>
  <si>
    <t>1.075_140_lvt_strong</t>
  </si>
  <si>
    <t>1.075_140_lvt_typ</t>
  </si>
  <si>
    <t>1.075_140_lvt_weak</t>
  </si>
  <si>
    <t>1.1_140_lvt_strong</t>
  </si>
  <si>
    <t>1.1_140_lvt_typ</t>
  </si>
  <si>
    <t>1.1_140_lvt_weak</t>
  </si>
  <si>
    <t>1.125_140_lvt_strong</t>
  </si>
  <si>
    <t>1.125_140_lvt_typ</t>
  </si>
  <si>
    <t>1.125_140_lvt_weak</t>
  </si>
  <si>
    <t>1.15_140_lvt_strong</t>
  </si>
  <si>
    <t>1.15_140_lvt_typ</t>
  </si>
  <si>
    <t>1.15_140_lvt_weak</t>
  </si>
  <si>
    <t>1.175_140_lvt_strong</t>
  </si>
  <si>
    <t>1.175_140_lvt_typ</t>
  </si>
  <si>
    <t>1.175_140_lvt_weak</t>
  </si>
  <si>
    <t>1.2_140_lvt_strong</t>
  </si>
  <si>
    <t>1.2_140_lvt_typ</t>
  </si>
  <si>
    <t>1.2_140_lvt_weak</t>
  </si>
  <si>
    <t>1.225_140_lvt_strong</t>
  </si>
  <si>
    <t>1.225_140_lvt_typ</t>
  </si>
  <si>
    <t>1.225_140_lvt_weak</t>
  </si>
  <si>
    <t>1.25_140_lvt_strong</t>
  </si>
  <si>
    <t>1.25_140_lvt_typ</t>
  </si>
  <si>
    <t>1.25_140_lvt_weak</t>
  </si>
  <si>
    <t>1.275_140_lvt_strong</t>
  </si>
  <si>
    <t>1.275_140_lvt_typ</t>
  </si>
  <si>
    <t>1.275_140_lvt_weak</t>
  </si>
  <si>
    <t>1.3_140_lvt_strong</t>
  </si>
  <si>
    <t>1.3_140_lvt_typ</t>
  </si>
  <si>
    <t>1.3_140_lvt_weak</t>
  </si>
  <si>
    <t>1.325_140_lvt_strong</t>
  </si>
  <si>
    <t>1.325_140_lvt_typ</t>
  </si>
  <si>
    <t>1.325_140_lvt_weak</t>
  </si>
  <si>
    <t>1.35_140_lvt_strong</t>
  </si>
  <si>
    <t>1.35_140_lvt_typ</t>
  </si>
  <si>
    <t>1.35_140_lvt_weak</t>
  </si>
  <si>
    <t>1.375_140_lvt_strong</t>
  </si>
  <si>
    <t>1.375_140_lvt_typ</t>
  </si>
  <si>
    <t>1.375_140_lvt_weak</t>
  </si>
  <si>
    <t>1.4_140_lvt_strong</t>
  </si>
  <si>
    <t>1.4_140_lvt_typ</t>
  </si>
  <si>
    <t>1.4_140_lvt_weak</t>
  </si>
  <si>
    <t>0.9_150_lvt_strong</t>
  </si>
  <si>
    <t>0.9_150_lvt_typ</t>
  </si>
  <si>
    <t>0.9_150_lvt_weak</t>
  </si>
  <si>
    <t>0.925_150_lvt_strong</t>
  </si>
  <si>
    <t>0.925_150_lvt_typ</t>
  </si>
  <si>
    <t>0.925_150_lvt_weak</t>
  </si>
  <si>
    <t>0.95_150_lvt_strong</t>
  </si>
  <si>
    <t>0.95_150_lvt_typ</t>
  </si>
  <si>
    <t>0.95_150_lvt_weak</t>
  </si>
  <si>
    <t>0.975_150_lvt_strong</t>
  </si>
  <si>
    <t>0.975_150_lvt_typ</t>
  </si>
  <si>
    <t>0.975_150_lvt_weak</t>
  </si>
  <si>
    <t>1_150_lvt_strong</t>
  </si>
  <si>
    <t>1_150_lvt_typ</t>
  </si>
  <si>
    <t>1_150_lvt_weak</t>
  </si>
  <si>
    <t>1.025_150_lvt_strong</t>
  </si>
  <si>
    <t>1.025_150_lvt_typ</t>
  </si>
  <si>
    <t>1.025_150_lvt_weak</t>
  </si>
  <si>
    <t>1.05_150_lvt_strong</t>
  </si>
  <si>
    <t>1.05_150_lvt_typ</t>
  </si>
  <si>
    <t>1.05_150_lvt_weak</t>
  </si>
  <si>
    <t>1.075_150_lvt_strong</t>
  </si>
  <si>
    <t>1.075_150_lvt_typ</t>
  </si>
  <si>
    <t>1.075_150_lvt_weak</t>
  </si>
  <si>
    <t>1.1_150_lvt_strong</t>
  </si>
  <si>
    <t>1.1_150_lvt_typ</t>
  </si>
  <si>
    <t>1.1_150_lvt_weak</t>
  </si>
  <si>
    <t>1.125_150_lvt_strong</t>
  </si>
  <si>
    <t>1.125_150_lvt_typ</t>
  </si>
  <si>
    <t>1.125_150_lvt_weak</t>
  </si>
  <si>
    <t>1.15_150_lvt_strong</t>
  </si>
  <si>
    <t>1.15_150_lvt_typ</t>
  </si>
  <si>
    <t>1.15_150_lvt_weak</t>
  </si>
  <si>
    <t>1.175_150_lvt_strong</t>
  </si>
  <si>
    <t>1.175_150_lvt_typ</t>
  </si>
  <si>
    <t>1.175_150_lvt_weak</t>
  </si>
  <si>
    <t>1.2_150_lvt_strong</t>
  </si>
  <si>
    <t>1.2_150_lvt_typ</t>
  </si>
  <si>
    <t>1.2_150_lvt_weak</t>
  </si>
  <si>
    <t>1.225_150_lvt_strong</t>
  </si>
  <si>
    <t>1.225_150_lvt_typ</t>
  </si>
  <si>
    <t>1.225_150_lvt_weak</t>
  </si>
  <si>
    <t>1.25_150_lvt_strong</t>
  </si>
  <si>
    <t>1.25_150_lvt_typ</t>
  </si>
  <si>
    <t>1.25_150_lvt_weak</t>
  </si>
  <si>
    <t>1.275_150_lvt_strong</t>
  </si>
  <si>
    <t>1.275_150_lvt_typ</t>
  </si>
  <si>
    <t>1.275_150_lvt_weak</t>
  </si>
  <si>
    <t>1.3_150_lvt_strong</t>
  </si>
  <si>
    <t>1.3_150_lvt_typ</t>
  </si>
  <si>
    <t>1.3_150_lvt_weak</t>
  </si>
  <si>
    <t>1.325_150_lvt_strong</t>
  </si>
  <si>
    <t>1.325_150_lvt_typ</t>
  </si>
  <si>
    <t>1.325_150_lvt_weak</t>
  </si>
  <si>
    <t>1.35_150_lvt_strong</t>
  </si>
  <si>
    <t>1.35_150_lvt_typ</t>
  </si>
  <si>
    <t>1.35_150_lvt_weak</t>
  </si>
  <si>
    <t>1.375_150_lvt_strong</t>
  </si>
  <si>
    <t>1.375_150_lvt_typ</t>
  </si>
  <si>
    <t>1.375_150_lvt_weak</t>
  </si>
  <si>
    <t>1.4_150_lvt_strong</t>
  </si>
  <si>
    <t>1.4_150_lvt_typ</t>
  </si>
  <si>
    <t>1.4_150_lvt_weak</t>
  </si>
  <si>
    <t>0.9_-40_osvt_strong</t>
  </si>
  <si>
    <t>0.9_-40_osvt_typ</t>
  </si>
  <si>
    <t>0.9_-40_osvt_weak</t>
  </si>
  <si>
    <t>0.925_-40_osvt_strong</t>
  </si>
  <si>
    <t>0.925_-40_osvt_typ</t>
  </si>
  <si>
    <t>0.925_-40_osvt_weak</t>
  </si>
  <si>
    <t>0.95_-40_osvt_strong</t>
  </si>
  <si>
    <t>0.95_-40_osvt_typ</t>
  </si>
  <si>
    <t>0.95_-40_osvt_weak</t>
  </si>
  <si>
    <t>0.975_-40_osvt_strong</t>
  </si>
  <si>
    <t>0.975_-40_osvt_typ</t>
  </si>
  <si>
    <t>0.975_-40_osvt_weak</t>
  </si>
  <si>
    <t>1_-40_osvt_strong</t>
  </si>
  <si>
    <t>1_-40_osvt_typ</t>
  </si>
  <si>
    <t>1_-40_osvt_weak</t>
  </si>
  <si>
    <t>1.025_-40_osvt_strong</t>
  </si>
  <si>
    <t>1.025_-40_osvt_typ</t>
  </si>
  <si>
    <t>1.025_-40_osvt_weak</t>
  </si>
  <si>
    <t>1.05_-40_osvt_strong</t>
  </si>
  <si>
    <t>1.05_-40_osvt_typ</t>
  </si>
  <si>
    <t>1.05_-40_osvt_weak</t>
  </si>
  <si>
    <t>1.075_-40_osvt_strong</t>
  </si>
  <si>
    <t>1.075_-40_osvt_typ</t>
  </si>
  <si>
    <t>1.075_-40_osvt_weak</t>
  </si>
  <si>
    <t>1.1_-40_osvt_strong</t>
  </si>
  <si>
    <t>1.1_-40_osvt_typ</t>
  </si>
  <si>
    <t>1.1_-40_osvt_weak</t>
  </si>
  <si>
    <t>1.125_-40_osvt_strong</t>
  </si>
  <si>
    <t>1.125_-40_osvt_typ</t>
  </si>
  <si>
    <t>1.125_-40_osvt_weak</t>
  </si>
  <si>
    <t>1.15_-40_osvt_strong</t>
  </si>
  <si>
    <t>1.15_-40_osvt_typ</t>
  </si>
  <si>
    <t>1.15_-40_osvt_weak</t>
  </si>
  <si>
    <t>1.175_-40_osvt_strong</t>
  </si>
  <si>
    <t>1.175_-40_osvt_typ</t>
  </si>
  <si>
    <t>1.175_-40_osvt_weak</t>
  </si>
  <si>
    <t>1.2_-40_osvt_strong</t>
  </si>
  <si>
    <t>1.2_-40_osvt_typ</t>
  </si>
  <si>
    <t>1.2_-40_osvt_weak</t>
  </si>
  <si>
    <t>1.225_-40_osvt_strong</t>
  </si>
  <si>
    <t>1.225_-40_osvt_typ</t>
  </si>
  <si>
    <t>1.225_-40_osvt_weak</t>
  </si>
  <si>
    <t>1.25_-40_osvt_strong</t>
  </si>
  <si>
    <t>1.25_-40_osvt_typ</t>
  </si>
  <si>
    <t>1.25_-40_osvt_weak</t>
  </si>
  <si>
    <t>1.275_-40_osvt_strong</t>
  </si>
  <si>
    <t>1.275_-40_osvt_typ</t>
  </si>
  <si>
    <t>1.275_-40_osvt_weak</t>
  </si>
  <si>
    <t>1.3_-40_osvt_strong</t>
  </si>
  <si>
    <t>1.3_-40_osvt_typ</t>
  </si>
  <si>
    <t>1.3_-40_osvt_weak</t>
  </si>
  <si>
    <t>1.325_-40_osvt_strong</t>
  </si>
  <si>
    <t>1.325_-40_osvt_typ</t>
  </si>
  <si>
    <t>1.325_-40_osvt_weak</t>
  </si>
  <si>
    <t>1.35_-40_osvt_strong</t>
  </si>
  <si>
    <t>1.35_-40_osvt_typ</t>
  </si>
  <si>
    <t>1.35_-40_osvt_weak</t>
  </si>
  <si>
    <t>1.375_-40_osvt_strong</t>
  </si>
  <si>
    <t>1.375_-40_osvt_typ</t>
  </si>
  <si>
    <t>1.375_-40_osvt_weak</t>
  </si>
  <si>
    <t>1.4_-40_osvt_strong</t>
  </si>
  <si>
    <t>1.4_-40_osvt_typ</t>
  </si>
  <si>
    <t>1.4_-40_osvt_weak</t>
  </si>
  <si>
    <t>0.9_-20_osvt_strong</t>
  </si>
  <si>
    <t>0.9_-20_osvt_typ</t>
  </si>
  <si>
    <t>0.9_-20_osvt_weak</t>
  </si>
  <si>
    <t>0.925_-20_osvt_strong</t>
  </si>
  <si>
    <t>0.925_-20_osvt_typ</t>
  </si>
  <si>
    <t>0.925_-20_osvt_weak</t>
  </si>
  <si>
    <t>0.95_-20_osvt_strong</t>
  </si>
  <si>
    <t>0.95_-20_osvt_typ</t>
  </si>
  <si>
    <t>0.95_-20_osvt_weak</t>
  </si>
  <si>
    <t>0.975_-20_osvt_strong</t>
  </si>
  <si>
    <t>0.975_-20_osvt_typ</t>
  </si>
  <si>
    <t>0.975_-20_osvt_weak</t>
  </si>
  <si>
    <t>1_-20_osvt_strong</t>
  </si>
  <si>
    <t>1_-20_osvt_typ</t>
  </si>
  <si>
    <t>1_-20_osvt_weak</t>
  </si>
  <si>
    <t>1.025_-20_osvt_strong</t>
  </si>
  <si>
    <t>1.025_-20_osvt_typ</t>
  </si>
  <si>
    <t>1.025_-20_osvt_weak</t>
  </si>
  <si>
    <t>1.05_-20_osvt_strong</t>
  </si>
  <si>
    <t>1.05_-20_osvt_typ</t>
  </si>
  <si>
    <t>1.05_-20_osvt_weak</t>
  </si>
  <si>
    <t>1.075_-20_osvt_strong</t>
  </si>
  <si>
    <t>1.075_-20_osvt_typ</t>
  </si>
  <si>
    <t>1.075_-20_osvt_weak</t>
  </si>
  <si>
    <t>1.1_-20_osvt_strong</t>
  </si>
  <si>
    <t>1.1_-20_osvt_typ</t>
  </si>
  <si>
    <t>1.1_-20_osvt_weak</t>
  </si>
  <si>
    <t>1.125_-20_osvt_strong</t>
  </si>
  <si>
    <t>1.125_-20_osvt_typ</t>
  </si>
  <si>
    <t>1.125_-20_osvt_weak</t>
  </si>
  <si>
    <t>1.15_-20_osvt_strong</t>
  </si>
  <si>
    <t>1.15_-20_osvt_typ</t>
  </si>
  <si>
    <t>1.15_-20_osvt_weak</t>
  </si>
  <si>
    <t>1.175_-20_osvt_strong</t>
  </si>
  <si>
    <t>1.175_-20_osvt_typ</t>
  </si>
  <si>
    <t>1.175_-20_osvt_weak</t>
  </si>
  <si>
    <t>1.2_-20_osvt_strong</t>
  </si>
  <si>
    <t>1.2_-20_osvt_typ</t>
  </si>
  <si>
    <t>1.2_-20_osvt_weak</t>
  </si>
  <si>
    <t>1.225_-20_osvt_strong</t>
  </si>
  <si>
    <t>1.225_-20_osvt_typ</t>
  </si>
  <si>
    <t>1.225_-20_osvt_weak</t>
  </si>
  <si>
    <t>1.25_-20_osvt_strong</t>
  </si>
  <si>
    <t>1.25_-20_osvt_typ</t>
  </si>
  <si>
    <t>1.25_-20_osvt_weak</t>
  </si>
  <si>
    <t>1.275_-20_osvt_strong</t>
  </si>
  <si>
    <t>1.275_-20_osvt_typ</t>
  </si>
  <si>
    <t>1.275_-20_osvt_weak</t>
  </si>
  <si>
    <t>1.3_-20_osvt_strong</t>
  </si>
  <si>
    <t>1.3_-20_osvt_typ</t>
  </si>
  <si>
    <t>1.3_-20_osvt_weak</t>
  </si>
  <si>
    <t>1.325_-20_osvt_strong</t>
  </si>
  <si>
    <t>1.325_-20_osvt_typ</t>
  </si>
  <si>
    <t>1.325_-20_osvt_weak</t>
  </si>
  <si>
    <t>1.35_-20_osvt_strong</t>
  </si>
  <si>
    <t>1.35_-20_osvt_typ</t>
  </si>
  <si>
    <t>1.35_-20_osvt_weak</t>
  </si>
  <si>
    <t>1.375_-20_osvt_strong</t>
  </si>
  <si>
    <t>1.375_-20_osvt_typ</t>
  </si>
  <si>
    <t>1.375_-20_osvt_weak</t>
  </si>
  <si>
    <t>1.4_-20_osvt_strong</t>
  </si>
  <si>
    <t>1.4_-20_osvt_typ</t>
  </si>
  <si>
    <t>1.4_-20_osvt_weak</t>
  </si>
  <si>
    <t>0.9_0_osvt_strong</t>
  </si>
  <si>
    <t>0.9_0_osvt_typ</t>
  </si>
  <si>
    <t>0.9_0_osvt_weak</t>
  </si>
  <si>
    <t>0.925_0_osvt_strong</t>
  </si>
  <si>
    <t>0.925_0_osvt_typ</t>
  </si>
  <si>
    <t>0.925_0_osvt_weak</t>
  </si>
  <si>
    <t>0.95_0_osvt_strong</t>
  </si>
  <si>
    <t>0.95_0_osvt_typ</t>
  </si>
  <si>
    <t>0.95_0_osvt_weak</t>
  </si>
  <si>
    <t>0.975_0_osvt_strong</t>
  </si>
  <si>
    <t>0.975_0_osvt_typ</t>
  </si>
  <si>
    <t>0.975_0_osvt_weak</t>
  </si>
  <si>
    <t>1_0_osvt_strong</t>
  </si>
  <si>
    <t>1_0_osvt_typ</t>
  </si>
  <si>
    <t>1_0_osvt_weak</t>
  </si>
  <si>
    <t>1.025_0_osvt_strong</t>
  </si>
  <si>
    <t>1.025_0_osvt_typ</t>
  </si>
  <si>
    <t>1.025_0_osvt_weak</t>
  </si>
  <si>
    <t>1.05_0_osvt_strong</t>
  </si>
  <si>
    <t>1.05_0_osvt_typ</t>
  </si>
  <si>
    <t>1.05_0_osvt_weak</t>
  </si>
  <si>
    <t>1.075_0_osvt_strong</t>
  </si>
  <si>
    <t>1.075_0_osvt_typ</t>
  </si>
  <si>
    <t>1.075_0_osvt_weak</t>
  </si>
  <si>
    <t>1.1_0_osvt_strong</t>
  </si>
  <si>
    <t>1.1_0_osvt_typ</t>
  </si>
  <si>
    <t>1.1_0_osvt_weak</t>
  </si>
  <si>
    <t>1.125_0_osvt_strong</t>
  </si>
  <si>
    <t>1.125_0_osvt_typ</t>
  </si>
  <si>
    <t>1.125_0_osvt_weak</t>
  </si>
  <si>
    <t>1.15_0_osvt_strong</t>
  </si>
  <si>
    <t>1.15_0_osvt_typ</t>
  </si>
  <si>
    <t>1.15_0_osvt_weak</t>
  </si>
  <si>
    <t>1.175_0_osvt_strong</t>
  </si>
  <si>
    <t>1.175_0_osvt_typ</t>
  </si>
  <si>
    <t>1.175_0_osvt_weak</t>
  </si>
  <si>
    <t>1.2_0_osvt_strong</t>
  </si>
  <si>
    <t>1.2_0_osvt_typ</t>
  </si>
  <si>
    <t>1.2_0_osvt_weak</t>
  </si>
  <si>
    <t>1.225_0_osvt_strong</t>
  </si>
  <si>
    <t>1.225_0_osvt_typ</t>
  </si>
  <si>
    <t>1.225_0_osvt_weak</t>
  </si>
  <si>
    <t>1.25_0_osvt_strong</t>
  </si>
  <si>
    <t>1.25_0_osvt_typ</t>
  </si>
  <si>
    <t>1.25_0_osvt_weak</t>
  </si>
  <si>
    <t>1.275_0_osvt_strong</t>
  </si>
  <si>
    <t>1.275_0_osvt_typ</t>
  </si>
  <si>
    <t>1.275_0_osvt_weak</t>
  </si>
  <si>
    <t>1.3_0_osvt_strong</t>
  </si>
  <si>
    <t>1.3_0_osvt_typ</t>
  </si>
  <si>
    <t>1.3_0_osvt_weak</t>
  </si>
  <si>
    <t>1.325_0_osvt_strong</t>
  </si>
  <si>
    <t>1.325_0_osvt_typ</t>
  </si>
  <si>
    <t>1.325_0_osvt_weak</t>
  </si>
  <si>
    <t>1.35_0_osvt_strong</t>
  </si>
  <si>
    <t>1.35_0_osvt_typ</t>
  </si>
  <si>
    <t>1.35_0_osvt_weak</t>
  </si>
  <si>
    <t>1.375_0_osvt_strong</t>
  </si>
  <si>
    <t>1.375_0_osvt_typ</t>
  </si>
  <si>
    <t>1.375_0_osvt_weak</t>
  </si>
  <si>
    <t>1.4_0_osvt_strong</t>
  </si>
  <si>
    <t>1.4_0_osvt_typ</t>
  </si>
  <si>
    <t>1.4_0_osvt_weak</t>
  </si>
  <si>
    <t>0.9_25_osvt_strong</t>
  </si>
  <si>
    <t>0.9_25_osvt_typ</t>
  </si>
  <si>
    <t>0.9_25_osvt_weak</t>
  </si>
  <si>
    <t>0.925_25_osvt_strong</t>
  </si>
  <si>
    <t>0.925_25_osvt_typ</t>
  </si>
  <si>
    <t>0.925_25_osvt_weak</t>
  </si>
  <si>
    <t>0.95_25_osvt_strong</t>
  </si>
  <si>
    <t>0.95_25_osvt_typ</t>
  </si>
  <si>
    <t>0.95_25_osvt_weak</t>
  </si>
  <si>
    <t>0.975_25_osvt_strong</t>
  </si>
  <si>
    <t>0.975_25_osvt_typ</t>
  </si>
  <si>
    <t>0.975_25_osvt_weak</t>
  </si>
  <si>
    <t>1_25_osvt_strong</t>
  </si>
  <si>
    <t>1_25_osvt_typ</t>
  </si>
  <si>
    <t>1_25_osvt_weak</t>
  </si>
  <si>
    <t>1.025_25_osvt_strong</t>
  </si>
  <si>
    <t>1.025_25_osvt_typ</t>
  </si>
  <si>
    <t>1.025_25_osvt_weak</t>
  </si>
  <si>
    <t>1.05_25_osvt_strong</t>
  </si>
  <si>
    <t>1.05_25_osvt_typ</t>
  </si>
  <si>
    <t>1.05_25_osvt_weak</t>
  </si>
  <si>
    <t>1.075_25_osvt_strong</t>
  </si>
  <si>
    <t>1.075_25_osvt_typ</t>
  </si>
  <si>
    <t>1.075_25_osvt_weak</t>
  </si>
  <si>
    <t>1.1_25_osvt_strong</t>
  </si>
  <si>
    <t>1.1_25_osvt_typ</t>
  </si>
  <si>
    <t>1.1_25_osvt_weak</t>
  </si>
  <si>
    <t>1.125_25_osvt_strong</t>
  </si>
  <si>
    <t>1.125_25_osvt_typ</t>
  </si>
  <si>
    <t>1.125_25_osvt_weak</t>
  </si>
  <si>
    <t>1.15_25_osvt_strong</t>
  </si>
  <si>
    <t>1.15_25_osvt_typ</t>
  </si>
  <si>
    <t>1.15_25_osvt_weak</t>
  </si>
  <si>
    <t>1.175_25_osvt_strong</t>
  </si>
  <si>
    <t>1.175_25_osvt_typ</t>
  </si>
  <si>
    <t>1.175_25_osvt_weak</t>
  </si>
  <si>
    <t>1.2_25_osvt_strong</t>
  </si>
  <si>
    <t>1.2_25_osvt_typ</t>
  </si>
  <si>
    <t>1.2_25_osvt_weak</t>
  </si>
  <si>
    <t>1.225_25_osvt_strong</t>
  </si>
  <si>
    <t>1.225_25_osvt_typ</t>
  </si>
  <si>
    <t>1.225_25_osvt_weak</t>
  </si>
  <si>
    <t>1.25_25_osvt_strong</t>
  </si>
  <si>
    <t>1.25_25_osvt_typ</t>
  </si>
  <si>
    <t>1.25_25_osvt_weak</t>
  </si>
  <si>
    <t>1.275_25_osvt_strong</t>
  </si>
  <si>
    <t>1.275_25_osvt_typ</t>
  </si>
  <si>
    <t>1.275_25_osvt_weak</t>
  </si>
  <si>
    <t>1.3_25_osvt_strong</t>
  </si>
  <si>
    <t>1.3_25_osvt_typ</t>
  </si>
  <si>
    <t>1.3_25_osvt_weak</t>
  </si>
  <si>
    <t>1.325_25_osvt_strong</t>
  </si>
  <si>
    <t>1.325_25_osvt_typ</t>
  </si>
  <si>
    <t>1.325_25_osvt_weak</t>
  </si>
  <si>
    <t>1.35_25_osvt_strong</t>
  </si>
  <si>
    <t>1.35_25_osvt_typ</t>
  </si>
  <si>
    <t>1.35_25_osvt_weak</t>
  </si>
  <si>
    <t>1.375_25_osvt_strong</t>
  </si>
  <si>
    <t>1.375_25_osvt_typ</t>
  </si>
  <si>
    <t>1.375_25_osvt_weak</t>
  </si>
  <si>
    <t>1.4_25_osvt_strong</t>
  </si>
  <si>
    <t>1.4_25_osvt_typ</t>
  </si>
  <si>
    <t>1.4_25_osvt_weak</t>
  </si>
  <si>
    <t>0.9_50_osvt_strong</t>
  </si>
  <si>
    <t>0.9_50_osvt_typ</t>
  </si>
  <si>
    <t>0.9_50_osvt_weak</t>
  </si>
  <si>
    <t>0.925_50_osvt_strong</t>
  </si>
  <si>
    <t>0.925_50_osvt_typ</t>
  </si>
  <si>
    <t>0.925_50_osvt_weak</t>
  </si>
  <si>
    <t>0.95_50_osvt_strong</t>
  </si>
  <si>
    <t>0.95_50_osvt_typ</t>
  </si>
  <si>
    <t>0.95_50_osvt_weak</t>
  </si>
  <si>
    <t>0.975_50_osvt_strong</t>
  </si>
  <si>
    <t>0.975_50_osvt_typ</t>
  </si>
  <si>
    <t>0.975_50_osvt_weak</t>
  </si>
  <si>
    <t>1_50_osvt_strong</t>
  </si>
  <si>
    <t>1_50_osvt_typ</t>
  </si>
  <si>
    <t>1_50_osvt_weak</t>
  </si>
  <si>
    <t>1.025_50_osvt_strong</t>
  </si>
  <si>
    <t>1.025_50_osvt_typ</t>
  </si>
  <si>
    <t>1.025_50_osvt_weak</t>
  </si>
  <si>
    <t>1.05_50_osvt_strong</t>
  </si>
  <si>
    <t>1.05_50_osvt_typ</t>
  </si>
  <si>
    <t>1.05_50_osvt_weak</t>
  </si>
  <si>
    <t>1.075_50_osvt_strong</t>
  </si>
  <si>
    <t>1.075_50_osvt_typ</t>
  </si>
  <si>
    <t>1.075_50_osvt_weak</t>
  </si>
  <si>
    <t>1.1_50_osvt_strong</t>
  </si>
  <si>
    <t>1.1_50_osvt_typ</t>
  </si>
  <si>
    <t>1.1_50_osvt_weak</t>
  </si>
  <si>
    <t>1.125_50_osvt_strong</t>
  </si>
  <si>
    <t>1.125_50_osvt_typ</t>
  </si>
  <si>
    <t>1.125_50_osvt_weak</t>
  </si>
  <si>
    <t>1.15_50_osvt_strong</t>
  </si>
  <si>
    <t>1.15_50_osvt_typ</t>
  </si>
  <si>
    <t>1.15_50_osvt_weak</t>
  </si>
  <si>
    <t>1.175_50_osvt_strong</t>
  </si>
  <si>
    <t>1.175_50_osvt_typ</t>
  </si>
  <si>
    <t>1.175_50_osvt_weak</t>
  </si>
  <si>
    <t>1.2_50_osvt_strong</t>
  </si>
  <si>
    <t>1.2_50_osvt_typ</t>
  </si>
  <si>
    <t>1.2_50_osvt_weak</t>
  </si>
  <si>
    <t>1.225_50_osvt_strong</t>
  </si>
  <si>
    <t>1.225_50_osvt_typ</t>
  </si>
  <si>
    <t>1.225_50_osvt_weak</t>
  </si>
  <si>
    <t>1.25_50_osvt_strong</t>
  </si>
  <si>
    <t>1.25_50_osvt_typ</t>
  </si>
  <si>
    <t>1.25_50_osvt_weak</t>
  </si>
  <si>
    <t>1.275_50_osvt_strong</t>
  </si>
  <si>
    <t>1.275_50_osvt_typ</t>
  </si>
  <si>
    <t>1.275_50_osvt_weak</t>
  </si>
  <si>
    <t>1.3_50_osvt_strong</t>
  </si>
  <si>
    <t>1.3_50_osvt_typ</t>
  </si>
  <si>
    <t>1.3_50_osvt_weak</t>
  </si>
  <si>
    <t>1.325_50_osvt_strong</t>
  </si>
  <si>
    <t>1.325_50_osvt_typ</t>
  </si>
  <si>
    <t>1.325_50_osvt_weak</t>
  </si>
  <si>
    <t>1.35_50_osvt_strong</t>
  </si>
  <si>
    <t>1.35_50_osvt_typ</t>
  </si>
  <si>
    <t>1.35_50_osvt_weak</t>
  </si>
  <si>
    <t>1.375_50_osvt_strong</t>
  </si>
  <si>
    <t>1.375_50_osvt_typ</t>
  </si>
  <si>
    <t>1.375_50_osvt_weak</t>
  </si>
  <si>
    <t>1.4_50_osvt_strong</t>
  </si>
  <si>
    <t>1.4_50_osvt_typ</t>
  </si>
  <si>
    <t>1.4_50_osvt_weak</t>
  </si>
  <si>
    <t>0.9_75_osvt_strong</t>
  </si>
  <si>
    <t>0.9_75_osvt_typ</t>
  </si>
  <si>
    <t>0.9_75_osvt_weak</t>
  </si>
  <si>
    <t>0.925_75_osvt_strong</t>
  </si>
  <si>
    <t>0.925_75_osvt_typ</t>
  </si>
  <si>
    <t>0.925_75_osvt_weak</t>
  </si>
  <si>
    <t>0.95_75_osvt_strong</t>
  </si>
  <si>
    <t>0.95_75_osvt_typ</t>
  </si>
  <si>
    <t>0.95_75_osvt_weak</t>
  </si>
  <si>
    <t>0.975_75_osvt_strong</t>
  </si>
  <si>
    <t>0.975_75_osvt_typ</t>
  </si>
  <si>
    <t>0.975_75_osvt_weak</t>
  </si>
  <si>
    <t>1_75_osvt_strong</t>
  </si>
  <si>
    <t>1_75_osvt_typ</t>
  </si>
  <si>
    <t>1_75_osvt_weak</t>
  </si>
  <si>
    <t>1.025_75_osvt_strong</t>
  </si>
  <si>
    <t>1.025_75_osvt_typ</t>
  </si>
  <si>
    <t>1.025_75_osvt_weak</t>
  </si>
  <si>
    <t>1.05_75_osvt_strong</t>
  </si>
  <si>
    <t>1.05_75_osvt_typ</t>
  </si>
  <si>
    <t>1.05_75_osvt_weak</t>
  </si>
  <si>
    <t>1.075_75_osvt_strong</t>
  </si>
  <si>
    <t>1.075_75_osvt_typ</t>
  </si>
  <si>
    <t>1.075_75_osvt_weak</t>
  </si>
  <si>
    <t>1.1_75_osvt_strong</t>
  </si>
  <si>
    <t>1.1_75_osvt_typ</t>
  </si>
  <si>
    <t>1.1_75_osvt_weak</t>
  </si>
  <si>
    <t>1.125_75_osvt_strong</t>
  </si>
  <si>
    <t>1.125_75_osvt_typ</t>
  </si>
  <si>
    <t>1.125_75_osvt_weak</t>
  </si>
  <si>
    <t>1.15_75_osvt_strong</t>
  </si>
  <si>
    <t>1.15_75_osvt_typ</t>
  </si>
  <si>
    <t>1.15_75_osvt_weak</t>
  </si>
  <si>
    <t>1.175_75_osvt_strong</t>
  </si>
  <si>
    <t>1.175_75_osvt_typ</t>
  </si>
  <si>
    <t>1.175_75_osvt_weak</t>
  </si>
  <si>
    <t>1.2_75_osvt_strong</t>
  </si>
  <si>
    <t>1.2_75_osvt_typ</t>
  </si>
  <si>
    <t>1.2_75_osvt_weak</t>
  </si>
  <si>
    <t>1.225_75_osvt_strong</t>
  </si>
  <si>
    <t>1.225_75_osvt_typ</t>
  </si>
  <si>
    <t>1.225_75_osvt_weak</t>
  </si>
  <si>
    <t>1.25_75_osvt_strong</t>
  </si>
  <si>
    <t>1.25_75_osvt_typ</t>
  </si>
  <si>
    <t>1.25_75_osvt_weak</t>
  </si>
  <si>
    <t>1.275_75_osvt_strong</t>
  </si>
  <si>
    <t>1.275_75_osvt_typ</t>
  </si>
  <si>
    <t>1.275_75_osvt_weak</t>
  </si>
  <si>
    <t>1.3_75_osvt_strong</t>
  </si>
  <si>
    <t>1.3_75_osvt_typ</t>
  </si>
  <si>
    <t>1.3_75_osvt_weak</t>
  </si>
  <si>
    <t>1.325_75_osvt_strong</t>
  </si>
  <si>
    <t>1.325_75_osvt_typ</t>
  </si>
  <si>
    <t>1.325_75_osvt_weak</t>
  </si>
  <si>
    <t>1.35_75_osvt_strong</t>
  </si>
  <si>
    <t>1.35_75_osvt_typ</t>
  </si>
  <si>
    <t>1.35_75_osvt_weak</t>
  </si>
  <si>
    <t>1.375_75_osvt_strong</t>
  </si>
  <si>
    <t>1.375_75_osvt_typ</t>
  </si>
  <si>
    <t>1.375_75_osvt_weak</t>
  </si>
  <si>
    <t>1.4_75_osvt_strong</t>
  </si>
  <si>
    <t>1.4_75_osvt_typ</t>
  </si>
  <si>
    <t>1.4_75_osvt_weak</t>
  </si>
  <si>
    <t>0.9_85_osvt_strong</t>
  </si>
  <si>
    <t>0.9_85_osvt_typ</t>
  </si>
  <si>
    <t>0.9_85_osvt_weak</t>
  </si>
  <si>
    <t>0.925_85_osvt_strong</t>
  </si>
  <si>
    <t>0.925_85_osvt_typ</t>
  </si>
  <si>
    <t>0.925_85_osvt_weak</t>
  </si>
  <si>
    <t>0.95_85_osvt_strong</t>
  </si>
  <si>
    <t>0.95_85_osvt_typ</t>
  </si>
  <si>
    <t>0.95_85_osvt_weak</t>
  </si>
  <si>
    <t>0.975_85_osvt_strong</t>
  </si>
  <si>
    <t>0.975_85_osvt_typ</t>
  </si>
  <si>
    <t>0.975_85_osvt_weak</t>
  </si>
  <si>
    <t>1_85_osvt_strong</t>
  </si>
  <si>
    <t>1_85_osvt_typ</t>
  </si>
  <si>
    <t>1_85_osvt_weak</t>
  </si>
  <si>
    <t>1.025_85_osvt_strong</t>
  </si>
  <si>
    <t>1.025_85_osvt_typ</t>
  </si>
  <si>
    <t>1.025_85_osvt_weak</t>
  </si>
  <si>
    <t>1.05_85_osvt_strong</t>
  </si>
  <si>
    <t>1.05_85_osvt_typ</t>
  </si>
  <si>
    <t>1.05_85_osvt_weak</t>
  </si>
  <si>
    <t>1.075_85_osvt_strong</t>
  </si>
  <si>
    <t>1.075_85_osvt_typ</t>
  </si>
  <si>
    <t>1.075_85_osvt_weak</t>
  </si>
  <si>
    <t>1.1_85_osvt_strong</t>
  </si>
  <si>
    <t>1.1_85_osvt_typ</t>
  </si>
  <si>
    <t>1.1_85_osvt_weak</t>
  </si>
  <si>
    <t>1.125_85_osvt_strong</t>
  </si>
  <si>
    <t>1.125_85_osvt_typ</t>
  </si>
  <si>
    <t>1.125_85_osvt_weak</t>
  </si>
  <si>
    <t>1.15_85_osvt_strong</t>
  </si>
  <si>
    <t>1.15_85_osvt_typ</t>
  </si>
  <si>
    <t>1.15_85_osvt_weak</t>
  </si>
  <si>
    <t>1.175_85_osvt_strong</t>
  </si>
  <si>
    <t>1.175_85_osvt_typ</t>
  </si>
  <si>
    <t>1.175_85_osvt_weak</t>
  </si>
  <si>
    <t>1.2_85_osvt_strong</t>
  </si>
  <si>
    <t>1.2_85_osvt_typ</t>
  </si>
  <si>
    <t>1.2_85_osvt_weak</t>
  </si>
  <si>
    <t>1.225_85_osvt_strong</t>
  </si>
  <si>
    <t>1.225_85_osvt_typ</t>
  </si>
  <si>
    <t>1.225_85_osvt_weak</t>
  </si>
  <si>
    <t>1.25_85_osvt_strong</t>
  </si>
  <si>
    <t>1.25_85_osvt_typ</t>
  </si>
  <si>
    <t>1.25_85_osvt_weak</t>
  </si>
  <si>
    <t>1.275_85_osvt_strong</t>
  </si>
  <si>
    <t>1.275_85_osvt_typ</t>
  </si>
  <si>
    <t>1.275_85_osvt_weak</t>
  </si>
  <si>
    <t>1.3_85_osvt_strong</t>
  </si>
  <si>
    <t>1.3_85_osvt_typ</t>
  </si>
  <si>
    <t>1.3_85_osvt_weak</t>
  </si>
  <si>
    <t>1.325_85_osvt_strong</t>
  </si>
  <si>
    <t>1.325_85_osvt_typ</t>
  </si>
  <si>
    <t>1.325_85_osvt_weak</t>
  </si>
  <si>
    <t>1.35_85_osvt_strong</t>
  </si>
  <si>
    <t>1.35_85_osvt_typ</t>
  </si>
  <si>
    <t>1.35_85_osvt_weak</t>
  </si>
  <si>
    <t>1.375_85_osvt_strong</t>
  </si>
  <si>
    <t>1.375_85_osvt_typ</t>
  </si>
  <si>
    <t>1.375_85_osvt_weak</t>
  </si>
  <si>
    <t>1.4_85_osvt_strong</t>
  </si>
  <si>
    <t>1.4_85_osvt_typ</t>
  </si>
  <si>
    <t>1.4_85_osvt_weak</t>
  </si>
  <si>
    <t>0.9_100_osvt_strong</t>
  </si>
  <si>
    <t>0.9_100_osvt_typ</t>
  </si>
  <si>
    <t>0.9_100_osvt_weak</t>
  </si>
  <si>
    <t>0.925_100_osvt_strong</t>
  </si>
  <si>
    <t>0.925_100_osvt_typ</t>
  </si>
  <si>
    <t>0.925_100_osvt_weak</t>
  </si>
  <si>
    <t>0.95_100_osvt_strong</t>
  </si>
  <si>
    <t>0.95_100_osvt_typ</t>
  </si>
  <si>
    <t>0.95_100_osvt_weak</t>
  </si>
  <si>
    <t>0.975_100_osvt_strong</t>
  </si>
  <si>
    <t>0.975_100_osvt_typ</t>
  </si>
  <si>
    <t>0.975_100_osvt_weak</t>
  </si>
  <si>
    <t>1_100_osvt_strong</t>
  </si>
  <si>
    <t>1_100_osvt_typ</t>
  </si>
  <si>
    <t>1_100_osvt_weak</t>
  </si>
  <si>
    <t>1.025_100_osvt_strong</t>
  </si>
  <si>
    <t>1.025_100_osvt_typ</t>
  </si>
  <si>
    <t>1.025_100_osvt_weak</t>
  </si>
  <si>
    <t>1.05_100_osvt_strong</t>
  </si>
  <si>
    <t>1.05_100_osvt_typ</t>
  </si>
  <si>
    <t>1.05_100_osvt_weak</t>
  </si>
  <si>
    <t>1.075_100_osvt_strong</t>
  </si>
  <si>
    <t>1.075_100_osvt_typ</t>
  </si>
  <si>
    <t>1.075_100_osvt_weak</t>
  </si>
  <si>
    <t>1.1_100_osvt_strong</t>
  </si>
  <si>
    <t>1.1_100_osvt_typ</t>
  </si>
  <si>
    <t>1.1_100_osvt_weak</t>
  </si>
  <si>
    <t>1.125_100_osvt_strong</t>
  </si>
  <si>
    <t>1.125_100_osvt_typ</t>
  </si>
  <si>
    <t>1.125_100_osvt_weak</t>
  </si>
  <si>
    <t>1.15_100_osvt_strong</t>
  </si>
  <si>
    <t>1.15_100_osvt_typ</t>
  </si>
  <si>
    <t>1.15_100_osvt_weak</t>
  </si>
  <si>
    <t>1.175_100_osvt_strong</t>
  </si>
  <si>
    <t>1.175_100_osvt_typ</t>
  </si>
  <si>
    <t>1.175_100_osvt_weak</t>
  </si>
  <si>
    <t>1.2_100_osvt_strong</t>
  </si>
  <si>
    <t>1.2_100_osvt_typ</t>
  </si>
  <si>
    <t>1.2_100_osvt_weak</t>
  </si>
  <si>
    <t>1.225_100_osvt_strong</t>
  </si>
  <si>
    <t>1.225_100_osvt_typ</t>
  </si>
  <si>
    <t>1.225_100_osvt_weak</t>
  </si>
  <si>
    <t>1.25_100_osvt_strong</t>
  </si>
  <si>
    <t>1.25_100_osvt_typ</t>
  </si>
  <si>
    <t>1.25_100_osvt_weak</t>
  </si>
  <si>
    <t>1.275_100_osvt_strong</t>
  </si>
  <si>
    <t>1.275_100_osvt_typ</t>
  </si>
  <si>
    <t>1.275_100_osvt_weak</t>
  </si>
  <si>
    <t>1.3_100_osvt_strong</t>
  </si>
  <si>
    <t>1.3_100_osvt_typ</t>
  </si>
  <si>
    <t>1.3_100_osvt_weak</t>
  </si>
  <si>
    <t>1.325_100_osvt_strong</t>
  </si>
  <si>
    <t>1.325_100_osvt_typ</t>
  </si>
  <si>
    <t>1.325_100_osvt_weak</t>
  </si>
  <si>
    <t>1.35_100_osvt_strong</t>
  </si>
  <si>
    <t>1.35_100_osvt_typ</t>
  </si>
  <si>
    <t>1.35_100_osvt_weak</t>
  </si>
  <si>
    <t>1.375_100_osvt_strong</t>
  </si>
  <si>
    <t>1.375_100_osvt_typ</t>
  </si>
  <si>
    <t>1.375_100_osvt_weak</t>
  </si>
  <si>
    <t>1.4_100_osvt_strong</t>
  </si>
  <si>
    <t>1.4_100_osvt_typ</t>
  </si>
  <si>
    <t>1.4_100_osvt_weak</t>
  </si>
  <si>
    <t>0.9_105_osvt_strong</t>
  </si>
  <si>
    <t>0.9_105_osvt_typ</t>
  </si>
  <si>
    <t>0.9_105_osvt_weak</t>
  </si>
  <si>
    <t>0.925_105_osvt_strong</t>
  </si>
  <si>
    <t>0.925_105_osvt_typ</t>
  </si>
  <si>
    <t>0.925_105_osvt_weak</t>
  </si>
  <si>
    <t>0.95_105_osvt_strong</t>
  </si>
  <si>
    <t>0.95_105_osvt_typ</t>
  </si>
  <si>
    <t>0.95_105_osvt_weak</t>
  </si>
  <si>
    <t>0.975_105_osvt_strong</t>
  </si>
  <si>
    <t>0.975_105_osvt_typ</t>
  </si>
  <si>
    <t>0.975_105_osvt_weak</t>
  </si>
  <si>
    <t>1_105_osvt_strong</t>
  </si>
  <si>
    <t>1_105_osvt_typ</t>
  </si>
  <si>
    <t>1_105_osvt_weak</t>
  </si>
  <si>
    <t>1.025_105_osvt_strong</t>
  </si>
  <si>
    <t>1.025_105_osvt_typ</t>
  </si>
  <si>
    <t>1.025_105_osvt_weak</t>
  </si>
  <si>
    <t>1.05_105_osvt_strong</t>
  </si>
  <si>
    <t>1.05_105_osvt_typ</t>
  </si>
  <si>
    <t>1.05_105_osvt_weak</t>
  </si>
  <si>
    <t>1.075_105_osvt_strong</t>
  </si>
  <si>
    <t>1.075_105_osvt_typ</t>
  </si>
  <si>
    <t>1.075_105_osvt_weak</t>
  </si>
  <si>
    <t>1.1_105_osvt_strong</t>
  </si>
  <si>
    <t>1.1_105_osvt_typ</t>
  </si>
  <si>
    <t>1.1_105_osvt_weak</t>
  </si>
  <si>
    <t>1.125_105_osvt_strong</t>
  </si>
  <si>
    <t>1.125_105_osvt_typ</t>
  </si>
  <si>
    <t>1.125_105_osvt_weak</t>
  </si>
  <si>
    <t>1.15_105_osvt_strong</t>
  </si>
  <si>
    <t>1.15_105_osvt_typ</t>
  </si>
  <si>
    <t>1.15_105_osvt_weak</t>
  </si>
  <si>
    <t>1.175_105_osvt_strong</t>
  </si>
  <si>
    <t>1.175_105_osvt_typ</t>
  </si>
  <si>
    <t>1.175_105_osvt_weak</t>
  </si>
  <si>
    <t>1.2_105_osvt_strong</t>
  </si>
  <si>
    <t>1.2_105_osvt_typ</t>
  </si>
  <si>
    <t>1.2_105_osvt_weak</t>
  </si>
  <si>
    <t>1.225_105_osvt_strong</t>
  </si>
  <si>
    <t>1.225_105_osvt_typ</t>
  </si>
  <si>
    <t>1.225_105_osvt_weak</t>
  </si>
  <si>
    <t>1.25_105_osvt_strong</t>
  </si>
  <si>
    <t>1.25_105_osvt_typ</t>
  </si>
  <si>
    <t>1.25_105_osvt_weak</t>
  </si>
  <si>
    <t>1.275_105_osvt_strong</t>
  </si>
  <si>
    <t>1.275_105_osvt_typ</t>
  </si>
  <si>
    <t>1.275_105_osvt_weak</t>
  </si>
  <si>
    <t>1.3_105_osvt_strong</t>
  </si>
  <si>
    <t>1.3_105_osvt_typ</t>
  </si>
  <si>
    <t>1.3_105_osvt_weak</t>
  </si>
  <si>
    <t>1.325_105_osvt_strong</t>
  </si>
  <si>
    <t>1.325_105_osvt_typ</t>
  </si>
  <si>
    <t>1.325_105_osvt_weak</t>
  </si>
  <si>
    <t>1.35_105_osvt_strong</t>
  </si>
  <si>
    <t>1.35_105_osvt_typ</t>
  </si>
  <si>
    <t>1.35_105_osvt_weak</t>
  </si>
  <si>
    <t>1.375_105_osvt_strong</t>
  </si>
  <si>
    <t>1.375_105_osvt_typ</t>
  </si>
  <si>
    <t>1.375_105_osvt_weak</t>
  </si>
  <si>
    <t>1.4_105_osvt_strong</t>
  </si>
  <si>
    <t>1.4_105_osvt_typ</t>
  </si>
  <si>
    <t>1.4_105_osvt_weak</t>
  </si>
  <si>
    <t>0.9_125_osvt_strong</t>
  </si>
  <si>
    <t>0.9_125_osvt_typ</t>
  </si>
  <si>
    <t>0.9_125_osvt_weak</t>
  </si>
  <si>
    <t>0.925_125_osvt_strong</t>
  </si>
  <si>
    <t>0.925_125_osvt_typ</t>
  </si>
  <si>
    <t>0.925_125_osvt_weak</t>
  </si>
  <si>
    <t>0.95_125_osvt_strong</t>
  </si>
  <si>
    <t>0.95_125_osvt_typ</t>
  </si>
  <si>
    <t>0.95_125_osvt_weak</t>
  </si>
  <si>
    <t>0.975_125_osvt_strong</t>
  </si>
  <si>
    <t>0.975_125_osvt_typ</t>
  </si>
  <si>
    <t>0.975_125_osvt_weak</t>
  </si>
  <si>
    <t>1_125_osvt_strong</t>
  </si>
  <si>
    <t>1_125_osvt_typ</t>
  </si>
  <si>
    <t>1_125_osvt_weak</t>
  </si>
  <si>
    <t>1.025_125_osvt_strong</t>
  </si>
  <si>
    <t>1.025_125_osvt_typ</t>
  </si>
  <si>
    <t>1.025_125_osvt_weak</t>
  </si>
  <si>
    <t>1.05_125_osvt_strong</t>
  </si>
  <si>
    <t>1.05_125_osvt_typ</t>
  </si>
  <si>
    <t>1.05_125_osvt_weak</t>
  </si>
  <si>
    <t>1.075_125_osvt_strong</t>
  </si>
  <si>
    <t>1.075_125_osvt_typ</t>
  </si>
  <si>
    <t>1.075_125_osvt_weak</t>
  </si>
  <si>
    <t>1.1_125_osvt_strong</t>
  </si>
  <si>
    <t>1.1_125_osvt_typ</t>
  </si>
  <si>
    <t>1.1_125_osvt_weak</t>
  </si>
  <si>
    <t>1.125_125_osvt_strong</t>
  </si>
  <si>
    <t>1.125_125_osvt_typ</t>
  </si>
  <si>
    <t>1.125_125_osvt_weak</t>
  </si>
  <si>
    <t>1.15_125_osvt_strong</t>
  </si>
  <si>
    <t>1.15_125_osvt_typ</t>
  </si>
  <si>
    <t>1.15_125_osvt_weak</t>
  </si>
  <si>
    <t>1.175_125_osvt_strong</t>
  </si>
  <si>
    <t>1.175_125_osvt_typ</t>
  </si>
  <si>
    <t>1.175_125_osvt_weak</t>
  </si>
  <si>
    <t>1.2_125_osvt_strong</t>
  </si>
  <si>
    <t>1.2_125_osvt_typ</t>
  </si>
  <si>
    <t>1.2_125_osvt_weak</t>
  </si>
  <si>
    <t>1.225_125_osvt_strong</t>
  </si>
  <si>
    <t>1.225_125_osvt_typ</t>
  </si>
  <si>
    <t>1.225_125_osvt_weak</t>
  </si>
  <si>
    <t>1.25_125_osvt_strong</t>
  </si>
  <si>
    <t>1.25_125_osvt_typ</t>
  </si>
  <si>
    <t>1.25_125_osvt_weak</t>
  </si>
  <si>
    <t>1.275_125_osvt_strong</t>
  </si>
  <si>
    <t>1.275_125_osvt_typ</t>
  </si>
  <si>
    <t>1.275_125_osvt_weak</t>
  </si>
  <si>
    <t>1.3_125_osvt_strong</t>
  </si>
  <si>
    <t>1.3_125_osvt_typ</t>
  </si>
  <si>
    <t>1.3_125_osvt_weak</t>
  </si>
  <si>
    <t>1.325_125_osvt_strong</t>
  </si>
  <si>
    <t>1.325_125_osvt_typ</t>
  </si>
  <si>
    <t>1.325_125_osvt_weak</t>
  </si>
  <si>
    <t>1.35_125_osvt_strong</t>
  </si>
  <si>
    <t>1.35_125_osvt_typ</t>
  </si>
  <si>
    <t>1.35_125_osvt_weak</t>
  </si>
  <si>
    <t>1.375_125_osvt_strong</t>
  </si>
  <si>
    <t>1.375_125_osvt_typ</t>
  </si>
  <si>
    <t>1.375_125_osvt_weak</t>
  </si>
  <si>
    <t>1.4_125_osvt_strong</t>
  </si>
  <si>
    <t>1.4_125_osvt_typ</t>
  </si>
  <si>
    <t>1.4_125_osvt_weak</t>
  </si>
  <si>
    <t>0.9_140_osvt_strong</t>
  </si>
  <si>
    <t>0.9_140_osvt_typ</t>
  </si>
  <si>
    <t>0.9_140_osvt_weak</t>
  </si>
  <si>
    <t>0.925_140_osvt_strong</t>
  </si>
  <si>
    <t>0.925_140_osvt_typ</t>
  </si>
  <si>
    <t>0.925_140_osvt_weak</t>
  </si>
  <si>
    <t>0.95_140_osvt_strong</t>
  </si>
  <si>
    <t>0.95_140_osvt_typ</t>
  </si>
  <si>
    <t>0.95_140_osvt_weak</t>
  </si>
  <si>
    <t>0.975_140_osvt_strong</t>
  </si>
  <si>
    <t>0.975_140_osvt_typ</t>
  </si>
  <si>
    <t>0.975_140_osvt_weak</t>
  </si>
  <si>
    <t>1_140_osvt_strong</t>
  </si>
  <si>
    <t>1_140_osvt_typ</t>
  </si>
  <si>
    <t>1_140_osvt_weak</t>
  </si>
  <si>
    <t>1.025_140_osvt_strong</t>
  </si>
  <si>
    <t>1.025_140_osvt_typ</t>
  </si>
  <si>
    <t>1.025_140_osvt_weak</t>
  </si>
  <si>
    <t>1.05_140_osvt_strong</t>
  </si>
  <si>
    <t>1.05_140_osvt_typ</t>
  </si>
  <si>
    <t>1.05_140_osvt_weak</t>
  </si>
  <si>
    <t>1.075_140_osvt_strong</t>
  </si>
  <si>
    <t>1.075_140_osvt_typ</t>
  </si>
  <si>
    <t>1.075_140_osvt_weak</t>
  </si>
  <si>
    <t>1.1_140_osvt_strong</t>
  </si>
  <si>
    <t>1.1_140_osvt_typ</t>
  </si>
  <si>
    <t>1.1_140_osvt_weak</t>
  </si>
  <si>
    <t>1.125_140_osvt_strong</t>
  </si>
  <si>
    <t>1.125_140_osvt_typ</t>
  </si>
  <si>
    <t>1.125_140_osvt_weak</t>
  </si>
  <si>
    <t>1.15_140_osvt_strong</t>
  </si>
  <si>
    <t>1.15_140_osvt_typ</t>
  </si>
  <si>
    <t>1.15_140_osvt_weak</t>
  </si>
  <si>
    <t>1.175_140_osvt_strong</t>
  </si>
  <si>
    <t>1.175_140_osvt_typ</t>
  </si>
  <si>
    <t>1.175_140_osvt_weak</t>
  </si>
  <si>
    <t>1.2_140_osvt_strong</t>
  </si>
  <si>
    <t>1.2_140_osvt_typ</t>
  </si>
  <si>
    <t>1.2_140_osvt_weak</t>
  </si>
  <si>
    <t>1.225_140_osvt_strong</t>
  </si>
  <si>
    <t>1.225_140_osvt_typ</t>
  </si>
  <si>
    <t>1.225_140_osvt_weak</t>
  </si>
  <si>
    <t>1.25_140_osvt_strong</t>
  </si>
  <si>
    <t>1.25_140_osvt_typ</t>
  </si>
  <si>
    <t>1.25_140_osvt_weak</t>
  </si>
  <si>
    <t>1.275_140_osvt_strong</t>
  </si>
  <si>
    <t>1.275_140_osvt_typ</t>
  </si>
  <si>
    <t>1.275_140_osvt_weak</t>
  </si>
  <si>
    <t>1.3_140_osvt_strong</t>
  </si>
  <si>
    <t>1.3_140_osvt_typ</t>
  </si>
  <si>
    <t>1.3_140_osvt_weak</t>
  </si>
  <si>
    <t>1.325_140_osvt_strong</t>
  </si>
  <si>
    <t>1.325_140_osvt_typ</t>
  </si>
  <si>
    <t>1.325_140_osvt_weak</t>
  </si>
  <si>
    <t>1.35_140_osvt_strong</t>
  </si>
  <si>
    <t>1.35_140_osvt_typ</t>
  </si>
  <si>
    <t>1.35_140_osvt_weak</t>
  </si>
  <si>
    <t>1.375_140_osvt_strong</t>
  </si>
  <si>
    <t>1.375_140_osvt_typ</t>
  </si>
  <si>
    <t>1.375_140_osvt_weak</t>
  </si>
  <si>
    <t>1.4_140_osvt_strong</t>
  </si>
  <si>
    <t>1.4_140_osvt_typ</t>
  </si>
  <si>
    <t>1.4_140_osvt_weak</t>
  </si>
  <si>
    <t>0.9_150_osvt_strong</t>
  </si>
  <si>
    <t>0.9_150_osvt_typ</t>
  </si>
  <si>
    <t>0.9_150_osvt_weak</t>
  </si>
  <si>
    <t>0.925_150_osvt_strong</t>
  </si>
  <si>
    <t>0.925_150_osvt_typ</t>
  </si>
  <si>
    <t>0.925_150_osvt_weak</t>
  </si>
  <si>
    <t>0.95_150_osvt_strong</t>
  </si>
  <si>
    <t>0.95_150_osvt_typ</t>
  </si>
  <si>
    <t>0.95_150_osvt_weak</t>
  </si>
  <si>
    <t>0.975_150_osvt_strong</t>
  </si>
  <si>
    <t>0.975_150_osvt_typ</t>
  </si>
  <si>
    <t>0.975_150_osvt_weak</t>
  </si>
  <si>
    <t>1_150_osvt_strong</t>
  </si>
  <si>
    <t>1_150_osvt_typ</t>
  </si>
  <si>
    <t>1_150_osvt_weak</t>
  </si>
  <si>
    <t>1.025_150_osvt_strong</t>
  </si>
  <si>
    <t>1.025_150_osvt_typ</t>
  </si>
  <si>
    <t>1.025_150_osvt_weak</t>
  </si>
  <si>
    <t>1.05_150_osvt_strong</t>
  </si>
  <si>
    <t>1.05_150_osvt_typ</t>
  </si>
  <si>
    <t>1.05_150_osvt_weak</t>
  </si>
  <si>
    <t>1.075_150_osvt_strong</t>
  </si>
  <si>
    <t>1.075_150_osvt_typ</t>
  </si>
  <si>
    <t>1.075_150_osvt_weak</t>
  </si>
  <si>
    <t>1.1_150_osvt_strong</t>
  </si>
  <si>
    <t>1.1_150_osvt_typ</t>
  </si>
  <si>
    <t>1.1_150_osvt_weak</t>
  </si>
  <si>
    <t>1.125_150_osvt_strong</t>
  </si>
  <si>
    <t>1.125_150_osvt_typ</t>
  </si>
  <si>
    <t>1.125_150_osvt_weak</t>
  </si>
  <si>
    <t>1.15_150_osvt_strong</t>
  </si>
  <si>
    <t>1.15_150_osvt_typ</t>
  </si>
  <si>
    <t>1.15_150_osvt_weak</t>
  </si>
  <si>
    <t>1.175_150_osvt_strong</t>
  </si>
  <si>
    <t>1.175_150_osvt_typ</t>
  </si>
  <si>
    <t>1.175_150_osvt_weak</t>
  </si>
  <si>
    <t>1.2_150_osvt_strong</t>
  </si>
  <si>
    <t>1.2_150_osvt_typ</t>
  </si>
  <si>
    <t>1.2_150_osvt_weak</t>
  </si>
  <si>
    <t>1.225_150_osvt_strong</t>
  </si>
  <si>
    <t>1.225_150_osvt_typ</t>
  </si>
  <si>
    <t>1.225_150_osvt_weak</t>
  </si>
  <si>
    <t>1.25_150_osvt_strong</t>
  </si>
  <si>
    <t>1.25_150_osvt_typ</t>
  </si>
  <si>
    <t>1.25_150_osvt_weak</t>
  </si>
  <si>
    <t>1.275_150_osvt_strong</t>
  </si>
  <si>
    <t>1.275_150_osvt_typ</t>
  </si>
  <si>
    <t>1.275_150_osvt_weak</t>
  </si>
  <si>
    <t>1.3_150_osvt_strong</t>
  </si>
  <si>
    <t>1.3_150_osvt_typ</t>
  </si>
  <si>
    <t>1.3_150_osvt_weak</t>
  </si>
  <si>
    <t>1.325_150_osvt_strong</t>
  </si>
  <si>
    <t>1.325_150_osvt_typ</t>
  </si>
  <si>
    <t>1.325_150_osvt_weak</t>
  </si>
  <si>
    <t>1.35_150_osvt_strong</t>
  </si>
  <si>
    <t>1.35_150_osvt_typ</t>
  </si>
  <si>
    <t>1.35_150_osvt_weak</t>
  </si>
  <si>
    <t>1.375_150_osvt_strong</t>
  </si>
  <si>
    <t>1.375_150_osvt_typ</t>
  </si>
  <si>
    <t>1.375_150_osvt_weak</t>
  </si>
  <si>
    <t>1.4_150_osvt_strong</t>
  </si>
  <si>
    <t>1.4_150_osvt_typ</t>
  </si>
  <si>
    <t>1.4_150_osvt_weak</t>
  </si>
  <si>
    <t>0.9_-40_svt_strong</t>
  </si>
  <si>
    <t>0.9_-40_svt_typ</t>
  </si>
  <si>
    <t>0.9_-40_svt_weak</t>
  </si>
  <si>
    <t>0.925_-40_svt_strong</t>
  </si>
  <si>
    <t>0.925_-40_svt_typ</t>
  </si>
  <si>
    <t>0.925_-40_svt_weak</t>
  </si>
  <si>
    <t>0.95_-40_svt_strong</t>
  </si>
  <si>
    <t>0.95_-40_svt_typ</t>
  </si>
  <si>
    <t>0.95_-40_svt_weak</t>
  </si>
  <si>
    <t>0.975_-40_svt_strong</t>
  </si>
  <si>
    <t>0.975_-40_svt_typ</t>
  </si>
  <si>
    <t>0.975_-40_svt_weak</t>
  </si>
  <si>
    <t>1_-40_svt_strong</t>
  </si>
  <si>
    <t>1_-40_svt_typ</t>
  </si>
  <si>
    <t>1_-40_svt_weak</t>
  </si>
  <si>
    <t>1.025_-40_svt_strong</t>
  </si>
  <si>
    <t>1.025_-40_svt_typ</t>
  </si>
  <si>
    <t>1.025_-40_svt_weak</t>
  </si>
  <si>
    <t>1.05_-40_svt_strong</t>
  </si>
  <si>
    <t>1.05_-40_svt_typ</t>
  </si>
  <si>
    <t>1.05_-40_svt_weak</t>
  </si>
  <si>
    <t>1.075_-40_svt_strong</t>
  </si>
  <si>
    <t>1.075_-40_svt_typ</t>
  </si>
  <si>
    <t>1.075_-40_svt_weak</t>
  </si>
  <si>
    <t>1.1_-40_svt_strong</t>
  </si>
  <si>
    <t>1.1_-40_svt_typ</t>
  </si>
  <si>
    <t>1.1_-40_svt_weak</t>
  </si>
  <si>
    <t>1.125_-40_svt_strong</t>
  </si>
  <si>
    <t>1.125_-40_svt_typ</t>
  </si>
  <si>
    <t>1.125_-40_svt_weak</t>
  </si>
  <si>
    <t>1.15_-40_svt_strong</t>
  </si>
  <si>
    <t>1.15_-40_svt_typ</t>
  </si>
  <si>
    <t>1.15_-40_svt_weak</t>
  </si>
  <si>
    <t>1.175_-40_svt_strong</t>
  </si>
  <si>
    <t>1.175_-40_svt_typ</t>
  </si>
  <si>
    <t>1.175_-40_svt_weak</t>
  </si>
  <si>
    <t>1.2_-40_svt_strong</t>
  </si>
  <si>
    <t>1.2_-40_svt_typ</t>
  </si>
  <si>
    <t>1.2_-40_svt_weak</t>
  </si>
  <si>
    <t>1.225_-40_svt_strong</t>
  </si>
  <si>
    <t>1.225_-40_svt_typ</t>
  </si>
  <si>
    <t>1.225_-40_svt_weak</t>
  </si>
  <si>
    <t>1.25_-40_svt_strong</t>
  </si>
  <si>
    <t>1.25_-40_svt_typ</t>
  </si>
  <si>
    <t>1.25_-40_svt_weak</t>
  </si>
  <si>
    <t>1.275_-40_svt_strong</t>
  </si>
  <si>
    <t>1.275_-40_svt_typ</t>
  </si>
  <si>
    <t>1.275_-40_svt_weak</t>
  </si>
  <si>
    <t>1.3_-40_svt_strong</t>
  </si>
  <si>
    <t>1.3_-40_svt_typ</t>
  </si>
  <si>
    <t>1.3_-40_svt_weak</t>
  </si>
  <si>
    <t>1.325_-40_svt_strong</t>
  </si>
  <si>
    <t>1.325_-40_svt_typ</t>
  </si>
  <si>
    <t>1.325_-40_svt_weak</t>
  </si>
  <si>
    <t>1.35_-40_svt_strong</t>
  </si>
  <si>
    <t>1.35_-40_svt_typ</t>
  </si>
  <si>
    <t>1.35_-40_svt_weak</t>
  </si>
  <si>
    <t>1.375_-40_svt_strong</t>
  </si>
  <si>
    <t>1.375_-40_svt_typ</t>
  </si>
  <si>
    <t>1.375_-40_svt_weak</t>
  </si>
  <si>
    <t>1.4_-40_svt_strong</t>
  </si>
  <si>
    <t>1.4_-40_svt_typ</t>
  </si>
  <si>
    <t>1.4_-40_svt_weak</t>
  </si>
  <si>
    <t>0.9_-20_svt_strong</t>
  </si>
  <si>
    <t>0.9_-20_svt_typ</t>
  </si>
  <si>
    <t>0.9_-20_svt_weak</t>
  </si>
  <si>
    <t>0.925_-20_svt_strong</t>
  </si>
  <si>
    <t>0.925_-20_svt_typ</t>
  </si>
  <si>
    <t>0.925_-20_svt_weak</t>
  </si>
  <si>
    <t>0.95_-20_svt_strong</t>
  </si>
  <si>
    <t>0.95_-20_svt_typ</t>
  </si>
  <si>
    <t>0.95_-20_svt_weak</t>
  </si>
  <si>
    <t>0.975_-20_svt_strong</t>
  </si>
  <si>
    <t>0.975_-20_svt_typ</t>
  </si>
  <si>
    <t>0.975_-20_svt_weak</t>
  </si>
  <si>
    <t>1_-20_svt_strong</t>
  </si>
  <si>
    <t>1_-20_svt_typ</t>
  </si>
  <si>
    <t>1_-20_svt_weak</t>
  </si>
  <si>
    <t>1.025_-20_svt_strong</t>
  </si>
  <si>
    <t>1.025_-20_svt_typ</t>
  </si>
  <si>
    <t>1.025_-20_svt_weak</t>
  </si>
  <si>
    <t>1.05_-20_svt_strong</t>
  </si>
  <si>
    <t>1.05_-20_svt_typ</t>
  </si>
  <si>
    <t>1.05_-20_svt_weak</t>
  </si>
  <si>
    <t>1.075_-20_svt_strong</t>
  </si>
  <si>
    <t>1.075_-20_svt_typ</t>
  </si>
  <si>
    <t>1.075_-20_svt_weak</t>
  </si>
  <si>
    <t>1.1_-20_svt_strong</t>
  </si>
  <si>
    <t>1.1_-20_svt_typ</t>
  </si>
  <si>
    <t>1.1_-20_svt_weak</t>
  </si>
  <si>
    <t>1.125_-20_svt_strong</t>
  </si>
  <si>
    <t>1.125_-20_svt_typ</t>
  </si>
  <si>
    <t>1.125_-20_svt_weak</t>
  </si>
  <si>
    <t>1.15_-20_svt_strong</t>
  </si>
  <si>
    <t>1.15_-20_svt_typ</t>
  </si>
  <si>
    <t>1.15_-20_svt_weak</t>
  </si>
  <si>
    <t>1.175_-20_svt_strong</t>
  </si>
  <si>
    <t>1.175_-20_svt_typ</t>
  </si>
  <si>
    <t>1.175_-20_svt_weak</t>
  </si>
  <si>
    <t>1.2_-20_svt_strong</t>
  </si>
  <si>
    <t>1.2_-20_svt_typ</t>
  </si>
  <si>
    <t>1.2_-20_svt_weak</t>
  </si>
  <si>
    <t>1.225_-20_svt_strong</t>
  </si>
  <si>
    <t>1.225_-20_svt_typ</t>
  </si>
  <si>
    <t>1.225_-20_svt_weak</t>
  </si>
  <si>
    <t>1.25_-20_svt_strong</t>
  </si>
  <si>
    <t>1.25_-20_svt_typ</t>
  </si>
  <si>
    <t>1.25_-20_svt_weak</t>
  </si>
  <si>
    <t>1.275_-20_svt_strong</t>
  </si>
  <si>
    <t>1.275_-20_svt_typ</t>
  </si>
  <si>
    <t>1.275_-20_svt_weak</t>
  </si>
  <si>
    <t>1.3_-20_svt_strong</t>
  </si>
  <si>
    <t>1.3_-20_svt_typ</t>
  </si>
  <si>
    <t>1.3_-20_svt_weak</t>
  </si>
  <si>
    <t>1.325_-20_svt_strong</t>
  </si>
  <si>
    <t>1.325_-20_svt_typ</t>
  </si>
  <si>
    <t>1.325_-20_svt_weak</t>
  </si>
  <si>
    <t>1.35_-20_svt_strong</t>
  </si>
  <si>
    <t>1.35_-20_svt_typ</t>
  </si>
  <si>
    <t>1.35_-20_svt_weak</t>
  </si>
  <si>
    <t>1.375_-20_svt_strong</t>
  </si>
  <si>
    <t>1.375_-20_svt_typ</t>
  </si>
  <si>
    <t>1.375_-20_svt_weak</t>
  </si>
  <si>
    <t>1.4_-20_svt_strong</t>
  </si>
  <si>
    <t>1.4_-20_svt_typ</t>
  </si>
  <si>
    <t>1.4_-20_svt_weak</t>
  </si>
  <si>
    <t>0.9_0_svt_strong</t>
  </si>
  <si>
    <t>0.9_0_svt_typ</t>
  </si>
  <si>
    <t>0.9_0_svt_weak</t>
  </si>
  <si>
    <t>0.925_0_svt_strong</t>
  </si>
  <si>
    <t>0.925_0_svt_typ</t>
  </si>
  <si>
    <t>0.925_0_svt_weak</t>
  </si>
  <si>
    <t>0.95_0_svt_strong</t>
  </si>
  <si>
    <t>0.95_0_svt_typ</t>
  </si>
  <si>
    <t>0.95_0_svt_weak</t>
  </si>
  <si>
    <t>0.975_0_svt_strong</t>
  </si>
  <si>
    <t>0.975_0_svt_typ</t>
  </si>
  <si>
    <t>0.975_0_svt_weak</t>
  </si>
  <si>
    <t>1_0_svt_strong</t>
  </si>
  <si>
    <t>1_0_svt_typ</t>
  </si>
  <si>
    <t>1_0_svt_weak</t>
  </si>
  <si>
    <t>1.025_0_svt_strong</t>
  </si>
  <si>
    <t>1.025_0_svt_typ</t>
  </si>
  <si>
    <t>1.025_0_svt_weak</t>
  </si>
  <si>
    <t>1.05_0_svt_strong</t>
  </si>
  <si>
    <t>1.05_0_svt_typ</t>
  </si>
  <si>
    <t>1.05_0_svt_weak</t>
  </si>
  <si>
    <t>1.075_0_svt_strong</t>
  </si>
  <si>
    <t>1.075_0_svt_typ</t>
  </si>
  <si>
    <t>1.075_0_svt_weak</t>
  </si>
  <si>
    <t>1.1_0_svt_strong</t>
  </si>
  <si>
    <t>1.1_0_svt_typ</t>
  </si>
  <si>
    <t>1.1_0_svt_weak</t>
  </si>
  <si>
    <t>1.125_0_svt_strong</t>
  </si>
  <si>
    <t>1.125_0_svt_typ</t>
  </si>
  <si>
    <t>1.125_0_svt_weak</t>
  </si>
  <si>
    <t>1.15_0_svt_strong</t>
  </si>
  <si>
    <t>1.15_0_svt_typ</t>
  </si>
  <si>
    <t>1.15_0_svt_weak</t>
  </si>
  <si>
    <t>1.175_0_svt_strong</t>
  </si>
  <si>
    <t>1.175_0_svt_typ</t>
  </si>
  <si>
    <t>1.175_0_svt_weak</t>
  </si>
  <si>
    <t>1.2_0_svt_strong</t>
  </si>
  <si>
    <t>1.2_0_svt_typ</t>
  </si>
  <si>
    <t>1.2_0_svt_weak</t>
  </si>
  <si>
    <t>1.225_0_svt_strong</t>
  </si>
  <si>
    <t>1.225_0_svt_typ</t>
  </si>
  <si>
    <t>1.225_0_svt_weak</t>
  </si>
  <si>
    <t>1.25_0_svt_strong</t>
  </si>
  <si>
    <t>1.25_0_svt_typ</t>
  </si>
  <si>
    <t>1.25_0_svt_weak</t>
  </si>
  <si>
    <t>1.275_0_svt_strong</t>
  </si>
  <si>
    <t>1.275_0_svt_typ</t>
  </si>
  <si>
    <t>1.275_0_svt_weak</t>
  </si>
  <si>
    <t>1.3_0_svt_strong</t>
  </si>
  <si>
    <t>1.3_0_svt_typ</t>
  </si>
  <si>
    <t>1.3_0_svt_weak</t>
  </si>
  <si>
    <t>1.325_0_svt_strong</t>
  </si>
  <si>
    <t>1.325_0_svt_typ</t>
  </si>
  <si>
    <t>1.325_0_svt_weak</t>
  </si>
  <si>
    <t>1.35_0_svt_strong</t>
  </si>
  <si>
    <t>1.35_0_svt_typ</t>
  </si>
  <si>
    <t>1.35_0_svt_weak</t>
  </si>
  <si>
    <t>1.375_0_svt_strong</t>
  </si>
  <si>
    <t>1.375_0_svt_typ</t>
  </si>
  <si>
    <t>1.375_0_svt_weak</t>
  </si>
  <si>
    <t>1.4_0_svt_strong</t>
  </si>
  <si>
    <t>1.4_0_svt_typ</t>
  </si>
  <si>
    <t>1.4_0_svt_weak</t>
  </si>
  <si>
    <t>0.9_25_svt_strong</t>
  </si>
  <si>
    <t>0.9_25_svt_typ</t>
  </si>
  <si>
    <t>0.9_25_svt_weak</t>
  </si>
  <si>
    <t>0.925_25_svt_strong</t>
  </si>
  <si>
    <t>0.925_25_svt_typ</t>
  </si>
  <si>
    <t>0.925_25_svt_weak</t>
  </si>
  <si>
    <t>0.95_25_svt_strong</t>
  </si>
  <si>
    <t>0.95_25_svt_typ</t>
  </si>
  <si>
    <t>0.95_25_svt_weak</t>
  </si>
  <si>
    <t>0.975_25_svt_strong</t>
  </si>
  <si>
    <t>0.975_25_svt_typ</t>
  </si>
  <si>
    <t>0.975_25_svt_weak</t>
  </si>
  <si>
    <t>1_25_svt_strong</t>
  </si>
  <si>
    <t>1_25_svt_typ</t>
  </si>
  <si>
    <t>1_25_svt_weak</t>
  </si>
  <si>
    <t>1.025_25_svt_strong</t>
  </si>
  <si>
    <t>1.025_25_svt_typ</t>
  </si>
  <si>
    <t>1.025_25_svt_weak</t>
  </si>
  <si>
    <t>1.05_25_svt_strong</t>
  </si>
  <si>
    <t>1.05_25_svt_typ</t>
  </si>
  <si>
    <t>1.05_25_svt_weak</t>
  </si>
  <si>
    <t>1.075_25_svt_strong</t>
  </si>
  <si>
    <t>1.075_25_svt_typ</t>
  </si>
  <si>
    <t>1.075_25_svt_weak</t>
  </si>
  <si>
    <t>1.1_25_svt_strong</t>
  </si>
  <si>
    <t>1.1_25_svt_typ</t>
  </si>
  <si>
    <t>1.1_25_svt_weak</t>
  </si>
  <si>
    <t>1.125_25_svt_strong</t>
  </si>
  <si>
    <t>1.125_25_svt_typ</t>
  </si>
  <si>
    <t>1.125_25_svt_weak</t>
  </si>
  <si>
    <t>1.15_25_svt_strong</t>
  </si>
  <si>
    <t>1.15_25_svt_typ</t>
  </si>
  <si>
    <t>1.15_25_svt_weak</t>
  </si>
  <si>
    <t>1.175_25_svt_strong</t>
  </si>
  <si>
    <t>1.175_25_svt_typ</t>
  </si>
  <si>
    <t>1.175_25_svt_weak</t>
  </si>
  <si>
    <t>1.2_25_svt_strong</t>
  </si>
  <si>
    <t>1.2_25_svt_typ</t>
  </si>
  <si>
    <t>1.2_25_svt_weak</t>
  </si>
  <si>
    <t>1.225_25_svt_strong</t>
  </si>
  <si>
    <t>1.225_25_svt_typ</t>
  </si>
  <si>
    <t>1.225_25_svt_weak</t>
  </si>
  <si>
    <t>1.25_25_svt_strong</t>
  </si>
  <si>
    <t>1.25_25_svt_typ</t>
  </si>
  <si>
    <t>1.25_25_svt_weak</t>
  </si>
  <si>
    <t>1.275_25_svt_strong</t>
  </si>
  <si>
    <t>1.275_25_svt_typ</t>
  </si>
  <si>
    <t>1.275_25_svt_weak</t>
  </si>
  <si>
    <t>1.3_25_svt_strong</t>
  </si>
  <si>
    <t>1.3_25_svt_typ</t>
  </si>
  <si>
    <t>1.3_25_svt_weak</t>
  </si>
  <si>
    <t>1.325_25_svt_strong</t>
  </si>
  <si>
    <t>1.325_25_svt_typ</t>
  </si>
  <si>
    <t>1.325_25_svt_weak</t>
  </si>
  <si>
    <t>1.35_25_svt_strong</t>
  </si>
  <si>
    <t>1.35_25_svt_typ</t>
  </si>
  <si>
    <t>1.35_25_svt_weak</t>
  </si>
  <si>
    <t>1.375_25_svt_strong</t>
  </si>
  <si>
    <t>1.375_25_svt_typ</t>
  </si>
  <si>
    <t>1.375_25_svt_weak</t>
  </si>
  <si>
    <t>1.4_25_svt_strong</t>
  </si>
  <si>
    <t>1.4_25_svt_typ</t>
  </si>
  <si>
    <t>1.4_25_svt_weak</t>
  </si>
  <si>
    <t>0.9_50_svt_strong</t>
  </si>
  <si>
    <t>0.9_50_svt_typ</t>
  </si>
  <si>
    <t>0.9_50_svt_weak</t>
  </si>
  <si>
    <t>0.925_50_svt_strong</t>
  </si>
  <si>
    <t>0.925_50_svt_typ</t>
  </si>
  <si>
    <t>0.925_50_svt_weak</t>
  </si>
  <si>
    <t>0.95_50_svt_strong</t>
  </si>
  <si>
    <t>0.95_50_svt_typ</t>
  </si>
  <si>
    <t>0.95_50_svt_weak</t>
  </si>
  <si>
    <t>0.975_50_svt_strong</t>
  </si>
  <si>
    <t>0.975_50_svt_typ</t>
  </si>
  <si>
    <t>0.975_50_svt_weak</t>
  </si>
  <si>
    <t>1_50_svt_strong</t>
  </si>
  <si>
    <t>1_50_svt_typ</t>
  </si>
  <si>
    <t>1_50_svt_weak</t>
  </si>
  <si>
    <t>1.025_50_svt_strong</t>
  </si>
  <si>
    <t>1.025_50_svt_typ</t>
  </si>
  <si>
    <t>1.025_50_svt_weak</t>
  </si>
  <si>
    <t>1.05_50_svt_strong</t>
  </si>
  <si>
    <t>1.05_50_svt_typ</t>
  </si>
  <si>
    <t>1.05_50_svt_weak</t>
  </si>
  <si>
    <t>1.075_50_svt_strong</t>
  </si>
  <si>
    <t>1.075_50_svt_typ</t>
  </si>
  <si>
    <t>1.075_50_svt_weak</t>
  </si>
  <si>
    <t>1.1_50_svt_strong</t>
  </si>
  <si>
    <t>1.1_50_svt_typ</t>
  </si>
  <si>
    <t>1.1_50_svt_weak</t>
  </si>
  <si>
    <t>1.125_50_svt_strong</t>
  </si>
  <si>
    <t>1.125_50_svt_typ</t>
  </si>
  <si>
    <t>1.125_50_svt_weak</t>
  </si>
  <si>
    <t>1.15_50_svt_strong</t>
  </si>
  <si>
    <t>1.15_50_svt_typ</t>
  </si>
  <si>
    <t>1.15_50_svt_weak</t>
  </si>
  <si>
    <t>1.175_50_svt_strong</t>
  </si>
  <si>
    <t>1.175_50_svt_typ</t>
  </si>
  <si>
    <t>1.175_50_svt_weak</t>
  </si>
  <si>
    <t>1.2_50_svt_strong</t>
  </si>
  <si>
    <t>1.2_50_svt_typ</t>
  </si>
  <si>
    <t>1.2_50_svt_weak</t>
  </si>
  <si>
    <t>1.225_50_svt_strong</t>
  </si>
  <si>
    <t>1.225_50_svt_typ</t>
  </si>
  <si>
    <t>1.225_50_svt_weak</t>
  </si>
  <si>
    <t>1.25_50_svt_strong</t>
  </si>
  <si>
    <t>1.25_50_svt_typ</t>
  </si>
  <si>
    <t>1.25_50_svt_weak</t>
  </si>
  <si>
    <t>1.275_50_svt_strong</t>
  </si>
  <si>
    <t>1.275_50_svt_typ</t>
  </si>
  <si>
    <t>1.275_50_svt_weak</t>
  </si>
  <si>
    <t>1.3_50_svt_strong</t>
  </si>
  <si>
    <t>1.3_50_svt_typ</t>
  </si>
  <si>
    <t>1.3_50_svt_weak</t>
  </si>
  <si>
    <t>1.325_50_svt_strong</t>
  </si>
  <si>
    <t>1.325_50_svt_typ</t>
  </si>
  <si>
    <t>1.325_50_svt_weak</t>
  </si>
  <si>
    <t>1.35_50_svt_strong</t>
  </si>
  <si>
    <t>1.35_50_svt_typ</t>
  </si>
  <si>
    <t>1.35_50_svt_weak</t>
  </si>
  <si>
    <t>1.375_50_svt_strong</t>
  </si>
  <si>
    <t>1.375_50_svt_typ</t>
  </si>
  <si>
    <t>1.375_50_svt_weak</t>
  </si>
  <si>
    <t>1.4_50_svt_strong</t>
  </si>
  <si>
    <t>1.4_50_svt_typ</t>
  </si>
  <si>
    <t>1.4_50_svt_weak</t>
  </si>
  <si>
    <t>0.9_75_svt_strong</t>
  </si>
  <si>
    <t>0.9_75_svt_typ</t>
  </si>
  <si>
    <t>0.9_75_svt_weak</t>
  </si>
  <si>
    <t>0.925_75_svt_strong</t>
  </si>
  <si>
    <t>0.925_75_svt_typ</t>
  </si>
  <si>
    <t>0.925_75_svt_weak</t>
  </si>
  <si>
    <t>0.95_75_svt_strong</t>
  </si>
  <si>
    <t>0.95_75_svt_typ</t>
  </si>
  <si>
    <t>0.95_75_svt_weak</t>
  </si>
  <si>
    <t>0.975_75_svt_strong</t>
  </si>
  <si>
    <t>0.975_75_svt_typ</t>
  </si>
  <si>
    <t>0.975_75_svt_weak</t>
  </si>
  <si>
    <t>1_75_svt_strong</t>
  </si>
  <si>
    <t>1_75_svt_typ</t>
  </si>
  <si>
    <t>1_75_svt_weak</t>
  </si>
  <si>
    <t>1.025_75_svt_strong</t>
  </si>
  <si>
    <t>1.025_75_svt_typ</t>
  </si>
  <si>
    <t>1.025_75_svt_weak</t>
  </si>
  <si>
    <t>1.05_75_svt_strong</t>
  </si>
  <si>
    <t>1.05_75_svt_typ</t>
  </si>
  <si>
    <t>1.05_75_svt_weak</t>
  </si>
  <si>
    <t>1.075_75_svt_strong</t>
  </si>
  <si>
    <t>1.075_75_svt_typ</t>
  </si>
  <si>
    <t>1.075_75_svt_weak</t>
  </si>
  <si>
    <t>1.1_75_svt_strong</t>
  </si>
  <si>
    <t>1.1_75_svt_typ</t>
  </si>
  <si>
    <t>1.1_75_svt_weak</t>
  </si>
  <si>
    <t>1.125_75_svt_strong</t>
  </si>
  <si>
    <t>1.125_75_svt_typ</t>
  </si>
  <si>
    <t>1.125_75_svt_weak</t>
  </si>
  <si>
    <t>1.15_75_svt_strong</t>
  </si>
  <si>
    <t>1.15_75_svt_typ</t>
  </si>
  <si>
    <t>1.15_75_svt_weak</t>
  </si>
  <si>
    <t>1.175_75_svt_strong</t>
  </si>
  <si>
    <t>1.175_75_svt_typ</t>
  </si>
  <si>
    <t>1.175_75_svt_weak</t>
  </si>
  <si>
    <t>1.2_75_svt_strong</t>
  </si>
  <si>
    <t>1.2_75_svt_typ</t>
  </si>
  <si>
    <t>1.2_75_svt_weak</t>
  </si>
  <si>
    <t>1.225_75_svt_strong</t>
  </si>
  <si>
    <t>1.225_75_svt_typ</t>
  </si>
  <si>
    <t>1.225_75_svt_weak</t>
  </si>
  <si>
    <t>1.25_75_svt_strong</t>
  </si>
  <si>
    <t>1.25_75_svt_typ</t>
  </si>
  <si>
    <t>1.25_75_svt_weak</t>
  </si>
  <si>
    <t>1.275_75_svt_strong</t>
  </si>
  <si>
    <t>1.275_75_svt_typ</t>
  </si>
  <si>
    <t>1.275_75_svt_weak</t>
  </si>
  <si>
    <t>1.3_75_svt_strong</t>
  </si>
  <si>
    <t>1.3_75_svt_typ</t>
  </si>
  <si>
    <t>1.3_75_svt_weak</t>
  </si>
  <si>
    <t>1.325_75_svt_strong</t>
  </si>
  <si>
    <t>1.325_75_svt_typ</t>
  </si>
  <si>
    <t>1.325_75_svt_weak</t>
  </si>
  <si>
    <t>1.35_75_svt_strong</t>
  </si>
  <si>
    <t>1.35_75_svt_typ</t>
  </si>
  <si>
    <t>1.35_75_svt_weak</t>
  </si>
  <si>
    <t>1.375_75_svt_strong</t>
  </si>
  <si>
    <t>1.375_75_svt_typ</t>
  </si>
  <si>
    <t>1.375_75_svt_weak</t>
  </si>
  <si>
    <t>1.4_75_svt_strong</t>
  </si>
  <si>
    <t>1.4_75_svt_typ</t>
  </si>
  <si>
    <t>1.4_75_svt_weak</t>
  </si>
  <si>
    <t>0.9_85_svt_strong</t>
  </si>
  <si>
    <t>0.9_85_svt_typ</t>
  </si>
  <si>
    <t>0.9_85_svt_weak</t>
  </si>
  <si>
    <t>0.925_85_svt_strong</t>
  </si>
  <si>
    <t>0.925_85_svt_typ</t>
  </si>
  <si>
    <t>0.925_85_svt_weak</t>
  </si>
  <si>
    <t>0.95_85_svt_strong</t>
  </si>
  <si>
    <t>0.95_85_svt_typ</t>
  </si>
  <si>
    <t>0.95_85_svt_weak</t>
  </si>
  <si>
    <t>0.975_85_svt_strong</t>
  </si>
  <si>
    <t>0.975_85_svt_typ</t>
  </si>
  <si>
    <t>0.975_85_svt_weak</t>
  </si>
  <si>
    <t>1_85_svt_strong</t>
  </si>
  <si>
    <t>1_85_svt_typ</t>
  </si>
  <si>
    <t>1_85_svt_weak</t>
  </si>
  <si>
    <t>1.025_85_svt_strong</t>
  </si>
  <si>
    <t>1.025_85_svt_typ</t>
  </si>
  <si>
    <t>1.025_85_svt_weak</t>
  </si>
  <si>
    <t>1.05_85_svt_strong</t>
  </si>
  <si>
    <t>1.05_85_svt_typ</t>
  </si>
  <si>
    <t>1.05_85_svt_weak</t>
  </si>
  <si>
    <t>1.075_85_svt_strong</t>
  </si>
  <si>
    <t>1.075_85_svt_typ</t>
  </si>
  <si>
    <t>1.075_85_svt_weak</t>
  </si>
  <si>
    <t>1.1_85_svt_strong</t>
  </si>
  <si>
    <t>1.1_85_svt_typ</t>
  </si>
  <si>
    <t>1.1_85_svt_weak</t>
  </si>
  <si>
    <t>1.125_85_svt_strong</t>
  </si>
  <si>
    <t>1.125_85_svt_typ</t>
  </si>
  <si>
    <t>1.125_85_svt_weak</t>
  </si>
  <si>
    <t>1.15_85_svt_strong</t>
  </si>
  <si>
    <t>1.15_85_svt_typ</t>
  </si>
  <si>
    <t>1.15_85_svt_weak</t>
  </si>
  <si>
    <t>1.175_85_svt_strong</t>
  </si>
  <si>
    <t>1.175_85_svt_typ</t>
  </si>
  <si>
    <t>1.175_85_svt_weak</t>
  </si>
  <si>
    <t>1.2_85_svt_strong</t>
  </si>
  <si>
    <t>1.2_85_svt_typ</t>
  </si>
  <si>
    <t>1.2_85_svt_weak</t>
  </si>
  <si>
    <t>1.225_85_svt_strong</t>
  </si>
  <si>
    <t>1.225_85_svt_typ</t>
  </si>
  <si>
    <t>1.225_85_svt_weak</t>
  </si>
  <si>
    <t>1.25_85_svt_strong</t>
  </si>
  <si>
    <t>1.25_85_svt_typ</t>
  </si>
  <si>
    <t>1.25_85_svt_weak</t>
  </si>
  <si>
    <t>1.275_85_svt_strong</t>
  </si>
  <si>
    <t>1.275_85_svt_typ</t>
  </si>
  <si>
    <t>1.275_85_svt_weak</t>
  </si>
  <si>
    <t>1.3_85_svt_strong</t>
  </si>
  <si>
    <t>1.3_85_svt_typ</t>
  </si>
  <si>
    <t>1.3_85_svt_weak</t>
  </si>
  <si>
    <t>1.325_85_svt_strong</t>
  </si>
  <si>
    <t>1.325_85_svt_typ</t>
  </si>
  <si>
    <t>1.325_85_svt_weak</t>
  </si>
  <si>
    <t>1.35_85_svt_strong</t>
  </si>
  <si>
    <t>1.35_85_svt_typ</t>
  </si>
  <si>
    <t>1.35_85_svt_weak</t>
  </si>
  <si>
    <t>1.375_85_svt_strong</t>
  </si>
  <si>
    <t>1.375_85_svt_typ</t>
  </si>
  <si>
    <t>1.375_85_svt_weak</t>
  </si>
  <si>
    <t>1.4_85_svt_strong</t>
  </si>
  <si>
    <t>1.4_85_svt_typ</t>
  </si>
  <si>
    <t>1.4_85_svt_weak</t>
  </si>
  <si>
    <t>0.9_100_svt_strong</t>
  </si>
  <si>
    <t>0.9_100_svt_typ</t>
  </si>
  <si>
    <t>0.9_100_svt_weak</t>
  </si>
  <si>
    <t>0.925_100_svt_strong</t>
  </si>
  <si>
    <t>0.925_100_svt_typ</t>
  </si>
  <si>
    <t>0.925_100_svt_weak</t>
  </si>
  <si>
    <t>0.95_100_svt_strong</t>
  </si>
  <si>
    <t>0.95_100_svt_typ</t>
  </si>
  <si>
    <t>0.95_100_svt_weak</t>
  </si>
  <si>
    <t>0.975_100_svt_strong</t>
  </si>
  <si>
    <t>0.975_100_svt_typ</t>
  </si>
  <si>
    <t>0.975_100_svt_weak</t>
  </si>
  <si>
    <t>1_100_svt_strong</t>
  </si>
  <si>
    <t>1_100_svt_typ</t>
  </si>
  <si>
    <t>1_100_svt_weak</t>
  </si>
  <si>
    <t>1.025_100_svt_strong</t>
  </si>
  <si>
    <t>1.025_100_svt_typ</t>
  </si>
  <si>
    <t>1.025_100_svt_weak</t>
  </si>
  <si>
    <t>1.05_100_svt_strong</t>
  </si>
  <si>
    <t>1.05_100_svt_typ</t>
  </si>
  <si>
    <t>1.05_100_svt_weak</t>
  </si>
  <si>
    <t>1.075_100_svt_strong</t>
  </si>
  <si>
    <t>1.075_100_svt_typ</t>
  </si>
  <si>
    <t>1.075_100_svt_weak</t>
  </si>
  <si>
    <t>1.1_100_svt_strong</t>
  </si>
  <si>
    <t>1.1_100_svt_typ</t>
  </si>
  <si>
    <t>1.1_100_svt_weak</t>
  </si>
  <si>
    <t>1.125_100_svt_strong</t>
  </si>
  <si>
    <t>1.125_100_svt_typ</t>
  </si>
  <si>
    <t>1.125_100_svt_weak</t>
  </si>
  <si>
    <t>1.15_100_svt_strong</t>
  </si>
  <si>
    <t>1.15_100_svt_typ</t>
  </si>
  <si>
    <t>1.15_100_svt_weak</t>
  </si>
  <si>
    <t>1.175_100_svt_strong</t>
  </si>
  <si>
    <t>1.175_100_svt_typ</t>
  </si>
  <si>
    <t>1.175_100_svt_weak</t>
  </si>
  <si>
    <t>1.2_100_svt_strong</t>
  </si>
  <si>
    <t>1.2_100_svt_typ</t>
  </si>
  <si>
    <t>1.2_100_svt_weak</t>
  </si>
  <si>
    <t>1.225_100_svt_strong</t>
  </si>
  <si>
    <t>1.225_100_svt_typ</t>
  </si>
  <si>
    <t>1.225_100_svt_weak</t>
  </si>
  <si>
    <t>1.25_100_svt_strong</t>
  </si>
  <si>
    <t>1.25_100_svt_typ</t>
  </si>
  <si>
    <t>1.25_100_svt_weak</t>
  </si>
  <si>
    <t>1.275_100_svt_strong</t>
  </si>
  <si>
    <t>1.275_100_svt_typ</t>
  </si>
  <si>
    <t>1.275_100_svt_weak</t>
  </si>
  <si>
    <t>1.3_100_svt_strong</t>
  </si>
  <si>
    <t>1.3_100_svt_typ</t>
  </si>
  <si>
    <t>1.3_100_svt_weak</t>
  </si>
  <si>
    <t>1.325_100_svt_strong</t>
  </si>
  <si>
    <t>1.325_100_svt_typ</t>
  </si>
  <si>
    <t>1.325_100_svt_weak</t>
  </si>
  <si>
    <t>1.35_100_svt_strong</t>
  </si>
  <si>
    <t>1.35_100_svt_typ</t>
  </si>
  <si>
    <t>1.35_100_svt_weak</t>
  </si>
  <si>
    <t>1.375_100_svt_strong</t>
  </si>
  <si>
    <t>1.375_100_svt_typ</t>
  </si>
  <si>
    <t>1.375_100_svt_weak</t>
  </si>
  <si>
    <t>1.4_100_svt_strong</t>
  </si>
  <si>
    <t>1.4_100_svt_typ</t>
  </si>
  <si>
    <t>1.4_100_svt_weak</t>
  </si>
  <si>
    <t>0.9_105_svt_strong</t>
  </si>
  <si>
    <t>0.9_105_svt_typ</t>
  </si>
  <si>
    <t>0.9_105_svt_weak</t>
  </si>
  <si>
    <t>0.925_105_svt_strong</t>
  </si>
  <si>
    <t>0.925_105_svt_typ</t>
  </si>
  <si>
    <t>0.925_105_svt_weak</t>
  </si>
  <si>
    <t>0.95_105_svt_strong</t>
  </si>
  <si>
    <t>0.95_105_svt_typ</t>
  </si>
  <si>
    <t>0.95_105_svt_weak</t>
  </si>
  <si>
    <t>0.975_105_svt_strong</t>
  </si>
  <si>
    <t>0.975_105_svt_typ</t>
  </si>
  <si>
    <t>0.975_105_svt_weak</t>
  </si>
  <si>
    <t>1_105_svt_strong</t>
  </si>
  <si>
    <t>1_105_svt_typ</t>
  </si>
  <si>
    <t>1_105_svt_weak</t>
  </si>
  <si>
    <t>1.025_105_svt_strong</t>
  </si>
  <si>
    <t>1.025_105_svt_typ</t>
  </si>
  <si>
    <t>1.025_105_svt_weak</t>
  </si>
  <si>
    <t>1.05_105_svt_strong</t>
  </si>
  <si>
    <t>1.05_105_svt_typ</t>
  </si>
  <si>
    <t>1.05_105_svt_weak</t>
  </si>
  <si>
    <t>1.075_105_svt_strong</t>
  </si>
  <si>
    <t>1.075_105_svt_typ</t>
  </si>
  <si>
    <t>1.075_105_svt_weak</t>
  </si>
  <si>
    <t>1.1_105_svt_strong</t>
  </si>
  <si>
    <t>1.1_105_svt_typ</t>
  </si>
  <si>
    <t>1.1_105_svt_weak</t>
  </si>
  <si>
    <t>1.125_105_svt_strong</t>
  </si>
  <si>
    <t>1.125_105_svt_typ</t>
  </si>
  <si>
    <t>1.125_105_svt_weak</t>
  </si>
  <si>
    <t>1.15_105_svt_strong</t>
  </si>
  <si>
    <t>1.15_105_svt_typ</t>
  </si>
  <si>
    <t>1.15_105_svt_weak</t>
  </si>
  <si>
    <t>1.175_105_svt_strong</t>
  </si>
  <si>
    <t>1.175_105_svt_typ</t>
  </si>
  <si>
    <t>1.175_105_svt_weak</t>
  </si>
  <si>
    <t>1.2_105_svt_strong</t>
  </si>
  <si>
    <t>1.2_105_svt_typ</t>
  </si>
  <si>
    <t>1.2_105_svt_weak</t>
  </si>
  <si>
    <t>1.225_105_svt_strong</t>
  </si>
  <si>
    <t>1.225_105_svt_typ</t>
  </si>
  <si>
    <t>1.225_105_svt_weak</t>
  </si>
  <si>
    <t>1.25_105_svt_strong</t>
  </si>
  <si>
    <t>1.25_105_svt_typ</t>
  </si>
  <si>
    <t>1.25_105_svt_weak</t>
  </si>
  <si>
    <t>1.275_105_svt_strong</t>
  </si>
  <si>
    <t>1.275_105_svt_typ</t>
  </si>
  <si>
    <t>1.275_105_svt_weak</t>
  </si>
  <si>
    <t>1.3_105_svt_strong</t>
  </si>
  <si>
    <t>1.3_105_svt_typ</t>
  </si>
  <si>
    <t>1.3_105_svt_weak</t>
  </si>
  <si>
    <t>1.325_105_svt_strong</t>
  </si>
  <si>
    <t>1.325_105_svt_typ</t>
  </si>
  <si>
    <t>1.325_105_svt_weak</t>
  </si>
  <si>
    <t>1.35_105_svt_strong</t>
  </si>
  <si>
    <t>1.35_105_svt_typ</t>
  </si>
  <si>
    <t>1.35_105_svt_weak</t>
  </si>
  <si>
    <t>1.375_105_svt_strong</t>
  </si>
  <si>
    <t>1.375_105_svt_typ</t>
  </si>
  <si>
    <t>1.375_105_svt_weak</t>
  </si>
  <si>
    <t>1.4_105_svt_strong</t>
  </si>
  <si>
    <t>1.4_105_svt_typ</t>
  </si>
  <si>
    <t>1.4_105_svt_weak</t>
  </si>
  <si>
    <t>0.9_125_svt_strong</t>
  </si>
  <si>
    <t>0.9_125_svt_typ</t>
  </si>
  <si>
    <t>0.9_125_svt_weak</t>
  </si>
  <si>
    <t>0.925_125_svt_strong</t>
  </si>
  <si>
    <t>0.925_125_svt_typ</t>
  </si>
  <si>
    <t>0.925_125_svt_weak</t>
  </si>
  <si>
    <t>0.95_125_svt_strong</t>
  </si>
  <si>
    <t>0.95_125_svt_typ</t>
  </si>
  <si>
    <t>0.95_125_svt_weak</t>
  </si>
  <si>
    <t>0.975_125_svt_strong</t>
  </si>
  <si>
    <t>0.975_125_svt_typ</t>
  </si>
  <si>
    <t>0.975_125_svt_weak</t>
  </si>
  <si>
    <t>1_125_svt_strong</t>
  </si>
  <si>
    <t>1_125_svt_typ</t>
  </si>
  <si>
    <t>1_125_svt_weak</t>
  </si>
  <si>
    <t>1.025_125_svt_strong</t>
  </si>
  <si>
    <t>1.025_125_svt_typ</t>
  </si>
  <si>
    <t>1.025_125_svt_weak</t>
  </si>
  <si>
    <t>1.05_125_svt_strong</t>
  </si>
  <si>
    <t>1.05_125_svt_typ</t>
  </si>
  <si>
    <t>1.05_125_svt_weak</t>
  </si>
  <si>
    <t>1.075_125_svt_strong</t>
  </si>
  <si>
    <t>1.075_125_svt_typ</t>
  </si>
  <si>
    <t>1.075_125_svt_weak</t>
  </si>
  <si>
    <t>1.1_125_svt_strong</t>
  </si>
  <si>
    <t>1.1_125_svt_typ</t>
  </si>
  <si>
    <t>1.1_125_svt_weak</t>
  </si>
  <si>
    <t>1.125_125_svt_strong</t>
  </si>
  <si>
    <t>1.125_125_svt_typ</t>
  </si>
  <si>
    <t>1.125_125_svt_weak</t>
  </si>
  <si>
    <t>1.15_125_svt_strong</t>
  </si>
  <si>
    <t>1.15_125_svt_typ</t>
  </si>
  <si>
    <t>1.15_125_svt_weak</t>
  </si>
  <si>
    <t>1.175_125_svt_strong</t>
  </si>
  <si>
    <t>1.175_125_svt_typ</t>
  </si>
  <si>
    <t>1.175_125_svt_weak</t>
  </si>
  <si>
    <t>1.2_125_svt_strong</t>
  </si>
  <si>
    <t>1.2_125_svt_typ</t>
  </si>
  <si>
    <t>1.2_125_svt_weak</t>
  </si>
  <si>
    <t>1.225_125_svt_strong</t>
  </si>
  <si>
    <t>1.225_125_svt_typ</t>
  </si>
  <si>
    <t>1.225_125_svt_weak</t>
  </si>
  <si>
    <t>1.25_125_svt_strong</t>
  </si>
  <si>
    <t>1.25_125_svt_typ</t>
  </si>
  <si>
    <t>1.25_125_svt_weak</t>
  </si>
  <si>
    <t>1.275_125_svt_strong</t>
  </si>
  <si>
    <t>1.275_125_svt_typ</t>
  </si>
  <si>
    <t>1.275_125_svt_weak</t>
  </si>
  <si>
    <t>1.3_125_svt_strong</t>
  </si>
  <si>
    <t>1.3_125_svt_typ</t>
  </si>
  <si>
    <t>1.3_125_svt_weak</t>
  </si>
  <si>
    <t>1.325_125_svt_strong</t>
  </si>
  <si>
    <t>1.325_125_svt_typ</t>
  </si>
  <si>
    <t>1.325_125_svt_weak</t>
  </si>
  <si>
    <t>1.35_125_svt_strong</t>
  </si>
  <si>
    <t>1.35_125_svt_typ</t>
  </si>
  <si>
    <t>1.35_125_svt_weak</t>
  </si>
  <si>
    <t>1.375_125_svt_strong</t>
  </si>
  <si>
    <t>1.375_125_svt_typ</t>
  </si>
  <si>
    <t>1.375_125_svt_weak</t>
  </si>
  <si>
    <t>1.4_125_svt_strong</t>
  </si>
  <si>
    <t>1.4_125_svt_typ</t>
  </si>
  <si>
    <t>1.4_125_svt_weak</t>
  </si>
  <si>
    <t>0.9_140_svt_strong</t>
  </si>
  <si>
    <t>0.9_140_svt_typ</t>
  </si>
  <si>
    <t>0.9_140_svt_weak</t>
  </si>
  <si>
    <t>0.925_140_svt_strong</t>
  </si>
  <si>
    <t>0.925_140_svt_typ</t>
  </si>
  <si>
    <t>0.925_140_svt_weak</t>
  </si>
  <si>
    <t>0.95_140_svt_strong</t>
  </si>
  <si>
    <t>0.95_140_svt_typ</t>
  </si>
  <si>
    <t>0.95_140_svt_weak</t>
  </si>
  <si>
    <t>0.975_140_svt_strong</t>
  </si>
  <si>
    <t>0.975_140_svt_typ</t>
  </si>
  <si>
    <t>0.975_140_svt_weak</t>
  </si>
  <si>
    <t>1_140_svt_strong</t>
  </si>
  <si>
    <t>1_140_svt_typ</t>
  </si>
  <si>
    <t>1_140_svt_weak</t>
  </si>
  <si>
    <t>1.025_140_svt_strong</t>
  </si>
  <si>
    <t>1.025_140_svt_typ</t>
  </si>
  <si>
    <t>1.025_140_svt_weak</t>
  </si>
  <si>
    <t>1.05_140_svt_strong</t>
  </si>
  <si>
    <t>1.05_140_svt_typ</t>
  </si>
  <si>
    <t>1.05_140_svt_weak</t>
  </si>
  <si>
    <t>1.075_140_svt_strong</t>
  </si>
  <si>
    <t>1.075_140_svt_typ</t>
  </si>
  <si>
    <t>1.075_140_svt_weak</t>
  </si>
  <si>
    <t>1.1_140_svt_strong</t>
  </si>
  <si>
    <t>1.1_140_svt_typ</t>
  </si>
  <si>
    <t>1.1_140_svt_weak</t>
  </si>
  <si>
    <t>1.125_140_svt_strong</t>
  </si>
  <si>
    <t>1.125_140_svt_typ</t>
  </si>
  <si>
    <t>1.125_140_svt_weak</t>
  </si>
  <si>
    <t>1.15_140_svt_strong</t>
  </si>
  <si>
    <t>1.15_140_svt_typ</t>
  </si>
  <si>
    <t>1.15_140_svt_weak</t>
  </si>
  <si>
    <t>1.175_140_svt_strong</t>
  </si>
  <si>
    <t>1.175_140_svt_typ</t>
  </si>
  <si>
    <t>1.175_140_svt_weak</t>
  </si>
  <si>
    <t>1.2_140_svt_strong</t>
  </si>
  <si>
    <t>1.2_140_svt_typ</t>
  </si>
  <si>
    <t>1.2_140_svt_weak</t>
  </si>
  <si>
    <t>1.225_140_svt_strong</t>
  </si>
  <si>
    <t>1.225_140_svt_typ</t>
  </si>
  <si>
    <t>1.225_140_svt_weak</t>
  </si>
  <si>
    <t>1.25_140_svt_strong</t>
  </si>
  <si>
    <t>1.25_140_svt_typ</t>
  </si>
  <si>
    <t>1.25_140_svt_weak</t>
  </si>
  <si>
    <t>1.275_140_svt_strong</t>
  </si>
  <si>
    <t>1.275_140_svt_typ</t>
  </si>
  <si>
    <t>1.275_140_svt_weak</t>
  </si>
  <si>
    <t>1.3_140_svt_strong</t>
  </si>
  <si>
    <t>1.3_140_svt_typ</t>
  </si>
  <si>
    <t>1.3_140_svt_weak</t>
  </si>
  <si>
    <t>1.325_140_svt_strong</t>
  </si>
  <si>
    <t>1.325_140_svt_typ</t>
  </si>
  <si>
    <t>1.325_140_svt_weak</t>
  </si>
  <si>
    <t>1.35_140_svt_strong</t>
  </si>
  <si>
    <t>1.35_140_svt_typ</t>
  </si>
  <si>
    <t>1.35_140_svt_weak</t>
  </si>
  <si>
    <t>1.375_140_svt_strong</t>
  </si>
  <si>
    <t>1.375_140_svt_typ</t>
  </si>
  <si>
    <t>1.375_140_svt_weak</t>
  </si>
  <si>
    <t>1.4_140_svt_strong</t>
  </si>
  <si>
    <t>1.4_140_svt_typ</t>
  </si>
  <si>
    <t>1.4_140_svt_weak</t>
  </si>
  <si>
    <t>0.9_150_svt_strong</t>
  </si>
  <si>
    <t>0.9_150_svt_typ</t>
  </si>
  <si>
    <t>0.9_150_svt_weak</t>
  </si>
  <si>
    <t>0.925_150_svt_strong</t>
  </si>
  <si>
    <t>0.925_150_svt_typ</t>
  </si>
  <si>
    <t>0.925_150_svt_weak</t>
  </si>
  <si>
    <t>0.95_150_svt_strong</t>
  </si>
  <si>
    <t>0.95_150_svt_typ</t>
  </si>
  <si>
    <t>0.95_150_svt_weak</t>
  </si>
  <si>
    <t>0.975_150_svt_strong</t>
  </si>
  <si>
    <t>0.975_150_svt_typ</t>
  </si>
  <si>
    <t>0.975_150_svt_weak</t>
  </si>
  <si>
    <t>1_150_svt_strong</t>
  </si>
  <si>
    <t>1_150_svt_typ</t>
  </si>
  <si>
    <t>1_150_svt_weak</t>
  </si>
  <si>
    <t>1.025_150_svt_strong</t>
  </si>
  <si>
    <t>1.025_150_svt_typ</t>
  </si>
  <si>
    <t>1.025_150_svt_weak</t>
  </si>
  <si>
    <t>1.05_150_svt_strong</t>
  </si>
  <si>
    <t>1.05_150_svt_typ</t>
  </si>
  <si>
    <t>1.05_150_svt_weak</t>
  </si>
  <si>
    <t>1.075_150_svt_strong</t>
  </si>
  <si>
    <t>1.075_150_svt_typ</t>
  </si>
  <si>
    <t>1.075_150_svt_weak</t>
  </si>
  <si>
    <t>1.1_150_svt_strong</t>
  </si>
  <si>
    <t>1.1_150_svt_typ</t>
  </si>
  <si>
    <t>1.1_150_svt_weak</t>
  </si>
  <si>
    <t>1.125_150_svt_strong</t>
  </si>
  <si>
    <t>1.125_150_svt_typ</t>
  </si>
  <si>
    <t>1.125_150_svt_weak</t>
  </si>
  <si>
    <t>1.15_150_svt_strong</t>
  </si>
  <si>
    <t>1.15_150_svt_typ</t>
  </si>
  <si>
    <t>1.15_150_svt_weak</t>
  </si>
  <si>
    <t>1.175_150_svt_strong</t>
  </si>
  <si>
    <t>1.175_150_svt_typ</t>
  </si>
  <si>
    <t>1.175_150_svt_weak</t>
  </si>
  <si>
    <t>1.2_150_svt_strong</t>
  </si>
  <si>
    <t>1.2_150_svt_typ</t>
  </si>
  <si>
    <t>1.2_150_svt_weak</t>
  </si>
  <si>
    <t>1.225_150_svt_strong</t>
  </si>
  <si>
    <t>1.225_150_svt_typ</t>
  </si>
  <si>
    <t>1.225_150_svt_weak</t>
  </si>
  <si>
    <t>1.25_150_svt_strong</t>
  </si>
  <si>
    <t>1.25_150_svt_typ</t>
  </si>
  <si>
    <t>1.25_150_svt_weak</t>
  </si>
  <si>
    <t>1.275_150_svt_strong</t>
  </si>
  <si>
    <t>1.275_150_svt_typ</t>
  </si>
  <si>
    <t>1.275_150_svt_weak</t>
  </si>
  <si>
    <t>1.3_150_svt_strong</t>
  </si>
  <si>
    <t>1.3_150_svt_typ</t>
  </si>
  <si>
    <t>1.3_150_svt_weak</t>
  </si>
  <si>
    <t>1.325_150_svt_strong</t>
  </si>
  <si>
    <t>1.325_150_svt_typ</t>
  </si>
  <si>
    <t>1.325_150_svt_weak</t>
  </si>
  <si>
    <t>1.35_150_svt_strong</t>
  </si>
  <si>
    <t>1.35_150_svt_typ</t>
  </si>
  <si>
    <t>1.35_150_svt_weak</t>
  </si>
  <si>
    <t>1.375_150_svt_strong</t>
  </si>
  <si>
    <t>1.375_150_svt_typ</t>
  </si>
  <si>
    <t>1.375_150_svt_weak</t>
  </si>
  <si>
    <t>1.4_150_svt_strong</t>
  </si>
  <si>
    <t>1.4_150_svt_typ</t>
  </si>
  <si>
    <t>1.4_150_svt_weak</t>
  </si>
  <si>
    <t>0.9_-40_xlvt_strong</t>
  </si>
  <si>
    <t>0.9_-40_xlvt_typ</t>
  </si>
  <si>
    <t>0.9_-40_xlvt_weak</t>
  </si>
  <si>
    <t>0.925_-40_xlvt_strong</t>
  </si>
  <si>
    <t>0.925_-40_xlvt_typ</t>
  </si>
  <si>
    <t>0.925_-40_xlvt_weak</t>
  </si>
  <si>
    <t>0.95_-40_xlvt_strong</t>
  </si>
  <si>
    <t>0.95_-40_xlvt_typ</t>
  </si>
  <si>
    <t>0.95_-40_xlvt_weak</t>
  </si>
  <si>
    <t>0.975_-40_xlvt_strong</t>
  </si>
  <si>
    <t>0.975_-40_xlvt_typ</t>
  </si>
  <si>
    <t>0.975_-40_xlvt_weak</t>
  </si>
  <si>
    <t>1_-40_xlvt_strong</t>
  </si>
  <si>
    <t>1_-40_xlvt_typ</t>
  </si>
  <si>
    <t>1_-40_xlvt_weak</t>
  </si>
  <si>
    <t>1.025_-40_xlvt_strong</t>
  </si>
  <si>
    <t>1.025_-40_xlvt_typ</t>
  </si>
  <si>
    <t>1.025_-40_xlvt_weak</t>
  </si>
  <si>
    <t>1.05_-40_xlvt_strong</t>
  </si>
  <si>
    <t>1.05_-40_xlvt_typ</t>
  </si>
  <si>
    <t>1.05_-40_xlvt_weak</t>
  </si>
  <si>
    <t>1.075_-40_xlvt_strong</t>
  </si>
  <si>
    <t>1.075_-40_xlvt_typ</t>
  </si>
  <si>
    <t>1.075_-40_xlvt_weak</t>
  </si>
  <si>
    <t>1.1_-40_xlvt_strong</t>
  </si>
  <si>
    <t>1.1_-40_xlvt_typ</t>
  </si>
  <si>
    <t>1.1_-40_xlvt_weak</t>
  </si>
  <si>
    <t>1.125_-40_xlvt_strong</t>
  </si>
  <si>
    <t>1.125_-40_xlvt_typ</t>
  </si>
  <si>
    <t>1.125_-40_xlvt_weak</t>
  </si>
  <si>
    <t>1.15_-40_xlvt_strong</t>
  </si>
  <si>
    <t>1.15_-40_xlvt_typ</t>
  </si>
  <si>
    <t>1.15_-40_xlvt_weak</t>
  </si>
  <si>
    <t>1.175_-40_xlvt_strong</t>
  </si>
  <si>
    <t>1.175_-40_xlvt_typ</t>
  </si>
  <si>
    <t>1.175_-40_xlvt_weak</t>
  </si>
  <si>
    <t>1.2_-40_xlvt_strong</t>
  </si>
  <si>
    <t>1.2_-40_xlvt_typ</t>
  </si>
  <si>
    <t>1.2_-40_xlvt_weak</t>
  </si>
  <si>
    <t>1.225_-40_xlvt_strong</t>
  </si>
  <si>
    <t>1.225_-40_xlvt_typ</t>
  </si>
  <si>
    <t>1.225_-40_xlvt_weak</t>
  </si>
  <si>
    <t>1.25_-40_xlvt_strong</t>
  </si>
  <si>
    <t>1.25_-40_xlvt_typ</t>
  </si>
  <si>
    <t>1.25_-40_xlvt_weak</t>
  </si>
  <si>
    <t>1.275_-40_xlvt_strong</t>
  </si>
  <si>
    <t>1.275_-40_xlvt_typ</t>
  </si>
  <si>
    <t>1.275_-40_xlvt_weak</t>
  </si>
  <si>
    <t>1.3_-40_xlvt_strong</t>
  </si>
  <si>
    <t>1.3_-40_xlvt_typ</t>
  </si>
  <si>
    <t>1.3_-40_xlvt_weak</t>
  </si>
  <si>
    <t>1.325_-40_xlvt_strong</t>
  </si>
  <si>
    <t>1.325_-40_xlvt_typ</t>
  </si>
  <si>
    <t>1.325_-40_xlvt_weak</t>
  </si>
  <si>
    <t>1.35_-40_xlvt_strong</t>
  </si>
  <si>
    <t>1.35_-40_xlvt_typ</t>
  </si>
  <si>
    <t>1.35_-40_xlvt_weak</t>
  </si>
  <si>
    <t>1.375_-40_xlvt_strong</t>
  </si>
  <si>
    <t>1.375_-40_xlvt_typ</t>
  </si>
  <si>
    <t>1.375_-40_xlvt_weak</t>
  </si>
  <si>
    <t>1.4_-40_xlvt_strong</t>
  </si>
  <si>
    <t>1.4_-40_xlvt_typ</t>
  </si>
  <si>
    <t>1.4_-40_xlvt_weak</t>
  </si>
  <si>
    <t>0.9_-20_xlvt_strong</t>
  </si>
  <si>
    <t>0.9_-20_xlvt_typ</t>
  </si>
  <si>
    <t>0.9_-20_xlvt_weak</t>
  </si>
  <si>
    <t>0.925_-20_xlvt_strong</t>
  </si>
  <si>
    <t>0.925_-20_xlvt_typ</t>
  </si>
  <si>
    <t>0.925_-20_xlvt_weak</t>
  </si>
  <si>
    <t>0.95_-20_xlvt_strong</t>
  </si>
  <si>
    <t>0.95_-20_xlvt_typ</t>
  </si>
  <si>
    <t>0.95_-20_xlvt_weak</t>
  </si>
  <si>
    <t>0.975_-20_xlvt_strong</t>
  </si>
  <si>
    <t>0.975_-20_xlvt_typ</t>
  </si>
  <si>
    <t>0.975_-20_xlvt_weak</t>
  </si>
  <si>
    <t>1_-20_xlvt_strong</t>
  </si>
  <si>
    <t>1_-20_xlvt_typ</t>
  </si>
  <si>
    <t>1_-20_xlvt_weak</t>
  </si>
  <si>
    <t>1.025_-20_xlvt_strong</t>
  </si>
  <si>
    <t>1.025_-20_xlvt_typ</t>
  </si>
  <si>
    <t>1.025_-20_xlvt_weak</t>
  </si>
  <si>
    <t>1.05_-20_xlvt_strong</t>
  </si>
  <si>
    <t>1.05_-20_xlvt_typ</t>
  </si>
  <si>
    <t>1.05_-20_xlvt_weak</t>
  </si>
  <si>
    <t>1.075_-20_xlvt_strong</t>
  </si>
  <si>
    <t>1.075_-20_xlvt_typ</t>
  </si>
  <si>
    <t>1.075_-20_xlvt_weak</t>
  </si>
  <si>
    <t>1.1_-20_xlvt_strong</t>
  </si>
  <si>
    <t>1.1_-20_xlvt_typ</t>
  </si>
  <si>
    <t>1.1_-20_xlvt_weak</t>
  </si>
  <si>
    <t>1.125_-20_xlvt_strong</t>
  </si>
  <si>
    <t>1.125_-20_xlvt_typ</t>
  </si>
  <si>
    <t>1.125_-20_xlvt_weak</t>
  </si>
  <si>
    <t>1.15_-20_xlvt_strong</t>
  </si>
  <si>
    <t>1.15_-20_xlvt_typ</t>
  </si>
  <si>
    <t>1.15_-20_xlvt_weak</t>
  </si>
  <si>
    <t>1.175_-20_xlvt_strong</t>
  </si>
  <si>
    <t>1.175_-20_xlvt_typ</t>
  </si>
  <si>
    <t>1.175_-20_xlvt_weak</t>
  </si>
  <si>
    <t>1.2_-20_xlvt_strong</t>
  </si>
  <si>
    <t>1.2_-20_xlvt_typ</t>
  </si>
  <si>
    <t>1.2_-20_xlvt_weak</t>
  </si>
  <si>
    <t>1.225_-20_xlvt_strong</t>
  </si>
  <si>
    <t>1.225_-20_xlvt_typ</t>
  </si>
  <si>
    <t>1.225_-20_xlvt_weak</t>
  </si>
  <si>
    <t>1.25_-20_xlvt_strong</t>
  </si>
  <si>
    <t>1.25_-20_xlvt_typ</t>
  </si>
  <si>
    <t>1.25_-20_xlvt_weak</t>
  </si>
  <si>
    <t>1.275_-20_xlvt_strong</t>
  </si>
  <si>
    <t>1.275_-20_xlvt_typ</t>
  </si>
  <si>
    <t>1.275_-20_xlvt_weak</t>
  </si>
  <si>
    <t>1.3_-20_xlvt_strong</t>
  </si>
  <si>
    <t>1.3_-20_xlvt_typ</t>
  </si>
  <si>
    <t>1.3_-20_xlvt_weak</t>
  </si>
  <si>
    <t>1.325_-20_xlvt_strong</t>
  </si>
  <si>
    <t>1.325_-20_xlvt_typ</t>
  </si>
  <si>
    <t>1.325_-20_xlvt_weak</t>
  </si>
  <si>
    <t>1.35_-20_xlvt_strong</t>
  </si>
  <si>
    <t>1.35_-20_xlvt_typ</t>
  </si>
  <si>
    <t>1.35_-20_xlvt_weak</t>
  </si>
  <si>
    <t>1.375_-20_xlvt_strong</t>
  </si>
  <si>
    <t>1.375_-20_xlvt_typ</t>
  </si>
  <si>
    <t>1.375_-20_xlvt_weak</t>
  </si>
  <si>
    <t>1.4_-20_xlvt_strong</t>
  </si>
  <si>
    <t>1.4_-20_xlvt_typ</t>
  </si>
  <si>
    <t>1.4_-20_xlvt_weak</t>
  </si>
  <si>
    <t>0.9_0_xlvt_strong</t>
  </si>
  <si>
    <t>0.9_0_xlvt_typ</t>
  </si>
  <si>
    <t>0.9_0_xlvt_weak</t>
  </si>
  <si>
    <t>0.925_0_xlvt_strong</t>
  </si>
  <si>
    <t>0.925_0_xlvt_typ</t>
  </si>
  <si>
    <t>0.925_0_xlvt_weak</t>
  </si>
  <si>
    <t>0.95_0_xlvt_strong</t>
  </si>
  <si>
    <t>0.95_0_xlvt_typ</t>
  </si>
  <si>
    <t>0.95_0_xlvt_weak</t>
  </si>
  <si>
    <t>0.975_0_xlvt_strong</t>
  </si>
  <si>
    <t>0.975_0_xlvt_typ</t>
  </si>
  <si>
    <t>0.975_0_xlvt_weak</t>
  </si>
  <si>
    <t>1_0_xlvt_strong</t>
  </si>
  <si>
    <t>1_0_xlvt_typ</t>
  </si>
  <si>
    <t>1_0_xlvt_weak</t>
  </si>
  <si>
    <t>1.025_0_xlvt_strong</t>
  </si>
  <si>
    <t>1.025_0_xlvt_typ</t>
  </si>
  <si>
    <t>1.025_0_xlvt_weak</t>
  </si>
  <si>
    <t>1.05_0_xlvt_strong</t>
  </si>
  <si>
    <t>1.05_0_xlvt_typ</t>
  </si>
  <si>
    <t>1.05_0_xlvt_weak</t>
  </si>
  <si>
    <t>1.075_0_xlvt_strong</t>
  </si>
  <si>
    <t>1.075_0_xlvt_typ</t>
  </si>
  <si>
    <t>1.075_0_xlvt_weak</t>
  </si>
  <si>
    <t>1.1_0_xlvt_strong</t>
  </si>
  <si>
    <t>1.1_0_xlvt_typ</t>
  </si>
  <si>
    <t>1.1_0_xlvt_weak</t>
  </si>
  <si>
    <t>1.125_0_xlvt_strong</t>
  </si>
  <si>
    <t>1.125_0_xlvt_typ</t>
  </si>
  <si>
    <t>1.125_0_xlvt_weak</t>
  </si>
  <si>
    <t>1.15_0_xlvt_strong</t>
  </si>
  <si>
    <t>1.15_0_xlvt_typ</t>
  </si>
  <si>
    <t>1.15_0_xlvt_weak</t>
  </si>
  <si>
    <t>1.175_0_xlvt_strong</t>
  </si>
  <si>
    <t>1.175_0_xlvt_typ</t>
  </si>
  <si>
    <t>1.175_0_xlvt_weak</t>
  </si>
  <si>
    <t>1.2_0_xlvt_strong</t>
  </si>
  <si>
    <t>1.2_0_xlvt_typ</t>
  </si>
  <si>
    <t>1.2_0_xlvt_weak</t>
  </si>
  <si>
    <t>1.225_0_xlvt_strong</t>
  </si>
  <si>
    <t>1.225_0_xlvt_typ</t>
  </si>
  <si>
    <t>1.225_0_xlvt_weak</t>
  </si>
  <si>
    <t>1.25_0_xlvt_strong</t>
  </si>
  <si>
    <t>1.25_0_xlvt_typ</t>
  </si>
  <si>
    <t>1.25_0_xlvt_weak</t>
  </si>
  <si>
    <t>1.275_0_xlvt_strong</t>
  </si>
  <si>
    <t>1.275_0_xlvt_typ</t>
  </si>
  <si>
    <t>1.275_0_xlvt_weak</t>
  </si>
  <si>
    <t>1.3_0_xlvt_strong</t>
  </si>
  <si>
    <t>1.3_0_xlvt_typ</t>
  </si>
  <si>
    <t>1.3_0_xlvt_weak</t>
  </si>
  <si>
    <t>1.325_0_xlvt_strong</t>
  </si>
  <si>
    <t>1.325_0_xlvt_typ</t>
  </si>
  <si>
    <t>1.325_0_xlvt_weak</t>
  </si>
  <si>
    <t>1.35_0_xlvt_strong</t>
  </si>
  <si>
    <t>1.35_0_xlvt_typ</t>
  </si>
  <si>
    <t>1.35_0_xlvt_weak</t>
  </si>
  <si>
    <t>1.375_0_xlvt_strong</t>
  </si>
  <si>
    <t>1.375_0_xlvt_typ</t>
  </si>
  <si>
    <t>1.375_0_xlvt_weak</t>
  </si>
  <si>
    <t>1.4_0_xlvt_strong</t>
  </si>
  <si>
    <t>1.4_0_xlvt_typ</t>
  </si>
  <si>
    <t>1.4_0_xlvt_weak</t>
  </si>
  <si>
    <t>0.9_25_xlvt_strong</t>
  </si>
  <si>
    <t>0.9_25_xlvt_typ</t>
  </si>
  <si>
    <t>0.9_25_xlvt_weak</t>
  </si>
  <si>
    <t>0.925_25_xlvt_strong</t>
  </si>
  <si>
    <t>0.925_25_xlvt_typ</t>
  </si>
  <si>
    <t>0.925_25_xlvt_weak</t>
  </si>
  <si>
    <t>0.95_25_xlvt_strong</t>
  </si>
  <si>
    <t>0.95_25_xlvt_typ</t>
  </si>
  <si>
    <t>0.95_25_xlvt_weak</t>
  </si>
  <si>
    <t>0.975_25_xlvt_strong</t>
  </si>
  <si>
    <t>0.975_25_xlvt_typ</t>
  </si>
  <si>
    <t>0.975_25_xlvt_weak</t>
  </si>
  <si>
    <t>1_25_xlvt_strong</t>
  </si>
  <si>
    <t>1_25_xlvt_typ</t>
  </si>
  <si>
    <t>1_25_xlvt_weak</t>
  </si>
  <si>
    <t>1.025_25_xlvt_strong</t>
  </si>
  <si>
    <t>1.025_25_xlvt_typ</t>
  </si>
  <si>
    <t>1.025_25_xlvt_weak</t>
  </si>
  <si>
    <t>1.05_25_xlvt_strong</t>
  </si>
  <si>
    <t>1.05_25_xlvt_typ</t>
  </si>
  <si>
    <t>1.05_25_xlvt_weak</t>
  </si>
  <si>
    <t>1.075_25_xlvt_strong</t>
  </si>
  <si>
    <t>1.075_25_xlvt_typ</t>
  </si>
  <si>
    <t>1.075_25_xlvt_weak</t>
  </si>
  <si>
    <t>1.1_25_xlvt_strong</t>
  </si>
  <si>
    <t>1.1_25_xlvt_typ</t>
  </si>
  <si>
    <t>1.1_25_xlvt_weak</t>
  </si>
  <si>
    <t>1.125_25_xlvt_strong</t>
  </si>
  <si>
    <t>1.125_25_xlvt_typ</t>
  </si>
  <si>
    <t>1.125_25_xlvt_weak</t>
  </si>
  <si>
    <t>1.15_25_xlvt_strong</t>
  </si>
  <si>
    <t>1.15_25_xlvt_typ</t>
  </si>
  <si>
    <t>1.15_25_xlvt_weak</t>
  </si>
  <si>
    <t>1.175_25_xlvt_strong</t>
  </si>
  <si>
    <t>1.175_25_xlvt_typ</t>
  </si>
  <si>
    <t>1.175_25_xlvt_weak</t>
  </si>
  <si>
    <t>1.2_25_xlvt_strong</t>
  </si>
  <si>
    <t>1.2_25_xlvt_typ</t>
  </si>
  <si>
    <t>1.2_25_xlvt_weak</t>
  </si>
  <si>
    <t>1.225_25_xlvt_strong</t>
  </si>
  <si>
    <t>1.225_25_xlvt_typ</t>
  </si>
  <si>
    <t>1.225_25_xlvt_weak</t>
  </si>
  <si>
    <t>1.25_25_xlvt_strong</t>
  </si>
  <si>
    <t>1.25_25_xlvt_typ</t>
  </si>
  <si>
    <t>1.25_25_xlvt_weak</t>
  </si>
  <si>
    <t>1.275_25_xlvt_strong</t>
  </si>
  <si>
    <t>1.275_25_xlvt_typ</t>
  </si>
  <si>
    <t>1.275_25_xlvt_weak</t>
  </si>
  <si>
    <t>1.3_25_xlvt_strong</t>
  </si>
  <si>
    <t>1.3_25_xlvt_typ</t>
  </si>
  <si>
    <t>1.3_25_xlvt_weak</t>
  </si>
  <si>
    <t>1.325_25_xlvt_strong</t>
  </si>
  <si>
    <t>1.325_25_xlvt_typ</t>
  </si>
  <si>
    <t>1.325_25_xlvt_weak</t>
  </si>
  <si>
    <t>1.35_25_xlvt_strong</t>
  </si>
  <si>
    <t>1.35_25_xlvt_typ</t>
  </si>
  <si>
    <t>1.35_25_xlvt_weak</t>
  </si>
  <si>
    <t>1.375_25_xlvt_strong</t>
  </si>
  <si>
    <t>1.375_25_xlvt_typ</t>
  </si>
  <si>
    <t>1.375_25_xlvt_weak</t>
  </si>
  <si>
    <t>1.4_25_xlvt_strong</t>
  </si>
  <si>
    <t>1.4_25_xlvt_typ</t>
  </si>
  <si>
    <t>1.4_25_xlvt_weak</t>
  </si>
  <si>
    <t>0.9_50_xlvt_strong</t>
  </si>
  <si>
    <t>0.9_50_xlvt_typ</t>
  </si>
  <si>
    <t>0.9_50_xlvt_weak</t>
  </si>
  <si>
    <t>0.925_50_xlvt_strong</t>
  </si>
  <si>
    <t>0.925_50_xlvt_typ</t>
  </si>
  <si>
    <t>0.925_50_xlvt_weak</t>
  </si>
  <si>
    <t>0.95_50_xlvt_strong</t>
  </si>
  <si>
    <t>0.95_50_xlvt_typ</t>
  </si>
  <si>
    <t>0.95_50_xlvt_weak</t>
  </si>
  <si>
    <t>0.975_50_xlvt_strong</t>
  </si>
  <si>
    <t>0.975_50_xlvt_typ</t>
  </si>
  <si>
    <t>0.975_50_xlvt_weak</t>
  </si>
  <si>
    <t>1_50_xlvt_strong</t>
  </si>
  <si>
    <t>1_50_xlvt_typ</t>
  </si>
  <si>
    <t>1_50_xlvt_weak</t>
  </si>
  <si>
    <t>1.025_50_xlvt_strong</t>
  </si>
  <si>
    <t>1.025_50_xlvt_typ</t>
  </si>
  <si>
    <t>1.025_50_xlvt_weak</t>
  </si>
  <si>
    <t>1.05_50_xlvt_strong</t>
  </si>
  <si>
    <t>1.05_50_xlvt_typ</t>
  </si>
  <si>
    <t>1.05_50_xlvt_weak</t>
  </si>
  <si>
    <t>1.075_50_xlvt_strong</t>
  </si>
  <si>
    <t>1.075_50_xlvt_typ</t>
  </si>
  <si>
    <t>1.075_50_xlvt_weak</t>
  </si>
  <si>
    <t>1.1_50_xlvt_strong</t>
  </si>
  <si>
    <t>1.1_50_xlvt_typ</t>
  </si>
  <si>
    <t>1.1_50_xlvt_weak</t>
  </si>
  <si>
    <t>1.125_50_xlvt_strong</t>
  </si>
  <si>
    <t>1.125_50_xlvt_typ</t>
  </si>
  <si>
    <t>1.125_50_xlvt_weak</t>
  </si>
  <si>
    <t>1.15_50_xlvt_strong</t>
  </si>
  <si>
    <t>1.15_50_xlvt_typ</t>
  </si>
  <si>
    <t>1.15_50_xlvt_weak</t>
  </si>
  <si>
    <t>1.175_50_xlvt_strong</t>
  </si>
  <si>
    <t>1.175_50_xlvt_typ</t>
  </si>
  <si>
    <t>1.175_50_xlvt_weak</t>
  </si>
  <si>
    <t>1.2_50_xlvt_strong</t>
  </si>
  <si>
    <t>1.2_50_xlvt_typ</t>
  </si>
  <si>
    <t>1.2_50_xlvt_weak</t>
  </si>
  <si>
    <t>1.225_50_xlvt_strong</t>
  </si>
  <si>
    <t>1.225_50_xlvt_typ</t>
  </si>
  <si>
    <t>1.225_50_xlvt_weak</t>
  </si>
  <si>
    <t>1.25_50_xlvt_strong</t>
  </si>
  <si>
    <t>1.25_50_xlvt_typ</t>
  </si>
  <si>
    <t>1.25_50_xlvt_weak</t>
  </si>
  <si>
    <t>1.275_50_xlvt_strong</t>
  </si>
  <si>
    <t>1.275_50_xlvt_typ</t>
  </si>
  <si>
    <t>1.275_50_xlvt_weak</t>
  </si>
  <si>
    <t>1.3_50_xlvt_strong</t>
  </si>
  <si>
    <t>1.3_50_xlvt_typ</t>
  </si>
  <si>
    <t>1.3_50_xlvt_weak</t>
  </si>
  <si>
    <t>1.325_50_xlvt_strong</t>
  </si>
  <si>
    <t>1.325_50_xlvt_typ</t>
  </si>
  <si>
    <t>1.325_50_xlvt_weak</t>
  </si>
  <si>
    <t>1.35_50_xlvt_strong</t>
  </si>
  <si>
    <t>1.35_50_xlvt_typ</t>
  </si>
  <si>
    <t>1.35_50_xlvt_weak</t>
  </si>
  <si>
    <t>1.375_50_xlvt_strong</t>
  </si>
  <si>
    <t>1.375_50_xlvt_typ</t>
  </si>
  <si>
    <t>1.375_50_xlvt_weak</t>
  </si>
  <si>
    <t>1.4_50_xlvt_strong</t>
  </si>
  <si>
    <t>1.4_50_xlvt_typ</t>
  </si>
  <si>
    <t>1.4_50_xlvt_weak</t>
  </si>
  <si>
    <t>0.9_75_xlvt_strong</t>
  </si>
  <si>
    <t>0.9_75_xlvt_typ</t>
  </si>
  <si>
    <t>0.9_75_xlvt_weak</t>
  </si>
  <si>
    <t>0.925_75_xlvt_strong</t>
  </si>
  <si>
    <t>0.925_75_xlvt_typ</t>
  </si>
  <si>
    <t>0.925_75_xlvt_weak</t>
  </si>
  <si>
    <t>0.95_75_xlvt_strong</t>
  </si>
  <si>
    <t>0.95_75_xlvt_typ</t>
  </si>
  <si>
    <t>0.95_75_xlvt_weak</t>
  </si>
  <si>
    <t>0.975_75_xlvt_strong</t>
  </si>
  <si>
    <t>0.975_75_xlvt_typ</t>
  </si>
  <si>
    <t>0.975_75_xlvt_weak</t>
  </si>
  <si>
    <t>1_75_xlvt_strong</t>
  </si>
  <si>
    <t>1_75_xlvt_typ</t>
  </si>
  <si>
    <t>1_75_xlvt_weak</t>
  </si>
  <si>
    <t>1.025_75_xlvt_strong</t>
  </si>
  <si>
    <t>1.025_75_xlvt_typ</t>
  </si>
  <si>
    <t>1.025_75_xlvt_weak</t>
  </si>
  <si>
    <t>1.05_75_xlvt_strong</t>
  </si>
  <si>
    <t>1.05_75_xlvt_typ</t>
  </si>
  <si>
    <t>1.05_75_xlvt_weak</t>
  </si>
  <si>
    <t>1.075_75_xlvt_strong</t>
  </si>
  <si>
    <t>1.075_75_xlvt_typ</t>
  </si>
  <si>
    <t>1.075_75_xlvt_weak</t>
  </si>
  <si>
    <t>1.1_75_xlvt_strong</t>
  </si>
  <si>
    <t>1.1_75_xlvt_typ</t>
  </si>
  <si>
    <t>1.1_75_xlvt_weak</t>
  </si>
  <si>
    <t>1.125_75_xlvt_strong</t>
  </si>
  <si>
    <t>1.125_75_xlvt_typ</t>
  </si>
  <si>
    <t>1.125_75_xlvt_weak</t>
  </si>
  <si>
    <t>1.15_75_xlvt_strong</t>
  </si>
  <si>
    <t>1.15_75_xlvt_typ</t>
  </si>
  <si>
    <t>1.15_75_xlvt_weak</t>
  </si>
  <si>
    <t>1.175_75_xlvt_strong</t>
  </si>
  <si>
    <t>1.175_75_xlvt_typ</t>
  </si>
  <si>
    <t>1.175_75_xlvt_weak</t>
  </si>
  <si>
    <t>1.2_75_xlvt_strong</t>
  </si>
  <si>
    <t>1.2_75_xlvt_typ</t>
  </si>
  <si>
    <t>1.2_75_xlvt_weak</t>
  </si>
  <si>
    <t>1.225_75_xlvt_strong</t>
  </si>
  <si>
    <t>1.225_75_xlvt_typ</t>
  </si>
  <si>
    <t>1.225_75_xlvt_weak</t>
  </si>
  <si>
    <t>1.25_75_xlvt_strong</t>
  </si>
  <si>
    <t>1.25_75_xlvt_typ</t>
  </si>
  <si>
    <t>1.25_75_xlvt_weak</t>
  </si>
  <si>
    <t>1.275_75_xlvt_strong</t>
  </si>
  <si>
    <t>1.275_75_xlvt_typ</t>
  </si>
  <si>
    <t>1.275_75_xlvt_weak</t>
  </si>
  <si>
    <t>1.3_75_xlvt_strong</t>
  </si>
  <si>
    <t>1.3_75_xlvt_typ</t>
  </si>
  <si>
    <t>1.3_75_xlvt_weak</t>
  </si>
  <si>
    <t>1.325_75_xlvt_strong</t>
  </si>
  <si>
    <t>1.325_75_xlvt_typ</t>
  </si>
  <si>
    <t>1.325_75_xlvt_weak</t>
  </si>
  <si>
    <t>1.35_75_xlvt_strong</t>
  </si>
  <si>
    <t>1.35_75_xlvt_typ</t>
  </si>
  <si>
    <t>1.35_75_xlvt_weak</t>
  </si>
  <si>
    <t>1.375_75_xlvt_strong</t>
  </si>
  <si>
    <t>1.375_75_xlvt_typ</t>
  </si>
  <si>
    <t>1.375_75_xlvt_weak</t>
  </si>
  <si>
    <t>1.4_75_xlvt_strong</t>
  </si>
  <si>
    <t>1.4_75_xlvt_typ</t>
  </si>
  <si>
    <t>1.4_75_xlvt_weak</t>
  </si>
  <si>
    <t>0.9_85_xlvt_strong</t>
  </si>
  <si>
    <t>0.9_85_xlvt_typ</t>
  </si>
  <si>
    <t>0.9_85_xlvt_weak</t>
  </si>
  <si>
    <t>0.925_85_xlvt_strong</t>
  </si>
  <si>
    <t>0.925_85_xlvt_typ</t>
  </si>
  <si>
    <t>0.925_85_xlvt_weak</t>
  </si>
  <si>
    <t>0.95_85_xlvt_strong</t>
  </si>
  <si>
    <t>0.95_85_xlvt_typ</t>
  </si>
  <si>
    <t>0.95_85_xlvt_weak</t>
  </si>
  <si>
    <t>0.975_85_xlvt_strong</t>
  </si>
  <si>
    <t>0.975_85_xlvt_typ</t>
  </si>
  <si>
    <t>0.975_85_xlvt_weak</t>
  </si>
  <si>
    <t>1_85_xlvt_strong</t>
  </si>
  <si>
    <t>1_85_xlvt_typ</t>
  </si>
  <si>
    <t>1_85_xlvt_weak</t>
  </si>
  <si>
    <t>1.025_85_xlvt_strong</t>
  </si>
  <si>
    <t>1.025_85_xlvt_typ</t>
  </si>
  <si>
    <t>1.025_85_xlvt_weak</t>
  </si>
  <si>
    <t>1.05_85_xlvt_strong</t>
  </si>
  <si>
    <t>1.05_85_xlvt_typ</t>
  </si>
  <si>
    <t>1.05_85_xlvt_weak</t>
  </si>
  <si>
    <t>1.075_85_xlvt_strong</t>
  </si>
  <si>
    <t>1.075_85_xlvt_typ</t>
  </si>
  <si>
    <t>1.075_85_xlvt_weak</t>
  </si>
  <si>
    <t>1.1_85_xlvt_strong</t>
  </si>
  <si>
    <t>1.1_85_xlvt_typ</t>
  </si>
  <si>
    <t>1.1_85_xlvt_weak</t>
  </si>
  <si>
    <t>1.125_85_xlvt_strong</t>
  </si>
  <si>
    <t>1.125_85_xlvt_typ</t>
  </si>
  <si>
    <t>1.125_85_xlvt_weak</t>
  </si>
  <si>
    <t>1.15_85_xlvt_strong</t>
  </si>
  <si>
    <t>1.15_85_xlvt_typ</t>
  </si>
  <si>
    <t>1.15_85_xlvt_weak</t>
  </si>
  <si>
    <t>1.175_85_xlvt_strong</t>
  </si>
  <si>
    <t>1.175_85_xlvt_typ</t>
  </si>
  <si>
    <t>1.175_85_xlvt_weak</t>
  </si>
  <si>
    <t>1.2_85_xlvt_strong</t>
  </si>
  <si>
    <t>1.2_85_xlvt_typ</t>
  </si>
  <si>
    <t>1.2_85_xlvt_weak</t>
  </si>
  <si>
    <t>1.225_85_xlvt_strong</t>
  </si>
  <si>
    <t>1.225_85_xlvt_typ</t>
  </si>
  <si>
    <t>1.225_85_xlvt_weak</t>
  </si>
  <si>
    <t>1.25_85_xlvt_strong</t>
  </si>
  <si>
    <t>1.25_85_xlvt_typ</t>
  </si>
  <si>
    <t>1.25_85_xlvt_weak</t>
  </si>
  <si>
    <t>1.275_85_xlvt_strong</t>
  </si>
  <si>
    <t>1.275_85_xlvt_typ</t>
  </si>
  <si>
    <t>1.275_85_xlvt_weak</t>
  </si>
  <si>
    <t>1.3_85_xlvt_strong</t>
  </si>
  <si>
    <t>1.3_85_xlvt_typ</t>
  </si>
  <si>
    <t>1.3_85_xlvt_weak</t>
  </si>
  <si>
    <t>1.325_85_xlvt_strong</t>
  </si>
  <si>
    <t>1.325_85_xlvt_typ</t>
  </si>
  <si>
    <t>1.325_85_xlvt_weak</t>
  </si>
  <si>
    <t>1.35_85_xlvt_strong</t>
  </si>
  <si>
    <t>1.35_85_xlvt_typ</t>
  </si>
  <si>
    <t>1.35_85_xlvt_weak</t>
  </si>
  <si>
    <t>1.375_85_xlvt_strong</t>
  </si>
  <si>
    <t>1.375_85_xlvt_typ</t>
  </si>
  <si>
    <t>1.375_85_xlvt_weak</t>
  </si>
  <si>
    <t>1.4_85_xlvt_strong</t>
  </si>
  <si>
    <t>1.4_85_xlvt_typ</t>
  </si>
  <si>
    <t>1.4_85_xlvt_weak</t>
  </si>
  <si>
    <t>0.9_100_xlvt_strong</t>
  </si>
  <si>
    <t>0.9_100_xlvt_typ</t>
  </si>
  <si>
    <t>0.9_100_xlvt_weak</t>
  </si>
  <si>
    <t>0.925_100_xlvt_strong</t>
  </si>
  <si>
    <t>0.925_100_xlvt_typ</t>
  </si>
  <si>
    <t>0.925_100_xlvt_weak</t>
  </si>
  <si>
    <t>0.95_100_xlvt_strong</t>
  </si>
  <si>
    <t>0.95_100_xlvt_typ</t>
  </si>
  <si>
    <t>0.95_100_xlvt_weak</t>
  </si>
  <si>
    <t>0.975_100_xlvt_strong</t>
  </si>
  <si>
    <t>0.975_100_xlvt_typ</t>
  </si>
  <si>
    <t>0.975_100_xlvt_weak</t>
  </si>
  <si>
    <t>1_100_xlvt_strong</t>
  </si>
  <si>
    <t>1_100_xlvt_typ</t>
  </si>
  <si>
    <t>1_100_xlvt_weak</t>
  </si>
  <si>
    <t>1.025_100_xlvt_strong</t>
  </si>
  <si>
    <t>1.025_100_xlvt_typ</t>
  </si>
  <si>
    <t>1.025_100_xlvt_weak</t>
  </si>
  <si>
    <t>1.05_100_xlvt_strong</t>
  </si>
  <si>
    <t>1.05_100_xlvt_typ</t>
  </si>
  <si>
    <t>1.05_100_xlvt_weak</t>
  </si>
  <si>
    <t>1.075_100_xlvt_strong</t>
  </si>
  <si>
    <t>1.075_100_xlvt_typ</t>
  </si>
  <si>
    <t>1.075_100_xlvt_weak</t>
  </si>
  <si>
    <t>1.1_100_xlvt_strong</t>
  </si>
  <si>
    <t>1.1_100_xlvt_typ</t>
  </si>
  <si>
    <t>1.1_100_xlvt_weak</t>
  </si>
  <si>
    <t>1.125_100_xlvt_strong</t>
  </si>
  <si>
    <t>1.125_100_xlvt_typ</t>
  </si>
  <si>
    <t>1.125_100_xlvt_weak</t>
  </si>
  <si>
    <t>1.15_100_xlvt_strong</t>
  </si>
  <si>
    <t>1.15_100_xlvt_typ</t>
  </si>
  <si>
    <t>1.15_100_xlvt_weak</t>
  </si>
  <si>
    <t>1.175_100_xlvt_strong</t>
  </si>
  <si>
    <t>1.175_100_xlvt_typ</t>
  </si>
  <si>
    <t>1.175_100_xlvt_weak</t>
  </si>
  <si>
    <t>1.2_100_xlvt_strong</t>
  </si>
  <si>
    <t>1.2_100_xlvt_typ</t>
  </si>
  <si>
    <t>1.2_100_xlvt_weak</t>
  </si>
  <si>
    <t>1.225_100_xlvt_strong</t>
  </si>
  <si>
    <t>1.225_100_xlvt_typ</t>
  </si>
  <si>
    <t>1.225_100_xlvt_weak</t>
  </si>
  <si>
    <t>1.25_100_xlvt_strong</t>
  </si>
  <si>
    <t>1.25_100_xlvt_typ</t>
  </si>
  <si>
    <t>1.25_100_xlvt_weak</t>
  </si>
  <si>
    <t>1.275_100_xlvt_strong</t>
  </si>
  <si>
    <t>1.275_100_xlvt_typ</t>
  </si>
  <si>
    <t>1.275_100_xlvt_weak</t>
  </si>
  <si>
    <t>1.3_100_xlvt_strong</t>
  </si>
  <si>
    <t>1.3_100_xlvt_typ</t>
  </si>
  <si>
    <t>1.3_100_xlvt_weak</t>
  </si>
  <si>
    <t>1.325_100_xlvt_strong</t>
  </si>
  <si>
    <t>1.325_100_xlvt_typ</t>
  </si>
  <si>
    <t>1.325_100_xlvt_weak</t>
  </si>
  <si>
    <t>1.35_100_xlvt_strong</t>
  </si>
  <si>
    <t>1.35_100_xlvt_typ</t>
  </si>
  <si>
    <t>1.35_100_xlvt_weak</t>
  </si>
  <si>
    <t>1.375_100_xlvt_strong</t>
  </si>
  <si>
    <t>1.375_100_xlvt_typ</t>
  </si>
  <si>
    <t>1.375_100_xlvt_weak</t>
  </si>
  <si>
    <t>1.4_100_xlvt_strong</t>
  </si>
  <si>
    <t>1.4_100_xlvt_typ</t>
  </si>
  <si>
    <t>1.4_100_xlvt_weak</t>
  </si>
  <si>
    <t>0.9_105_xlvt_strong</t>
  </si>
  <si>
    <t>0.9_105_xlvt_typ</t>
  </si>
  <si>
    <t>0.9_105_xlvt_weak</t>
  </si>
  <si>
    <t>0.925_105_xlvt_strong</t>
  </si>
  <si>
    <t>0.925_105_xlvt_typ</t>
  </si>
  <si>
    <t>0.925_105_xlvt_weak</t>
  </si>
  <si>
    <t>0.95_105_xlvt_strong</t>
  </si>
  <si>
    <t>0.95_105_xlvt_typ</t>
  </si>
  <si>
    <t>0.95_105_xlvt_weak</t>
  </si>
  <si>
    <t>0.975_105_xlvt_strong</t>
  </si>
  <si>
    <t>0.975_105_xlvt_typ</t>
  </si>
  <si>
    <t>0.975_105_xlvt_weak</t>
  </si>
  <si>
    <t>1_105_xlvt_strong</t>
  </si>
  <si>
    <t>1_105_xlvt_typ</t>
  </si>
  <si>
    <t>1_105_xlvt_weak</t>
  </si>
  <si>
    <t>1.025_105_xlvt_strong</t>
  </si>
  <si>
    <t>1.025_105_xlvt_typ</t>
  </si>
  <si>
    <t>1.025_105_xlvt_weak</t>
  </si>
  <si>
    <t>1.05_105_xlvt_strong</t>
  </si>
  <si>
    <t>1.05_105_xlvt_typ</t>
  </si>
  <si>
    <t>1.05_105_xlvt_weak</t>
  </si>
  <si>
    <t>1.075_105_xlvt_strong</t>
  </si>
  <si>
    <t>1.075_105_xlvt_typ</t>
  </si>
  <si>
    <t>1.075_105_xlvt_weak</t>
  </si>
  <si>
    <t>1.1_105_xlvt_strong</t>
  </si>
  <si>
    <t>1.1_105_xlvt_typ</t>
  </si>
  <si>
    <t>1.1_105_xlvt_weak</t>
  </si>
  <si>
    <t>1.125_105_xlvt_strong</t>
  </si>
  <si>
    <t>1.125_105_xlvt_typ</t>
  </si>
  <si>
    <t>1.125_105_xlvt_weak</t>
  </si>
  <si>
    <t>1.15_105_xlvt_strong</t>
  </si>
  <si>
    <t>1.15_105_xlvt_typ</t>
  </si>
  <si>
    <t>1.15_105_xlvt_weak</t>
  </si>
  <si>
    <t>1.175_105_xlvt_strong</t>
  </si>
  <si>
    <t>1.175_105_xlvt_typ</t>
  </si>
  <si>
    <t>1.175_105_xlvt_weak</t>
  </si>
  <si>
    <t>1.2_105_xlvt_strong</t>
  </si>
  <si>
    <t>1.2_105_xlvt_typ</t>
  </si>
  <si>
    <t>1.2_105_xlvt_weak</t>
  </si>
  <si>
    <t>1.225_105_xlvt_strong</t>
  </si>
  <si>
    <t>1.225_105_xlvt_typ</t>
  </si>
  <si>
    <t>1.225_105_xlvt_weak</t>
  </si>
  <si>
    <t>1.25_105_xlvt_strong</t>
  </si>
  <si>
    <t>1.25_105_xlvt_typ</t>
  </si>
  <si>
    <t>1.25_105_xlvt_weak</t>
  </si>
  <si>
    <t>1.275_105_xlvt_strong</t>
  </si>
  <si>
    <t>1.275_105_xlvt_typ</t>
  </si>
  <si>
    <t>1.275_105_xlvt_weak</t>
  </si>
  <si>
    <t>1.3_105_xlvt_strong</t>
  </si>
  <si>
    <t>1.3_105_xlvt_typ</t>
  </si>
  <si>
    <t>1.3_105_xlvt_weak</t>
  </si>
  <si>
    <t>1.325_105_xlvt_strong</t>
  </si>
  <si>
    <t>1.325_105_xlvt_typ</t>
  </si>
  <si>
    <t>1.325_105_xlvt_weak</t>
  </si>
  <si>
    <t>1.35_105_xlvt_strong</t>
  </si>
  <si>
    <t>1.35_105_xlvt_typ</t>
  </si>
  <si>
    <t>1.35_105_xlvt_weak</t>
  </si>
  <si>
    <t>1.375_105_xlvt_strong</t>
  </si>
  <si>
    <t>1.375_105_xlvt_typ</t>
  </si>
  <si>
    <t>1.375_105_xlvt_weak</t>
  </si>
  <si>
    <t>1.4_105_xlvt_strong</t>
  </si>
  <si>
    <t>1.4_105_xlvt_typ</t>
  </si>
  <si>
    <t>1.4_105_xlvt_weak</t>
  </si>
  <si>
    <t>0.9_125_xlvt_strong</t>
  </si>
  <si>
    <t>0.9_125_xlvt_typ</t>
  </si>
  <si>
    <t>0.9_125_xlvt_weak</t>
  </si>
  <si>
    <t>0.925_125_xlvt_strong</t>
  </si>
  <si>
    <t>0.925_125_xlvt_typ</t>
  </si>
  <si>
    <t>0.925_125_xlvt_weak</t>
  </si>
  <si>
    <t>0.95_125_xlvt_strong</t>
  </si>
  <si>
    <t>0.95_125_xlvt_typ</t>
  </si>
  <si>
    <t>0.95_125_xlvt_weak</t>
  </si>
  <si>
    <t>0.975_125_xlvt_strong</t>
  </si>
  <si>
    <t>0.975_125_xlvt_typ</t>
  </si>
  <si>
    <t>0.975_125_xlvt_weak</t>
  </si>
  <si>
    <t>1_125_xlvt_strong</t>
  </si>
  <si>
    <t>1_125_xlvt_typ</t>
  </si>
  <si>
    <t>1_125_xlvt_weak</t>
  </si>
  <si>
    <t>1.025_125_xlvt_strong</t>
  </si>
  <si>
    <t>1.025_125_xlvt_typ</t>
  </si>
  <si>
    <t>1.025_125_xlvt_weak</t>
  </si>
  <si>
    <t>1.05_125_xlvt_strong</t>
  </si>
  <si>
    <t>1.05_125_xlvt_typ</t>
  </si>
  <si>
    <t>1.05_125_xlvt_weak</t>
  </si>
  <si>
    <t>1.075_125_xlvt_strong</t>
  </si>
  <si>
    <t>1.075_125_xlvt_typ</t>
  </si>
  <si>
    <t>1.075_125_xlvt_weak</t>
  </si>
  <si>
    <t>1.1_125_xlvt_strong</t>
  </si>
  <si>
    <t>1.1_125_xlvt_typ</t>
  </si>
  <si>
    <t>1.1_125_xlvt_weak</t>
  </si>
  <si>
    <t>1.125_125_xlvt_strong</t>
  </si>
  <si>
    <t>1.125_125_xlvt_typ</t>
  </si>
  <si>
    <t>1.125_125_xlvt_weak</t>
  </si>
  <si>
    <t>1.15_125_xlvt_strong</t>
  </si>
  <si>
    <t>1.15_125_xlvt_typ</t>
  </si>
  <si>
    <t>1.15_125_xlvt_weak</t>
  </si>
  <si>
    <t>1.175_125_xlvt_strong</t>
  </si>
  <si>
    <t>1.175_125_xlvt_typ</t>
  </si>
  <si>
    <t>1.175_125_xlvt_weak</t>
  </si>
  <si>
    <t>1.2_125_xlvt_strong</t>
  </si>
  <si>
    <t>1.2_125_xlvt_typ</t>
  </si>
  <si>
    <t>1.2_125_xlvt_weak</t>
  </si>
  <si>
    <t>1.225_125_xlvt_strong</t>
  </si>
  <si>
    <t>1.225_125_xlvt_typ</t>
  </si>
  <si>
    <t>1.225_125_xlvt_weak</t>
  </si>
  <si>
    <t>1.25_125_xlvt_strong</t>
  </si>
  <si>
    <t>1.25_125_xlvt_typ</t>
  </si>
  <si>
    <t>1.25_125_xlvt_weak</t>
  </si>
  <si>
    <t>1.275_125_xlvt_strong</t>
  </si>
  <si>
    <t>1.275_125_xlvt_typ</t>
  </si>
  <si>
    <t>1.275_125_xlvt_weak</t>
  </si>
  <si>
    <t>1.3_125_xlvt_strong</t>
  </si>
  <si>
    <t>1.3_125_xlvt_typ</t>
  </si>
  <si>
    <t>1.3_125_xlvt_weak</t>
  </si>
  <si>
    <t>1.325_125_xlvt_strong</t>
  </si>
  <si>
    <t>1.325_125_xlvt_typ</t>
  </si>
  <si>
    <t>1.325_125_xlvt_weak</t>
  </si>
  <si>
    <t>1.35_125_xlvt_strong</t>
  </si>
  <si>
    <t>1.35_125_xlvt_typ</t>
  </si>
  <si>
    <t>1.35_125_xlvt_weak</t>
  </si>
  <si>
    <t>1.375_125_xlvt_strong</t>
  </si>
  <si>
    <t>1.375_125_xlvt_typ</t>
  </si>
  <si>
    <t>1.375_125_xlvt_weak</t>
  </si>
  <si>
    <t>1.4_125_xlvt_strong</t>
  </si>
  <si>
    <t>1.4_125_xlvt_typ</t>
  </si>
  <si>
    <t>1.4_125_xlvt_weak</t>
  </si>
  <si>
    <t>0.9_140_xlvt_strong</t>
  </si>
  <si>
    <t>0.9_140_xlvt_typ</t>
  </si>
  <si>
    <t>0.9_140_xlvt_weak</t>
  </si>
  <si>
    <t>0.925_140_xlvt_strong</t>
  </si>
  <si>
    <t>0.925_140_xlvt_typ</t>
  </si>
  <si>
    <t>0.925_140_xlvt_weak</t>
  </si>
  <si>
    <t>0.95_140_xlvt_strong</t>
  </si>
  <si>
    <t>0.95_140_xlvt_typ</t>
  </si>
  <si>
    <t>0.95_140_xlvt_weak</t>
  </si>
  <si>
    <t>0.975_140_xlvt_strong</t>
  </si>
  <si>
    <t>0.975_140_xlvt_typ</t>
  </si>
  <si>
    <t>0.975_140_xlvt_weak</t>
  </si>
  <si>
    <t>1_140_xlvt_strong</t>
  </si>
  <si>
    <t>1_140_xlvt_typ</t>
  </si>
  <si>
    <t>1_140_xlvt_weak</t>
  </si>
  <si>
    <t>1.025_140_xlvt_strong</t>
  </si>
  <si>
    <t>1.025_140_xlvt_typ</t>
  </si>
  <si>
    <t>1.025_140_xlvt_weak</t>
  </si>
  <si>
    <t>1.05_140_xlvt_strong</t>
  </si>
  <si>
    <t>1.05_140_xlvt_typ</t>
  </si>
  <si>
    <t>1.05_140_xlvt_weak</t>
  </si>
  <si>
    <t>1.075_140_xlvt_strong</t>
  </si>
  <si>
    <t>1.075_140_xlvt_typ</t>
  </si>
  <si>
    <t>1.075_140_xlvt_weak</t>
  </si>
  <si>
    <t>1.1_140_xlvt_strong</t>
  </si>
  <si>
    <t>1.1_140_xlvt_typ</t>
  </si>
  <si>
    <t>1.1_140_xlvt_weak</t>
  </si>
  <si>
    <t>1.125_140_xlvt_strong</t>
  </si>
  <si>
    <t>1.125_140_xlvt_typ</t>
  </si>
  <si>
    <t>1.125_140_xlvt_weak</t>
  </si>
  <si>
    <t>1.15_140_xlvt_strong</t>
  </si>
  <si>
    <t>1.15_140_xlvt_typ</t>
  </si>
  <si>
    <t>1.15_140_xlvt_weak</t>
  </si>
  <si>
    <t>1.175_140_xlvt_strong</t>
  </si>
  <si>
    <t>1.175_140_xlvt_typ</t>
  </si>
  <si>
    <t>1.175_140_xlvt_weak</t>
  </si>
  <si>
    <t>1.2_140_xlvt_strong</t>
  </si>
  <si>
    <t>1.2_140_xlvt_typ</t>
  </si>
  <si>
    <t>1.2_140_xlvt_weak</t>
  </si>
  <si>
    <t>1.225_140_xlvt_strong</t>
  </si>
  <si>
    <t>1.225_140_xlvt_typ</t>
  </si>
  <si>
    <t>1.225_140_xlvt_weak</t>
  </si>
  <si>
    <t>1.25_140_xlvt_strong</t>
  </si>
  <si>
    <t>1.25_140_xlvt_typ</t>
  </si>
  <si>
    <t>1.25_140_xlvt_weak</t>
  </si>
  <si>
    <t>1.275_140_xlvt_strong</t>
  </si>
  <si>
    <t>1.275_140_xlvt_typ</t>
  </si>
  <si>
    <t>1.275_140_xlvt_weak</t>
  </si>
  <si>
    <t>1.3_140_xlvt_strong</t>
  </si>
  <si>
    <t>1.3_140_xlvt_typ</t>
  </si>
  <si>
    <t>1.3_140_xlvt_weak</t>
  </si>
  <si>
    <t>1.325_140_xlvt_strong</t>
  </si>
  <si>
    <t>1.325_140_xlvt_typ</t>
  </si>
  <si>
    <t>1.325_140_xlvt_weak</t>
  </si>
  <si>
    <t>1.35_140_xlvt_strong</t>
  </si>
  <si>
    <t>1.35_140_xlvt_typ</t>
  </si>
  <si>
    <t>1.35_140_xlvt_weak</t>
  </si>
  <si>
    <t>1.375_140_xlvt_strong</t>
  </si>
  <si>
    <t>1.375_140_xlvt_typ</t>
  </si>
  <si>
    <t>1.375_140_xlvt_weak</t>
  </si>
  <si>
    <t>1.4_140_xlvt_strong</t>
  </si>
  <si>
    <t>1.4_140_xlvt_typ</t>
  </si>
  <si>
    <t>1.4_140_xlvt_weak</t>
  </si>
  <si>
    <t>0.9_150_xlvt_strong</t>
  </si>
  <si>
    <t>0.9_150_xlvt_typ</t>
  </si>
  <si>
    <t>0.9_150_xlvt_weak</t>
  </si>
  <si>
    <t>0.925_150_xlvt_strong</t>
  </si>
  <si>
    <t>0.925_150_xlvt_typ</t>
  </si>
  <si>
    <t>0.925_150_xlvt_weak</t>
  </si>
  <si>
    <t>0.95_150_xlvt_strong</t>
  </si>
  <si>
    <t>0.95_150_xlvt_typ</t>
  </si>
  <si>
    <t>0.95_150_xlvt_weak</t>
  </si>
  <si>
    <t>0.975_150_xlvt_strong</t>
  </si>
  <si>
    <t>0.975_150_xlvt_typ</t>
  </si>
  <si>
    <t>0.975_150_xlvt_weak</t>
  </si>
  <si>
    <t>1_150_xlvt_strong</t>
  </si>
  <si>
    <t>1_150_xlvt_typ</t>
  </si>
  <si>
    <t>1_150_xlvt_weak</t>
  </si>
  <si>
    <t>1.025_150_xlvt_strong</t>
  </si>
  <si>
    <t>1.025_150_xlvt_typ</t>
  </si>
  <si>
    <t>1.025_150_xlvt_weak</t>
  </si>
  <si>
    <t>1.05_150_xlvt_strong</t>
  </si>
  <si>
    <t>1.05_150_xlvt_typ</t>
  </si>
  <si>
    <t>1.05_150_xlvt_weak</t>
  </si>
  <si>
    <t>1.075_150_xlvt_strong</t>
  </si>
  <si>
    <t>1.075_150_xlvt_typ</t>
  </si>
  <si>
    <t>1.075_150_xlvt_weak</t>
  </si>
  <si>
    <t>1.1_150_xlvt_strong</t>
  </si>
  <si>
    <t>1.1_150_xlvt_typ</t>
  </si>
  <si>
    <t>1.1_150_xlvt_weak</t>
  </si>
  <si>
    <t>1.125_150_xlvt_strong</t>
  </si>
  <si>
    <t>1.125_150_xlvt_typ</t>
  </si>
  <si>
    <t>1.125_150_xlvt_weak</t>
  </si>
  <si>
    <t>1.15_150_xlvt_strong</t>
  </si>
  <si>
    <t>1.15_150_xlvt_typ</t>
  </si>
  <si>
    <t>1.15_150_xlvt_weak</t>
  </si>
  <si>
    <t>1.175_150_xlvt_strong</t>
  </si>
  <si>
    <t>1.175_150_xlvt_typ</t>
  </si>
  <si>
    <t>1.175_150_xlvt_weak</t>
  </si>
  <si>
    <t>1.2_150_xlvt_strong</t>
  </si>
  <si>
    <t>1.2_150_xlvt_typ</t>
  </si>
  <si>
    <t>1.2_150_xlvt_weak</t>
  </si>
  <si>
    <t>1.225_150_xlvt_strong</t>
  </si>
  <si>
    <t>1.225_150_xlvt_typ</t>
  </si>
  <si>
    <t>1.225_150_xlvt_weak</t>
  </si>
  <si>
    <t>1.25_150_xlvt_strong</t>
  </si>
  <si>
    <t>1.25_150_xlvt_typ</t>
  </si>
  <si>
    <t>1.25_150_xlvt_weak</t>
  </si>
  <si>
    <t>1.275_150_xlvt_strong</t>
  </si>
  <si>
    <t>1.275_150_xlvt_typ</t>
  </si>
  <si>
    <t>1.275_150_xlvt_weak</t>
  </si>
  <si>
    <t>1.3_150_xlvt_strong</t>
  </si>
  <si>
    <t>1.3_150_xlvt_typ</t>
  </si>
  <si>
    <t>1.3_150_xlvt_weak</t>
  </si>
  <si>
    <t>1.325_150_xlvt_strong</t>
  </si>
  <si>
    <t>1.325_150_xlvt_typ</t>
  </si>
  <si>
    <t>1.325_150_xlvt_weak</t>
  </si>
  <si>
    <t>1.35_150_xlvt_strong</t>
  </si>
  <si>
    <t>1.35_150_xlvt_typ</t>
  </si>
  <si>
    <t>1.35_150_xlvt_weak</t>
  </si>
  <si>
    <t>1.375_150_xlvt_strong</t>
  </si>
  <si>
    <t>1.375_150_xlvt_typ</t>
  </si>
  <si>
    <t>1.375_150_xlvt_weak</t>
  </si>
  <si>
    <t>1.4_150_xlvt_strong</t>
  </si>
  <si>
    <t>1.4_150_xlvt_typ</t>
  </si>
  <si>
    <t>1.4_150_xlvt_weak</t>
  </si>
  <si>
    <t>0.9_-40_xsvt_strong</t>
  </si>
  <si>
    <t>0.9_-40_xsvt_typ</t>
  </si>
  <si>
    <t>0.9_-40_xsvt_weak</t>
  </si>
  <si>
    <t>0.925_-40_xsvt_strong</t>
  </si>
  <si>
    <t>0.925_-40_xsvt_typ</t>
  </si>
  <si>
    <t>0.925_-40_xsvt_weak</t>
  </si>
  <si>
    <t>0.95_-40_xsvt_strong</t>
  </si>
  <si>
    <t>0.95_-40_xsvt_typ</t>
  </si>
  <si>
    <t>0.95_-40_xsvt_weak</t>
  </si>
  <si>
    <t>0.975_-40_xsvt_strong</t>
  </si>
  <si>
    <t>0.975_-40_xsvt_typ</t>
  </si>
  <si>
    <t>0.975_-40_xsvt_weak</t>
  </si>
  <si>
    <t>1_-40_xsvt_strong</t>
  </si>
  <si>
    <t>1_-40_xsvt_typ</t>
  </si>
  <si>
    <t>1_-40_xsvt_weak</t>
  </si>
  <si>
    <t>1.025_-40_xsvt_strong</t>
  </si>
  <si>
    <t>1.025_-40_xsvt_typ</t>
  </si>
  <si>
    <t>1.025_-40_xsvt_weak</t>
  </si>
  <si>
    <t>1.05_-40_xsvt_strong</t>
  </si>
  <si>
    <t>1.05_-40_xsvt_typ</t>
  </si>
  <si>
    <t>1.05_-40_xsvt_weak</t>
  </si>
  <si>
    <t>1.075_-40_xsvt_strong</t>
  </si>
  <si>
    <t>1.075_-40_xsvt_typ</t>
  </si>
  <si>
    <t>1.075_-40_xsvt_weak</t>
  </si>
  <si>
    <t>1.1_-40_xsvt_strong</t>
  </si>
  <si>
    <t>1.1_-40_xsvt_typ</t>
  </si>
  <si>
    <t>1.1_-40_xsvt_weak</t>
  </si>
  <si>
    <t>1.125_-40_xsvt_strong</t>
  </si>
  <si>
    <t>1.125_-40_xsvt_typ</t>
  </si>
  <si>
    <t>1.125_-40_xsvt_weak</t>
  </si>
  <si>
    <t>1.15_-40_xsvt_strong</t>
  </si>
  <si>
    <t>1.15_-40_xsvt_typ</t>
  </si>
  <si>
    <t>1.15_-40_xsvt_weak</t>
  </si>
  <si>
    <t>1.175_-40_xsvt_strong</t>
  </si>
  <si>
    <t>1.175_-40_xsvt_typ</t>
  </si>
  <si>
    <t>1.175_-40_xsvt_weak</t>
  </si>
  <si>
    <t>1.2_-40_xsvt_strong</t>
  </si>
  <si>
    <t>1.2_-40_xsvt_typ</t>
  </si>
  <si>
    <t>1.2_-40_xsvt_weak</t>
  </si>
  <si>
    <t>1.225_-40_xsvt_strong</t>
  </si>
  <si>
    <t>1.225_-40_xsvt_typ</t>
  </si>
  <si>
    <t>1.225_-40_xsvt_weak</t>
  </si>
  <si>
    <t>1.25_-40_xsvt_strong</t>
  </si>
  <si>
    <t>1.25_-40_xsvt_typ</t>
  </si>
  <si>
    <t>1.25_-40_xsvt_weak</t>
  </si>
  <si>
    <t>1.275_-40_xsvt_strong</t>
  </si>
  <si>
    <t>1.275_-40_xsvt_typ</t>
  </si>
  <si>
    <t>1.275_-40_xsvt_weak</t>
  </si>
  <si>
    <t>1.3_-40_xsvt_strong</t>
  </si>
  <si>
    <t>1.3_-40_xsvt_typ</t>
  </si>
  <si>
    <t>1.3_-40_xsvt_weak</t>
  </si>
  <si>
    <t>1.325_-40_xsvt_strong</t>
  </si>
  <si>
    <t>1.325_-40_xsvt_typ</t>
  </si>
  <si>
    <t>1.325_-40_xsvt_weak</t>
  </si>
  <si>
    <t>1.35_-40_xsvt_strong</t>
  </si>
  <si>
    <t>1.35_-40_xsvt_typ</t>
  </si>
  <si>
    <t>1.35_-40_xsvt_weak</t>
  </si>
  <si>
    <t>1.375_-40_xsvt_strong</t>
  </si>
  <si>
    <t>1.375_-40_xsvt_typ</t>
  </si>
  <si>
    <t>1.375_-40_xsvt_weak</t>
  </si>
  <si>
    <t>1.4_-40_xsvt_strong</t>
  </si>
  <si>
    <t>1.4_-40_xsvt_typ</t>
  </si>
  <si>
    <t>1.4_-40_xsvt_weak</t>
  </si>
  <si>
    <t>0.9_-20_xsvt_strong</t>
  </si>
  <si>
    <t>0.9_-20_xsvt_typ</t>
  </si>
  <si>
    <t>0.9_-20_xsvt_weak</t>
  </si>
  <si>
    <t>0.925_-20_xsvt_strong</t>
  </si>
  <si>
    <t>0.925_-20_xsvt_typ</t>
  </si>
  <si>
    <t>0.925_-20_xsvt_weak</t>
  </si>
  <si>
    <t>0.95_-20_xsvt_strong</t>
  </si>
  <si>
    <t>0.95_-20_xsvt_typ</t>
  </si>
  <si>
    <t>0.95_-20_xsvt_weak</t>
  </si>
  <si>
    <t>0.975_-20_xsvt_strong</t>
  </si>
  <si>
    <t>0.975_-20_xsvt_typ</t>
  </si>
  <si>
    <t>0.975_-20_xsvt_weak</t>
  </si>
  <si>
    <t>1_-20_xsvt_strong</t>
  </si>
  <si>
    <t>1_-20_xsvt_typ</t>
  </si>
  <si>
    <t>1_-20_xsvt_weak</t>
  </si>
  <si>
    <t>1.025_-20_xsvt_strong</t>
  </si>
  <si>
    <t>1.025_-20_xsvt_typ</t>
  </si>
  <si>
    <t>1.025_-20_xsvt_weak</t>
  </si>
  <si>
    <t>1.05_-20_xsvt_strong</t>
  </si>
  <si>
    <t>1.05_-20_xsvt_typ</t>
  </si>
  <si>
    <t>1.05_-20_xsvt_weak</t>
  </si>
  <si>
    <t>1.075_-20_xsvt_strong</t>
  </si>
  <si>
    <t>1.075_-20_xsvt_typ</t>
  </si>
  <si>
    <t>1.075_-20_xsvt_weak</t>
  </si>
  <si>
    <t>1.1_-20_xsvt_strong</t>
  </si>
  <si>
    <t>1.1_-20_xsvt_typ</t>
  </si>
  <si>
    <t>1.1_-20_xsvt_weak</t>
  </si>
  <si>
    <t>1.125_-20_xsvt_strong</t>
  </si>
  <si>
    <t>1.125_-20_xsvt_typ</t>
  </si>
  <si>
    <t>1.125_-20_xsvt_weak</t>
  </si>
  <si>
    <t>1.15_-20_xsvt_strong</t>
  </si>
  <si>
    <t>1.15_-20_xsvt_typ</t>
  </si>
  <si>
    <t>1.15_-20_xsvt_weak</t>
  </si>
  <si>
    <t>1.175_-20_xsvt_strong</t>
  </si>
  <si>
    <t>1.175_-20_xsvt_typ</t>
  </si>
  <si>
    <t>1.175_-20_xsvt_weak</t>
  </si>
  <si>
    <t>1.2_-20_xsvt_strong</t>
  </si>
  <si>
    <t>1.2_-20_xsvt_typ</t>
  </si>
  <si>
    <t>1.2_-20_xsvt_weak</t>
  </si>
  <si>
    <t>1.225_-20_xsvt_strong</t>
  </si>
  <si>
    <t>1.225_-20_xsvt_typ</t>
  </si>
  <si>
    <t>1.225_-20_xsvt_weak</t>
  </si>
  <si>
    <t>1.25_-20_xsvt_strong</t>
  </si>
  <si>
    <t>1.25_-20_xsvt_typ</t>
  </si>
  <si>
    <t>1.25_-20_xsvt_weak</t>
  </si>
  <si>
    <t>1.275_-20_xsvt_strong</t>
  </si>
  <si>
    <t>1.275_-20_xsvt_typ</t>
  </si>
  <si>
    <t>1.275_-20_xsvt_weak</t>
  </si>
  <si>
    <t>1.3_-20_xsvt_strong</t>
  </si>
  <si>
    <t>1.3_-20_xsvt_typ</t>
  </si>
  <si>
    <t>1.3_-20_xsvt_weak</t>
  </si>
  <si>
    <t>1.325_-20_xsvt_strong</t>
  </si>
  <si>
    <t>1.325_-20_xsvt_typ</t>
  </si>
  <si>
    <t>1.325_-20_xsvt_weak</t>
  </si>
  <si>
    <t>1.35_-20_xsvt_strong</t>
  </si>
  <si>
    <t>1.35_-20_xsvt_typ</t>
  </si>
  <si>
    <t>1.35_-20_xsvt_weak</t>
  </si>
  <si>
    <t>1.375_-20_xsvt_strong</t>
  </si>
  <si>
    <t>1.375_-20_xsvt_typ</t>
  </si>
  <si>
    <t>1.375_-20_xsvt_weak</t>
  </si>
  <si>
    <t>1.4_-20_xsvt_strong</t>
  </si>
  <si>
    <t>1.4_-20_xsvt_typ</t>
  </si>
  <si>
    <t>1.4_-20_xsvt_weak</t>
  </si>
  <si>
    <t>0.9_0_xsvt_strong</t>
  </si>
  <si>
    <t>0.9_0_xsvt_typ</t>
  </si>
  <si>
    <t>0.9_0_xsvt_weak</t>
  </si>
  <si>
    <t>0.925_0_xsvt_strong</t>
  </si>
  <si>
    <t>0.925_0_xsvt_typ</t>
  </si>
  <si>
    <t>0.925_0_xsvt_weak</t>
  </si>
  <si>
    <t>0.95_0_xsvt_strong</t>
  </si>
  <si>
    <t>0.95_0_xsvt_typ</t>
  </si>
  <si>
    <t>0.95_0_xsvt_weak</t>
  </si>
  <si>
    <t>0.975_0_xsvt_strong</t>
  </si>
  <si>
    <t>0.975_0_xsvt_typ</t>
  </si>
  <si>
    <t>0.975_0_xsvt_weak</t>
  </si>
  <si>
    <t>1_0_xsvt_strong</t>
  </si>
  <si>
    <t>1_0_xsvt_typ</t>
  </si>
  <si>
    <t>1_0_xsvt_weak</t>
  </si>
  <si>
    <t>1.025_0_xsvt_strong</t>
  </si>
  <si>
    <t>1.025_0_xsvt_typ</t>
  </si>
  <si>
    <t>1.025_0_xsvt_weak</t>
  </si>
  <si>
    <t>1.05_0_xsvt_strong</t>
  </si>
  <si>
    <t>1.05_0_xsvt_typ</t>
  </si>
  <si>
    <t>1.05_0_xsvt_weak</t>
  </si>
  <si>
    <t>1.075_0_xsvt_strong</t>
  </si>
  <si>
    <t>1.075_0_xsvt_typ</t>
  </si>
  <si>
    <t>1.075_0_xsvt_weak</t>
  </si>
  <si>
    <t>1.1_0_xsvt_strong</t>
  </si>
  <si>
    <t>1.1_0_xsvt_typ</t>
  </si>
  <si>
    <t>1.1_0_xsvt_weak</t>
  </si>
  <si>
    <t>1.125_0_xsvt_strong</t>
  </si>
  <si>
    <t>1.125_0_xsvt_typ</t>
  </si>
  <si>
    <t>1.125_0_xsvt_weak</t>
  </si>
  <si>
    <t>1.15_0_xsvt_strong</t>
  </si>
  <si>
    <t>1.15_0_xsvt_typ</t>
  </si>
  <si>
    <t>1.15_0_xsvt_weak</t>
  </si>
  <si>
    <t>1.175_0_xsvt_strong</t>
  </si>
  <si>
    <t>1.175_0_xsvt_typ</t>
  </si>
  <si>
    <t>1.175_0_xsvt_weak</t>
  </si>
  <si>
    <t>1.2_0_xsvt_strong</t>
  </si>
  <si>
    <t>1.2_0_xsvt_typ</t>
  </si>
  <si>
    <t>1.2_0_xsvt_weak</t>
  </si>
  <si>
    <t>1.225_0_xsvt_strong</t>
  </si>
  <si>
    <t>1.225_0_xsvt_typ</t>
  </si>
  <si>
    <t>1.225_0_xsvt_weak</t>
  </si>
  <si>
    <t>1.25_0_xsvt_strong</t>
  </si>
  <si>
    <t>1.25_0_xsvt_typ</t>
  </si>
  <si>
    <t>1.25_0_xsvt_weak</t>
  </si>
  <si>
    <t>1.275_0_xsvt_strong</t>
  </si>
  <si>
    <t>1.275_0_xsvt_typ</t>
  </si>
  <si>
    <t>1.275_0_xsvt_weak</t>
  </si>
  <si>
    <t>1.3_0_xsvt_strong</t>
  </si>
  <si>
    <t>1.3_0_xsvt_typ</t>
  </si>
  <si>
    <t>1.3_0_xsvt_weak</t>
  </si>
  <si>
    <t>1.325_0_xsvt_strong</t>
  </si>
  <si>
    <t>1.325_0_xsvt_typ</t>
  </si>
  <si>
    <t>1.325_0_xsvt_weak</t>
  </si>
  <si>
    <t>1.35_0_xsvt_strong</t>
  </si>
  <si>
    <t>1.35_0_xsvt_typ</t>
  </si>
  <si>
    <t>1.35_0_xsvt_weak</t>
  </si>
  <si>
    <t>1.375_0_xsvt_strong</t>
  </si>
  <si>
    <t>1.375_0_xsvt_typ</t>
  </si>
  <si>
    <t>1.375_0_xsvt_weak</t>
  </si>
  <si>
    <t>1.4_0_xsvt_strong</t>
  </si>
  <si>
    <t>1.4_0_xsvt_typ</t>
  </si>
  <si>
    <t>1.4_0_xsvt_weak</t>
  </si>
  <si>
    <t>0.9_25_xsvt_strong</t>
  </si>
  <si>
    <t>0.9_25_xsvt_typ</t>
  </si>
  <si>
    <t>0.9_25_xsvt_weak</t>
  </si>
  <si>
    <t>0.925_25_xsvt_strong</t>
  </si>
  <si>
    <t>0.925_25_xsvt_typ</t>
  </si>
  <si>
    <t>0.925_25_xsvt_weak</t>
  </si>
  <si>
    <t>0.95_25_xsvt_strong</t>
  </si>
  <si>
    <t>0.95_25_xsvt_typ</t>
  </si>
  <si>
    <t>0.95_25_xsvt_weak</t>
  </si>
  <si>
    <t>0.975_25_xsvt_strong</t>
  </si>
  <si>
    <t>0.975_25_xsvt_typ</t>
  </si>
  <si>
    <t>0.975_25_xsvt_weak</t>
  </si>
  <si>
    <t>1_25_xsvt_strong</t>
  </si>
  <si>
    <t>1_25_xsvt_typ</t>
  </si>
  <si>
    <t>1_25_xsvt_weak</t>
  </si>
  <si>
    <t>1.025_25_xsvt_strong</t>
  </si>
  <si>
    <t>1.025_25_xsvt_typ</t>
  </si>
  <si>
    <t>1.025_25_xsvt_weak</t>
  </si>
  <si>
    <t>1.05_25_xsvt_strong</t>
  </si>
  <si>
    <t>1.05_25_xsvt_typ</t>
  </si>
  <si>
    <t>1.05_25_xsvt_weak</t>
  </si>
  <si>
    <t>1.075_25_xsvt_strong</t>
  </si>
  <si>
    <t>1.075_25_xsvt_typ</t>
  </si>
  <si>
    <t>1.075_25_xsvt_weak</t>
  </si>
  <si>
    <t>1.1_25_xsvt_strong</t>
  </si>
  <si>
    <t>1.1_25_xsvt_typ</t>
  </si>
  <si>
    <t>1.1_25_xsvt_weak</t>
  </si>
  <si>
    <t>1.125_25_xsvt_strong</t>
  </si>
  <si>
    <t>1.125_25_xsvt_typ</t>
  </si>
  <si>
    <t>1.125_25_xsvt_weak</t>
  </si>
  <si>
    <t>1.15_25_xsvt_strong</t>
  </si>
  <si>
    <t>1.15_25_xsvt_typ</t>
  </si>
  <si>
    <t>1.15_25_xsvt_weak</t>
  </si>
  <si>
    <t>1.175_25_xsvt_strong</t>
  </si>
  <si>
    <t>1.175_25_xsvt_typ</t>
  </si>
  <si>
    <t>1.175_25_xsvt_weak</t>
  </si>
  <si>
    <t>1.2_25_xsvt_strong</t>
  </si>
  <si>
    <t>1.2_25_xsvt_typ</t>
  </si>
  <si>
    <t>1.2_25_xsvt_weak</t>
  </si>
  <si>
    <t>1.225_25_xsvt_strong</t>
  </si>
  <si>
    <t>1.225_25_xsvt_typ</t>
  </si>
  <si>
    <t>1.225_25_xsvt_weak</t>
  </si>
  <si>
    <t>1.25_25_xsvt_strong</t>
  </si>
  <si>
    <t>1.25_25_xsvt_typ</t>
  </si>
  <si>
    <t>1.25_25_xsvt_weak</t>
  </si>
  <si>
    <t>1.275_25_xsvt_strong</t>
  </si>
  <si>
    <t>1.275_25_xsvt_typ</t>
  </si>
  <si>
    <t>1.275_25_xsvt_weak</t>
  </si>
  <si>
    <t>1.3_25_xsvt_strong</t>
  </si>
  <si>
    <t>1.3_25_xsvt_typ</t>
  </si>
  <si>
    <t>1.3_25_xsvt_weak</t>
  </si>
  <si>
    <t>1.325_25_xsvt_strong</t>
  </si>
  <si>
    <t>1.325_25_xsvt_typ</t>
  </si>
  <si>
    <t>1.325_25_xsvt_weak</t>
  </si>
  <si>
    <t>1.35_25_xsvt_strong</t>
  </si>
  <si>
    <t>1.35_25_xsvt_typ</t>
  </si>
  <si>
    <t>1.35_25_xsvt_weak</t>
  </si>
  <si>
    <t>1.375_25_xsvt_strong</t>
  </si>
  <si>
    <t>1.375_25_xsvt_typ</t>
  </si>
  <si>
    <t>1.375_25_xsvt_weak</t>
  </si>
  <si>
    <t>1.4_25_xsvt_strong</t>
  </si>
  <si>
    <t>1.4_25_xsvt_typ</t>
  </si>
  <si>
    <t>1.4_25_xsvt_weak</t>
  </si>
  <si>
    <t>0.9_50_xsvt_strong</t>
  </si>
  <si>
    <t>0.9_50_xsvt_typ</t>
  </si>
  <si>
    <t>0.9_50_xsvt_weak</t>
  </si>
  <si>
    <t>0.925_50_xsvt_strong</t>
  </si>
  <si>
    <t>0.925_50_xsvt_typ</t>
  </si>
  <si>
    <t>0.925_50_xsvt_weak</t>
  </si>
  <si>
    <t>0.95_50_xsvt_strong</t>
  </si>
  <si>
    <t>0.95_50_xsvt_typ</t>
  </si>
  <si>
    <t>0.95_50_xsvt_weak</t>
  </si>
  <si>
    <t>0.975_50_xsvt_strong</t>
  </si>
  <si>
    <t>0.975_50_xsvt_typ</t>
  </si>
  <si>
    <t>0.975_50_xsvt_weak</t>
  </si>
  <si>
    <t>1_50_xsvt_strong</t>
  </si>
  <si>
    <t>1_50_xsvt_typ</t>
  </si>
  <si>
    <t>1_50_xsvt_weak</t>
  </si>
  <si>
    <t>1.025_50_xsvt_strong</t>
  </si>
  <si>
    <t>1.025_50_xsvt_typ</t>
  </si>
  <si>
    <t>1.025_50_xsvt_weak</t>
  </si>
  <si>
    <t>1.05_50_xsvt_strong</t>
  </si>
  <si>
    <t>1.05_50_xsvt_typ</t>
  </si>
  <si>
    <t>1.05_50_xsvt_weak</t>
  </si>
  <si>
    <t>1.075_50_xsvt_strong</t>
  </si>
  <si>
    <t>1.075_50_xsvt_typ</t>
  </si>
  <si>
    <t>1.075_50_xsvt_weak</t>
  </si>
  <si>
    <t>1.1_50_xsvt_strong</t>
  </si>
  <si>
    <t>1.1_50_xsvt_typ</t>
  </si>
  <si>
    <t>1.1_50_xsvt_weak</t>
  </si>
  <si>
    <t>1.125_50_xsvt_strong</t>
  </si>
  <si>
    <t>1.125_50_xsvt_typ</t>
  </si>
  <si>
    <t>1.125_50_xsvt_weak</t>
  </si>
  <si>
    <t>1.15_50_xsvt_strong</t>
  </si>
  <si>
    <t>1.15_50_xsvt_typ</t>
  </si>
  <si>
    <t>1.15_50_xsvt_weak</t>
  </si>
  <si>
    <t>1.175_50_xsvt_strong</t>
  </si>
  <si>
    <t>1.175_50_xsvt_typ</t>
  </si>
  <si>
    <t>1.175_50_xsvt_weak</t>
  </si>
  <si>
    <t>1.2_50_xsvt_strong</t>
  </si>
  <si>
    <t>1.2_50_xsvt_typ</t>
  </si>
  <si>
    <t>1.2_50_xsvt_weak</t>
  </si>
  <si>
    <t>1.225_50_xsvt_strong</t>
  </si>
  <si>
    <t>1.225_50_xsvt_typ</t>
  </si>
  <si>
    <t>1.225_50_xsvt_weak</t>
  </si>
  <si>
    <t>1.25_50_xsvt_strong</t>
  </si>
  <si>
    <t>1.25_50_xsvt_typ</t>
  </si>
  <si>
    <t>1.25_50_xsvt_weak</t>
  </si>
  <si>
    <t>1.275_50_xsvt_strong</t>
  </si>
  <si>
    <t>1.275_50_xsvt_typ</t>
  </si>
  <si>
    <t>1.275_50_xsvt_weak</t>
  </si>
  <si>
    <t>1.3_50_xsvt_strong</t>
  </si>
  <si>
    <t>1.3_50_xsvt_typ</t>
  </si>
  <si>
    <t>1.3_50_xsvt_weak</t>
  </si>
  <si>
    <t>1.325_50_xsvt_strong</t>
  </si>
  <si>
    <t>1.325_50_xsvt_typ</t>
  </si>
  <si>
    <t>1.325_50_xsvt_weak</t>
  </si>
  <si>
    <t>1.35_50_xsvt_strong</t>
  </si>
  <si>
    <t>1.35_50_xsvt_typ</t>
  </si>
  <si>
    <t>1.35_50_xsvt_weak</t>
  </si>
  <si>
    <t>1.375_50_xsvt_strong</t>
  </si>
  <si>
    <t>1.375_50_xsvt_typ</t>
  </si>
  <si>
    <t>1.375_50_xsvt_weak</t>
  </si>
  <si>
    <t>1.4_50_xsvt_strong</t>
  </si>
  <si>
    <t>1.4_50_xsvt_typ</t>
  </si>
  <si>
    <t>1.4_50_xsvt_weak</t>
  </si>
  <si>
    <t>0.9_75_xsvt_strong</t>
  </si>
  <si>
    <t>0.9_75_xsvt_typ</t>
  </si>
  <si>
    <t>0.9_75_xsvt_weak</t>
  </si>
  <si>
    <t>0.925_75_xsvt_strong</t>
  </si>
  <si>
    <t>0.925_75_xsvt_typ</t>
  </si>
  <si>
    <t>0.925_75_xsvt_weak</t>
  </si>
  <si>
    <t>0.95_75_xsvt_strong</t>
  </si>
  <si>
    <t>0.95_75_xsvt_typ</t>
  </si>
  <si>
    <t>0.95_75_xsvt_weak</t>
  </si>
  <si>
    <t>0.975_75_xsvt_strong</t>
  </si>
  <si>
    <t>0.975_75_xsvt_typ</t>
  </si>
  <si>
    <t>0.975_75_xsvt_weak</t>
  </si>
  <si>
    <t>1_75_xsvt_strong</t>
  </si>
  <si>
    <t>1_75_xsvt_typ</t>
  </si>
  <si>
    <t>1_75_xsvt_weak</t>
  </si>
  <si>
    <t>1.025_75_xsvt_strong</t>
  </si>
  <si>
    <t>1.025_75_xsvt_typ</t>
  </si>
  <si>
    <t>1.025_75_xsvt_weak</t>
  </si>
  <si>
    <t>1.05_75_xsvt_strong</t>
  </si>
  <si>
    <t>1.05_75_xsvt_typ</t>
  </si>
  <si>
    <t>1.05_75_xsvt_weak</t>
  </si>
  <si>
    <t>1.075_75_xsvt_strong</t>
  </si>
  <si>
    <t>1.075_75_xsvt_typ</t>
  </si>
  <si>
    <t>1.075_75_xsvt_weak</t>
  </si>
  <si>
    <t>1.1_75_xsvt_strong</t>
  </si>
  <si>
    <t>1.1_75_xsvt_typ</t>
  </si>
  <si>
    <t>1.1_75_xsvt_weak</t>
  </si>
  <si>
    <t>1.125_75_xsvt_strong</t>
  </si>
  <si>
    <t>1.125_75_xsvt_typ</t>
  </si>
  <si>
    <t>1.125_75_xsvt_weak</t>
  </si>
  <si>
    <t>1.15_75_xsvt_strong</t>
  </si>
  <si>
    <t>1.15_75_xsvt_typ</t>
  </si>
  <si>
    <t>1.15_75_xsvt_weak</t>
  </si>
  <si>
    <t>1.175_75_xsvt_strong</t>
  </si>
  <si>
    <t>1.175_75_xsvt_typ</t>
  </si>
  <si>
    <t>1.175_75_xsvt_weak</t>
  </si>
  <si>
    <t>1.2_75_xsvt_strong</t>
  </si>
  <si>
    <t>1.2_75_xsvt_typ</t>
  </si>
  <si>
    <t>1.2_75_xsvt_weak</t>
  </si>
  <si>
    <t>1.225_75_xsvt_strong</t>
  </si>
  <si>
    <t>1.225_75_xsvt_typ</t>
  </si>
  <si>
    <t>1.225_75_xsvt_weak</t>
  </si>
  <si>
    <t>1.25_75_xsvt_strong</t>
  </si>
  <si>
    <t>1.25_75_xsvt_typ</t>
  </si>
  <si>
    <t>1.25_75_xsvt_weak</t>
  </si>
  <si>
    <t>1.275_75_xsvt_strong</t>
  </si>
  <si>
    <t>1.275_75_xsvt_typ</t>
  </si>
  <si>
    <t>1.275_75_xsvt_weak</t>
  </si>
  <si>
    <t>1.3_75_xsvt_strong</t>
  </si>
  <si>
    <t>1.3_75_xsvt_typ</t>
  </si>
  <si>
    <t>1.3_75_xsvt_weak</t>
  </si>
  <si>
    <t>1.325_75_xsvt_strong</t>
  </si>
  <si>
    <t>1.325_75_xsvt_typ</t>
  </si>
  <si>
    <t>1.325_75_xsvt_weak</t>
  </si>
  <si>
    <t>1.35_75_xsvt_strong</t>
  </si>
  <si>
    <t>1.35_75_xsvt_typ</t>
  </si>
  <si>
    <t>1.35_75_xsvt_weak</t>
  </si>
  <si>
    <t>1.375_75_xsvt_strong</t>
  </si>
  <si>
    <t>1.375_75_xsvt_typ</t>
  </si>
  <si>
    <t>1.375_75_xsvt_weak</t>
  </si>
  <si>
    <t>1.4_75_xsvt_strong</t>
  </si>
  <si>
    <t>1.4_75_xsvt_typ</t>
  </si>
  <si>
    <t>1.4_75_xsvt_weak</t>
  </si>
  <si>
    <t>0.9_85_xsvt_strong</t>
  </si>
  <si>
    <t>0.9_85_xsvt_typ</t>
  </si>
  <si>
    <t>0.9_85_xsvt_weak</t>
  </si>
  <si>
    <t>0.925_85_xsvt_strong</t>
  </si>
  <si>
    <t>0.925_85_xsvt_typ</t>
  </si>
  <si>
    <t>0.925_85_xsvt_weak</t>
  </si>
  <si>
    <t>0.95_85_xsvt_strong</t>
  </si>
  <si>
    <t>0.95_85_xsvt_typ</t>
  </si>
  <si>
    <t>0.95_85_xsvt_weak</t>
  </si>
  <si>
    <t>0.975_85_xsvt_strong</t>
  </si>
  <si>
    <t>0.975_85_xsvt_typ</t>
  </si>
  <si>
    <t>0.975_85_xsvt_weak</t>
  </si>
  <si>
    <t>1_85_xsvt_strong</t>
  </si>
  <si>
    <t>1_85_xsvt_typ</t>
  </si>
  <si>
    <t>1_85_xsvt_weak</t>
  </si>
  <si>
    <t>1.025_85_xsvt_strong</t>
  </si>
  <si>
    <t>1.025_85_xsvt_typ</t>
  </si>
  <si>
    <t>1.025_85_xsvt_weak</t>
  </si>
  <si>
    <t>1.05_85_xsvt_strong</t>
  </si>
  <si>
    <t>1.05_85_xsvt_typ</t>
  </si>
  <si>
    <t>1.05_85_xsvt_weak</t>
  </si>
  <si>
    <t>1.075_85_xsvt_strong</t>
  </si>
  <si>
    <t>1.075_85_xsvt_typ</t>
  </si>
  <si>
    <t>1.075_85_xsvt_weak</t>
  </si>
  <si>
    <t>1.1_85_xsvt_strong</t>
  </si>
  <si>
    <t>1.1_85_xsvt_typ</t>
  </si>
  <si>
    <t>1.1_85_xsvt_weak</t>
  </si>
  <si>
    <t>1.125_85_xsvt_strong</t>
  </si>
  <si>
    <t>1.125_85_xsvt_typ</t>
  </si>
  <si>
    <t>1.125_85_xsvt_weak</t>
  </si>
  <si>
    <t>1.15_85_xsvt_strong</t>
  </si>
  <si>
    <t>1.15_85_xsvt_typ</t>
  </si>
  <si>
    <t>1.15_85_xsvt_weak</t>
  </si>
  <si>
    <t>1.175_85_xsvt_strong</t>
  </si>
  <si>
    <t>1.175_85_xsvt_typ</t>
  </si>
  <si>
    <t>1.175_85_xsvt_weak</t>
  </si>
  <si>
    <t>1.2_85_xsvt_strong</t>
  </si>
  <si>
    <t>1.2_85_xsvt_typ</t>
  </si>
  <si>
    <t>1.2_85_xsvt_weak</t>
  </si>
  <si>
    <t>1.225_85_xsvt_strong</t>
  </si>
  <si>
    <t>1.225_85_xsvt_typ</t>
  </si>
  <si>
    <t>1.225_85_xsvt_weak</t>
  </si>
  <si>
    <t>1.25_85_xsvt_strong</t>
  </si>
  <si>
    <t>1.25_85_xsvt_typ</t>
  </si>
  <si>
    <t>1.25_85_xsvt_weak</t>
  </si>
  <si>
    <t>1.275_85_xsvt_strong</t>
  </si>
  <si>
    <t>1.275_85_xsvt_typ</t>
  </si>
  <si>
    <t>1.275_85_xsvt_weak</t>
  </si>
  <si>
    <t>1.3_85_xsvt_strong</t>
  </si>
  <si>
    <t>1.3_85_xsvt_typ</t>
  </si>
  <si>
    <t>1.3_85_xsvt_weak</t>
  </si>
  <si>
    <t>1.325_85_xsvt_strong</t>
  </si>
  <si>
    <t>1.325_85_xsvt_typ</t>
  </si>
  <si>
    <t>1.325_85_xsvt_weak</t>
  </si>
  <si>
    <t>1.35_85_xsvt_strong</t>
  </si>
  <si>
    <t>1.35_85_xsvt_typ</t>
  </si>
  <si>
    <t>1.35_85_xsvt_weak</t>
  </si>
  <si>
    <t>1.375_85_xsvt_strong</t>
  </si>
  <si>
    <t>1.375_85_xsvt_typ</t>
  </si>
  <si>
    <t>1.375_85_xsvt_weak</t>
  </si>
  <si>
    <t>1.4_85_xsvt_strong</t>
  </si>
  <si>
    <t>1.4_85_xsvt_typ</t>
  </si>
  <si>
    <t>1.4_85_xsvt_weak</t>
  </si>
  <si>
    <t>0.9_100_xsvt_strong</t>
  </si>
  <si>
    <t>0.9_100_xsvt_typ</t>
  </si>
  <si>
    <t>0.9_100_xsvt_weak</t>
  </si>
  <si>
    <t>0.925_100_xsvt_strong</t>
  </si>
  <si>
    <t>0.925_100_xsvt_typ</t>
  </si>
  <si>
    <t>0.925_100_xsvt_weak</t>
  </si>
  <si>
    <t>0.95_100_xsvt_strong</t>
  </si>
  <si>
    <t>0.95_100_xsvt_typ</t>
  </si>
  <si>
    <t>0.95_100_xsvt_weak</t>
  </si>
  <si>
    <t>0.975_100_xsvt_strong</t>
  </si>
  <si>
    <t>0.975_100_xsvt_typ</t>
  </si>
  <si>
    <t>0.975_100_xsvt_weak</t>
  </si>
  <si>
    <t>1_100_xsvt_strong</t>
  </si>
  <si>
    <t>1_100_xsvt_typ</t>
  </si>
  <si>
    <t>1_100_xsvt_weak</t>
  </si>
  <si>
    <t>1.025_100_xsvt_strong</t>
  </si>
  <si>
    <t>1.025_100_xsvt_typ</t>
  </si>
  <si>
    <t>1.025_100_xsvt_weak</t>
  </si>
  <si>
    <t>1.05_100_xsvt_strong</t>
  </si>
  <si>
    <t>1.05_100_xsvt_typ</t>
  </si>
  <si>
    <t>1.05_100_xsvt_weak</t>
  </si>
  <si>
    <t>1.075_100_xsvt_strong</t>
  </si>
  <si>
    <t>1.075_100_xsvt_typ</t>
  </si>
  <si>
    <t>1.075_100_xsvt_weak</t>
  </si>
  <si>
    <t>1.1_100_xsvt_strong</t>
  </si>
  <si>
    <t>1.1_100_xsvt_typ</t>
  </si>
  <si>
    <t>1.1_100_xsvt_weak</t>
  </si>
  <si>
    <t>1.125_100_xsvt_strong</t>
  </si>
  <si>
    <t>1.125_100_xsvt_typ</t>
  </si>
  <si>
    <t>1.125_100_xsvt_weak</t>
  </si>
  <si>
    <t>1.15_100_xsvt_strong</t>
  </si>
  <si>
    <t>1.15_100_xsvt_typ</t>
  </si>
  <si>
    <t>1.15_100_xsvt_weak</t>
  </si>
  <si>
    <t>1.175_100_xsvt_strong</t>
  </si>
  <si>
    <t>1.175_100_xsvt_typ</t>
  </si>
  <si>
    <t>1.175_100_xsvt_weak</t>
  </si>
  <si>
    <t>1.2_100_xsvt_strong</t>
  </si>
  <si>
    <t>1.2_100_xsvt_typ</t>
  </si>
  <si>
    <t>1.2_100_xsvt_weak</t>
  </si>
  <si>
    <t>1.225_100_xsvt_strong</t>
  </si>
  <si>
    <t>1.225_100_xsvt_typ</t>
  </si>
  <si>
    <t>1.225_100_xsvt_weak</t>
  </si>
  <si>
    <t>1.25_100_xsvt_strong</t>
  </si>
  <si>
    <t>1.25_100_xsvt_typ</t>
  </si>
  <si>
    <t>1.25_100_xsvt_weak</t>
  </si>
  <si>
    <t>1.275_100_xsvt_strong</t>
  </si>
  <si>
    <t>1.275_100_xsvt_typ</t>
  </si>
  <si>
    <t>1.275_100_xsvt_weak</t>
  </si>
  <si>
    <t>1.3_100_xsvt_strong</t>
  </si>
  <si>
    <t>1.3_100_xsvt_typ</t>
  </si>
  <si>
    <t>1.3_100_xsvt_weak</t>
  </si>
  <si>
    <t>1.325_100_xsvt_strong</t>
  </si>
  <si>
    <t>1.325_100_xsvt_typ</t>
  </si>
  <si>
    <t>1.325_100_xsvt_weak</t>
  </si>
  <si>
    <t>1.35_100_xsvt_strong</t>
  </si>
  <si>
    <t>1.35_100_xsvt_typ</t>
  </si>
  <si>
    <t>1.35_100_xsvt_weak</t>
  </si>
  <si>
    <t>1.375_100_xsvt_strong</t>
  </si>
  <si>
    <t>1.375_100_xsvt_typ</t>
  </si>
  <si>
    <t>1.375_100_xsvt_weak</t>
  </si>
  <si>
    <t>1.4_100_xsvt_strong</t>
  </si>
  <si>
    <t>1.4_100_xsvt_typ</t>
  </si>
  <si>
    <t>1.4_100_xsvt_weak</t>
  </si>
  <si>
    <t>0.9_105_xsvt_strong</t>
  </si>
  <si>
    <t>0.9_105_xsvt_typ</t>
  </si>
  <si>
    <t>0.9_105_xsvt_weak</t>
  </si>
  <si>
    <t>0.925_105_xsvt_strong</t>
  </si>
  <si>
    <t>0.925_105_xsvt_typ</t>
  </si>
  <si>
    <t>0.925_105_xsvt_weak</t>
  </si>
  <si>
    <t>0.95_105_xsvt_strong</t>
  </si>
  <si>
    <t>0.95_105_xsvt_typ</t>
  </si>
  <si>
    <t>0.95_105_xsvt_weak</t>
  </si>
  <si>
    <t>0.975_105_xsvt_strong</t>
  </si>
  <si>
    <t>0.975_105_xsvt_typ</t>
  </si>
  <si>
    <t>0.975_105_xsvt_weak</t>
  </si>
  <si>
    <t>1_105_xsvt_strong</t>
  </si>
  <si>
    <t>1_105_xsvt_typ</t>
  </si>
  <si>
    <t>1_105_xsvt_weak</t>
  </si>
  <si>
    <t>1.025_105_xsvt_strong</t>
  </si>
  <si>
    <t>1.025_105_xsvt_typ</t>
  </si>
  <si>
    <t>1.025_105_xsvt_weak</t>
  </si>
  <si>
    <t>1.05_105_xsvt_strong</t>
  </si>
  <si>
    <t>1.05_105_xsvt_typ</t>
  </si>
  <si>
    <t>1.05_105_xsvt_weak</t>
  </si>
  <si>
    <t>1.075_105_xsvt_strong</t>
  </si>
  <si>
    <t>1.075_105_xsvt_typ</t>
  </si>
  <si>
    <t>1.075_105_xsvt_weak</t>
  </si>
  <si>
    <t>1.1_105_xsvt_strong</t>
  </si>
  <si>
    <t>1.1_105_xsvt_typ</t>
  </si>
  <si>
    <t>1.1_105_xsvt_weak</t>
  </si>
  <si>
    <t>1.125_105_xsvt_strong</t>
  </si>
  <si>
    <t>1.125_105_xsvt_typ</t>
  </si>
  <si>
    <t>1.125_105_xsvt_weak</t>
  </si>
  <si>
    <t>1.15_105_xsvt_strong</t>
  </si>
  <si>
    <t>1.15_105_xsvt_typ</t>
  </si>
  <si>
    <t>1.15_105_xsvt_weak</t>
  </si>
  <si>
    <t>1.175_105_xsvt_strong</t>
  </si>
  <si>
    <t>1.175_105_xsvt_typ</t>
  </si>
  <si>
    <t>1.175_105_xsvt_weak</t>
  </si>
  <si>
    <t>1.2_105_xsvt_strong</t>
  </si>
  <si>
    <t>1.2_105_xsvt_typ</t>
  </si>
  <si>
    <t>1.2_105_xsvt_weak</t>
  </si>
  <si>
    <t>1.225_105_xsvt_strong</t>
  </si>
  <si>
    <t>1.225_105_xsvt_typ</t>
  </si>
  <si>
    <t>1.225_105_xsvt_weak</t>
  </si>
  <si>
    <t>1.25_105_xsvt_strong</t>
  </si>
  <si>
    <t>1.25_105_xsvt_typ</t>
  </si>
  <si>
    <t>1.25_105_xsvt_weak</t>
  </si>
  <si>
    <t>1.275_105_xsvt_strong</t>
  </si>
  <si>
    <t>1.275_105_xsvt_typ</t>
  </si>
  <si>
    <t>1.275_105_xsvt_weak</t>
  </si>
  <si>
    <t>1.3_105_xsvt_strong</t>
  </si>
  <si>
    <t>1.3_105_xsvt_typ</t>
  </si>
  <si>
    <t>1.3_105_xsvt_weak</t>
  </si>
  <si>
    <t>1.325_105_xsvt_strong</t>
  </si>
  <si>
    <t>1.325_105_xsvt_typ</t>
  </si>
  <si>
    <t>1.325_105_xsvt_weak</t>
  </si>
  <si>
    <t>1.35_105_xsvt_strong</t>
  </si>
  <si>
    <t>1.35_105_xsvt_typ</t>
  </si>
  <si>
    <t>1.35_105_xsvt_weak</t>
  </si>
  <si>
    <t>1.375_105_xsvt_strong</t>
  </si>
  <si>
    <t>1.375_105_xsvt_typ</t>
  </si>
  <si>
    <t>1.375_105_xsvt_weak</t>
  </si>
  <si>
    <t>1.4_105_xsvt_strong</t>
  </si>
  <si>
    <t>1.4_105_xsvt_typ</t>
  </si>
  <si>
    <t>1.4_105_xsvt_weak</t>
  </si>
  <si>
    <t>0.9_125_xsvt_strong</t>
  </si>
  <si>
    <t>0.9_125_xsvt_typ</t>
  </si>
  <si>
    <t>0.9_125_xsvt_weak</t>
  </si>
  <si>
    <t>0.925_125_xsvt_strong</t>
  </si>
  <si>
    <t>0.925_125_xsvt_typ</t>
  </si>
  <si>
    <t>0.925_125_xsvt_weak</t>
  </si>
  <si>
    <t>0.95_125_xsvt_strong</t>
  </si>
  <si>
    <t>0.95_125_xsvt_typ</t>
  </si>
  <si>
    <t>0.95_125_xsvt_weak</t>
  </si>
  <si>
    <t>0.975_125_xsvt_strong</t>
  </si>
  <si>
    <t>0.975_125_xsvt_typ</t>
  </si>
  <si>
    <t>0.975_125_xsvt_weak</t>
  </si>
  <si>
    <t>1_125_xsvt_strong</t>
  </si>
  <si>
    <t>1_125_xsvt_typ</t>
  </si>
  <si>
    <t>1_125_xsvt_weak</t>
  </si>
  <si>
    <t>1.025_125_xsvt_strong</t>
  </si>
  <si>
    <t>1.025_125_xsvt_typ</t>
  </si>
  <si>
    <t>1.025_125_xsvt_weak</t>
  </si>
  <si>
    <t>1.05_125_xsvt_strong</t>
  </si>
  <si>
    <t>1.05_125_xsvt_typ</t>
  </si>
  <si>
    <t>1.05_125_xsvt_weak</t>
  </si>
  <si>
    <t>1.075_125_xsvt_strong</t>
  </si>
  <si>
    <t>1.075_125_xsvt_typ</t>
  </si>
  <si>
    <t>1.075_125_xsvt_weak</t>
  </si>
  <si>
    <t>1.1_125_xsvt_strong</t>
  </si>
  <si>
    <t>1.1_125_xsvt_typ</t>
  </si>
  <si>
    <t>1.1_125_xsvt_weak</t>
  </si>
  <si>
    <t>1.125_125_xsvt_strong</t>
  </si>
  <si>
    <t>1.125_125_xsvt_typ</t>
  </si>
  <si>
    <t>1.125_125_xsvt_weak</t>
  </si>
  <si>
    <t>1.15_125_xsvt_strong</t>
  </si>
  <si>
    <t>1.15_125_xsvt_typ</t>
  </si>
  <si>
    <t>1.15_125_xsvt_weak</t>
  </si>
  <si>
    <t>1.175_125_xsvt_strong</t>
  </si>
  <si>
    <t>1.175_125_xsvt_typ</t>
  </si>
  <si>
    <t>1.175_125_xsvt_weak</t>
  </si>
  <si>
    <t>1.2_125_xsvt_strong</t>
  </si>
  <si>
    <t>1.2_125_xsvt_typ</t>
  </si>
  <si>
    <t>1.2_125_xsvt_weak</t>
  </si>
  <si>
    <t>1.225_125_xsvt_strong</t>
  </si>
  <si>
    <t>1.225_125_xsvt_typ</t>
  </si>
  <si>
    <t>1.225_125_xsvt_weak</t>
  </si>
  <si>
    <t>1.25_125_xsvt_strong</t>
  </si>
  <si>
    <t>1.25_125_xsvt_typ</t>
  </si>
  <si>
    <t>1.25_125_xsvt_weak</t>
  </si>
  <si>
    <t>1.275_125_xsvt_strong</t>
  </si>
  <si>
    <t>1.275_125_xsvt_typ</t>
  </si>
  <si>
    <t>1.275_125_xsvt_weak</t>
  </si>
  <si>
    <t>1.3_125_xsvt_strong</t>
  </si>
  <si>
    <t>1.3_125_xsvt_typ</t>
  </si>
  <si>
    <t>1.3_125_xsvt_weak</t>
  </si>
  <si>
    <t>1.325_125_xsvt_strong</t>
  </si>
  <si>
    <t>1.325_125_xsvt_typ</t>
  </si>
  <si>
    <t>1.325_125_xsvt_weak</t>
  </si>
  <si>
    <t>1.35_125_xsvt_strong</t>
  </si>
  <si>
    <t>1.35_125_xsvt_typ</t>
  </si>
  <si>
    <t>1.35_125_xsvt_weak</t>
  </si>
  <si>
    <t>1.375_125_xsvt_strong</t>
  </si>
  <si>
    <t>1.375_125_xsvt_typ</t>
  </si>
  <si>
    <t>1.375_125_xsvt_weak</t>
  </si>
  <si>
    <t>1.4_125_xsvt_strong</t>
  </si>
  <si>
    <t>1.4_125_xsvt_typ</t>
  </si>
  <si>
    <t>1.4_125_xsvt_weak</t>
  </si>
  <si>
    <t>0.9_140_xsvt_strong</t>
  </si>
  <si>
    <t>0.9_140_xsvt_typ</t>
  </si>
  <si>
    <t>0.9_140_xsvt_weak</t>
  </si>
  <si>
    <t>0.925_140_xsvt_strong</t>
  </si>
  <si>
    <t>0.925_140_xsvt_typ</t>
  </si>
  <si>
    <t>0.925_140_xsvt_weak</t>
  </si>
  <si>
    <t>0.95_140_xsvt_strong</t>
  </si>
  <si>
    <t>0.95_140_xsvt_typ</t>
  </si>
  <si>
    <t>0.95_140_xsvt_weak</t>
  </si>
  <si>
    <t>0.975_140_xsvt_strong</t>
  </si>
  <si>
    <t>0.975_140_xsvt_typ</t>
  </si>
  <si>
    <t>0.975_140_xsvt_weak</t>
  </si>
  <si>
    <t>1_140_xsvt_strong</t>
  </si>
  <si>
    <t>1_140_xsvt_typ</t>
  </si>
  <si>
    <t>1_140_xsvt_weak</t>
  </si>
  <si>
    <t>1.025_140_xsvt_strong</t>
  </si>
  <si>
    <t>1.025_140_xsvt_typ</t>
  </si>
  <si>
    <t>1.025_140_xsvt_weak</t>
  </si>
  <si>
    <t>1.05_140_xsvt_strong</t>
  </si>
  <si>
    <t>1.05_140_xsvt_typ</t>
  </si>
  <si>
    <t>1.05_140_xsvt_weak</t>
  </si>
  <si>
    <t>1.075_140_xsvt_strong</t>
  </si>
  <si>
    <t>1.075_140_xsvt_typ</t>
  </si>
  <si>
    <t>1.075_140_xsvt_weak</t>
  </si>
  <si>
    <t>1.1_140_xsvt_strong</t>
  </si>
  <si>
    <t>1.1_140_xsvt_typ</t>
  </si>
  <si>
    <t>1.1_140_xsvt_weak</t>
  </si>
  <si>
    <t>1.125_140_xsvt_strong</t>
  </si>
  <si>
    <t>1.125_140_xsvt_typ</t>
  </si>
  <si>
    <t>1.125_140_xsvt_weak</t>
  </si>
  <si>
    <t>1.15_140_xsvt_strong</t>
  </si>
  <si>
    <t>1.15_140_xsvt_typ</t>
  </si>
  <si>
    <t>1.15_140_xsvt_weak</t>
  </si>
  <si>
    <t>1.175_140_xsvt_strong</t>
  </si>
  <si>
    <t>1.175_140_xsvt_typ</t>
  </si>
  <si>
    <t>1.175_140_xsvt_weak</t>
  </si>
  <si>
    <t>1.2_140_xsvt_strong</t>
  </si>
  <si>
    <t>1.2_140_xsvt_typ</t>
  </si>
  <si>
    <t>1.2_140_xsvt_weak</t>
  </si>
  <si>
    <t>1.225_140_xsvt_strong</t>
  </si>
  <si>
    <t>1.225_140_xsvt_typ</t>
  </si>
  <si>
    <t>1.225_140_xsvt_weak</t>
  </si>
  <si>
    <t>1.25_140_xsvt_strong</t>
  </si>
  <si>
    <t>1.25_140_xsvt_typ</t>
  </si>
  <si>
    <t>1.25_140_xsvt_weak</t>
  </si>
  <si>
    <t>1.275_140_xsvt_strong</t>
  </si>
  <si>
    <t>1.275_140_xsvt_typ</t>
  </si>
  <si>
    <t>1.275_140_xsvt_weak</t>
  </si>
  <si>
    <t>1.3_140_xsvt_strong</t>
  </si>
  <si>
    <t>1.3_140_xsvt_typ</t>
  </si>
  <si>
    <t>1.3_140_xsvt_weak</t>
  </si>
  <si>
    <t>1.325_140_xsvt_strong</t>
  </si>
  <si>
    <t>1.325_140_xsvt_typ</t>
  </si>
  <si>
    <t>1.325_140_xsvt_weak</t>
  </si>
  <si>
    <t>1.35_140_xsvt_strong</t>
  </si>
  <si>
    <t>1.35_140_xsvt_typ</t>
  </si>
  <si>
    <t>1.35_140_xsvt_weak</t>
  </si>
  <si>
    <t>1.375_140_xsvt_strong</t>
  </si>
  <si>
    <t>1.375_140_xsvt_typ</t>
  </si>
  <si>
    <t>1.375_140_xsvt_weak</t>
  </si>
  <si>
    <t>1.4_140_xsvt_strong</t>
  </si>
  <si>
    <t>1.4_140_xsvt_typ</t>
  </si>
  <si>
    <t>1.4_140_xsvt_weak</t>
  </si>
  <si>
    <t>0.9_150_xsvt_strong</t>
  </si>
  <si>
    <t>0.9_150_xsvt_typ</t>
  </si>
  <si>
    <t>0.9_150_xsvt_weak</t>
  </si>
  <si>
    <t>0.925_150_xsvt_strong</t>
  </si>
  <si>
    <t>0.925_150_xsvt_typ</t>
  </si>
  <si>
    <t>0.925_150_xsvt_weak</t>
  </si>
  <si>
    <t>0.95_150_xsvt_strong</t>
  </si>
  <si>
    <t>0.95_150_xsvt_typ</t>
  </si>
  <si>
    <t>0.95_150_xsvt_weak</t>
  </si>
  <si>
    <t>0.975_150_xsvt_strong</t>
  </si>
  <si>
    <t>0.975_150_xsvt_typ</t>
  </si>
  <si>
    <t>0.975_150_xsvt_weak</t>
  </si>
  <si>
    <t>1_150_xsvt_strong</t>
  </si>
  <si>
    <t>1_150_xsvt_typ</t>
  </si>
  <si>
    <t>1_150_xsvt_weak</t>
  </si>
  <si>
    <t>1.025_150_xsvt_strong</t>
  </si>
  <si>
    <t>1.025_150_xsvt_typ</t>
  </si>
  <si>
    <t>1.025_150_xsvt_weak</t>
  </si>
  <si>
    <t>1.05_150_xsvt_strong</t>
  </si>
  <si>
    <t>1.05_150_xsvt_typ</t>
  </si>
  <si>
    <t>1.05_150_xsvt_weak</t>
  </si>
  <si>
    <t>1.075_150_xsvt_strong</t>
  </si>
  <si>
    <t>1.075_150_xsvt_typ</t>
  </si>
  <si>
    <t>1.075_150_xsvt_weak</t>
  </si>
  <si>
    <t>1.1_150_xsvt_strong</t>
  </si>
  <si>
    <t>1.1_150_xsvt_typ</t>
  </si>
  <si>
    <t>1.1_150_xsvt_weak</t>
  </si>
  <si>
    <t>1.125_150_xsvt_strong</t>
  </si>
  <si>
    <t>1.125_150_xsvt_typ</t>
  </si>
  <si>
    <t>1.125_150_xsvt_weak</t>
  </si>
  <si>
    <t>1.15_150_xsvt_strong</t>
  </si>
  <si>
    <t>1.15_150_xsvt_typ</t>
  </si>
  <si>
    <t>1.15_150_xsvt_weak</t>
  </si>
  <si>
    <t>1.175_150_xsvt_strong</t>
  </si>
  <si>
    <t>1.175_150_xsvt_typ</t>
  </si>
  <si>
    <t>1.175_150_xsvt_weak</t>
  </si>
  <si>
    <t>1.2_150_xsvt_strong</t>
  </si>
  <si>
    <t>1.2_150_xsvt_typ</t>
  </si>
  <si>
    <t>1.2_150_xsvt_weak</t>
  </si>
  <si>
    <t>1.225_150_xsvt_strong</t>
  </si>
  <si>
    <t>1.225_150_xsvt_typ</t>
  </si>
  <si>
    <t>1.225_150_xsvt_weak</t>
  </si>
  <si>
    <t>1.25_150_xsvt_strong</t>
  </si>
  <si>
    <t>1.25_150_xsvt_typ</t>
  </si>
  <si>
    <t>1.25_150_xsvt_weak</t>
  </si>
  <si>
    <t>1.275_150_xsvt_strong</t>
  </si>
  <si>
    <t>1.275_150_xsvt_typ</t>
  </si>
  <si>
    <t>1.275_150_xsvt_weak</t>
  </si>
  <si>
    <t>1.3_150_xsvt_strong</t>
  </si>
  <si>
    <t>1.3_150_xsvt_typ</t>
  </si>
  <si>
    <t>1.3_150_xsvt_weak</t>
  </si>
  <si>
    <t>1.325_150_xsvt_strong</t>
  </si>
  <si>
    <t>1.325_150_xsvt_typ</t>
  </si>
  <si>
    <t>1.325_150_xsvt_weak</t>
  </si>
  <si>
    <t>1.35_150_xsvt_strong</t>
  </si>
  <si>
    <t>1.35_150_xsvt_typ</t>
  </si>
  <si>
    <t>1.35_150_xsvt_weak</t>
  </si>
  <si>
    <t>1.375_150_xsvt_strong</t>
  </si>
  <si>
    <t>1.375_150_xsvt_typ</t>
  </si>
  <si>
    <t>1.375_150_xsvt_weak</t>
  </si>
  <si>
    <t>1.4_150_xsvt_strong</t>
  </si>
  <si>
    <t>1.4_150_xsvt_typ</t>
  </si>
  <si>
    <t>1.4_150_xsvt_weak</t>
  </si>
  <si>
    <t>CPSW3</t>
  </si>
  <si>
    <t>USB2 PHY</t>
  </si>
  <si>
    <t>R5FSS AM263</t>
  </si>
  <si>
    <t>HSM AM263</t>
  </si>
  <si>
    <t>AM263</t>
  </si>
  <si>
    <t>LVT Scaling</t>
  </si>
  <si>
    <t>LVT_lkg_adj</t>
  </si>
  <si>
    <t>LVT_dyn_int_adj</t>
  </si>
  <si>
    <t>LVT_dyn_sw_adj</t>
  </si>
  <si>
    <t>Paul Radar UC test</t>
  </si>
  <si>
    <t>RGMII-1000 3.3V</t>
  </si>
  <si>
    <t>Conti UC</t>
  </si>
  <si>
    <t>Mukul Aug 2020</t>
  </si>
  <si>
    <t>&lt;2W</t>
  </si>
  <si>
    <t>I2C_0</t>
  </si>
  <si>
    <t>Char-TPR12 In Reset</t>
  </si>
  <si>
    <t>Char-TPR12 Out of Reset</t>
  </si>
  <si>
    <t>Char R5F Chrystone</t>
  </si>
  <si>
    <t>Shiv</t>
  </si>
  <si>
    <t>100 mhz Scan Shift, 40% toggle on flops, all blocks on,1.2V room temp</t>
  </si>
  <si>
    <t>VDDS18</t>
  </si>
  <si>
    <t>VDDS33</t>
  </si>
  <si>
    <t>QSPI Quad mode 3/ 80MHz</t>
  </si>
  <si>
    <t>I_mss_edma_wrapper</t>
  </si>
  <si>
    <t>I_radar_hsm_corepac</t>
  </si>
  <si>
    <t>I_debugss</t>
  </si>
  <si>
    <t>DSS L3 RAM</t>
  </si>
  <si>
    <t>Tesla Monitoring UC</t>
  </si>
  <si>
    <t>Tesla Low Power w/CPSW active</t>
  </si>
  <si>
    <t>Tesla Lowest Power Mode</t>
  </si>
  <si>
    <t>Scan Partition 0</t>
  </si>
  <si>
    <t>Changing this global constant value will adjust leakage for process by tightening the distribution.  Strong is multiplied by this value.  Nominal is left unchanged.  Weak is divided by this value.</t>
  </si>
  <si>
    <t>Changing this global constant value will adjust dynamic power for process by tightening the distribution.  Strong is multiplied by this value.  Nominal is left unchanged.  Weak is divided by this value.</t>
  </si>
  <si>
    <t>AM241</t>
  </si>
  <si>
    <t>x</t>
  </si>
  <si>
    <t>MSS Infra</t>
  </si>
  <si>
    <t>Quick approximate heavy Audio use case.</t>
  </si>
  <si>
    <t xml:space="preserve">Harman HID12 </t>
  </si>
  <si>
    <t xml:space="preserve">OOB Demo </t>
  </si>
  <si>
    <t>This use case tries to Mimic the Radar Out of the Box Demo Config</t>
  </si>
  <si>
    <t>Shiv Nagalikar</t>
  </si>
  <si>
    <t>I_cortexr5ss_wrap</t>
  </si>
  <si>
    <t>u_icss_m_wrap</t>
  </si>
  <si>
    <t>I_cpsw_3gcss_wrap</t>
  </si>
  <si>
    <t>sam263_core</t>
  </si>
  <si>
    <t>AM263 Top Level</t>
  </si>
  <si>
    <t>Subchips</t>
  </si>
  <si>
    <t>Top Level Logic</t>
  </si>
  <si>
    <t>Rest of top</t>
  </si>
  <si>
    <t>GPMC/ELM</t>
  </si>
  <si>
    <t>I_dftss_soc_wrap</t>
  </si>
  <si>
    <t>I_l2_slv0-3</t>
  </si>
  <si>
    <t>I_radar_c66_corepac</t>
  </si>
  <si>
    <t>I_cpsw_top_wrap</t>
  </si>
  <si>
    <t>l_tpr12_core</t>
  </si>
  <si>
    <t>AM273</t>
  </si>
  <si>
    <t>level 1</t>
  </si>
  <si>
    <t>level 2</t>
  </si>
  <si>
    <t>level 3</t>
  </si>
  <si>
    <t>level 4</t>
  </si>
  <si>
    <t>level 5</t>
  </si>
  <si>
    <t>I_tpr12_bsr_inst</t>
  </si>
  <si>
    <t>contains digital logic (.12% of total power and tossed into top level logic infra)</t>
  </si>
  <si>
    <t>I_tpr12_io_cfg_inst</t>
  </si>
  <si>
    <t>contains digital logic (.08% of total power and all digital - tossed into top logic infra)</t>
  </si>
  <si>
    <t>I_tpr12_padring_inst</t>
  </si>
  <si>
    <t>contains mostly IO cells(16.63% of total power and almost all analog or special supply)</t>
  </si>
  <si>
    <t>I_tpr12_pinmux_inst</t>
  </si>
  <si>
    <t>contains digital logic (0.10% of total power) and is tossed into top level logic infra.</t>
  </si>
  <si>
    <t>I_tpr12_core</t>
  </si>
  <si>
    <t>I_aurora_tx</t>
  </si>
  <si>
    <t>of digital power</t>
  </si>
  <si>
    <t>I_cbuff_lvds_top</t>
  </si>
  <si>
    <t>I_dftss_tpr_wrap</t>
  </si>
  <si>
    <t>I_lvds_ios</t>
  </si>
  <si>
    <t>&lt;-counted as analog ower (LVDS IOs)</t>
  </si>
  <si>
    <t>I_radar_csi2a_phy</t>
  </si>
  <si>
    <t>&lt;-counted as analog ower (dphy rx)</t>
  </si>
  <si>
    <t>I_radar_csi2b_phy</t>
  </si>
  <si>
    <t>I_top_ctrl</t>
  </si>
  <si>
    <t>I_top_rcm</t>
  </si>
  <si>
    <t>contains clock control and pll type power</t>
  </si>
  <si>
    <t>I_tpr12_core_fusefarm_wrap</t>
  </si>
  <si>
    <t>&lt;-counted as analog power</t>
  </si>
  <si>
    <t xml:space="preserve">…11 other blocks </t>
  </si>
  <si>
    <t>&lt;- registers, trace, jtag, probe - lumped into top logic.</t>
  </si>
  <si>
    <t>I_tpr12_func_core</t>
  </si>
  <si>
    <t>of digital power - nothing but digital below this level.</t>
  </si>
  <si>
    <t>I_rcss</t>
  </si>
  <si>
    <t>I_radar_csi2a_receiver_wrap</t>
  </si>
  <si>
    <t>I_radar_csi2b_receiver_wrap</t>
  </si>
  <si>
    <t>I_rcss_ecap</t>
  </si>
  <si>
    <t>I_rcss_edma_wrapper</t>
  </si>
  <si>
    <t>I_rcss_infra</t>
  </si>
  <si>
    <t>I_rcss_mcasp_wrap</t>
  </si>
  <si>
    <t>… 20 other  lumped into top infra</t>
  </si>
  <si>
    <t>I_proc_wrap</t>
  </si>
  <si>
    <t>I_dss</t>
  </si>
  <si>
    <t>I_dss_edma_wrapper</t>
  </si>
  <si>
    <t>I_dss_infra_mem_wrap</t>
  </si>
  <si>
    <t>I_dss_periph</t>
  </si>
  <si>
    <t>I_radar_dss_ecc_agg</t>
  </si>
  <si>
    <t>I_radar_hwa_cm4corepac</t>
  </si>
  <si>
    <t>I_radar_hwa_top</t>
  </si>
  <si>
    <t>…13 other lumped into top</t>
  </si>
  <si>
    <t>I_mss</t>
  </si>
  <si>
    <t>I_r5ss_corepac_inst</t>
  </si>
  <si>
    <t>I_l2_slv0_inst</t>
  </si>
  <si>
    <t>I_l2_slv1_inst</t>
  </si>
  <si>
    <t>I_mss_periph</t>
  </si>
  <si>
    <t>I_mss_infra_inst</t>
  </si>
  <si>
    <t>…46 others lumped into top</t>
  </si>
  <si>
    <t>The following table shows how the RTL is structurec hierachically.  You'll note that substantial subchips are buried 5 levels down.</t>
  </si>
  <si>
    <t>I_cortexr5ss_wrap_tpr12</t>
  </si>
  <si>
    <t>l_am241_core</t>
  </si>
  <si>
    <t>lvcmos_ddr_reset_3p3_1p8</t>
  </si>
  <si>
    <t>bc1833dv40dcpbfbp18ll_ssdlh</t>
  </si>
  <si>
    <t>bc1833dv40dcpbfbp18ll_od_fs_ssdlv</t>
  </si>
  <si>
    <t>bbiaslvds18hp_ssdhh</t>
  </si>
  <si>
    <t>cq1833dvdetect_ssdlv</t>
  </si>
  <si>
    <t>ihhv1833dvhyp18ll_ssdhv</t>
  </si>
  <si>
    <t>olvds18_ssdhh</t>
  </si>
  <si>
    <t>off</t>
  </si>
  <si>
    <t>uc_description</t>
  </si>
  <si>
    <t>uc_source</t>
  </si>
  <si>
    <t>uc_update</t>
  </si>
  <si>
    <t>tj</t>
  </si>
  <si>
    <t>process_corner</t>
  </si>
  <si>
    <t>weak/strong/typ</t>
  </si>
  <si>
    <t>percentage of SPICE lkg</t>
  </si>
  <si>
    <t>DSS Infra</t>
  </si>
  <si>
    <t>MSS Periph</t>
  </si>
  <si>
    <t>RCSS Infra</t>
  </si>
  <si>
    <t>Debugss</t>
  </si>
  <si>
    <t>RCSS Periph</t>
  </si>
  <si>
    <t>CSI_0</t>
  </si>
  <si>
    <t>CSI_1</t>
  </si>
  <si>
    <t>MSS L2 RAM</t>
  </si>
  <si>
    <r>
      <rPr>
        <b/>
        <sz val="9"/>
        <color theme="1"/>
        <rFont val="Calibri"/>
        <family val="2"/>
        <scheme val="minor"/>
      </rPr>
      <t>MSS:</t>
    </r>
    <r>
      <rPr>
        <sz val="9"/>
        <color theme="1"/>
        <rFont val="Calibri"/>
        <family val="2"/>
        <scheme val="minor"/>
      </rPr>
      <t xml:space="preserve">  Master Subsystem (Contains 2 R5F, CPSW, HSM, Crypto, EDMA, L1 &amp; L2 fabrics, 2 UART, 1 I2C, 2 CANFD, 2 SPI, 3 ePWM, QSPI and most of device infra)</t>
    </r>
  </si>
  <si>
    <r>
      <rPr>
        <b/>
        <sz val="9"/>
        <color theme="1"/>
        <rFont val="Calibri"/>
        <family val="2"/>
        <scheme val="minor"/>
      </rPr>
      <t xml:space="preserve">RCSS:  </t>
    </r>
    <r>
      <rPr>
        <sz val="9"/>
        <color theme="1"/>
        <rFont val="Calibri"/>
        <family val="2"/>
        <scheme val="minor"/>
      </rPr>
      <t>Radar Controller Subsystem (contains EDMA, L2 and L2 interconnect, 2 CSI/CAL, McASP, 1 eCAP, 2 SPI, 2 I2C, ATL</t>
    </r>
  </si>
  <si>
    <r>
      <rPr>
        <b/>
        <sz val="9"/>
        <color theme="1"/>
        <rFont val="Calibri"/>
        <family val="2"/>
        <scheme val="minor"/>
      </rPr>
      <t xml:space="preserve">DSS:  </t>
    </r>
    <r>
      <rPr>
        <sz val="9"/>
        <color theme="1"/>
        <rFont val="Calibri"/>
        <family val="2"/>
        <scheme val="minor"/>
      </rPr>
      <t>DSP Subsystem (Contains C66 w/384KB L2, HWA 2.0, 3.625 MB L3 Memory, EDMA, L1 &amp; L2 fabrics, Aurura debug IF, 2 UART, safety logic)</t>
    </r>
  </si>
  <si>
    <t>Hardware Security Manager</t>
  </si>
  <si>
    <t>Dual core MCU</t>
  </si>
  <si>
    <t>Ethernet Controller</t>
  </si>
  <si>
    <t>FFT Hardware Accelerator</t>
  </si>
  <si>
    <t>This section contains the peripherals connected to the LVCMOS pinmux pool (DO NOT SORT)</t>
  </si>
  <si>
    <t>This section contains analog and the high speed IO</t>
  </si>
  <si>
    <t>PLL for DSP</t>
  </si>
  <si>
    <t>PLL for infra and MCU</t>
  </si>
  <si>
    <t>PLL for peripherals</t>
  </si>
  <si>
    <t>ADC convertor</t>
  </si>
  <si>
    <t>CSI receiver (clock + 1 data lane)</t>
  </si>
  <si>
    <t>CSI receiver (1 data lane)</t>
  </si>
  <si>
    <t>LVDS transmitter for Aurora debug IF</t>
  </si>
  <si>
    <t>CAN network port</t>
  </si>
  <si>
    <t>Quad SPI Memory Interface</t>
  </si>
  <si>
    <t>Pulse Width Modulator IF</t>
  </si>
  <si>
    <t>Audio Interface</t>
  </si>
  <si>
    <t>General Purpose IO</t>
  </si>
  <si>
    <t>Capture Peripheral</t>
  </si>
  <si>
    <t>I2C Serial Port</t>
  </si>
  <si>
    <t>SPI Serial Port</t>
  </si>
  <si>
    <t>Enter Use Case Description</t>
  </si>
  <si>
    <t>Enter target power</t>
  </si>
  <si>
    <t>Enter Author of Use Case</t>
  </si>
  <si>
    <t>Date when Use Case Entered</t>
  </si>
  <si>
    <t>Junction Temperature ©</t>
  </si>
  <si>
    <t>SRAM Array Voltage (Usually 1.2)</t>
  </si>
  <si>
    <t>Core Voltage (Usually 1.2)</t>
  </si>
  <si>
    <t>strong/typ/weak</t>
  </si>
  <si>
    <t>Enter percent of SPICE stong</t>
  </si>
  <si>
    <t>soc_choices</t>
  </si>
  <si>
    <t>This list populates the drop down menu for device selection on the Control Panel Page.  Updated 10/16/21.</t>
  </si>
  <si>
    <t>sleep</t>
  </si>
  <si>
    <t>hold in reset - lowest power mode since it does not have power switchews</t>
  </si>
  <si>
    <t>ultra low power mode</t>
  </si>
  <si>
    <t>turns off SerDes and turns on a special low power channel</t>
  </si>
  <si>
    <t>Description (Arasan HS400 PHY selection)</t>
  </si>
  <si>
    <t>sdr_25mbs</t>
  </si>
  <si>
    <t>sdr_50mbs</t>
  </si>
  <si>
    <t>ddr_100mbs</t>
  </si>
  <si>
    <t>sdr_100mbs</t>
  </si>
  <si>
    <t>ddr_200mbs</t>
  </si>
  <si>
    <t>power_down</t>
  </si>
  <si>
    <t>device_fs</t>
  </si>
  <si>
    <t>device_hs</t>
  </si>
  <si>
    <t>device_ls</t>
  </si>
  <si>
    <t>device_hs_idle</t>
  </si>
  <si>
    <t>device_fs_idle</t>
  </si>
  <si>
    <t>device_ls_idle</t>
  </si>
  <si>
    <t>host_fs</t>
  </si>
  <si>
    <t>host_hs</t>
  </si>
  <si>
    <t>host_ls</t>
  </si>
  <si>
    <t>host_hs_idle</t>
  </si>
  <si>
    <t>host_fs_idle</t>
  </si>
  <si>
    <t>host_ls_idle</t>
  </si>
  <si>
    <t>on</t>
  </si>
  <si>
    <t>pll_modes</t>
  </si>
  <si>
    <t>unused</t>
  </si>
  <si>
    <t>rmii_rmii_3p3v</t>
  </si>
  <si>
    <t>rmii_3p3v</t>
  </si>
  <si>
    <t>mii_3p3v</t>
  </si>
  <si>
    <t>profinet_3p3v</t>
  </si>
  <si>
    <t>ethercat_3p3v</t>
  </si>
  <si>
    <t>rmii_rmii_1p8v</t>
  </si>
  <si>
    <t>rmii_1p8v</t>
  </si>
  <si>
    <t>mii_1p8v</t>
  </si>
  <si>
    <t>profinet_1p8v</t>
  </si>
  <si>
    <t>ethercat_1p8v</t>
  </si>
  <si>
    <t>icssm_modes</t>
  </si>
  <si>
    <t>ICSSM also has many bit banging modes and data capture modes.  We'll need to augment these drop downs to show them later</t>
  </si>
  <si>
    <t>In fact, in Sitara MPU these eQEP/PWM and other modes might be the primary use cases for industrial applications.</t>
  </si>
  <si>
    <t>mii_mii_3p3v</t>
  </si>
  <si>
    <t>mii_mii_1p8v</t>
  </si>
  <si>
    <t>ethernet_modes</t>
  </si>
  <si>
    <t>rgmii_1000_1p8v</t>
  </si>
  <si>
    <t>rgmii_100_1p8v</t>
  </si>
  <si>
    <t>rgmii_10_1p8v</t>
  </si>
  <si>
    <t>rmii_100_1p8v</t>
  </si>
  <si>
    <t>rmii_10_1p8v</t>
  </si>
  <si>
    <t>rgmii_1000_3p3v</t>
  </si>
  <si>
    <t>rgmii_100_3p3v</t>
  </si>
  <si>
    <t>rgmii_10_3p3v</t>
  </si>
  <si>
    <t>rmii_100_3p3v</t>
  </si>
  <si>
    <t>rmii_10_3p3v</t>
  </si>
  <si>
    <t>gpmc_modes</t>
  </si>
  <si>
    <t>16b_133_MHz_3p3V</t>
  </si>
  <si>
    <t>16b_100_MHz_3p3V</t>
  </si>
  <si>
    <t>16b_80_MHz_3p3V</t>
  </si>
  <si>
    <t>16b_133_MHz_1p8V</t>
  </si>
  <si>
    <t>16b_100_MHz_1p8V</t>
  </si>
  <si>
    <t>16b_80_MHz_1p8V</t>
  </si>
  <si>
    <t>sdio_modes</t>
  </si>
  <si>
    <t>used to set sdio emmc4 and emmc8 power per bit, which is then multiplied by the 7 or 11 bits in emmc4 or emmc8 to got total bundle power.</t>
  </si>
  <si>
    <t>canfd_modes</t>
  </si>
  <si>
    <t>12mbs_3p3v</t>
  </si>
  <si>
    <t>5mbs_3p3v</t>
  </si>
  <si>
    <t>1mbs_3p3v</t>
  </si>
  <si>
    <t>250kbs_3p3v</t>
  </si>
  <si>
    <t>5mbs_1p8v</t>
  </si>
  <si>
    <t>1mbs_1p8v</t>
  </si>
  <si>
    <t>250kbs_1p8v</t>
  </si>
  <si>
    <t>qspi_ddr_master_160_3p3v</t>
  </si>
  <si>
    <t>qspi_ddr_master_133_3p3v</t>
  </si>
  <si>
    <t>qspi_sdr_master_133_3p3v</t>
  </si>
  <si>
    <t>qspi_sdr_master_108_3p3v</t>
  </si>
  <si>
    <t>ospi_ddr_master_160_3p3v</t>
  </si>
  <si>
    <t>ospi_ddr_master_133_3p3v</t>
  </si>
  <si>
    <t>ospi_sdr_master_133_3p3v</t>
  </si>
  <si>
    <t>ospi_sdr_master_108_3p3v</t>
  </si>
  <si>
    <t>dpi_modes</t>
  </si>
  <si>
    <t>SD_|_640x480x60_fps_12b_|_1p8V</t>
  </si>
  <si>
    <t>SD_|_640x480x60_fps_12b_|_3p3V</t>
  </si>
  <si>
    <t>SD_|_640x480x60_fps_16b_|_1p8V</t>
  </si>
  <si>
    <t>SD_|_640x480x60_fps_16b_|_3p3V</t>
  </si>
  <si>
    <t>SD_|_640x480x60_fps_24b_|_1p8V</t>
  </si>
  <si>
    <t>SD_|_640x480x60_fps_24b_|_3p3V</t>
  </si>
  <si>
    <t>SVGA_|_800x600x60_fps_12b_|_1p8V</t>
  </si>
  <si>
    <t>SVGA_|_800x600x60_fps_12b_|_3p3V</t>
  </si>
  <si>
    <t>SVGA_|_800x600x60_fps_16b_|_1p8V</t>
  </si>
  <si>
    <t>SVGA_|_800x600x60_fps_16b_|_3p3V</t>
  </si>
  <si>
    <t>SVGA_|_800x600x60_fps_24b_|_1p8V</t>
  </si>
  <si>
    <t>SVGA_|_800x600x60_fps_24b_|_3p3V</t>
  </si>
  <si>
    <t>WVGA_|_854x480x60_fps_12b_|_1p8V</t>
  </si>
  <si>
    <t>WVGA_|_854x480x60_fps_12b_|_3p3V</t>
  </si>
  <si>
    <t>WVGA_|_854x480x60_fps_16b_|_1p8V</t>
  </si>
  <si>
    <t>WVGA_|_854x480x60_fps_16b_|_3p3V</t>
  </si>
  <si>
    <t>WVGA_|_854x480x60_fps_24b_|_1p8V</t>
  </si>
  <si>
    <t>WVGA_|_854x480x60_fps_24b_|_3p3V</t>
  </si>
  <si>
    <t>XGA_|_1024x768x60_fps_12b_|_1p8V</t>
  </si>
  <si>
    <t>XGA_|_1024x768x60_fps_12b_|_3p3V</t>
  </si>
  <si>
    <t>XGA_|_1024x768x60_fps_16b_|_1p8V</t>
  </si>
  <si>
    <t>XGA_|_1024x768x60_fps_16b_|_3p3V</t>
  </si>
  <si>
    <t>XGA_|_1024x768x60_fps_24b_|_1p8V</t>
  </si>
  <si>
    <t>XGA_|_1024x768x60_fps_24b_|_3p3V</t>
  </si>
  <si>
    <t>HD_|_1280x720x30_fps_12b_|_1p8V</t>
  </si>
  <si>
    <t>HD_|_1280x720x30_fps_12b_|_3p3V</t>
  </si>
  <si>
    <t>HD_|_1280x720x30_fps_16b_|_1p8V</t>
  </si>
  <si>
    <t>HD_|_1280x720x30_fps_16b_|_3p3V</t>
  </si>
  <si>
    <t>HD_|_1280x720x30_fps_24b_|_1p8V</t>
  </si>
  <si>
    <t>HD_|_1280x720x30_fps_24b_|_3p3V</t>
  </si>
  <si>
    <t>HD_|_1280x720x60_fps_12b_|_1p8V</t>
  </si>
  <si>
    <t>HD_|_1280x720x60_fps_12b_|_3p3V</t>
  </si>
  <si>
    <t>HD_|_1280x720x60_fps_16b_|_1p8V</t>
  </si>
  <si>
    <t>HD_|_1280x720x60_fps_16b_|_3p3V</t>
  </si>
  <si>
    <t>HD_|_1280x720x60_fps_24b_|_1p8V</t>
  </si>
  <si>
    <t>HD_|_1280x720x60_fps_24b_|_3p3V</t>
  </si>
  <si>
    <t>WXGA_|_1280x800x30_fps_12b_|_1p8V</t>
  </si>
  <si>
    <t>WXGA_|_1280x800x30_fps_12b_|_3p3V</t>
  </si>
  <si>
    <t>WXGA_|_1280x800x30_fps_16b_|_1p8V</t>
  </si>
  <si>
    <t>WXGA_|_1280x800x30_fps_16b_|_3p3V</t>
  </si>
  <si>
    <t>WXGA_|_1280x800x30_fps_24b_|_1p8V</t>
  </si>
  <si>
    <t>WXGA_|_1280x800x30_fps_24b_|_3p3V</t>
  </si>
  <si>
    <t>WXGA_|_1280x800x60_fps_12b_|_1p8V</t>
  </si>
  <si>
    <t>WXGA_|_1280x800x60_fps_12b_|_3p3V</t>
  </si>
  <si>
    <t>WXGA_|_1280x800x60_fps_16b_|_1p8V</t>
  </si>
  <si>
    <t>WXGA_|_1280x800x60_fps_16b_|_3p3V</t>
  </si>
  <si>
    <t>WXGA_|_1280x800x60_fps_18b_|_1p8V</t>
  </si>
  <si>
    <t>WXGA_|_1280x800x60_fps_18b_|_3p3V</t>
  </si>
  <si>
    <t>WXGA_|_1280x800x60_fps_24b_|_1p8V</t>
  </si>
  <si>
    <t>WXGA_|_1280x800x60_fps_24b_|_3p3V</t>
  </si>
  <si>
    <t>SXGA_|_1280x1024x30_fps_12b_|_1p8V</t>
  </si>
  <si>
    <t>SXGA_|_1280x1024x30_fps_12b_|_3p3V</t>
  </si>
  <si>
    <t>SXGA_|_1280x1024x30_fps_16b_|_1p8V</t>
  </si>
  <si>
    <t>SXGA_|_1280x1024x30_fps_16b_|_3p3V</t>
  </si>
  <si>
    <t>SXGA_|_1280x1024x30_fps_18b_|_1p8V</t>
  </si>
  <si>
    <t>SXGA_|_1280x1024x30_fps_18b_|_3p3V</t>
  </si>
  <si>
    <t>SXGA_|_1280x1024x30_fps_24b_|_1p8V</t>
  </si>
  <si>
    <t>SXGA_|_1280x1024x30_fps_24b_|_3p3V</t>
  </si>
  <si>
    <t>SXGA_|_1280x1024x60_fps_12b_|_1p8V</t>
  </si>
  <si>
    <t>SXGA_|_1280x1024x60_fps_12b_|_3p3V</t>
  </si>
  <si>
    <t>SXGA_|_1280x1024x60_fps_16b_|_1p8V</t>
  </si>
  <si>
    <t>SXGA_|_1280x1024x60_fps_16b_|_3p3V</t>
  </si>
  <si>
    <t>SXGA_|_1280x1024x60_fps_18b_|_1p8V</t>
  </si>
  <si>
    <t>SXGA_|_1280x1024x60_fps_18b_|_3p3V</t>
  </si>
  <si>
    <t>SXGA_|_1280x1024x60_fps_24b_|_1p8V</t>
  </si>
  <si>
    <t>SXGA_|_1280x1024x60_fps_24b_|_3p3V</t>
  </si>
  <si>
    <t>SXGA+_|_1400x1050x60_fps_12b_|_1p8V</t>
  </si>
  <si>
    <t>SXGA+_|_1400x1050x60_fps_12b_|_3p3V</t>
  </si>
  <si>
    <t>SXGA+_|_1400x1050x60_fps_16b_|_1p8V</t>
  </si>
  <si>
    <t>SXGA+_|_1400x1050x60_fps_16b_|_3p3V</t>
  </si>
  <si>
    <t>SXGA+_|_1400x1050x60_fps_18b_|_1p8V</t>
  </si>
  <si>
    <t>SXGA+_|_1400x1050x60_fps_18b_|_3p3V</t>
  </si>
  <si>
    <t>SXGA+_|_1400x1050x60_fps_24b_|_1p8V</t>
  </si>
  <si>
    <t>SXGA+_|_1400x1050x60_fps_24b_|_3p3V</t>
  </si>
  <si>
    <t>HD+_|_1600x900x30_fps_12b_|_1p8V</t>
  </si>
  <si>
    <t>HD+_|_1600x900x30_fps_12b_|_3p3V</t>
  </si>
  <si>
    <t>HD+_|_1600x900x30_fps_16b_|_1p8V</t>
  </si>
  <si>
    <t>HD+_|_1600x900x30_fps_16b_|_3p3V</t>
  </si>
  <si>
    <t>HD+_|_1600x900x30_fps_18b_|_1p8V</t>
  </si>
  <si>
    <t>HD+_|_1600x900x30_fps_18b_|_3p3V</t>
  </si>
  <si>
    <t>HD+_|_1600x900x30_fps_24b_|_1p8V</t>
  </si>
  <si>
    <t>HD+_|_1600x900x30_fps_24b_|_3p3V</t>
  </si>
  <si>
    <t>HD+_|_1600x900x60_fps_12b_|_1p8V</t>
  </si>
  <si>
    <t>HD+_|_1600x900x60_fps_12b_|_3p3V</t>
  </si>
  <si>
    <t>HD+_|_1600x900x60_fps_16b_|_1p8V</t>
  </si>
  <si>
    <t>HD+_|_1600x900x60_fps_16b_|_3p3V</t>
  </si>
  <si>
    <t>HD+_|_1600x900x60_fps_18b_|_1p8V</t>
  </si>
  <si>
    <t>HD+_|_1600x900x60_fps_18b_|_3p3V</t>
  </si>
  <si>
    <t>HD+_|_1600x900x60_fps_24b_|_3p3V</t>
  </si>
  <si>
    <t>UXGA_|_1600x1200x30_fps_12b_|_1p8V</t>
  </si>
  <si>
    <t>UXGA_|_1600x1200x30_fps_12b_|_3p3V</t>
  </si>
  <si>
    <t>UXGA_|_1600x1200x30_fps_16b_|_1p8V</t>
  </si>
  <si>
    <t>UXGA_|_1600x1200x30_fps_16b_|_3p3V</t>
  </si>
  <si>
    <t>UXGA_|_1600x1200x30_fps_18b_|_1p8V</t>
  </si>
  <si>
    <t>UXGA_|_1600x1200x30_fps_18b_|_3p3V</t>
  </si>
  <si>
    <t>UXGA_|_1600x1200x30_fps_24b_|_1p8V</t>
  </si>
  <si>
    <t>UXGA_|_1600x1200x30_fps_24b_|_3p3V</t>
  </si>
  <si>
    <t>UXGA_|_1600x1200x60_fps_12b_|_1p8V</t>
  </si>
  <si>
    <t>UXGA_|_1600x1200x60_fps_12b_|_3p3V</t>
  </si>
  <si>
    <t>UXGA_|_1600x1200x60_fps_16b_|_1p8V</t>
  </si>
  <si>
    <t>UXGA_|_1600x1200x60_fps_16b_|_3p3V</t>
  </si>
  <si>
    <t>UXGA_|_1600x1200x60_fps_18b_|_1p8V</t>
  </si>
  <si>
    <t>UXGA_|_1600x1200x60_fps_18b_|_3p3V</t>
  </si>
  <si>
    <t>UXGA_|_1600x1200x60_fps_24b_|_1p8V</t>
  </si>
  <si>
    <t>UXGA_|_1600x1200x60_fps_24b_|_3p3V</t>
  </si>
  <si>
    <t>Full_HD_|_1920x720x30_fps_12b_|_1p8V</t>
  </si>
  <si>
    <t>Full_HD_|_1920x720x30_fps_12b_|_3p3V</t>
  </si>
  <si>
    <t>Full_HD_|_1920x720x30_fps_16b_|_1p8V</t>
  </si>
  <si>
    <t>Full_HD_|_1920x720x30_fps_16b_|_3p3V</t>
  </si>
  <si>
    <t>Full_HD_|_1920x720x30_fps_18b_|_1p8V</t>
  </si>
  <si>
    <t>Full_HD_|_1920x720x30_fps_18b_|_3p3V</t>
  </si>
  <si>
    <t>Full_HD_|_1920x720x30_fps_24b_|_1p8V</t>
  </si>
  <si>
    <t>Full_HD_|_1920x720x30_fps_24b_|_3p3V</t>
  </si>
  <si>
    <t>Full_HD_|_1920x720x60_fps_12b_|_1p8V</t>
  </si>
  <si>
    <t>Full_HD_|_1920x720x60_fps_12b_|_3p3V</t>
  </si>
  <si>
    <t>Full_HD_|_1920x720x60_fps_16b_|_1p8V</t>
  </si>
  <si>
    <t>Full_HD_|_1920x720x60_fps_16b_|_3p3V</t>
  </si>
  <si>
    <t>Full_HD_|_1920x720x60_fps_18b_|_1p8V</t>
  </si>
  <si>
    <t>Full_HD_|_1920x720x60_fps_18b_|_3p3V</t>
  </si>
  <si>
    <t>Full_HD_|_1920x720x60_fps_24b_|_1p8V</t>
  </si>
  <si>
    <t>Full_HD_|_1920x720x60_fps_24b_|_3p3V</t>
  </si>
  <si>
    <t>Full_HD_|_1920x1080x30_fps_12b_|_1p8V</t>
  </si>
  <si>
    <t>Full_HD_|_1920x1080x30_fps_12b_|_3p3V</t>
  </si>
  <si>
    <t>Full_HD_|_1920x1080x30_fps_16b_|_1p8V</t>
  </si>
  <si>
    <t>Full_HD_|_1920x1080x30_fps_16b_|_3p3V</t>
  </si>
  <si>
    <t>Full_HD_|_1920x1080x30_fps_18b_|_1p8V</t>
  </si>
  <si>
    <t>Full_HD_|_1920x1080x30_fps_18b_|_3p3V</t>
  </si>
  <si>
    <t>Full_HD_|_1920x1080x30_fps_24b_|_1p8V</t>
  </si>
  <si>
    <t>Full_HD_|_1920x1080x30_fps_24b_|_3p3V</t>
  </si>
  <si>
    <t>Full_HD_|_1920x1080x60_fps_12b_|_1p8V</t>
  </si>
  <si>
    <t>Full_HD_|_1920x1080x60_fps_12b_|_3p3V</t>
  </si>
  <si>
    <t>Full_HD_|_1920x1080x60_fps_16b_|_1p8V</t>
  </si>
  <si>
    <t>Full_HD_|_1920x1080x60_fps_16b_|_3p3V</t>
  </si>
  <si>
    <t>Full_HD_|_1920x1080x60_fps_18b_|_1p8V</t>
  </si>
  <si>
    <t>Full_HD_|_1920x1080x60_fps_18b_|_3p3V</t>
  </si>
  <si>
    <t>Full_HD_|_1920x1080x60_fps_24b_|_1p8V</t>
  </si>
  <si>
    <t>Full_HD_|_1920x1080x60_fps_24b_|_3p3V</t>
  </si>
  <si>
    <t>2K_|_2048x1080x30_fps_18b_|_1p8V</t>
  </si>
  <si>
    <t>2K_|_2048x1080x30_fps_18b_|_3p3V</t>
  </si>
  <si>
    <t>2K_|_2048x1080x30_fps_24b_|_1p8V</t>
  </si>
  <si>
    <t>2K_|_2048x1080x30_fps_24b_|_3p3V</t>
  </si>
  <si>
    <t>2K_|_2048x1080x60_fps_18b_|_1p8V</t>
  </si>
  <si>
    <t>2K_|_2048x1080x60_fps_18b_|_3p3V</t>
  </si>
  <si>
    <t>2K_|_2048x1080x60_fps_24b_|_1p8V</t>
  </si>
  <si>
    <t>2K_|_2048x1080x60_fps_24b_|_3p3V</t>
  </si>
  <si>
    <t>mcasp_modes</t>
  </si>
  <si>
    <t>8Ch_RX_48_ksps_24b_3p3v</t>
  </si>
  <si>
    <t>4Ch_RX_48_ksps_24b_3p3v</t>
  </si>
  <si>
    <t>2Ch_RX_48_ksps_24b_3p3v</t>
  </si>
  <si>
    <t>16Ch_TX_48_ksps_24b_3p3v</t>
  </si>
  <si>
    <t>12Ch_TX_48_ksps_24b_3p3v</t>
  </si>
  <si>
    <t>8Ch_TX_48_ksps_24b_3p3v</t>
  </si>
  <si>
    <t>4Ch_TX_48_ksps_24b_3p3v</t>
  </si>
  <si>
    <t>2Ch_TX_48_ksps_24b_3p3v</t>
  </si>
  <si>
    <t>16Ch_RXTX_48ksps_24b_3p3v</t>
  </si>
  <si>
    <t>12Ch_RXTX_48_ksps_24b_3p3v</t>
  </si>
  <si>
    <t>8Ch_RXTX_48_ksps_24b_3p3v</t>
  </si>
  <si>
    <t>4Ch_RXTX_48_ksps_24b_3p3v</t>
  </si>
  <si>
    <t>2Ch_RXTX_48_ksps_24b_3p3v</t>
  </si>
  <si>
    <t>8Ch_RX_48_ksps_24b_1p8v</t>
  </si>
  <si>
    <t>4Ch_RX_48_ksps_24b_1p8v</t>
  </si>
  <si>
    <t>2Ch_RX_48_ksps_24b_1p8v</t>
  </si>
  <si>
    <t>16Ch_TX_48_ksps_24b_1p8v</t>
  </si>
  <si>
    <t>12Ch_TX_48_ksps_24b_1p8v</t>
  </si>
  <si>
    <t>8Ch_TX_48_ksps_24b_1p8v</t>
  </si>
  <si>
    <t>4Ch_TX_48_ksps_24b_1p8v</t>
  </si>
  <si>
    <t>2Ch_TX_48_ksps_24b_1p8v</t>
  </si>
  <si>
    <t>16Ch_RXTX_48ksps_24b_1p8v</t>
  </si>
  <si>
    <t>12Ch_RXTX_48_ksps_24b_1p8v</t>
  </si>
  <si>
    <t>8Ch_RXTX_48_ksps_24b_1p8v</t>
  </si>
  <si>
    <t>4Ch_RXTX_48_ksps_24b_1p8v</t>
  </si>
  <si>
    <t>2Ch_RXTX_48_ksps_24b_1p8v</t>
  </si>
  <si>
    <t>spi_modes</t>
  </si>
  <si>
    <t>Master_25_Mbaud_3p3v</t>
  </si>
  <si>
    <t>Master_12.5_Mbaud_3p3v</t>
  </si>
  <si>
    <t>Master_6.25_Mbaud_3p3v</t>
  </si>
  <si>
    <t>Master_3.125_Mbaud_3p3v</t>
  </si>
  <si>
    <t>Master_2.083_Mbaud_3p3v</t>
  </si>
  <si>
    <t>Master_1.563_Mbaud_3p3v</t>
  </si>
  <si>
    <t>Slave_25_Mbaud_3p3v</t>
  </si>
  <si>
    <t>Slave_12.5_Mbaud_3p3v</t>
  </si>
  <si>
    <t>Slave_6.25_Mbaud_3p3v</t>
  </si>
  <si>
    <t>Slave_3.125_Mbaud_3p3v</t>
  </si>
  <si>
    <t>Slave_2.083_Mbaud_3p3v</t>
  </si>
  <si>
    <t>Master_25_Mbaud_1p8v</t>
  </si>
  <si>
    <t>Master_12.5_Mbaud_1p8v</t>
  </si>
  <si>
    <t>Master_6.25_Mbaud_1p8v</t>
  </si>
  <si>
    <t>Master_3.125_Mbaud_1p8v</t>
  </si>
  <si>
    <t>Master_2.083_Mbaud_1p8v</t>
  </si>
  <si>
    <t>Master_1.563_Mbaud_1p8v</t>
  </si>
  <si>
    <t>Slave_25_Mbaud_1p8v</t>
  </si>
  <si>
    <t>Slave_12.5_Mbaud_1p8v</t>
  </si>
  <si>
    <t>Slave_6.25_Mbaud_1p8v</t>
  </si>
  <si>
    <t>Slave_3.125_Mbaud_1p8v</t>
  </si>
  <si>
    <t>Slave_2.083_Mbaud_1p8v</t>
  </si>
  <si>
    <t>i2c_400k_3p3v</t>
  </si>
  <si>
    <t>i2c_100k_3p3v</t>
  </si>
  <si>
    <t>i2c_400k_1p8v</t>
  </si>
  <si>
    <t>i2c_100k_1p8v</t>
  </si>
  <si>
    <t>i2c_od_modes</t>
  </si>
  <si>
    <t>i2c_3p4m_1p8v</t>
  </si>
  <si>
    <t>when attached to true open drain buffers (only a few are), i2c can perform up to 3.5 mbs at 1.8v and 400 kbs @ 3.3v.  The other i2c are limited to 400</t>
  </si>
  <si>
    <t>i2c_1m_1p8v</t>
  </si>
  <si>
    <t>i2c_modes</t>
  </si>
  <si>
    <t>most i2c on K3 are attached to lvcmos push/pull and emulate open drain by going high Z when driving low…these are limited to 400 kbs.</t>
  </si>
  <si>
    <t>uart_modes</t>
  </si>
  <si>
    <t>according to TRM, the uarts are limited to 3.6 mbs</t>
  </si>
  <si>
    <t>3p6m_1p8v</t>
  </si>
  <si>
    <t>most of the uarts are only 4 pins (full duplex data in and out, and two control in and out).</t>
  </si>
  <si>
    <t>1m_1p8v</t>
  </si>
  <si>
    <t>There is one uart (uart 0 in main) which can be configured as a modem (8 total pins) and has 4 more control pins (2 in and 2 out).</t>
  </si>
  <si>
    <t>112k_1p8v</t>
  </si>
  <si>
    <t>RS485 and IrDA only uses 3 signals (tx, rx, and SD output.</t>
  </si>
  <si>
    <t>3p6m_3p3v</t>
  </si>
  <si>
    <t>IrDA limited to 115.2k</t>
  </si>
  <si>
    <t>1m_3p3v</t>
  </si>
  <si>
    <t>uart and uart_modem both use the same power model…they differ only in the number of total pins (modem has 4 more control pins)</t>
  </si>
  <si>
    <t>112k_3p3v</t>
  </si>
  <si>
    <t>ecap_modes</t>
  </si>
  <si>
    <t>pwm_out_5m_3p3v</t>
  </si>
  <si>
    <t>single output feeding pulse width modulation asynchronous</t>
  </si>
  <si>
    <t>pwm_out_1m_3p3v</t>
  </si>
  <si>
    <t>pwm_out_5m_1p8v</t>
  </si>
  <si>
    <t>pwm_out_1m_1p8v</t>
  </si>
  <si>
    <t>capture_in_5m_3p3v</t>
  </si>
  <si>
    <t>capture of data coming in (audio, sensor, etc.)</t>
  </si>
  <si>
    <t>capture_in_1m_3p3v</t>
  </si>
  <si>
    <t>capture_in_5m_1p8v</t>
  </si>
  <si>
    <t>capture_in_1m_1p8v</t>
  </si>
  <si>
    <t>not muxed out.</t>
  </si>
  <si>
    <t>eqep modes</t>
  </si>
  <si>
    <t>It's mainly input power from the two quadrature inputs.  The two IOs are slow (strobe and index).  Only did 1 mbs rate at 3p3v and 1p8v</t>
  </si>
  <si>
    <t>on_3p3v</t>
  </si>
  <si>
    <t>on_1p8v</t>
  </si>
  <si>
    <t>There are many modes for pwm usage and the power is small, so keeping it simple.</t>
  </si>
  <si>
    <t>gpio_modes</t>
  </si>
  <si>
    <t>1mbs_3p3v_20pf</t>
  </si>
  <si>
    <t>GPIO are wide open and can't be modeled precisely.  Each GPIO module has 9 banks of 16 GPIO signals.</t>
  </si>
  <si>
    <t>1mbs_1p8v_20pf</t>
  </si>
  <si>
    <t>We model them instead as a single bit at 1 mbs, and users can input 10,000% if they wish to model 10 outputs at 1 mbs.</t>
  </si>
  <si>
    <t>fsi_modes</t>
  </si>
  <si>
    <t>placeholder generic options until we properly model this new interface</t>
  </si>
  <si>
    <t>lin_modes</t>
  </si>
  <si>
    <t>sdfm_modes</t>
  </si>
  <si>
    <t>fan_modes</t>
  </si>
  <si>
    <t>espi_modes</t>
  </si>
  <si>
    <t>lpc_modes</t>
  </si>
  <si>
    <t>peci_modes</t>
  </si>
  <si>
    <t>camerarx_core</t>
  </si>
  <si>
    <t>camerarx_addon</t>
  </si>
  <si>
    <t>lvds_tx</t>
  </si>
  <si>
    <t>sets interface speed for Aurora 6 LVDS TX debug interface</t>
  </si>
  <si>
    <t>usb2_modes</t>
  </si>
  <si>
    <t>USB2 PHY modes (need to build model from datasheet)</t>
  </si>
  <si>
    <t>Power lookup models for the PLLs are dependent upon frequency.</t>
  </si>
  <si>
    <t>Model Database (MDB)</t>
  </si>
  <si>
    <t>Red boxes in the Value column are "under construction" and contain placeholder values until we get modeling details.</t>
  </si>
  <si>
    <t>The table below is a named range called AIO_Table and is used everywhere in the tool.  Generally you do a lookup using the "Lookup_string" and pull the "Value" column.  It is the only data you actually use - the rest of the columns exist to enable data entry.</t>
  </si>
  <si>
    <t>In most cases, you can safely exclude values and the tool will still work.  For example, if you do not enter a state for leakage, the tool will error check and just zero it out (you obviously will be missing the leakage, but it won't tank the rest of the calculation).</t>
  </si>
  <si>
    <t>Calculation Mode Key</t>
  </si>
  <si>
    <t>Calculation Label</t>
  </si>
  <si>
    <t>Example</t>
  </si>
  <si>
    <t>AO</t>
  </si>
  <si>
    <t>Always on, so the formula is a straight lookup.  Most of these cells are zero power or have a fixed leakage (no dynamic component).</t>
  </si>
  <si>
    <t>Straight lookup</t>
  </si>
  <si>
    <t>LU</t>
  </si>
  <si>
    <t>SerDes Power: = mode_power</t>
  </si>
  <si>
    <t>Lookup and then multiply by utilization</t>
  </si>
  <si>
    <t>LUUA</t>
  </si>
  <si>
    <t>Used for LVCMOS IO only.  These rows do not pull data from the SoCDB.  They pull only from the UC sheet.  Pull utilization.  Multiply looked up value for 100% utilization by the utilization.  No leakage is calculated, because leakage is associated with the cells, whereas the LVCMOS IO power is not associated with specific cells (it comes from the overall pinmux pool of cells).  So we calculate the cell specific power in the cell rows for the LVCMOS ring, and then these LVCMOS IO power rows calculate the pinmux pool total dynamic power (board Cload and cell dynamic power combined).</t>
  </si>
  <si>
    <t>LUUB</t>
  </si>
  <si>
    <t>Used for SDIO cells on the eMMC IOs.  The method is the same as for LVCMOS IOs, except they ARE associated with specific SDIO cells.  So leakage and dynamic power are calculated here.  These are the same power calculation formulas used in the LUUA rows, except the quantity is pulled from the SoCDB (vs. a formula that sets the qty to 1 if the term "absent" is not read in the mode column).</t>
  </si>
  <si>
    <t>Lookup with utilization and WR duty cycle</t>
  </si>
  <si>
    <t>LUUD</t>
  </si>
  <si>
    <t>DDR IOs only.  Multiply the utilization by the average power of write and read.  Add the unutilized amount multiplied by the idle power.</t>
  </si>
  <si>
    <t>Slope Intercept Calculation (idle + util%*(max-idle)</t>
  </si>
  <si>
    <t>SI</t>
  </si>
  <si>
    <t>Lookup_string</t>
  </si>
  <si>
    <t>Cell_Name</t>
  </si>
  <si>
    <t>Attribute</t>
  </si>
  <si>
    <t>mode</t>
  </si>
  <si>
    <t>Calc_Mode</t>
  </si>
  <si>
    <t>comment</t>
  </si>
  <si>
    <t>Previous Value</t>
  </si>
  <si>
    <t>Area</t>
  </si>
  <si>
    <t>Subchip routed mm2</t>
  </si>
  <si>
    <t>cells</t>
  </si>
  <si>
    <t>unrounted subchip macro (mainly SRAMs)  area in mm2</t>
  </si>
  <si>
    <t>A53 CPU sub-chip - data pulled from tracker using the tag contained in the tag row</t>
  </si>
  <si>
    <t>First_SoC</t>
  </si>
  <si>
    <t>SoC which was first to use it.</t>
  </si>
  <si>
    <t>flops</t>
  </si>
  <si>
    <t>Subchip max dynamic power (tracker corner)</t>
  </si>
  <si>
    <t>freq_trk</t>
  </si>
  <si>
    <t>timing closure frequency</t>
  </si>
  <si>
    <t>Function</t>
  </si>
  <si>
    <t>Subchip Type</t>
  </si>
  <si>
    <t>kbits</t>
  </si>
  <si>
    <t>kbits of SRAM in subchip (pulled from detailed tracker SRAM listings)</t>
  </si>
  <si>
    <t>lvt16_pct</t>
  </si>
  <si>
    <t>lvt20_pct</t>
  </si>
  <si>
    <t>macro_area</t>
  </si>
  <si>
    <t>macros</t>
  </si>
  <si>
    <t>stdcell_area</t>
  </si>
  <si>
    <t>unrounted subchip standard cell area in mm2</t>
  </si>
  <si>
    <t>svt16_pct</t>
  </si>
  <si>
    <t>svt20_pct</t>
  </si>
  <si>
    <t>tag</t>
  </si>
  <si>
    <t>sam64_final</t>
  </si>
  <si>
    <t>number of macros in subchip</t>
  </si>
  <si>
    <t>ulvt16_pct</t>
  </si>
  <si>
    <t>ulvt20_pct</t>
  </si>
  <si>
    <t>Subchip Vdd dynamic idle power as a percent of Vdd tracker dyn power.</t>
  </si>
  <si>
    <t>Subchip Vdd dynamic max power as a percent of Vdd tracker dyn power.</t>
  </si>
  <si>
    <t>vdd_dyn_peak</t>
  </si>
  <si>
    <t>Subchip Vdd dynamic power peak as a % of tracker dyn power.  Max +20% for most, Joules value if simulated.</t>
  </si>
  <si>
    <t>vdd_dyn_trk</t>
  </si>
  <si>
    <t>Subchip Vdd dynamic power as provided by tracker (stdcell + SRAM perif 12.5% toggle)</t>
  </si>
  <si>
    <t>vdd_lkg</t>
  </si>
  <si>
    <t>vddr_lkg</t>
  </si>
  <si>
    <t>Subchip SRAM Array Supply Leakage</t>
  </si>
  <si>
    <t>xtors</t>
  </si>
  <si>
    <t>j7ahp_weekly_20211026 updated</t>
  </si>
  <si>
    <t>Beachfront</t>
  </si>
  <si>
    <t>mm of IO periphery space occupied by the cell in X or Y direction.</t>
  </si>
  <si>
    <t>Backplane hard IP - most was first used on J7ES, but a few were added later.</t>
  </si>
  <si>
    <t>Pins</t>
  </si>
  <si>
    <t>Date when initial MDB was loaded</t>
  </si>
  <si>
    <t>vdd_dyn</t>
  </si>
  <si>
    <t>vddh1_dyn</t>
  </si>
  <si>
    <t>vddh1_lkg</t>
  </si>
  <si>
    <t>canfd</t>
  </si>
  <si>
    <t>See LVCMOS estimation tool for parameters (Cload etc.)</t>
  </si>
  <si>
    <t>LVCMOS VDDS power estimation</t>
  </si>
  <si>
    <t>Pinmux</t>
  </si>
  <si>
    <t>vddh2_dyn</t>
  </si>
  <si>
    <t>vddh2_lkg</t>
  </si>
  <si>
    <t>dpi</t>
  </si>
  <si>
    <t>See LVCMOS estimation tool for parameters (Cload etc.).  DPI = Display Port &amp; is higher power.</t>
  </si>
  <si>
    <t>full hd 24 bit pixels</t>
  </si>
  <si>
    <t>ecap</t>
  </si>
  <si>
    <t>See LVCMOS estimation tool for parameters (Cload etc.).  eCAP is low power</t>
  </si>
  <si>
    <t>eCAP can be used either for PWM capture of audio samples, rotating machinery data, hall sensor data, or time measurements.</t>
  </si>
  <si>
    <t>pinmux</t>
  </si>
  <si>
    <t>1 input or 1 output</t>
  </si>
  <si>
    <t>It is either input or output and can have various rates.</t>
  </si>
  <si>
    <t>in capture mode, there is a very tiny bit of VDDS power through input buffers…but not much.</t>
  </si>
  <si>
    <t>vdda_dyn</t>
  </si>
  <si>
    <t>vdda_lkg</t>
  </si>
  <si>
    <t>epwm</t>
  </si>
  <si>
    <t>See LVCMOS estimation tool for parameters (Cload etc.).  ePWM is low power</t>
  </si>
  <si>
    <t>pwm on J7ES has 14 outputs and I inputs for 6 pwm modules (they vary on pins).  This is an average of 3 per module.</t>
  </si>
  <si>
    <t>due to the variance in number of signal IOs, putting in a conservative (but small) value for vdd activity power on the interface</t>
  </si>
  <si>
    <t>eqep</t>
  </si>
  <si>
    <t>See LVCMOS estimation tool for parameters (Cload etc.).  eQEP is low power</t>
  </si>
  <si>
    <t>eQEP has 2 inputs for quadrature clock and direction counts and two IOs for strobe an an index io.  It's low power.</t>
  </si>
  <si>
    <t>quadrature input A and B, index IO, Strobe IO</t>
  </si>
  <si>
    <t>1p8v with 1 mbs</t>
  </si>
  <si>
    <t>3p3v on mode at 1 mbs with outputs 25 pf.</t>
  </si>
  <si>
    <t>espi</t>
  </si>
  <si>
    <t>See LVCMOS estimation tool for parameters (Cload etc.).  eSPI does not exist yet (For BMC)</t>
  </si>
  <si>
    <t>The power math for uart modem and uart are the same - and the modes offered are the same.  The pins they use are different (8 vs. 4)</t>
  </si>
  <si>
    <t>ethernet</t>
  </si>
  <si>
    <t>See LVCMOS estimation tool for parameters (Cload etc.).  Ethernet is a higher power peripheral</t>
  </si>
  <si>
    <t>RGMII port</t>
  </si>
  <si>
    <t>fan</t>
  </si>
  <si>
    <t>See LVCMOS estimation tool for parameters (Cload etc.).  FAN does not exist yet (for BMC)</t>
  </si>
  <si>
    <t>fsi</t>
  </si>
  <si>
    <t>See LVCMOS estimation tool for parameters (Cload etc.).  FSI is a lower power IO.</t>
  </si>
  <si>
    <t>See LVCMOS estimation tool for parameters (Cload etc.).  Models OSPI/QSPI/Hyperbus</t>
  </si>
  <si>
    <t>13 for hyperbus, 10 for OSPI</t>
  </si>
  <si>
    <t>ospi_ddr_master_133_1p8v</t>
  </si>
  <si>
    <t>ospi_ddr_master_160_1p8v</t>
  </si>
  <si>
    <t>ospi_sdr_master_108_1p8v</t>
  </si>
  <si>
    <t>ospi_sdr_master_133_1p8v</t>
  </si>
  <si>
    <t>qspi_ddr_master_133_1p8v</t>
  </si>
  <si>
    <t>qspi_ddr_master_160_1p8v</t>
  </si>
  <si>
    <t>qspi_sdr_master_108_1p8v</t>
  </si>
  <si>
    <t>qspi_sdr_master_133_1p8v</t>
  </si>
  <si>
    <t>See LVCMOS estimation tool for parameters (Cload etc.).  Models OSPI/QSPI only</t>
  </si>
  <si>
    <t>gpio</t>
  </si>
  <si>
    <t>See LVCMOS estimation tool for parameters (Cload etc.).  Kind of impossible to accuraely model GPIO, since we don't know what they do by definition.</t>
  </si>
  <si>
    <t>modeling just 1 bit of GPIO as a 1 mbs output into 25 pf.  The GPIO module can support 16 IO and 9 banks…so you have to overload it to emulate</t>
  </si>
  <si>
    <t>gpmc</t>
  </si>
  <si>
    <t>See LVCMOS estimation tool for parameters (Cload etc.).  GPMC is a higher power LVCMOS peripheral</t>
  </si>
  <si>
    <t>16 bit GPMC full width</t>
  </si>
  <si>
    <t>i2c</t>
  </si>
  <si>
    <t>See LVCMOS estimation tool for parameters (Cload etc.).  I2C is a very low power peripheral</t>
  </si>
  <si>
    <t>LVCMOS attached I2C emulate the Open drain by going Hi-Z…and are limited to 400 kbs or less (most of the I2C are like this)</t>
  </si>
  <si>
    <t>i2c_od</t>
  </si>
  <si>
    <t>See LVCMOS estimation tool for parameters (Cload etc.).  I2C open drain goes up to 3.4 mts but is still very low power</t>
  </si>
  <si>
    <t>with true open drainbuffer, the i2c can run up to 3.4 mbs if 1.8V…but 3.3v is limited to 400 kbs or less.</t>
  </si>
  <si>
    <t>icssm</t>
  </si>
  <si>
    <t>See LVCMOS estimation tool for parameters (Cload etc.).  ICSSM is medium power and has many modes</t>
  </si>
  <si>
    <t>dual rmii mode pin count</t>
  </si>
  <si>
    <t>j7am_jtag_id</t>
  </si>
  <si>
    <t>lin</t>
  </si>
  <si>
    <t>See LVCMOS estimation tool for parameters (Cload etc.).  LIN is for MCU and is low power</t>
  </si>
  <si>
    <t>lpc</t>
  </si>
  <si>
    <t>See LVCMOS estimation tool for parameters (Cload etc.).  LPC is for BMC apps in MCU and Sitara and will be lower power</t>
  </si>
  <si>
    <t>mcasp</t>
  </si>
  <si>
    <t>See LVCMOS estimation tool for parameters (Cload etc.).  McASP is medium power since it can have many IOs at modest frequency.</t>
  </si>
  <si>
    <t>16 channel tx/rx mode</t>
  </si>
  <si>
    <t>Future 3.3V 12b ADC to be used on MCU+ products.  Same basic footprint as current 1.8V ADC used in Jacinto and Sitara MPU.</t>
  </si>
  <si>
    <t>High Frequency Oscillator to generate clock going to PLLs</t>
  </si>
  <si>
    <t>peci</t>
  </si>
  <si>
    <t>See LVCMOS estimation tool for parameters (Cload etc.).  PECI is for BMC apps in MCU and does not yet exist - lower power</t>
  </si>
  <si>
    <t>PLL used for every device and application except J7ES and MLB on all devices</t>
  </si>
  <si>
    <t>PLL used for MOST150 to reduce jitter.</t>
  </si>
  <si>
    <t>USB2 PHY from Cadence.  Used with every USB2 or USB3 controller and usually grouped into the subchip with the controller.  For power reasons we split it out and subtract the PHY area from the subchip, since Voltus cannot model it's power.</t>
  </si>
  <si>
    <t>USB2 PHY - averaging transmit and receive power assuming 50/50 write / read.</t>
  </si>
  <si>
    <t>USB2 PHY - device and host idle power is similar except for 3.3v rail</t>
  </si>
  <si>
    <t>Power_down</t>
  </si>
  <si>
    <t>USB2 PHY - Powered down and "disconnected/disabled" are essentially the same power</t>
  </si>
  <si>
    <t>USB2 PHY used device mode suspend - host and device are very similar and suspend is essentially equal to sleep mode.</t>
  </si>
  <si>
    <t>USB2 PHY  - the datasheet does not specify leakage - it just shows total power.  I leave a model slot but put 0 in it.</t>
  </si>
  <si>
    <t>sdfm</t>
  </si>
  <si>
    <t>See LVCMOS estimation tool for parameters (Cload etc.).  SDFM is a future IO planned for MCU+ (it exists in 45.m on AM263) and will be lower power.</t>
  </si>
  <si>
    <t>spi</t>
  </si>
  <si>
    <t>See LVCMOS estimation tool for parameters (Cload etc.).  SPI has the potential to be a medium powered IO if used at 40 mbs.</t>
  </si>
  <si>
    <t>uart</t>
  </si>
  <si>
    <t>See LVCMOS estimation tool for parameters (Cload etc.).  UARTs don't have a lot of IOs or high speed, so they are low power</t>
  </si>
  <si>
    <t>uart_modem</t>
  </si>
  <si>
    <t>all uarts except uart0 in the main domain are 4 or 3 pin interfaces.  Uart0 can do a modem interface with 8 pins.</t>
  </si>
  <si>
    <t>qspi_modes</t>
  </si>
  <si>
    <t>qspi</t>
  </si>
  <si>
    <t>example</t>
  </si>
  <si>
    <t>osvt_pct</t>
  </si>
  <si>
    <t>xsvt_pct</t>
  </si>
  <si>
    <t>svt_pct</t>
  </si>
  <si>
    <t>lvt_pct</t>
  </si>
  <si>
    <t>beachfront</t>
  </si>
  <si>
    <t>pins</t>
  </si>
  <si>
    <t>area</t>
  </si>
  <si>
    <t>vdd_dyn_int</t>
  </si>
  <si>
    <t>vdd_dyn_sw</t>
  </si>
  <si>
    <t>vdd_dyn_idle_pct</t>
  </si>
  <si>
    <t>vdd_dyn_max_pct</t>
  </si>
  <si>
    <t>vdd_dyn_peak_pct</t>
  </si>
  <si>
    <t>accuracy_grade</t>
  </si>
  <si>
    <t>function</t>
  </si>
  <si>
    <t>data_source</t>
  </si>
  <si>
    <t>voltus</t>
  </si>
  <si>
    <t>pg1</t>
  </si>
  <si>
    <t>estimate</t>
  </si>
  <si>
    <t>PLL</t>
  </si>
  <si>
    <t>rev_0p8p2</t>
  </si>
  <si>
    <t>Datasheet revision</t>
  </si>
  <si>
    <t>1.8V power</t>
  </si>
  <si>
    <t>VDD supply power</t>
  </si>
  <si>
    <t>Not listed in datasheet</t>
  </si>
  <si>
    <t>first_soc</t>
  </si>
  <si>
    <t>description</t>
  </si>
  <si>
    <t>clocking</t>
  </si>
  <si>
    <t>am273</t>
  </si>
  <si>
    <t>ver_1p0</t>
  </si>
  <si>
    <t>This is a core macro (no IO pins)</t>
  </si>
  <si>
    <t>based on 32k, since cound not find 10k sheet</t>
  </si>
  <si>
    <t>all current is sourced from the 3.3V supply through LDO if in 1.8V mode</t>
  </si>
  <si>
    <t>0.5 mA strong 150C</t>
  </si>
  <si>
    <t>5 uA 150C strong</t>
  </si>
  <si>
    <t>not specified</t>
  </si>
  <si>
    <t>am263</t>
  </si>
  <si>
    <t>fuserom</t>
  </si>
  <si>
    <t>assumed maximum size of 41 bits x 64 rows)</t>
  </si>
  <si>
    <t>again - assumed maximum config of 41x64</t>
  </si>
  <si>
    <t>rev 1p0p2</t>
  </si>
  <si>
    <t>March 2008 datasheet by John Rosher and Lee Collins</t>
  </si>
  <si>
    <t>VDD leakage was specified 25C, nominal, 1.2V.  Scaled to 140C strong (87x)</t>
  </si>
  <si>
    <t>read</t>
  </si>
  <si>
    <t>VDD will have leakage only in disable state</t>
  </si>
  <si>
    <t>btmonitor_ssdhb</t>
  </si>
  <si>
    <t>ver 0p1</t>
  </si>
  <si>
    <t>April 2011 Kartik Shenoyt and Rajesh Yadav</t>
  </si>
  <si>
    <t>11X 105c 1.1V listed leakage</t>
  </si>
  <si>
    <t>11X 105C 1.1V listed leakage for power switch on</t>
  </si>
  <si>
    <t>1.7 uW * 11x to scale from 105c 1.1V to 140c 1.2V</t>
  </si>
  <si>
    <t>20.2 uW * 11x to scale from 105c 1.1V to 140c 1.2V</t>
  </si>
  <si>
    <t>ULP is stated to be leakage only</t>
  </si>
  <si>
    <t>1.1 mA into 1.8V</t>
  </si>
  <si>
    <t>LP mode is .25 mA per lane</t>
  </si>
  <si>
    <t>HS mode is 2 ma per lane</t>
  </si>
  <si>
    <t>LP mode is .1 mA per lane</t>
  </si>
  <si>
    <t>HS is 0.5 + 0.2 mA for core</t>
  </si>
  <si>
    <t>HS is 0.2 mA for addon</t>
  </si>
  <si>
    <t>3+2 mA into 1.8V</t>
  </si>
  <si>
    <t>ver 1p0</t>
  </si>
  <si>
    <t>July 2009 Vikas Sinha</t>
  </si>
  <si>
    <t>lvcmos</t>
  </si>
  <si>
    <t>taken from power calc xls from 2012.  Dynamic power is calculated with the lvcmos interface type models (not attached to buffers here)</t>
  </si>
  <si>
    <t>c</t>
  </si>
  <si>
    <t>2012 datasheets</t>
  </si>
  <si>
    <t>no datasheet</t>
  </si>
  <si>
    <t>don't have leakage data.  Dynamic power counted in power of analog that gets 1.8V power by adding 3.3V to that.</t>
  </si>
  <si>
    <t>don't have any data on the voltage monitor</t>
  </si>
  <si>
    <t>hardened subchip with all PLL and other wakeup</t>
  </si>
  <si>
    <t>used for Aurora</t>
  </si>
  <si>
    <t>ver 0p7</t>
  </si>
  <si>
    <t>Subchip data calculated 11/1/21</t>
  </si>
  <si>
    <t>u_icss_m_wrap_0</t>
  </si>
  <si>
    <t>block name</t>
  </si>
  <si>
    <t>Total mW</t>
  </si>
  <si>
    <t>Power Domain Status</t>
  </si>
  <si>
    <t>Dyn_calc_method</t>
  </si>
  <si>
    <t>pd</t>
  </si>
  <si>
    <t>vdd</t>
  </si>
  <si>
    <t>scan_partition</t>
  </si>
  <si>
    <t>uc_target_mw</t>
  </si>
  <si>
    <t>vdd_core_voltage</t>
  </si>
  <si>
    <t>VD_Core vdd_core_sram_voltage</t>
  </si>
  <si>
    <t>vdd_core_sram_voltage</t>
  </si>
  <si>
    <t>This is the bulk of the chip (82.97% of power and 99.7% of VDD power and all of vdd_core_sram_voltage power)</t>
  </si>
  <si>
    <t>leakage_margin</t>
  </si>
  <si>
    <t>1000 and 2000 are the only power points given in the datasheets (no formulas)</t>
  </si>
  <si>
    <t>Therefore, those two are entered into the models and the user picks the frequency that is closest to what they are using.</t>
  </si>
  <si>
    <t>BLUE BOXES HAVE LOOKUP STRINGS USING A DIFFERENT FORMULA THAN THE GENERIC onE, BECAUSE THEY MUST INCLUDE THE MODE IN THE LOOKUP.  OTHER FIELDS ARE MODE AGNOSTIC.</t>
  </si>
  <si>
    <t>Always on</t>
  </si>
  <si>
    <t>using double ecap pwm power to estimate the on power.</t>
  </si>
  <si>
    <t>See LVCMOS estimation tool for parameters (Cload etc.).  one UART in Jacinto and Sitara is bonded out as a Modem type and has more IOs, but it's still low power.</t>
  </si>
  <si>
    <t>All core subchips use SI mode.  Add the idle power to the utilization multiplied by (max-idle).  If Power Domain is off or freq is zero, zero it.</t>
  </si>
  <si>
    <t>adc12b</t>
  </si>
  <si>
    <t>adpllj</t>
  </si>
  <si>
    <t>cmpss</t>
  </si>
  <si>
    <t>dac12b</t>
  </si>
  <si>
    <t>hsdivider</t>
  </si>
  <si>
    <t>i_cortexr5ss_wrap</t>
  </si>
  <si>
    <t>i_cortexr5ss_wrap_tpr12</t>
  </si>
  <si>
    <t>i_cpsw_3gcss_wrap</t>
  </si>
  <si>
    <t>i_cpsw_top_wrap</t>
  </si>
  <si>
    <t>i_radar_c66_corepac</t>
  </si>
  <si>
    <t>i_radar_hsm_corepac</t>
  </si>
  <si>
    <t>n16ffc_hfxosc</t>
  </si>
  <si>
    <t>pllts16ffclafracf</t>
  </si>
  <si>
    <t>pmclkcio</t>
  </si>
  <si>
    <t>radar_hsm</t>
  </si>
  <si>
    <t>radar_hwa_top</t>
  </si>
  <si>
    <t>radar_mcasp_wrap</t>
  </si>
  <si>
    <t>rcosc10k</t>
  </si>
  <si>
    <t>rcosc32k</t>
  </si>
  <si>
    <t>vmon</t>
  </si>
  <si>
    <t>vsldo</t>
  </si>
  <si>
    <t>_core</t>
  </si>
  <si>
    <t>_per</t>
  </si>
  <si>
    <t>_dsp</t>
  </si>
  <si>
    <t>_a</t>
  </si>
  <si>
    <t>_a_0</t>
  </si>
  <si>
    <t>_a_1</t>
  </si>
  <si>
    <t>_a_2</t>
  </si>
  <si>
    <t>util</t>
  </si>
  <si>
    <t>_20</t>
  </si>
  <si>
    <t>_21</t>
  </si>
  <si>
    <t>_22</t>
  </si>
  <si>
    <t>_23</t>
  </si>
  <si>
    <t>_24</t>
  </si>
  <si>
    <t>_25</t>
  </si>
  <si>
    <t>_26</t>
  </si>
  <si>
    <t>_27</t>
  </si>
  <si>
    <t>_28</t>
  </si>
  <si>
    <t>_29</t>
  </si>
  <si>
    <t>icssm_io_0</t>
  </si>
  <si>
    <t>mmcsd_0</t>
  </si>
  <si>
    <t>lin_0</t>
  </si>
  <si>
    <t>lin_1</t>
  </si>
  <si>
    <t>lin_2</t>
  </si>
  <si>
    <t>lin_3</t>
  </si>
  <si>
    <t>lin_4</t>
  </si>
  <si>
    <t>spi_0</t>
  </si>
  <si>
    <t>spi_1</t>
  </si>
  <si>
    <t>spi_2</t>
  </si>
  <si>
    <t>spi_3</t>
  </si>
  <si>
    <t>spi_4</t>
  </si>
  <si>
    <t>uart_0</t>
  </si>
  <si>
    <t>uart_1</t>
  </si>
  <si>
    <t>uart_2</t>
  </si>
  <si>
    <t>uart_3</t>
  </si>
  <si>
    <t>uart_4</t>
  </si>
  <si>
    <t>uart_5</t>
  </si>
  <si>
    <t>ecap_0</t>
  </si>
  <si>
    <t>ecap_1</t>
  </si>
  <si>
    <t>ecap_2</t>
  </si>
  <si>
    <t>ecap_3</t>
  </si>
  <si>
    <t>ecap_4</t>
  </si>
  <si>
    <t>ecap_5</t>
  </si>
  <si>
    <t>ecap_6</t>
  </si>
  <si>
    <t>ecap_7</t>
  </si>
  <si>
    <t>ecap_8</t>
  </si>
  <si>
    <t>ecap_9</t>
  </si>
  <si>
    <t>gpio_0</t>
  </si>
  <si>
    <t>gpio_1</t>
  </si>
  <si>
    <t>gpio_2</t>
  </si>
  <si>
    <t>gpio_3</t>
  </si>
  <si>
    <t>lu</t>
  </si>
  <si>
    <t>8mbs_1p8v</t>
  </si>
  <si>
    <t>8mbs_3p3v</t>
  </si>
  <si>
    <t>canfd_3</t>
  </si>
  <si>
    <t>canfd_1</t>
  </si>
  <si>
    <t>canfd_0</t>
  </si>
  <si>
    <t>epwm_0</t>
  </si>
  <si>
    <t>epwm_1</t>
  </si>
  <si>
    <t>epwm_2</t>
  </si>
  <si>
    <t>epwm_3</t>
  </si>
  <si>
    <t>epwm_4</t>
  </si>
  <si>
    <t>epwm_5</t>
  </si>
  <si>
    <t>epwm_10</t>
  </si>
  <si>
    <t>epwm_11</t>
  </si>
  <si>
    <t>epwm_12</t>
  </si>
  <si>
    <t>epwm_13</t>
  </si>
  <si>
    <t>epwm_14</t>
  </si>
  <si>
    <t>epwm_15</t>
  </si>
  <si>
    <t>epwm_16</t>
  </si>
  <si>
    <t>epwm_17</t>
  </si>
  <si>
    <t>epwm_18</t>
  </si>
  <si>
    <t>epwm_19</t>
  </si>
  <si>
    <t>epwm_20</t>
  </si>
  <si>
    <t>epwm_21</t>
  </si>
  <si>
    <t>epwm_22</t>
  </si>
  <si>
    <t>epwm_23</t>
  </si>
  <si>
    <t>epwm_24</t>
  </si>
  <si>
    <t>epwm_25</t>
  </si>
  <si>
    <t>epwm_26</t>
  </si>
  <si>
    <t>epwm_27</t>
  </si>
  <si>
    <t>epwm_28</t>
  </si>
  <si>
    <t>epwm_29</t>
  </si>
  <si>
    <t>epwm_6</t>
  </si>
  <si>
    <t>epwm_7</t>
  </si>
  <si>
    <t>epwm_8</t>
  </si>
  <si>
    <t>epwm_9</t>
  </si>
  <si>
    <t>canfd_2</t>
  </si>
  <si>
    <t>Qspi_0</t>
  </si>
  <si>
    <t>uart_1.536 mbs</t>
  </si>
  <si>
    <t>ehternet_port_0</t>
  </si>
  <si>
    <t>adpllj_core</t>
  </si>
  <si>
    <t>adpllj_per</t>
  </si>
  <si>
    <t>cmpss_0</t>
  </si>
  <si>
    <t>cmpss_1</t>
  </si>
  <si>
    <t>cmpss_2</t>
  </si>
  <si>
    <t>cmpss_3</t>
  </si>
  <si>
    <t>cmpss_4</t>
  </si>
  <si>
    <t>cmpss_5</t>
  </si>
  <si>
    <t>cmpss_6</t>
  </si>
  <si>
    <t>cmpss_7</t>
  </si>
  <si>
    <t>cmpss_8</t>
  </si>
  <si>
    <t>cmpss_9</t>
  </si>
  <si>
    <t>cmpss_10</t>
  </si>
  <si>
    <t>cmpss_11</t>
  </si>
  <si>
    <t>cmpss_12</t>
  </si>
  <si>
    <t>cmpss_13</t>
  </si>
  <si>
    <t>cmpss_14</t>
  </si>
  <si>
    <t>cmpss_15</t>
  </si>
  <si>
    <t>cmpss_16</t>
  </si>
  <si>
    <t>cmpss_17</t>
  </si>
  <si>
    <t>cmpss_18</t>
  </si>
  <si>
    <t>cmpss_19</t>
  </si>
  <si>
    <t>adc12b_0</t>
  </si>
  <si>
    <t>adc12b_1</t>
  </si>
  <si>
    <t>adc12b_2</t>
  </si>
  <si>
    <t>adc12b_3</t>
  </si>
  <si>
    <t>adc12b_4</t>
  </si>
  <si>
    <t>_port_0</t>
  </si>
  <si>
    <t>_port_1</t>
  </si>
  <si>
    <t>gpmc_0</t>
  </si>
  <si>
    <t>ospi_modes</t>
  </si>
  <si>
    <t>epwm_modes</t>
  </si>
  <si>
    <t>ospi</t>
  </si>
  <si>
    <t>icssm_io</t>
  </si>
  <si>
    <t>dac12b_0</t>
  </si>
  <si>
    <t>usused</t>
  </si>
  <si>
    <t>master_25_mbaud_3p3v</t>
  </si>
  <si>
    <t>master_12.5_mbaud_3p3v</t>
  </si>
  <si>
    <t>master_6.25_mbaud_3p3v</t>
  </si>
  <si>
    <t>master_3.125_mbaud_3p3v</t>
  </si>
  <si>
    <t>master_2.083_mbaud_3p3v</t>
  </si>
  <si>
    <t>master_1.563_mbaud_3p3v</t>
  </si>
  <si>
    <t>slave_25_mbaud_3p3v</t>
  </si>
  <si>
    <t>slave_12.5_mbaud_3p3v</t>
  </si>
  <si>
    <t>slave_6.25_mbaud_3p3v</t>
  </si>
  <si>
    <t>slave_3.125_mbaud_3p3v</t>
  </si>
  <si>
    <t>slave_2.083_mbaud_3p3v</t>
  </si>
  <si>
    <t>slave_25_mbaud_1p8v</t>
  </si>
  <si>
    <t>8ch_rx_48_ksps_24b_3p3v</t>
  </si>
  <si>
    <t>4ch_rx_48_ksps_24b_3p3v</t>
  </si>
  <si>
    <t>2ch_rx_48_ksps_24b_3p3v</t>
  </si>
  <si>
    <t>16ch_tx_48_ksps_24b_3p3v</t>
  </si>
  <si>
    <t>12ch_tx_48_ksps_24b_3p3v</t>
  </si>
  <si>
    <t>8ch_tx_48_ksps_24b_3p3v</t>
  </si>
  <si>
    <t>4ch_tx_48_ksps_24b_3p3v</t>
  </si>
  <si>
    <t>2ch_tx_48_ksps_24b_3p3v</t>
  </si>
  <si>
    <t>16ch_rxtx_48ksps_24b_3p3v</t>
  </si>
  <si>
    <t>12ch_rxtx_48_ksps_24b_3p3v</t>
  </si>
  <si>
    <t>8ch_rxtx_48_ksps_24b_3p3v</t>
  </si>
  <si>
    <t>4ch_rxtx_48_ksps_24b_3p3v</t>
  </si>
  <si>
    <t>2ch_rxtx_48_ksps_24b_3p3v</t>
  </si>
  <si>
    <t>8ch_rx_48_ksps_24b_1p8v</t>
  </si>
  <si>
    <t>4ch_rx_48_ksps_24b_1p8v</t>
  </si>
  <si>
    <t>2ch_rx_48_ksps_24b_1p8v</t>
  </si>
  <si>
    <t>16ch_tx_48_ksps_24b_1p8v</t>
  </si>
  <si>
    <t>12ch_tx_48_ksps_24b_1p8v</t>
  </si>
  <si>
    <t>8ch_tx_48_ksps_24b_1p8v</t>
  </si>
  <si>
    <t>4ch_tx_48_ksps_24b_1p8v</t>
  </si>
  <si>
    <t>2ch_tx_48_ksps_24b_1p8v</t>
  </si>
  <si>
    <t>16ch_rxtx_48ksps_24b_1p8v</t>
  </si>
  <si>
    <t>12ch_rxtx_48_ksps_24b_1p8v</t>
  </si>
  <si>
    <t>8ch_rxtx_48_ksps_24b_1p8v</t>
  </si>
  <si>
    <t>4ch_rxtx_48_ksps_24b_1p8v</t>
  </si>
  <si>
    <t>2ch_rxtx_48_ksps_24b_1p8v</t>
  </si>
  <si>
    <t>sd_|_640x480x60_fps_12b_|_1p8v</t>
  </si>
  <si>
    <t>sd_|_640x480x60_fps_12b_|_3p3v</t>
  </si>
  <si>
    <t>sd_|_640x480x60_fps_16b_|_1p8v</t>
  </si>
  <si>
    <t>sd_|_640x480x60_fps_16b_|_3p3v</t>
  </si>
  <si>
    <t>sd_|_640x480x60_fps_24b_|_1p8v</t>
  </si>
  <si>
    <t>sd_|_640x480x60_fps_24b_|_3p3v</t>
  </si>
  <si>
    <t>svga_|_800x600x60_fps_12b_|_1p8v</t>
  </si>
  <si>
    <t>svga_|_800x600x60_fps_12b_|_3p3v</t>
  </si>
  <si>
    <t>svga_|_800x600x60_fps_16b_|_1p8v</t>
  </si>
  <si>
    <t>svga_|_800x600x60_fps_16b_|_3p3v</t>
  </si>
  <si>
    <t>svga_|_800x600x60_fps_24b_|_1p8v</t>
  </si>
  <si>
    <t>svga_|_800x600x60_fps_24b_|_3p3v</t>
  </si>
  <si>
    <t>wvga_|_854x480x60_fps_12b_|_1p8v</t>
  </si>
  <si>
    <t>wvga_|_854x480x60_fps_12b_|_3p3v</t>
  </si>
  <si>
    <t>wvga_|_854x480x60_fps_16b_|_1p8v</t>
  </si>
  <si>
    <t>wvga_|_854x480x60_fps_16b_|_3p3v</t>
  </si>
  <si>
    <t>wvga_|_854x480x60_fps_24b_|_1p8v</t>
  </si>
  <si>
    <t>wvga_|_854x480x60_fps_24b_|_3p3v</t>
  </si>
  <si>
    <t>xga_|_1024x768x60_fps_12b_|_1p8v</t>
  </si>
  <si>
    <t>xga_|_1024x768x60_fps_12b_|_3p3v</t>
  </si>
  <si>
    <t>xga_|_1024x768x60_fps_16b_|_1p8v</t>
  </si>
  <si>
    <t>xga_|_1024x768x60_fps_16b_|_3p3v</t>
  </si>
  <si>
    <t>xga_|_1024x768x60_fps_24b_|_1p8v</t>
  </si>
  <si>
    <t>xga_|_1024x768x60_fps_24b_|_3p3v</t>
  </si>
  <si>
    <t>hd_|_1280x720x30_fps_12b_|_1p8v</t>
  </si>
  <si>
    <t>hd_|_1280x720x30_fps_12b_|_3p3v</t>
  </si>
  <si>
    <t>hd_|_1280x720x30_fps_16b_|_1p8v</t>
  </si>
  <si>
    <t>hd_|_1280x720x30_fps_16b_|_3p3v</t>
  </si>
  <si>
    <t>hd_|_1280x720x30_fps_24b_|_1p8v</t>
  </si>
  <si>
    <t>hd_|_1280x720x30_fps_24b_|_3p3v</t>
  </si>
  <si>
    <t>hd_|_1280x720x60_fps_12b_|_1p8v</t>
  </si>
  <si>
    <t>hd_|_1280x720x60_fps_12b_|_3p3v</t>
  </si>
  <si>
    <t>hd_|_1280x720x60_fps_16b_|_1p8v</t>
  </si>
  <si>
    <t>hd_|_1280x720x60_fps_16b_|_3p3v</t>
  </si>
  <si>
    <t>hd_|_1280x720x60_fps_24b_|_1p8v</t>
  </si>
  <si>
    <t>hd_|_1280x720x60_fps_24b_|_3p3v</t>
  </si>
  <si>
    <t>wxga_|_1280x800x30_fps_12b_|_1p8v</t>
  </si>
  <si>
    <t>wxga_|_1280x800x30_fps_12b_|_3p3v</t>
  </si>
  <si>
    <t>wxga_|_1280x800x30_fps_16b_|_1p8v</t>
  </si>
  <si>
    <t>wxga_|_1280x800x30_fps_16b_|_3p3v</t>
  </si>
  <si>
    <t>wxga_|_1280x800x30_fps_24b_|_1p8v</t>
  </si>
  <si>
    <t>wxga_|_1280x800x30_fps_24b_|_3p3v</t>
  </si>
  <si>
    <t>wxga_|_1280x800x60_fps_12b_|_1p8v</t>
  </si>
  <si>
    <t>wxga_|_1280x800x60_fps_12b_|_3p3v</t>
  </si>
  <si>
    <t>wxga_|_1280x800x60_fps_16b_|_1p8v</t>
  </si>
  <si>
    <t>wxga_|_1280x800x60_fps_16b_|_3p3v</t>
  </si>
  <si>
    <t>wxga_|_1280x800x60_fps_18b_|_1p8v</t>
  </si>
  <si>
    <t>wxga_|_1280x800x60_fps_18b_|_3p3v</t>
  </si>
  <si>
    <t>wxga_|_1280x800x60_fps_24b_|_1p8v</t>
  </si>
  <si>
    <t>wxga_|_1280x800x60_fps_24b_|_3p3v</t>
  </si>
  <si>
    <t>sxga_|_1280x1024x30_fps_12b_|_1p8v</t>
  </si>
  <si>
    <t>sxga_|_1280x1024x30_fps_12b_|_3p3v</t>
  </si>
  <si>
    <t>sxga_|_1280x1024x30_fps_16b_|_1p8v</t>
  </si>
  <si>
    <t>sxga_|_1280x1024x30_fps_16b_|_3p3v</t>
  </si>
  <si>
    <t>sxga_|_1280x1024x30_fps_18b_|_1p8v</t>
  </si>
  <si>
    <t>sxga_|_1280x1024x30_fps_18b_|_3p3v</t>
  </si>
  <si>
    <t>sxga_|_1280x1024x30_fps_24b_|_1p8v</t>
  </si>
  <si>
    <t>sxga_|_1280x1024x30_fps_24b_|_3p3v</t>
  </si>
  <si>
    <t>sxga_|_1280x1024x60_fps_12b_|_1p8v</t>
  </si>
  <si>
    <t>sxga_|_1280x1024x60_fps_12b_|_3p3v</t>
  </si>
  <si>
    <t>sxga_|_1280x1024x60_fps_16b_|_1p8v</t>
  </si>
  <si>
    <t>sxga_|_1280x1024x60_fps_16b_|_3p3v</t>
  </si>
  <si>
    <t>sxga_|_1280x1024x60_fps_18b_|_1p8v</t>
  </si>
  <si>
    <t>sxga_|_1280x1024x60_fps_18b_|_3p3v</t>
  </si>
  <si>
    <t>sxga_|_1280x1024x60_fps_24b_|_1p8v</t>
  </si>
  <si>
    <t>sxga_|_1280x1024x60_fps_24b_|_3p3v</t>
  </si>
  <si>
    <t>sxga+_|_1400x1050x60_fps_12b_|_1p8v</t>
  </si>
  <si>
    <t>sxga+_|_1400x1050x60_fps_12b_|_3p3v</t>
  </si>
  <si>
    <t>sxga+_|_1400x1050x60_fps_16b_|_1p8v</t>
  </si>
  <si>
    <t>sxga+_|_1400x1050x60_fps_16b_|_3p3v</t>
  </si>
  <si>
    <t>sxga+_|_1400x1050x60_fps_18b_|_1p8v</t>
  </si>
  <si>
    <t>sxga+_|_1400x1050x60_fps_18b_|_3p3v</t>
  </si>
  <si>
    <t>sxga+_|_1400x1050x60_fps_24b_|_1p8v</t>
  </si>
  <si>
    <t>sxga+_|_1400x1050x60_fps_24b_|_3p3v</t>
  </si>
  <si>
    <t>hd+_|_1600x900x30_fps_12b_|_1p8v</t>
  </si>
  <si>
    <t>hd+_|_1600x900x30_fps_12b_|_3p3v</t>
  </si>
  <si>
    <t>hd+_|_1600x900x30_fps_16b_|_1p8v</t>
  </si>
  <si>
    <t>hd+_|_1600x900x30_fps_16b_|_3p3v</t>
  </si>
  <si>
    <t>hd+_|_1600x900x30_fps_18b_|_1p8v</t>
  </si>
  <si>
    <t>hd+_|_1600x900x30_fps_18b_|_3p3v</t>
  </si>
  <si>
    <t>hd+_|_1600x900x30_fps_24b_|_1p8v</t>
  </si>
  <si>
    <t>hd+_|_1600x900x30_fps_24b_|_3p3v</t>
  </si>
  <si>
    <t>hd+_|_1600x900x60_fps_12b_|_1p8v</t>
  </si>
  <si>
    <t>hd+_|_1600x900x60_fps_12b_|_3p3v</t>
  </si>
  <si>
    <t>hd+_|_1600x900x60_fps_16b_|_1p8v</t>
  </si>
  <si>
    <t>hd+_|_1600x900x60_fps_16b_|_3p3v</t>
  </si>
  <si>
    <t>hd+_|_1600x900x60_fps_18b_|_1p8v</t>
  </si>
  <si>
    <t>hd+_|_1600x900x60_fps_18b_|_3p3v</t>
  </si>
  <si>
    <t>hd+_|_1600x900x60_fps_24b_|_3p3v</t>
  </si>
  <si>
    <t>uxga_|_1600x1200x30_fps_12b_|_1p8v</t>
  </si>
  <si>
    <t>uxga_|_1600x1200x30_fps_12b_|_3p3v</t>
  </si>
  <si>
    <t>uxga_|_1600x1200x30_fps_16b_|_1p8v</t>
  </si>
  <si>
    <t>uxga_|_1600x1200x30_fps_16b_|_3p3v</t>
  </si>
  <si>
    <t>uxga_|_1600x1200x30_fps_18b_|_1p8v</t>
  </si>
  <si>
    <t>uxga_|_1600x1200x30_fps_18b_|_3p3v</t>
  </si>
  <si>
    <t>uxga_|_1600x1200x30_fps_24b_|_1p8v</t>
  </si>
  <si>
    <t>uxga_|_1600x1200x30_fps_24b_|_3p3v</t>
  </si>
  <si>
    <t>uxga_|_1600x1200x60_fps_12b_|_1p8v</t>
  </si>
  <si>
    <t>uxga_|_1600x1200x60_fps_12b_|_3p3v</t>
  </si>
  <si>
    <t>uxga_|_1600x1200x60_fps_16b_|_1p8v</t>
  </si>
  <si>
    <t>uxga_|_1600x1200x60_fps_16b_|_3p3v</t>
  </si>
  <si>
    <t>uxga_|_1600x1200x60_fps_18b_|_1p8v</t>
  </si>
  <si>
    <t>uxga_|_1600x1200x60_fps_18b_|_3p3v</t>
  </si>
  <si>
    <t>uxga_|_1600x1200x60_fps_24b_|_1p8v</t>
  </si>
  <si>
    <t>uxga_|_1600x1200x60_fps_24b_|_3p3v</t>
  </si>
  <si>
    <t>full_hd_|_1920x720x30_fps_12b_|_1p8v</t>
  </si>
  <si>
    <t>full_hd_|_1920x720x30_fps_12b_|_3p3v</t>
  </si>
  <si>
    <t>full_hd_|_1920x720x30_fps_16b_|_1p8v</t>
  </si>
  <si>
    <t>full_hd_|_1920x720x30_fps_16b_|_3p3v</t>
  </si>
  <si>
    <t>full_hd_|_1920x720x30_fps_18b_|_1p8v</t>
  </si>
  <si>
    <t>full_hd_|_1920x720x30_fps_18b_|_3p3v</t>
  </si>
  <si>
    <t>full_hd_|_1920x720x30_fps_24b_|_1p8v</t>
  </si>
  <si>
    <t>full_hd_|_1920x720x30_fps_24b_|_3p3v</t>
  </si>
  <si>
    <t>full_hd_|_1920x720x60_fps_12b_|_1p8v</t>
  </si>
  <si>
    <t>full_hd_|_1920x720x60_fps_12b_|_3p3v</t>
  </si>
  <si>
    <t>full_hd_|_1920x720x60_fps_16b_|_1p8v</t>
  </si>
  <si>
    <t>full_hd_|_1920x720x60_fps_16b_|_3p3v</t>
  </si>
  <si>
    <t>full_hd_|_1920x720x60_fps_18b_|_1p8v</t>
  </si>
  <si>
    <t>full_hd_|_1920x720x60_fps_18b_|_3p3v</t>
  </si>
  <si>
    <t>full_hd_|_1920x720x60_fps_24b_|_1p8v</t>
  </si>
  <si>
    <t>full_hd_|_1920x720x60_fps_24b_|_3p3v</t>
  </si>
  <si>
    <t>full_hd_|_1920x1080x30_fps_12b_|_1p8v</t>
  </si>
  <si>
    <t>full_hd_|_1920x1080x30_fps_12b_|_3p3v</t>
  </si>
  <si>
    <t>full_hd_|_1920x1080x30_fps_16b_|_1p8v</t>
  </si>
  <si>
    <t>full_hd_|_1920x1080x30_fps_16b_|_3p3v</t>
  </si>
  <si>
    <t>full_hd_|_1920x1080x30_fps_18b_|_1p8v</t>
  </si>
  <si>
    <t>full_hd_|_1920x1080x30_fps_18b_|_3p3v</t>
  </si>
  <si>
    <t>full_hd_|_1920x1080x30_fps_24b_|_1p8v</t>
  </si>
  <si>
    <t>full_hd_|_1920x1080x30_fps_24b_|_3p3v</t>
  </si>
  <si>
    <t>full_hd_|_1920x1080x60_fps_12b_|_1p8v</t>
  </si>
  <si>
    <t>full_hd_|_1920x1080x60_fps_12b_|_3p3v</t>
  </si>
  <si>
    <t>full_hd_|_1920x1080x60_fps_16b_|_1p8v</t>
  </si>
  <si>
    <t>full_hd_|_1920x1080x60_fps_16b_|_3p3v</t>
  </si>
  <si>
    <t>full_hd_|_1920x1080x60_fps_18b_|_1p8v</t>
  </si>
  <si>
    <t>full_hd_|_1920x1080x60_fps_18b_|_3p3v</t>
  </si>
  <si>
    <t>full_hd_|_1920x1080x60_fps_24b_|_1p8v</t>
  </si>
  <si>
    <t>full_hd_|_1920x1080x60_fps_24b_|_3p3v</t>
  </si>
  <si>
    <t>2k_|_2048x1080x30_fps_18b_|_1p8v</t>
  </si>
  <si>
    <t>2k_|_2048x1080x30_fps_18b_|_3p3v</t>
  </si>
  <si>
    <t>2k_|_2048x1080x30_fps_24b_|_1p8v</t>
  </si>
  <si>
    <t>2k_|_2048x1080x30_fps_24b_|_3p3v</t>
  </si>
  <si>
    <t>2k_|_2048x1080x60_fps_18b_|_1p8v</t>
  </si>
  <si>
    <t>2k_|_2048x1080x60_fps_18b_|_3p3v</t>
  </si>
  <si>
    <t>2k_|_2048x1080x60_fps_24b_|_1p8v</t>
  </si>
  <si>
    <t>2k_|_2048x1080x60_fps_24b_|_3p3v</t>
  </si>
  <si>
    <t>1 processor</t>
  </si>
  <si>
    <t>2 aspe</t>
  </si>
  <si>
    <t>2012 aegis datasheet</t>
  </si>
  <si>
    <t>3 periph</t>
  </si>
  <si>
    <t>3.3v to 1.8v ldo</t>
  </si>
  <si>
    <t>4 infra</t>
  </si>
  <si>
    <t>5 analog</t>
  </si>
  <si>
    <t>6 io</t>
  </si>
  <si>
    <t>7 lvcmos io</t>
  </si>
  <si>
    <t>a</t>
  </si>
  <si>
    <t>a53 cpu</t>
  </si>
  <si>
    <t>adc - 12bit - 4 msps 3.3v</t>
  </si>
  <si>
    <t>adc 12b 3.3v</t>
  </si>
  <si>
    <t>adpll - fracf</t>
  </si>
  <si>
    <t>am221</t>
  </si>
  <si>
    <t>am221 top logic</t>
  </si>
  <si>
    <t>am241</t>
  </si>
  <si>
    <t>am241 top logic</t>
  </si>
  <si>
    <t>am245</t>
  </si>
  <si>
    <t>am263 top level</t>
  </si>
  <si>
    <t>am273 top logic</t>
  </si>
  <si>
    <t>am275</t>
  </si>
  <si>
    <t>am62</t>
  </si>
  <si>
    <t>am62p</t>
  </si>
  <si>
    <t>am64</t>
  </si>
  <si>
    <t>analog</t>
  </si>
  <si>
    <t>arm_mpu</t>
  </si>
  <si>
    <t>audio</t>
  </si>
  <si>
    <t>bmc</t>
  </si>
  <si>
    <t>c2c</t>
  </si>
  <si>
    <t>c66 tpr12</t>
  </si>
  <si>
    <t>canfd lvcmos io</t>
  </si>
  <si>
    <t>clock subchip</t>
  </si>
  <si>
    <t>cpsw</t>
  </si>
  <si>
    <t>cpsw3</t>
  </si>
  <si>
    <t xml:space="preserve">csi reciever 1 lane add on </t>
  </si>
  <si>
    <t>csi reciever clock + 1 lane</t>
  </si>
  <si>
    <t>dac 12b 3.3v</t>
  </si>
  <si>
    <t>ddr reset cell</t>
  </si>
  <si>
    <t>dpi display</t>
  </si>
  <si>
    <t>dpi lvcmos io</t>
  </si>
  <si>
    <t>dsp</t>
  </si>
  <si>
    <t>dual comparator ss</t>
  </si>
  <si>
    <t>ecap lvcmos io</t>
  </si>
  <si>
    <t>efuse</t>
  </si>
  <si>
    <t>efuse block</t>
  </si>
  <si>
    <t>epwm lvcmos io</t>
  </si>
  <si>
    <t>eqep lvcmos io</t>
  </si>
  <si>
    <t>espi lvcmos io</t>
  </si>
  <si>
    <t>ethernet lvcmos io</t>
  </si>
  <si>
    <t>fan lvcmos io</t>
  </si>
  <si>
    <t>fsi lvcmos io</t>
  </si>
  <si>
    <t>fssul lvcmos io</t>
  </si>
  <si>
    <t>gpio lvcmos io</t>
  </si>
  <si>
    <t>gpmc lvcmos io</t>
  </si>
  <si>
    <t>hfosc</t>
  </si>
  <si>
    <t>high speed clock divider</t>
  </si>
  <si>
    <t>hsm am263</t>
  </si>
  <si>
    <t>hsm tpr12</t>
  </si>
  <si>
    <t>hwa</t>
  </si>
  <si>
    <t>i2c lvcmos io</t>
  </si>
  <si>
    <t>i2c with od</t>
  </si>
  <si>
    <t>i2c_od lvcmos io</t>
  </si>
  <si>
    <t>icssm lvcmos io</t>
  </si>
  <si>
    <t>j7es</t>
  </si>
  <si>
    <t>lin lvcmos io</t>
  </si>
  <si>
    <t>lpc lvcmos io</t>
  </si>
  <si>
    <t>lvcmos hhv</t>
  </si>
  <si>
    <t>lvcmos io</t>
  </si>
  <si>
    <t>lvcmos voltage detect</t>
  </si>
  <si>
    <t>lvds bias cell</t>
  </si>
  <si>
    <t>mcasp lvcmos io</t>
  </si>
  <si>
    <t>mcaspx3</t>
  </si>
  <si>
    <t>mcu</t>
  </si>
  <si>
    <t>mix</t>
  </si>
  <si>
    <t>networking</t>
  </si>
  <si>
    <t>open drain io</t>
  </si>
  <si>
    <t>osc</t>
  </si>
  <si>
    <t>ospi/qspi</t>
  </si>
  <si>
    <t>ospi/qspi/hf</t>
  </si>
  <si>
    <t>peci lvcmos io</t>
  </si>
  <si>
    <t>power</t>
  </si>
  <si>
    <t>r5fss am263</t>
  </si>
  <si>
    <t>r5fss tpr12</t>
  </si>
  <si>
    <t>sdfm lvcmos ios</t>
  </si>
  <si>
    <t>security</t>
  </si>
  <si>
    <t>serdes</t>
  </si>
  <si>
    <t>special</t>
  </si>
  <si>
    <t>spi lvcmos io</t>
  </si>
  <si>
    <t>temperature sensing diode</t>
  </si>
  <si>
    <t>uart lvcmos io</t>
  </si>
  <si>
    <t>uart modem lvcmos io</t>
  </si>
  <si>
    <t>usb2 - phy</t>
  </si>
  <si>
    <t>usb2 controller</t>
  </si>
  <si>
    <t>voltage monitor</t>
  </si>
  <si>
    <t>voltus pg1</t>
  </si>
  <si>
    <t>VDDA</t>
  </si>
  <si>
    <t>VDDAR</t>
  </si>
  <si>
    <t>The following row calculates the averate utilization of the top level logic.  This is what is used in the power calculation for all non-subchip core logic.  It multiplies the utilization of the blue rows with the % of the logic (contained in column B for those rows) and then sums it.  You can overide this and enter a bulk number if you wish.</t>
  </si>
  <si>
    <t>I_cortexr5ss_wrap_tpr12_0</t>
  </si>
  <si>
    <t>I_radar_c66_corepac_0</t>
  </si>
  <si>
    <t>radar_hwa_top_0</t>
  </si>
  <si>
    <t>radar_mcasp_wrap_0</t>
  </si>
  <si>
    <t>radar_hsm_0</t>
  </si>
  <si>
    <t>C66 DSP</t>
  </si>
  <si>
    <t>Multi Channel Audio Serial Port</t>
  </si>
  <si>
    <t>AM273 Top level aggreagated logic</t>
  </si>
  <si>
    <t>I_cpsw_top_wrap_0</t>
  </si>
  <si>
    <t>l_tpr12_core_0</t>
  </si>
  <si>
    <t>adpllj_dsp</t>
  </si>
  <si>
    <t>camerarx_core_a</t>
  </si>
  <si>
    <t>camerarx_core_b</t>
  </si>
  <si>
    <t>lane lp 10 mbps</t>
  </si>
  <si>
    <t>lane hs 150 mbps</t>
  </si>
  <si>
    <t>lane hs 300 mbps</t>
  </si>
  <si>
    <t>lane hs 600 mbps</t>
  </si>
  <si>
    <t>clock + lane lp 10 mbps</t>
  </si>
  <si>
    <t>clock +  lane hs 150 mbps</t>
  </si>
  <si>
    <t>clock + lane hs 300 mbps</t>
  </si>
  <si>
    <t>clock + lane hs 600 mbps</t>
  </si>
  <si>
    <t>aurora 150 mbs</t>
  </si>
  <si>
    <t>aurora 225 mbs</t>
  </si>
  <si>
    <t>aurora 400 mbs</t>
  </si>
  <si>
    <t>aurora 450 mbp</t>
  </si>
  <si>
    <t>aurora 600 mbs</t>
  </si>
  <si>
    <t>aurora 900 mbs</t>
  </si>
  <si>
    <t/>
  </si>
  <si>
    <t>_b_1</t>
  </si>
  <si>
    <t>_b_2</t>
  </si>
  <si>
    <t>_b_0</t>
  </si>
  <si>
    <t>_b</t>
  </si>
  <si>
    <t>clock + lane hs 150 mbps</t>
  </si>
  <si>
    <t>camerarx_addon_a_1</t>
  </si>
  <si>
    <t>camerarx_addon_a_0</t>
  </si>
  <si>
    <t>camerarx_addon_a_2</t>
  </si>
  <si>
    <t>camerarx_addon_b_1</t>
  </si>
  <si>
    <t>camerarx_addon_b_2</t>
  </si>
  <si>
    <t>camerarx_addon_b_0</t>
  </si>
  <si>
    <t>olvds18_ssdhh_0</t>
  </si>
  <si>
    <t>olvds18_ssdhh_1</t>
  </si>
  <si>
    <t>olvds18_ssdhh_2</t>
  </si>
  <si>
    <t>olvds18_ssdhh_3</t>
  </si>
  <si>
    <t>olvds18_ssdhh_4</t>
  </si>
  <si>
    <t>olvds18_ssdhh_5</t>
  </si>
  <si>
    <t>bbiaslvds18hp_ssdhh_0</t>
  </si>
  <si>
    <t>sam221_usb_wrap_0</t>
  </si>
  <si>
    <t>u_icss_m_wrap_1</t>
  </si>
  <si>
    <t>Longname</t>
  </si>
  <si>
    <t>QC</t>
  </si>
  <si>
    <t>process_corners</t>
  </si>
  <si>
    <t>These are the allowable selections for process corners that will match the lookup table.</t>
  </si>
  <si>
    <t>vdd_choices</t>
  </si>
  <si>
    <t>This the list of allowable junction temperature settings in the tool (which uses a lookup table for scaling)</t>
  </si>
  <si>
    <t>UC Scaling factors</t>
  </si>
  <si>
    <t>Dynamic</t>
  </si>
  <si>
    <t>Voltage</t>
  </si>
  <si>
    <t>vdda_name</t>
  </si>
  <si>
    <t>vddh1_name</t>
  </si>
  <si>
    <t>vddh2_name</t>
  </si>
  <si>
    <t>fan_0</t>
  </si>
  <si>
    <t>lpc_0</t>
  </si>
  <si>
    <t>ethernet_port_0</t>
  </si>
  <si>
    <t>ethernet_port_1</t>
  </si>
  <si>
    <t>fsi_0</t>
  </si>
  <si>
    <t>icssm_io_1</t>
  </si>
  <si>
    <t>from temperature diode datasheet</t>
  </si>
  <si>
    <t>hsdivider_0</t>
  </si>
  <si>
    <t>VDDIO18</t>
  </si>
  <si>
    <t>VDDIO33</t>
  </si>
  <si>
    <t>Exact # taken from macro list file on 11/7/21</t>
  </si>
  <si>
    <t>Exact number of macros taken from macro listing file.  11/7/21.  Incl SRAM/ROM/analog</t>
  </si>
  <si>
    <t xml:space="preserve">Exact number of macros taken from macro listing file.  11/7/21.  </t>
  </si>
  <si>
    <t>Exact kbits from macro listing 11/10/21</t>
  </si>
  <si>
    <t>I_soc_core</t>
  </si>
  <si>
    <t>I_dtb_mux_demux</t>
  </si>
  <si>
    <t>I_top_rcm_regs</t>
  </si>
  <si>
    <t>I_c2kss</t>
  </si>
  <si>
    <t>I_c2k_periph</t>
  </si>
  <si>
    <t>I_etpwm_periph_inst</t>
  </si>
  <si>
    <t>I_misc_config_inst</t>
  </si>
  <si>
    <t>I_misc_periph_inst</t>
  </si>
  <si>
    <t>I_mss_ecu_periph_inst</t>
  </si>
  <si>
    <t>I_mss_mcu_periph_inst</t>
  </si>
  <si>
    <t>I_mss_sys_periph_inst</t>
  </si>
  <si>
    <t>u_mss_dbg_periph_inst</t>
  </si>
  <si>
    <t>I_r5ss0_corepac_inst</t>
  </si>
  <si>
    <t>u_icss_m_hm_wrap</t>
  </si>
  <si>
    <t>u_icss_m</t>
  </si>
  <si>
    <t>I_radar_hsm</t>
  </si>
  <si>
    <t>I_elm</t>
  </si>
  <si>
    <t>I_gpmc_wrap</t>
  </si>
  <si>
    <t>The PET models the device based upon the physical hierarchy.</t>
  </si>
  <si>
    <t>Therefore, each row in the calculation sheet corresponds to a subchip or to the top level entity.</t>
  </si>
  <si>
    <t>The use case sheet then chops up these blocks if needed for accuracy.</t>
  </si>
  <si>
    <t>Generally this is necessary to get a reasonable model of the top level logic, since it represents 50% of the device.</t>
  </si>
  <si>
    <t>However, a single utilization can be used to model the subchips such as R5FSS, HSM, or ICSSM.</t>
  </si>
  <si>
    <t>We might find it necessary to break down HSM into multiple line items for low power modes, but for now it's a single row.</t>
  </si>
  <si>
    <t>You will see rows in the use case sheet that match the physical name in the calculation sheet.  That is the data that is passed from UC sheet to calculation sheet.</t>
  </si>
  <si>
    <t>All other rows are used within the UC sheet to estimate the top line utilization of blocks containing them.</t>
  </si>
  <si>
    <t>The method is pretty consistent - we looked at the Voltus power file and put in the % of voltus dynamic power that this line represents out of the total subchip or top level logic.</t>
  </si>
  <si>
    <t>You then set the utilization on each line item, and it is then added together with weighting correstponding to it's % of the dynamic power of the subchip or top level.</t>
  </si>
  <si>
    <t>This is done with SUMPRODUCT formulas.</t>
  </si>
  <si>
    <t>If you wish to break down the model to even lower levels, consult the Voltus drill down xls (posted on confluence - it's 50 MB and hundreds of thousands of lines long).</t>
  </si>
  <si>
    <t xml:space="preserve">You could sub-divide a subchip or top level into even finer granularity if you desire.  </t>
  </si>
  <si>
    <t>qspi_ddr_master_67_1p8v</t>
  </si>
  <si>
    <t>qspi_ddr_master_67_3p3v</t>
  </si>
  <si>
    <t>qspi_ddr_master_80_1p8v</t>
  </si>
  <si>
    <t>qspi_ddr_master_80_3p3v</t>
  </si>
  <si>
    <t>qspi_sdr_master_54_1p8v</t>
  </si>
  <si>
    <t>qspi_sdr_master_54_3p3v</t>
  </si>
  <si>
    <t>qspi_sdr_master_67_1p8v</t>
  </si>
  <si>
    <t>qspi_sdr_master_67_3p3v</t>
  </si>
  <si>
    <t>Master_40_Mbaud_1p8v</t>
  </si>
  <si>
    <t>Master_40_Mbaud_3p3v</t>
  </si>
  <si>
    <t>Slave_40_Mbaud_1p8v</t>
  </si>
  <si>
    <t>Slave_40_Mbaud_3p3v</t>
  </si>
  <si>
    <t>lvds transmitter</t>
  </si>
  <si>
    <t>qspi_sdr_master_80_1p8v</t>
  </si>
  <si>
    <t>qspi_sdr_master_80_3p3v</t>
  </si>
  <si>
    <t>slave_40_mbaud_3p3v</t>
  </si>
  <si>
    <t>master_40_mbaud_3p3v</t>
  </si>
  <si>
    <t>100% on everything for tool test</t>
  </si>
  <si>
    <t>AM263P</t>
  </si>
  <si>
    <t>sam263p_core</t>
  </si>
  <si>
    <t>am263p top level</t>
  </si>
  <si>
    <t>b</t>
  </si>
  <si>
    <t>3/4/22 est</t>
  </si>
  <si>
    <t>Taken from Genus pg area file</t>
  </si>
  <si>
    <t>FSI</t>
  </si>
  <si>
    <t>SDFM</t>
  </si>
  <si>
    <t>ECAP/EQEP</t>
  </si>
  <si>
    <t>sam263p_cortexr5ss_wrap</t>
  </si>
  <si>
    <t>am263p</t>
  </si>
  <si>
    <t>r5fss am263p w TMU</t>
  </si>
  <si>
    <t>ppr</t>
  </si>
  <si>
    <t>sam263p_cpsw_3gcss_wrap</t>
  </si>
  <si>
    <t>sam263p_radar_hsm_corepac</t>
  </si>
  <si>
    <t>sam241_core</t>
  </si>
  <si>
    <t>hsm am263p</t>
  </si>
  <si>
    <t>Added on 4/11/22</t>
  </si>
  <si>
    <t>sam221_core</t>
  </si>
  <si>
    <t>Updated 4/11/22</t>
  </si>
  <si>
    <t>sam263p_cortexr5ss_wrap_0</t>
  </si>
  <si>
    <t>sam263p_radar_hsm_corepac_0</t>
  </si>
  <si>
    <t>spi_5</t>
  </si>
  <si>
    <t>spi_6</t>
  </si>
  <si>
    <t>spi_7</t>
  </si>
  <si>
    <t>ecap_10</t>
  </si>
  <si>
    <t>ecap_11</t>
  </si>
  <si>
    <t>ecap_12</t>
  </si>
  <si>
    <t>ecap_13</t>
  </si>
  <si>
    <t>ecap_14</t>
  </si>
  <si>
    <t>ecap_15</t>
  </si>
  <si>
    <t>canfd_4</t>
  </si>
  <si>
    <t>canfd_5</t>
  </si>
  <si>
    <t>ospi_0</t>
  </si>
  <si>
    <t>qspi_0</t>
  </si>
  <si>
    <t>fsi_1</t>
  </si>
  <si>
    <t>fsi_2</t>
  </si>
  <si>
    <t>fsi_3</t>
  </si>
  <si>
    <t>sdfm_0</t>
  </si>
  <si>
    <t>sdfm_1</t>
  </si>
  <si>
    <t>_30</t>
  </si>
  <si>
    <t>_31</t>
  </si>
  <si>
    <t>SRD 0.9</t>
  </si>
  <si>
    <t>Rest of Top</t>
  </si>
  <si>
    <t>Subchip joules showed good Dhrystone correlation.  Nudged to 4.05% toggle to match sim perfectly</t>
  </si>
  <si>
    <t>Subchip joules showed good Dhrystone correlation.  Nudged to 4.05% toggle to match sim perfectly.  5/2/22</t>
  </si>
  <si>
    <t>updated 5/4/22 with either Joules data from Asif or similar function toggle data from AM62</t>
  </si>
  <si>
    <t>Taken from AM62</t>
  </si>
  <si>
    <t>Taken from J7ES C66</t>
  </si>
  <si>
    <t>Taken from AM64 Pulsar Joules</t>
  </si>
  <si>
    <t>Updated 5/5/22</t>
  </si>
  <si>
    <t>sam240_core</t>
  </si>
  <si>
    <t>am240 top logic</t>
  </si>
  <si>
    <t>am240</t>
  </si>
  <si>
    <t>AM240</t>
  </si>
  <si>
    <t>sam240_core_0</t>
  </si>
  <si>
    <t>CPSW2</t>
  </si>
  <si>
    <t>OSPI_0</t>
  </si>
  <si>
    <t>Optiflash FSSUL driven</t>
  </si>
  <si>
    <t>ospi_sdr_master_160_3p3v</t>
  </si>
  <si>
    <t>ospi_ddr_master_80_3p3v</t>
  </si>
  <si>
    <t>ospi_ddr_master_100_3p3v</t>
  </si>
  <si>
    <t>ospi_sdr_master_100_3p3v</t>
  </si>
  <si>
    <t>ospi_ddr_master_200_3p3v</t>
  </si>
  <si>
    <t>ospi_ddr_master_200_1p8v</t>
  </si>
  <si>
    <t>Updated 5/6/22</t>
  </si>
  <si>
    <t>ospi_off</t>
  </si>
  <si>
    <t>qspi_off</t>
  </si>
  <si>
    <t>ospi_ddr_master_67_3p3v</t>
  </si>
  <si>
    <t>ospi_ddr_master_60_3p3v</t>
  </si>
  <si>
    <t>ospi_ddr_master_40_3p3v</t>
  </si>
  <si>
    <t>ospi_sdr_master_80_3p3v</t>
  </si>
  <si>
    <t>ospi_sdr_master_67_3p3v</t>
  </si>
  <si>
    <t>ospi_sdr_master_60_3p3v</t>
  </si>
  <si>
    <t>ospi_sdr_master_40_3p3v</t>
  </si>
  <si>
    <t>ospi_ddr_slave_160_3p3v</t>
  </si>
  <si>
    <t>ospi_ddr_slave_133_3p3v</t>
  </si>
  <si>
    <t>ospi_ddr_slave_100_3p3v</t>
  </si>
  <si>
    <t>ospi_ddr_slave_80_3p3v</t>
  </si>
  <si>
    <t>ospi_ddr_slave_67_3p3v</t>
  </si>
  <si>
    <t>ospi_ddr_slave_60_3p3v</t>
  </si>
  <si>
    <t>ospi_ddr_slave_40_3p3v</t>
  </si>
  <si>
    <t>ospi_sdr_slave_160_3p3v</t>
  </si>
  <si>
    <t>ospi_sdr_slave_133_3p3v</t>
  </si>
  <si>
    <t>ospi_sdr_slave_100_3p3v</t>
  </si>
  <si>
    <t>ospi_sdr_slave_80_3p3v</t>
  </si>
  <si>
    <t>ospi_sdr_slave_67_3p3v</t>
  </si>
  <si>
    <t>ospi_sdr_slave_60_3p3v</t>
  </si>
  <si>
    <t>ospi_sdr_slave_40_3p3v</t>
  </si>
  <si>
    <t>ospi_ddr_master_100_1p8v</t>
  </si>
  <si>
    <t>ospi_ddr_master_80_1p8v</t>
  </si>
  <si>
    <t>ospi_ddr_master_67_1p8v</t>
  </si>
  <si>
    <t>ospi_ddr_master_60_1p8v</t>
  </si>
  <si>
    <t>ospi_ddr_master_40_1p8v</t>
  </si>
  <si>
    <t>ospi_sdr_master_160_1p8v</t>
  </si>
  <si>
    <t>ospi_sdr_master_100_1p8v</t>
  </si>
  <si>
    <t>ospi_sdr_master_80_1p8v</t>
  </si>
  <si>
    <t>ospi_sdr_master_67_1p8v</t>
  </si>
  <si>
    <t>ospi_sdr_master_60_1p8v</t>
  </si>
  <si>
    <t>ospi_sdr_master_40_1p8v</t>
  </si>
  <si>
    <t>ospi_ddr_slave_160_1p8v</t>
  </si>
  <si>
    <t>ospi_ddr_slave_133_1p8v</t>
  </si>
  <si>
    <t>ospi_ddr_slave_100_1p8v</t>
  </si>
  <si>
    <t>ospi_ddr_slave_80_1p8v</t>
  </si>
  <si>
    <t>ospi_ddr_slave_67_1p8v</t>
  </si>
  <si>
    <t>ospi_ddr_slave_60_1p8v</t>
  </si>
  <si>
    <t>ospi_ddr_slave_40_1p8v</t>
  </si>
  <si>
    <t>ospi_sdr_slave_160_1p8v</t>
  </si>
  <si>
    <t>ospi_sdr_slave_133_1p8v</t>
  </si>
  <si>
    <t>ospi_sdr_slave_100_1p8v</t>
  </si>
  <si>
    <t>ospi_sdr_slave_80_1p8v</t>
  </si>
  <si>
    <t>ospi_sdr_slave_67_1p8v</t>
  </si>
  <si>
    <t>ospi_sdr_slave_60_1p8v</t>
  </si>
  <si>
    <t>ospi_sdr_slave_40_1p8v</t>
  </si>
  <si>
    <t>qspi_ddr_master_200_1p8v</t>
  </si>
  <si>
    <t>qspi_ddr_master_100_1p8v</t>
  </si>
  <si>
    <t>qspi_ddr_master_60_1p8v</t>
  </si>
  <si>
    <t>qspi_ddr_master_40_1p8v</t>
  </si>
  <si>
    <t>qspi_sdr_master_160_1p8v</t>
  </si>
  <si>
    <t>qspi_sdr_master_100_1p8v</t>
  </si>
  <si>
    <t>qspi_sdr_master_60_1p8v</t>
  </si>
  <si>
    <t>qspi_sdr_master_40_1p8v</t>
  </si>
  <si>
    <t>qspi_ddr_slave_160_1p8v</t>
  </si>
  <si>
    <t>qspi_ddr_slave_133_1p8v</t>
  </si>
  <si>
    <t>qspi_ddr_slave_100_1p8v</t>
  </si>
  <si>
    <t>qspi_ddr_slave_80_1p8v</t>
  </si>
  <si>
    <t>qspi_ddr_slave_67_1p8v</t>
  </si>
  <si>
    <t>qspi_ddr_slave_60_1p8v</t>
  </si>
  <si>
    <t>qspi_ddr_slave_40_1p8v</t>
  </si>
  <si>
    <t>qspi_sdr_slave_160_1p8v</t>
  </si>
  <si>
    <t>qspi_sdr_slave_133_1p8v</t>
  </si>
  <si>
    <t>qspi_sdr_slave_100_1p8v</t>
  </si>
  <si>
    <t>qspi_sdr_slave_80_1p8v</t>
  </si>
  <si>
    <t>qspi_sdr_slave_67_1p8v</t>
  </si>
  <si>
    <t>qspi_sdr_slave_60_1p8v</t>
  </si>
  <si>
    <t>qspi_sdr_slave_40_1p8v</t>
  </si>
  <si>
    <t>qspi_ddr_master_200_3p3v</t>
  </si>
  <si>
    <t>qspi_ddr_master_100_3p3v</t>
  </si>
  <si>
    <t>qspi_ddr_master_60_3p3v</t>
  </si>
  <si>
    <t>qspi_ddr_master_40_3p3v</t>
  </si>
  <si>
    <t>qspi_sdr_master_160_3p3v</t>
  </si>
  <si>
    <t>qspi_sdr_master_100_3p3v</t>
  </si>
  <si>
    <t>qspi_sdr_master_60_3p3v</t>
  </si>
  <si>
    <t>qspi_sdr_master_40_3p3v</t>
  </si>
  <si>
    <t>qspi_ddr_slave_160_3p3v</t>
  </si>
  <si>
    <t>qspi_ddr_slave_133_3p3v</t>
  </si>
  <si>
    <t>qspi_ddr_slave_100_3p3v</t>
  </si>
  <si>
    <t>qspi_ddr_slave_80_3p3v</t>
  </si>
  <si>
    <t>qspi_ddr_slave_67_3p3v</t>
  </si>
  <si>
    <t>qspi_ddr_slave_60_3p3v</t>
  </si>
  <si>
    <t>qspi_ddr_slave_40_3p3v</t>
  </si>
  <si>
    <t>qspi_sdr_slave_160_3p3v</t>
  </si>
  <si>
    <t>qspi_sdr_slave_133_3p3v</t>
  </si>
  <si>
    <t>qspi_sdr_slave_100_3p3v</t>
  </si>
  <si>
    <t>qspi_sdr_slave_80_3p3v</t>
  </si>
  <si>
    <t>qspi_sdr_slave_67_3p3v</t>
  </si>
  <si>
    <t>qspi_sdr_slave_60_3p3v</t>
  </si>
  <si>
    <t>qspi_sdr_slave_40_3p3v</t>
  </si>
  <si>
    <t>Updated 5/6/22 10pf output load</t>
  </si>
  <si>
    <t>Updated 5/6/22.  Note that the higher performance modes are not supported on AM273, so the datasheet will need to be consulted to set the use cases in some device.</t>
  </si>
  <si>
    <t>usb2_phy</t>
  </si>
  <si>
    <t>usb2_phy_0</t>
  </si>
  <si>
    <t>Aegis USB2 phy</t>
  </si>
  <si>
    <t>TBD1</t>
  </si>
  <si>
    <t>Paul Example UC</t>
  </si>
  <si>
    <t>OSPI/Optiflash</t>
  </si>
  <si>
    <t>sam241_core_0</t>
  </si>
  <si>
    <t>I3C</t>
  </si>
  <si>
    <t>eSPI</t>
  </si>
  <si>
    <t>PECI</t>
  </si>
  <si>
    <t>LPC</t>
  </si>
  <si>
    <t>FAN</t>
  </si>
  <si>
    <t>eCAP</t>
  </si>
  <si>
    <t>eQEP</t>
  </si>
  <si>
    <t xml:space="preserve">CMPSS </t>
  </si>
  <si>
    <t>I2C_5</t>
  </si>
  <si>
    <t>I2C_6</t>
  </si>
  <si>
    <t>I2C_7</t>
  </si>
  <si>
    <t>I2C_8</t>
  </si>
  <si>
    <t>I2C_9</t>
  </si>
  <si>
    <t>I2C_10</t>
  </si>
  <si>
    <t>i3c_0</t>
  </si>
  <si>
    <t>peci_1</t>
  </si>
  <si>
    <t>espi_0</t>
  </si>
  <si>
    <t>fan_1</t>
  </si>
  <si>
    <t>lpc_1</t>
  </si>
  <si>
    <t>ICSS_M</t>
  </si>
  <si>
    <t>HSM</t>
  </si>
  <si>
    <t>leakage_vdd_margin</t>
  </si>
  <si>
    <t>leakage_vddr_margin</t>
  </si>
  <si>
    <t>adjusts leakage vs. SPICE</t>
  </si>
  <si>
    <t>VDDR Lkg</t>
  </si>
  <si>
    <t>updated 5/11/22</t>
  </si>
  <si>
    <t>1.4 mA strong 150C through LDO to 3.3 (Si char indicates spec was 500 uA and they measured 820 uA…so something wrong)</t>
  </si>
  <si>
    <t>0.9 mA strong 150C.  Spec indicates 200 uA and Si measured 109 uA max, so something wrong.</t>
  </si>
  <si>
    <t>1.2 mA 150 strong (spec indicates 900 uA, Si char measured 953 uA max…something wrong)</t>
  </si>
  <si>
    <t>200 uA strong 150C (char report says spec 120 uA, max 136 uA…something not right)</t>
  </si>
  <si>
    <t>1.5 mA 150 strong (Char report says spec is 850 uA and Si Char measured 925 uA…not aligned)</t>
  </si>
  <si>
    <t>35 uA 150C strong (char report shows 35 uA and they measured 45.2 uA - aligned, so updating this value)</t>
  </si>
  <si>
    <t>.035*3.3</t>
  </si>
  <si>
    <t>on_off_modes</t>
  </si>
  <si>
    <t xml:space="preserve">used for multiple drop down analog blocks </t>
  </si>
  <si>
    <t>8/24/22 moved back to CPSW from AM263 but with lower SVT for reduced leakage</t>
  </si>
  <si>
    <t>adc12b_sigdel</t>
  </si>
  <si>
    <t>adc 12b sigma delta 3.3v</t>
  </si>
  <si>
    <t>canfd_6</t>
  </si>
  <si>
    <t>canfd_7</t>
  </si>
  <si>
    <t>adc12b_sigdel_0</t>
  </si>
  <si>
    <t>adc12b_sigdel_1</t>
  </si>
  <si>
    <t>adc12b_sigdel_2</t>
  </si>
  <si>
    <t>adc12b_sigdel_3</t>
  </si>
  <si>
    <t>8/24/2022.  The new sigma delta ADCs are added, not replacing, the SAR ones.  4 are used in the resolver subsystem</t>
  </si>
  <si>
    <t>8/24/22 Abhijit says the sigma delta should be the same power as the SAR ADC.</t>
  </si>
  <si>
    <t>sam240_cortexr5ss_wrap</t>
  </si>
  <si>
    <t>single core r5fss w 128KB TCM w TMU/RL2/RAT</t>
  </si>
  <si>
    <t>8/24/22 SNPS AM62 USB2 controller scaled to 45M.</t>
  </si>
  <si>
    <t>sam240_usb_wrap</t>
  </si>
  <si>
    <t>USB2 PHY modeled after Aegis and SA</t>
  </si>
  <si>
    <t>sam240_usb_wrap_0</t>
  </si>
  <si>
    <t>sam240_cortexr5ss_wrap_0</t>
  </si>
  <si>
    <t>adc</t>
  </si>
  <si>
    <t>c2kxbar</t>
  </si>
  <si>
    <t>cba</t>
  </si>
  <si>
    <t>dcan</t>
  </si>
  <si>
    <t>debug</t>
  </si>
  <si>
    <t>dft</t>
  </si>
  <si>
    <t>dma</t>
  </si>
  <si>
    <t>fota</t>
  </si>
  <si>
    <t>fssul</t>
  </si>
  <si>
    <t>resolver</t>
  </si>
  <si>
    <t>rti</t>
  </si>
  <si>
    <t>updated 5/15/23 (was 2420.7 = 2091.6*1.6897/1.46)</t>
  </si>
  <si>
    <t>updated 5/15/23 (was 3322.5 = =2870.8*1.6897/1.46)</t>
  </si>
  <si>
    <t>updated 5/15/23 (was 1291 = 1.16/1.13*1257.6)</t>
  </si>
  <si>
    <t>updated 5/15/23 (was 1329.6 = 2870.8*1.6897/1.46)</t>
  </si>
  <si>
    <t>updated 5/15/23 by Asif (was 26.81)</t>
  </si>
  <si>
    <t>updated 5/15/23 by Asif (was 11.00)</t>
  </si>
  <si>
    <t>updated Asif on 5/15/23 (was 0.050)</t>
  </si>
  <si>
    <t>updated 5/15/23 by Asif (was 9.46)</t>
  </si>
  <si>
    <t>updated Asif on 5/15/23 (was 0.450)</t>
  </si>
  <si>
    <t>updated Asif on 5/15/23 (was 0.50)</t>
  </si>
  <si>
    <t>updated 5/15/23 by Asif (was 4.666)</t>
  </si>
  <si>
    <t>updated 5/15/23 by Asif (was 1.843)</t>
  </si>
  <si>
    <t>updated Asif on 5/15/23 (was 0.223)</t>
  </si>
  <si>
    <t>updated 5/15/23 by Asif (was 1.690)</t>
  </si>
  <si>
    <t>updated Asif on 5/15/23 (was 0.327)</t>
  </si>
  <si>
    <t>updated Asif on 5/15/23 (was 0.45)</t>
  </si>
  <si>
    <t>updated 5/15/23 by Asif (was 2.472)</t>
  </si>
  <si>
    <t>updated 5/15/23 by Asif (was 0.282)</t>
  </si>
  <si>
    <t>updated Asif on 5/15/23 (was 0.0)</t>
  </si>
  <si>
    <t>updated 5/15/23 by Asif (was 1.290)</t>
  </si>
  <si>
    <t>updated Asif on 5/15/23 (was 0.5)</t>
  </si>
  <si>
    <t>updated 5/15/23 by Asif (was 3.491)</t>
  </si>
  <si>
    <t>updated 5/15/23 by Asif (was 1.250)</t>
  </si>
  <si>
    <t>updated Asif on 5/15/23 (was 0.021)</t>
  </si>
  <si>
    <t>updated 5/15/23 by Asif (was 1.154)</t>
  </si>
  <si>
    <t>updated Asif on 5/15/23 (was 0.380)</t>
  </si>
  <si>
    <t>updated Asif on 5/15/23 (was 0.60)</t>
  </si>
  <si>
    <t>UC 1.3</t>
  </si>
  <si>
    <t>UC 1.4</t>
  </si>
  <si>
    <t>sam261_cortexr5ss_wrap_0</t>
  </si>
  <si>
    <t>R5FSS AM261</t>
  </si>
  <si>
    <t>sam261_cortexr5ss_wrap_1</t>
  </si>
  <si>
    <t>sam261_radar_hsm_corepac_0</t>
  </si>
  <si>
    <t>HSM AM261</t>
  </si>
  <si>
    <t>sam261_cpsw_3gcss_wrap_0</t>
  </si>
  <si>
    <t>sam261_core_0</t>
  </si>
  <si>
    <t>AM261 Top Level</t>
  </si>
  <si>
    <t>ON</t>
  </si>
  <si>
    <t>OFF</t>
  </si>
  <si>
    <t>AM261</t>
  </si>
  <si>
    <t>am261</t>
  </si>
  <si>
    <t>sam261_usb_wrap_accuracy_grade</t>
  </si>
  <si>
    <t>sam261_usb_wrap</t>
  </si>
  <si>
    <t>sam261_usb_wrap_area</t>
  </si>
  <si>
    <t>sam261_usb_wrap_data_source</t>
  </si>
  <si>
    <t>sam261_usb_wrap_description</t>
  </si>
  <si>
    <t>sam261_usb_wrap_first_soc</t>
  </si>
  <si>
    <t>sam261_usb_wrap_freq_trk</t>
  </si>
  <si>
    <t>sam261_usb_wrap_function</t>
  </si>
  <si>
    <t>sam261_usb_wrap_lvt_pct</t>
  </si>
  <si>
    <t>sam261_usb_wrap_macro_area</t>
  </si>
  <si>
    <t>sam261_usb_wrap_osvt_pct</t>
  </si>
  <si>
    <t>sam261_usb_wrap_stdcell_area</t>
  </si>
  <si>
    <t>sam261_usb_wrap_svt_pct</t>
  </si>
  <si>
    <t>sam261_usb_wrap_tag</t>
  </si>
  <si>
    <t>sam261_usb_wrap_type</t>
  </si>
  <si>
    <t>sam261_usb_wrap_vdd_dyn_idle_pct</t>
  </si>
  <si>
    <t>sam261_usb_wrap_vdd_dyn_int</t>
  </si>
  <si>
    <t>sam261_usb_wrap_vdd_dyn_max_pct</t>
  </si>
  <si>
    <t>sam261_usb_wrap_vdd_dyn_peak_pct</t>
  </si>
  <si>
    <t>sam261_usb_wrap_vdd_dyn_sw</t>
  </si>
  <si>
    <t>sam261_usb_wrap_vdd_lkg</t>
  </si>
  <si>
    <t>sam261_usb_wrap_vddr_lkg</t>
  </si>
  <si>
    <t>sam261_usb_wrap_xsvt_pct</t>
  </si>
  <si>
    <t>sam261_core_accuracy_grade</t>
  </si>
  <si>
    <t>sam261_core</t>
  </si>
  <si>
    <t>sam261_core_area</t>
  </si>
  <si>
    <t>sam261_core_data_source</t>
  </si>
  <si>
    <t>sam261_core_description</t>
  </si>
  <si>
    <t>am261 top level</t>
  </si>
  <si>
    <t>sam261_core_first_soc</t>
  </si>
  <si>
    <t>sam261_core_freq_trk</t>
  </si>
  <si>
    <t>sam261_core_function</t>
  </si>
  <si>
    <t>sam261_core_kbits</t>
  </si>
  <si>
    <t>sam261_core_lvt_pct</t>
  </si>
  <si>
    <t>sam261_core_macro_area</t>
  </si>
  <si>
    <t>sam261_core_macros</t>
  </si>
  <si>
    <t>sam261_core_osvt_pct</t>
  </si>
  <si>
    <t>sam261_core_stdcell_area</t>
  </si>
  <si>
    <t>sam261_core_svt_pct</t>
  </si>
  <si>
    <t>sam261_core_tag</t>
  </si>
  <si>
    <t>sam261_core_type</t>
  </si>
  <si>
    <t>sam261_core_vdd_dyn_idle_pct</t>
  </si>
  <si>
    <t>sam261_core_vdd_dyn_int</t>
  </si>
  <si>
    <t>sam261_core_vdd_dyn_max_pct</t>
  </si>
  <si>
    <t>sam261_core_vdd_dyn_peak_pct</t>
  </si>
  <si>
    <t>sam261_core_vdd_dyn_sw</t>
  </si>
  <si>
    <t>sam261_core_vdd_lkg</t>
  </si>
  <si>
    <t>sam261_core_vddr_lkg</t>
  </si>
  <si>
    <t>sam261_core_xsvt_pct</t>
  </si>
  <si>
    <t>sam261_cortexr5ss_wrap_accuracy_grade</t>
  </si>
  <si>
    <t>sam261_cortexr5ss_wrap</t>
  </si>
  <si>
    <t>sam261_cortexr5ss_wrap_area</t>
  </si>
  <si>
    <t>sam261_cortexr5ss_wrap_data_source</t>
  </si>
  <si>
    <t>sam261_cortexr5ss_wrap_description</t>
  </si>
  <si>
    <t>r5fss am261 w TMU</t>
  </si>
  <si>
    <t>sam261_cortexr5ss_wrap_first_soc</t>
  </si>
  <si>
    <t>sam261_cortexr5ss_wrap_freq_trk</t>
  </si>
  <si>
    <t>sam261_cortexr5ss_wrap_function</t>
  </si>
  <si>
    <t>sam261_cortexr5ss_wrap_kbits</t>
  </si>
  <si>
    <t>sam261_cortexr5ss_wrap_lvt_pct</t>
  </si>
  <si>
    <t>sam261_cortexr5ss_wrap_macro_area</t>
  </si>
  <si>
    <t>sam261_cortexr5ss_wrap_macros</t>
  </si>
  <si>
    <t>sam261_cortexr5ss_wrap_osvt_pct</t>
  </si>
  <si>
    <t>sam261_cortexr5ss_wrap_stdcell_area</t>
  </si>
  <si>
    <t>sam261_cortexr5ss_wrap_svt_pct</t>
  </si>
  <si>
    <t>sam261_cortexr5ss_wrap_tag</t>
  </si>
  <si>
    <t>sam261_cortexr5ss_wrap_type</t>
  </si>
  <si>
    <t>sam261_cortexr5ss_wrap_vdd_dyn_idle_pct</t>
  </si>
  <si>
    <t>sam261_cortexr5ss_wrap_vdd_dyn_int</t>
  </si>
  <si>
    <t>sam261_cortexr5ss_wrap_vdd_dyn_max_pct</t>
  </si>
  <si>
    <t>sam261_cortexr5ss_wrap_vdd_dyn_peak_pct</t>
  </si>
  <si>
    <t>sam261_cortexr5ss_wrap_vdd_dyn_sw</t>
  </si>
  <si>
    <t>sam261_cortexr5ss_wrap_vdd_lkg</t>
  </si>
  <si>
    <t>sam261_cortexr5ss_wrap_vddr_lkg</t>
  </si>
  <si>
    <t>sam261_cortexr5ss_wrap_xsvt_pct</t>
  </si>
  <si>
    <t>sam261_cpsw_3gcss_wrap_accuracy_grade</t>
  </si>
  <si>
    <t>sam261_cpsw_3gcss_wrap</t>
  </si>
  <si>
    <t>sam261_cpsw_3gcss_wrap_area</t>
  </si>
  <si>
    <t>sam261_cpsw_3gcss_wrap_data_source</t>
  </si>
  <si>
    <t>sam261_cpsw_3gcss_wrap_description</t>
  </si>
  <si>
    <t>sam261_cpsw_3gcss_wrap_first_soc</t>
  </si>
  <si>
    <t>sam261_cpsw_3gcss_wrap_freq_trk</t>
  </si>
  <si>
    <t>sam261_cpsw_3gcss_wrap_function</t>
  </si>
  <si>
    <t>sam261_cpsw_3gcss_wrap_kbits</t>
  </si>
  <si>
    <t>sam261_cpsw_3gcss_wrap_lvt_pct</t>
  </si>
  <si>
    <t>sam261_cpsw_3gcss_wrap_macro_area</t>
  </si>
  <si>
    <t>sam261_cpsw_3gcss_wrap_macros</t>
  </si>
  <si>
    <t>sam261_cpsw_3gcss_wrap_osvt_pct</t>
  </si>
  <si>
    <t>sam261_cpsw_3gcss_wrap_stdcell_area</t>
  </si>
  <si>
    <t>sam261_cpsw_3gcss_wrap_svt_pct</t>
  </si>
  <si>
    <t>sam261_cpsw_3gcss_wrap_tag</t>
  </si>
  <si>
    <t>sam261_cpsw_3gcss_wrap_type</t>
  </si>
  <si>
    <t>sam261_cpsw_3gcss_wrap_vdd_dyn_idle_pct</t>
  </si>
  <si>
    <t>sam261_cpsw_3gcss_wrap_vdd_dyn_int</t>
  </si>
  <si>
    <t>sam261_cpsw_3gcss_wrap_vdd_dyn_max_pct</t>
  </si>
  <si>
    <t>sam261_cpsw_3gcss_wrap_vdd_dyn_peak_pct</t>
  </si>
  <si>
    <t>sam261_cpsw_3gcss_wrap_vdd_dyn_sw</t>
  </si>
  <si>
    <t>sam261_cpsw_3gcss_wrap_vdd_lkg</t>
  </si>
  <si>
    <t>sam261_cpsw_3gcss_wrap_vddr_lkg</t>
  </si>
  <si>
    <t>sam261_cpsw_3gcss_wrap_xsvt_pct</t>
  </si>
  <si>
    <t>sam261_radar_hsm_corepac_accuracy_grade</t>
  </si>
  <si>
    <t>sam261_radar_hsm_corepac</t>
  </si>
  <si>
    <t>sam261_radar_hsm_corepac_area</t>
  </si>
  <si>
    <t>sam261_radar_hsm_corepac_data_source</t>
  </si>
  <si>
    <t>sam261_radar_hsm_corepac_description</t>
  </si>
  <si>
    <t>hsm am261</t>
  </si>
  <si>
    <t>sam261_radar_hsm_corepac_first_soc</t>
  </si>
  <si>
    <t>sam261_radar_hsm_corepac_freq_trk</t>
  </si>
  <si>
    <t>sam261_radar_hsm_corepac_function</t>
  </si>
  <si>
    <t>sam261_radar_hsm_corepac_kbits</t>
  </si>
  <si>
    <t>sam261_radar_hsm_corepac_lvt_pct</t>
  </si>
  <si>
    <t>sam261_radar_hsm_corepac_macro_area</t>
  </si>
  <si>
    <t>sam261_radar_hsm_corepac_macros</t>
  </si>
  <si>
    <t>sam261_radar_hsm_corepac_osvt_pct</t>
  </si>
  <si>
    <t>sam261_radar_hsm_corepac_stdcell_area</t>
  </si>
  <si>
    <t>sam261_radar_hsm_corepac_svt_pct</t>
  </si>
  <si>
    <t>sam261_radar_hsm_corepac_tag</t>
  </si>
  <si>
    <t>sam261_radar_hsm_corepac_type</t>
  </si>
  <si>
    <t>sam261_radar_hsm_corepac_vdd_dyn_idle_pct</t>
  </si>
  <si>
    <t>sam261_radar_hsm_corepac_vdd_dyn_int</t>
  </si>
  <si>
    <t>sam261_radar_hsm_corepac_vdd_dyn_max_pct</t>
  </si>
  <si>
    <t>sam261_radar_hsm_corepac_vdd_dyn_peak_pct</t>
  </si>
  <si>
    <t>sam261_radar_hsm_corepac_vdd_dyn_sw</t>
  </si>
  <si>
    <t>sam261_radar_hsm_corepac_vdd_lkg</t>
  </si>
  <si>
    <t>sam261_radar_hsm_corepac_vddr_lkg</t>
  </si>
  <si>
    <t>sam261_radar_hsm_corepac_xsvt_pct</t>
  </si>
  <si>
    <t>sam261_usb_wrap_0</t>
  </si>
  <si>
    <t>sam261_cpsw_3gcss_wrap_1</t>
  </si>
  <si>
    <t>updated 5/15/23 (was 10.9 = 1.843/1.01*6) - Asif/Shiv</t>
  </si>
  <si>
    <t>updated 5/15/23 (was 58.77 = 11/7.242*38.69) Asif/Shiv</t>
  </si>
  <si>
    <t>updated 5/15/23 (was 1.0 ) Asif/Shiv</t>
  </si>
  <si>
    <t>updated 5/15/23 ( was 1.0)</t>
  </si>
  <si>
    <t>updated 6/01/23 (was 1062.4)</t>
  </si>
  <si>
    <t>updated 6/01/23 (was 1713.6)</t>
  </si>
  <si>
    <t>updated 6/01/23 (was 448.4)</t>
  </si>
  <si>
    <t>updated 6/01/23 (was 631.7)</t>
  </si>
  <si>
    <t>updated 5/15/23 (was 9200 = 7483*9.457/7.692)</t>
  </si>
  <si>
    <t>updated 5/15/23 ( 7289.5 = 5929*9.457/7.692)</t>
  </si>
  <si>
    <t>sam263p_resolver</t>
  </si>
  <si>
    <t>am263p resolver</t>
  </si>
  <si>
    <t>new addition</t>
  </si>
  <si>
    <t>updated 6/5/23 was 20909.8 = 7.538/7.24*20083200/1000</t>
  </si>
  <si>
    <t>was 604.47 =881.83104*9.457/7.692/(1.52*1.18) [updated Asif 6/6/23]</t>
  </si>
  <si>
    <t>these are fudge #s same as core. Need to validate from jules - Asif 6/6/23</t>
  </si>
  <si>
    <t>Joules matched % - Asif 6/6/23</t>
  </si>
  <si>
    <t>Level 6</t>
  </si>
  <si>
    <t>Level 7</t>
  </si>
  <si>
    <t>Level 8</t>
  </si>
  <si>
    <t>I_soc_padring_inst</t>
  </si>
  <si>
    <t>I_soc_pinmux_inst</t>
  </si>
  <si>
    <t>I_soc_bsr_inst</t>
  </si>
  <si>
    <t>I_soc_io_cfg_inst</t>
  </si>
  <si>
    <t>I_anatop_wrap</t>
  </si>
  <si>
    <t>u_debugss_onemcu_inst</t>
  </si>
  <si>
    <t>i_stm_wrapper</t>
  </si>
  <si>
    <t>u_mss_sys_dbg_periph</t>
  </si>
  <si>
    <t>I_fss_of_ul_wrap</t>
  </si>
  <si>
    <t>Updated 09/25/23 Shiv</t>
  </si>
  <si>
    <t>8/24/22 moved back to CPSW from AM263 but with lower SVT for reduced leakage, Updated to (72.32/1.27)/2 from 72.32/1.27 on 10/02</t>
  </si>
  <si>
    <t>% Cells</t>
  </si>
  <si>
    <t>u_soc_io_cfg_reg_inst</t>
  </si>
  <si>
    <t>u_usbss_wrap</t>
  </si>
  <si>
    <t>u_icss_m0_wrap</t>
  </si>
  <si>
    <t>u_icss_m1_wrap</t>
  </si>
  <si>
    <t>u_dftss_tpr_scanglue</t>
  </si>
  <si>
    <t>u_dftss_soc</t>
  </si>
  <si>
    <t>u_tpr12_core_fusefarm_inst</t>
  </si>
  <si>
    <t>I_top_ctrl_regs</t>
  </si>
  <si>
    <t>u_subchip_usb_ss</t>
  </si>
  <si>
    <t>I_gpmc_elm_wrap</t>
  </si>
  <si>
    <t>u_dftss_tpr_codec_cluster</t>
  </si>
  <si>
    <t>u_main_vbusm_64b_safe</t>
  </si>
  <si>
    <t>u_usbotgss0</t>
  </si>
  <si>
    <t>u_mss_vbusp_wrap_inst</t>
  </si>
  <si>
    <t>u_tpcc_a</t>
  </si>
  <si>
    <t>u_mss_ctrl_reg</t>
  </si>
  <si>
    <t>u_cortexr5ss_tcm_wrap</t>
  </si>
  <si>
    <t>i_cpsw_3gcss</t>
  </si>
  <si>
    <t>I_core</t>
  </si>
  <si>
    <t>I_radar_hsm_core</t>
  </si>
  <si>
    <t>I_main_mss_vbusm_64b_wrap</t>
  </si>
  <si>
    <t>I_safe_mss_vbusm_64b_wrap</t>
  </si>
  <si>
    <t>u_main_vbusp_32b_safe</t>
  </si>
  <si>
    <t>u_peri_vbusp_32b_safe</t>
  </si>
  <si>
    <t>I_ospi_soc_wrapper</t>
  </si>
  <si>
    <t>I_gpmc</t>
  </si>
  <si>
    <t>I_tpcc_core</t>
  </si>
  <si>
    <t>Level 9</t>
  </si>
  <si>
    <t>I_cpsw_ncss_sub</t>
  </si>
  <si>
    <t>I_cortexr5ss_iso_wrap</t>
  </si>
  <si>
    <t>I_fss_of_ul_inst</t>
  </si>
  <si>
    <t>Iusb2ss_core_0</t>
  </si>
  <si>
    <t>I_pr1_xfr</t>
  </si>
  <si>
    <t>Imss_vbusm_64b</t>
  </si>
  <si>
    <t>I_dthe_inst</t>
  </si>
  <si>
    <t>I_hsm_periph</t>
  </si>
  <si>
    <t>I_hsm_radar_cm4</t>
  </si>
  <si>
    <t>I_r5ss_tcm_wrap</t>
  </si>
  <si>
    <t>I_ospi_addr_translate</t>
  </si>
  <si>
    <t>I_cpsw_3gc_am263p</t>
  </si>
  <si>
    <t>I_cortexr5ss_dft_wrap</t>
  </si>
  <si>
    <t>usbotgss_c2_0</t>
  </si>
  <si>
    <t>I_fsas</t>
  </si>
  <si>
    <t>Imain_vbusm_64b_wrap</t>
  </si>
  <si>
    <t>I_hsm_edma_wrapper</t>
  </si>
  <si>
    <t>I_radar_cm4_core_wrap_isowrap</t>
  </si>
  <si>
    <t>u_cortexr5ss_inst</t>
  </si>
  <si>
    <t>i0_usbotgss_c2_core</t>
  </si>
  <si>
    <t>I_fss_sub0</t>
  </si>
  <si>
    <t>I_ale</t>
  </si>
  <si>
    <t>Imain_vbusm_64b</t>
  </si>
  <si>
    <t>I_radar_cm4_core_wrap</t>
  </si>
  <si>
    <t>Updated 10/17/2023</t>
  </si>
  <si>
    <t>Updated 10/17/2023, Shiv from 1</t>
  </si>
  <si>
    <t>Updated 10/17/2023, Shiv from 1.45</t>
  </si>
  <si>
    <t>Updated 10/17/2023, Shiv from 77</t>
  </si>
  <si>
    <t>Need to check (Shiv updated 10/17/2023)</t>
  </si>
  <si>
    <t>Updated to 1.10 from 1.20 , Shiv 10/17/2023</t>
  </si>
  <si>
    <t>Changed to 2.230 from 2.472 10/17/2023, Shiv</t>
  </si>
  <si>
    <t>Changed  to 2.160 from 2.74 10/17/2023, Shiv</t>
  </si>
  <si>
    <t>Changed to 0.91 from 1.250, Shiv , 10/17/2023</t>
  </si>
  <si>
    <t>Changed to 0.89 fr om 1.154, Shiv, 10/17/2023</t>
  </si>
  <si>
    <t>_eth_per</t>
  </si>
  <si>
    <t>adpllj_eth_per</t>
  </si>
  <si>
    <t>Total Power</t>
  </si>
  <si>
    <t>VDD_SRAM</t>
  </si>
  <si>
    <t>Total mA</t>
  </si>
  <si>
    <t>Supply</t>
  </si>
  <si>
    <t>Power Report</t>
  </si>
  <si>
    <t>Temperature Tj</t>
  </si>
  <si>
    <t>MCSPI</t>
  </si>
  <si>
    <t>MCAN</t>
  </si>
  <si>
    <t>EPWM</t>
  </si>
  <si>
    <t>Ethernet_1</t>
  </si>
  <si>
    <t>Ethernet_0</t>
  </si>
  <si>
    <t>DAC</t>
  </si>
  <si>
    <t>ADC</t>
  </si>
  <si>
    <t>CMPSS</t>
  </si>
  <si>
    <t>Utilization</t>
  </si>
  <si>
    <t>Mode</t>
  </si>
  <si>
    <t>Interfaces</t>
  </si>
  <si>
    <t>CPSW</t>
  </si>
  <si>
    <t>400 Dual</t>
  </si>
  <si>
    <t>R5F Dual Core_1</t>
  </si>
  <si>
    <t>R5F Dual Core_0</t>
  </si>
  <si>
    <t>Runtime Services</t>
  </si>
  <si>
    <t>Hardware Security Module</t>
  </si>
  <si>
    <t>MHz &amp; Mode</t>
  </si>
  <si>
    <t>Processing Elements</t>
  </si>
  <si>
    <t>Use Case Inputs</t>
  </si>
  <si>
    <t xml:space="preserve"> </t>
  </si>
  <si>
    <r>
      <t xml:space="preserve">NOTE: Please provide the use case inputs below in the yellow boxes.  Most selections are restricted with drop down menu boxes.  This power estimation tool provides power consumption based on measured and simulated data. They are provided "as is" and are not guaranteed within a specified precision. Power consumption depends on electical parameters, silicon process variations, environmental conditions and use cases running on the devices during operation. Actual power consumption should be verified in the real system.  Nominal loadings have been assumed for other peripherals not shown. Use average loading of R5 dual core processor if induvidual core loading is different. The tool reports worst case power (strong silicon) under the environmental conditions you set.  </t>
    </r>
    <r>
      <rPr>
        <b/>
        <sz val="8"/>
        <color rgb="FFFF0000"/>
        <rFont val="Calibri"/>
        <family val="2"/>
        <scheme val="minor"/>
      </rPr>
      <t xml:space="preserve">This is preliminary tool and  TI is continuing to characterize more devices therefore, data will be updated and the PET revised along with new findings. </t>
    </r>
    <r>
      <rPr>
        <sz val="8"/>
        <color theme="1"/>
        <rFont val="Calibri"/>
        <family val="2"/>
        <scheme val="minor"/>
      </rPr>
      <t xml:space="preserve">                                                                                                          </t>
    </r>
  </si>
  <si>
    <t>Calculated</t>
  </si>
  <si>
    <t>User Input</t>
  </si>
  <si>
    <t>static</t>
  </si>
  <si>
    <t>Resolver</t>
  </si>
  <si>
    <t>OSPI</t>
  </si>
  <si>
    <t>absent</t>
  </si>
  <si>
    <t>Valid Combinations</t>
  </si>
  <si>
    <t>SoC</t>
  </si>
  <si>
    <t>400 Lockstep</t>
  </si>
  <si>
    <t>200 Dual</t>
  </si>
  <si>
    <t>200 Lockstep</t>
  </si>
  <si>
    <t>AM263P4</t>
  </si>
  <si>
    <t>AM263P2</t>
  </si>
  <si>
    <t>Power Summing Table</t>
  </si>
  <si>
    <t>This table sums up the power for each rail.  This is then carried to the input sheet to report results.  The cells are named.</t>
  </si>
  <si>
    <t>Totals</t>
  </si>
  <si>
    <t>AM263P  Power Tool</t>
  </si>
  <si>
    <t xml:space="preserve">NOTE: Please provide the use case inputs below in the yellow boxes.  Most selections are restricted with drop down menu boxes.  This power estimation tool provides power consumption based on measured and simulated data. They are provided "as is" and are not guaranteed within a specified precision. Power consumption depends on electical parameters, silicon process variations, environmental conditions and use cases running on the devices during operation. Actual power consumption should be verified in the real system.  Nominal loadings have been assumed for other peripherals not shown. Use average loading of R5 dual core processor if induvidual core loading is different. The tool reports worst case power (strong silicon) under the environmental conditions you set. </t>
  </si>
  <si>
    <t>Contributor</t>
  </si>
  <si>
    <t>Initial Power only release - PG1 final data.  Cut down from full PPA tool.</t>
  </si>
  <si>
    <t>Sahana H G</t>
  </si>
  <si>
    <t>AM263Px PET Tool Release</t>
  </si>
  <si>
    <t>IMPORTANT NOTICE AND DISCLAIMER
TI PROVIDES TECHNICAL AND RELIABILITY DATA (INCLUDING DATASHEETS),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
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or other requirements. 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TI’s products are provided subject to TI’s Terms of Sale (www.ti.com/legal/termsofsale.html) or other applicable terms available either on ti.com or provided in conjunction with such TI products. TI’s provision of these resources does not expand or otherwise alter TI’s applicable warranties or warranty disclaimers for TI products.</t>
  </si>
  <si>
    <t xml:space="preserve"> N/A</t>
  </si>
  <si>
    <t>VDDA18_OSC_PLL</t>
  </si>
  <si>
    <t>VPP</t>
  </si>
  <si>
    <t>VDDA18</t>
  </si>
  <si>
    <t>VDDA33</t>
  </si>
  <si>
    <t>VDDA18_TEMP</t>
  </si>
  <si>
    <t>Reverted back</t>
  </si>
  <si>
    <t>processor</t>
  </si>
  <si>
    <t>infra</t>
  </si>
  <si>
    <t>peripherals</t>
  </si>
  <si>
    <t>periph+analog+io</t>
  </si>
  <si>
    <t>Other Inputs</t>
  </si>
  <si>
    <t>SIP/Non-SIP</t>
  </si>
  <si>
    <t>Non-SIP</t>
  </si>
  <si>
    <t>Flash Mode</t>
  </si>
  <si>
    <t>sip_non_sip_modes</t>
  </si>
  <si>
    <t>SIP</t>
  </si>
  <si>
    <t>Data from ISSI:</t>
  </si>
  <si>
    <t>Flash RWW current (mA)</t>
  </si>
  <si>
    <t>Flash Octal Read current (mA)</t>
  </si>
  <si>
    <t>Flash RWW power (mW)</t>
  </si>
  <si>
    <t>Flash Octal Read power (mW)</t>
  </si>
  <si>
    <t>RWW</t>
  </si>
  <si>
    <t>Octal Read</t>
  </si>
  <si>
    <t>Flash Operation Mode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</si>
</sst>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Red]##%;\-;"/>
    <numFmt numFmtId="166" formatCode="m/d/yy;@"/>
    <numFmt numFmtId="167" formatCode="[$-409]d\-mmm\-yy;@"/>
    <numFmt numFmtId="168" formatCode="0;\(0\);\-"/>
    <numFmt numFmtId="169" formatCode="0.0;\(0.0\);\-"/>
    <numFmt numFmtId="170" formatCode="0.00;\(0.00\);\-"/>
    <numFmt numFmtId="171" formatCode="0%;\(0%\);\-"/>
    <numFmt numFmtId="172" formatCode="0.0%;\(0.0%\);\-"/>
    <numFmt numFmtId="173" formatCode="&quot;$&quot;0.00;\-&quot;$&quot;0.00;\-"/>
    <numFmt numFmtId="174" formatCode="0.0000;\(0.0000\);\-"/>
    <numFmt numFmtId="175" formatCode="0.000;\(0.000\);\-"/>
    <numFmt numFmtId="176" formatCode="0.0000"/>
    <numFmt numFmtId="177" formatCode="0.00_);\(0.00\)"/>
    <numFmt numFmtId="178" formatCode="0.000"/>
  </numFmts>
  <fonts count="60" x14ac:knownFonts="1">
    <font>
      <sz val="11"/>
      <color theme="1"/>
      <name val="Calibri"/>
      <family val="2"/>
      <scheme val="minor"/>
    </font>
    <font>
      <sz val="8"/>
      <color theme="1"/>
      <name val="Calibri"/>
      <family val="2"/>
      <scheme val="minor"/>
    </font>
    <font>
      <sz val="8"/>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0"/>
      <color theme="1"/>
      <name val="Calibri"/>
      <family val="2"/>
      <scheme val="minor"/>
    </font>
    <font>
      <sz val="9"/>
      <name val="Calibri"/>
      <family val="2"/>
      <scheme val="minor"/>
    </font>
    <font>
      <sz val="9"/>
      <color theme="0"/>
      <name val="Calibri"/>
      <family val="2"/>
      <scheme val="minor"/>
    </font>
    <font>
      <sz val="9"/>
      <color theme="0"/>
      <name val="Calibri"/>
      <family val="2"/>
    </font>
    <font>
      <sz val="9"/>
      <color theme="1"/>
      <name val="Calibri"/>
      <family val="2"/>
      <scheme val="minor"/>
    </font>
    <font>
      <b/>
      <sz val="9"/>
      <color theme="1"/>
      <name val="Calibri"/>
      <family val="2"/>
      <scheme val="minor"/>
    </font>
    <font>
      <sz val="8"/>
      <color theme="0"/>
      <name val="Ebrima"/>
    </font>
    <font>
      <sz val="8"/>
      <color theme="1"/>
      <name val="Ebrima"/>
    </font>
    <font>
      <sz val="8"/>
      <color theme="1"/>
      <name val="Calibri"/>
      <family val="2"/>
      <scheme val="minor"/>
    </font>
    <font>
      <sz val="11"/>
      <name val="Calibri"/>
      <family val="2"/>
      <scheme val="minor"/>
    </font>
    <font>
      <sz val="8"/>
      <color theme="0"/>
      <name val="Calibri"/>
      <family val="2"/>
      <scheme val="minor"/>
    </font>
    <font>
      <b/>
      <sz val="8"/>
      <color rgb="FFFF0000"/>
      <name val="Calibri"/>
      <family val="2"/>
      <scheme val="minor"/>
    </font>
    <font>
      <sz val="8"/>
      <name val="Calibri"/>
      <family val="2"/>
      <scheme val="minor"/>
    </font>
    <font>
      <sz val="8"/>
      <color theme="1"/>
      <name val="Calibri"/>
      <family val="2"/>
    </font>
    <font>
      <sz val="11"/>
      <color rgb="FF000000"/>
      <name val="Calibri"/>
      <family val="2"/>
      <charset val="1"/>
    </font>
    <font>
      <i/>
      <sz val="9"/>
      <color theme="1"/>
      <name val="Calibri"/>
      <family val="2"/>
      <scheme val="minor"/>
    </font>
    <font>
      <b/>
      <i/>
      <sz val="11"/>
      <color theme="1"/>
      <name val="Calibri"/>
      <family val="2"/>
      <scheme val="minor"/>
    </font>
    <font>
      <sz val="10"/>
      <color theme="0"/>
      <name val="Calibri"/>
      <family val="2"/>
      <scheme val="minor"/>
    </font>
    <font>
      <sz val="10"/>
      <name val="Calibri"/>
      <family val="2"/>
      <scheme val="minor"/>
    </font>
    <font>
      <b/>
      <sz val="9"/>
      <color theme="1"/>
      <name val="Calibri"/>
      <family val="2"/>
    </font>
    <font>
      <sz val="9"/>
      <color theme="1"/>
      <name val="Calibri"/>
      <family val="2"/>
    </font>
    <font>
      <sz val="9"/>
      <name val="Calibri"/>
      <family val="2"/>
    </font>
    <font>
      <sz val="10"/>
      <color theme="0"/>
      <name val="Corbel"/>
      <family val="2"/>
    </font>
    <font>
      <sz val="10"/>
      <color theme="1"/>
      <name val="Corbel"/>
      <family val="2"/>
    </font>
    <font>
      <sz val="10"/>
      <name val="Corbel"/>
      <family val="2"/>
    </font>
    <font>
      <sz val="10"/>
      <color indexed="81"/>
      <name val="Tahoma"/>
      <family val="2"/>
    </font>
    <font>
      <b/>
      <sz val="10"/>
      <color indexed="81"/>
      <name val="Tahoma"/>
      <family val="2"/>
    </font>
    <font>
      <sz val="11"/>
      <color rgb="FFC00000"/>
      <name val="Calibri"/>
      <family val="2"/>
      <scheme val="minor"/>
    </font>
    <font>
      <sz val="8"/>
      <color rgb="FFC00000"/>
      <name val="Calibri"/>
      <family val="2"/>
      <scheme val="minor"/>
    </font>
    <font>
      <b/>
      <sz val="8"/>
      <color rgb="FF00B0F0"/>
      <name val="Calibri"/>
      <family val="2"/>
      <scheme val="minor"/>
    </font>
    <font>
      <b/>
      <sz val="8"/>
      <color theme="3"/>
      <name val="Calibri"/>
      <family val="2"/>
      <scheme val="minor"/>
    </font>
    <font>
      <sz val="8"/>
      <color rgb="FF0070C0"/>
      <name val="Calibri"/>
      <family val="2"/>
      <scheme val="minor"/>
    </font>
    <font>
      <sz val="8"/>
      <color rgb="FF9C0006"/>
      <name val="Calibri"/>
      <family val="2"/>
      <scheme val="minor"/>
    </font>
    <font>
      <b/>
      <sz val="12"/>
      <color theme="3"/>
      <name val="Calibri"/>
      <family val="2"/>
      <scheme val="minor"/>
    </font>
    <font>
      <i/>
      <sz val="8"/>
      <color theme="1"/>
      <name val="Calibri"/>
      <family val="2"/>
      <scheme val="minor"/>
    </font>
    <font>
      <sz val="8"/>
      <color rgb="FFFFFFFF"/>
      <name val="Calibri"/>
      <family val="2"/>
    </font>
    <font>
      <sz val="8"/>
      <color rgb="FF000000"/>
      <name val="Calibri"/>
      <family val="2"/>
    </font>
    <font>
      <b/>
      <sz val="18"/>
      <color theme="1"/>
      <name val="Calibri"/>
      <family val="2"/>
      <scheme val="minor"/>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FF00"/>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66"/>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bgColor indexed="64"/>
      </patternFill>
    </fill>
    <fill>
      <patternFill patternType="lightDown">
        <fgColor theme="1"/>
      </patternFill>
    </fill>
    <fill>
      <patternFill patternType="solid">
        <fgColor theme="0" tint="-0.34998626667073579"/>
        <bgColor indexed="64"/>
      </patternFill>
    </fill>
    <fill>
      <patternFill patternType="solid">
        <fgColor theme="8" tint="0.79998168889431442"/>
        <bgColor indexed="64"/>
      </patternFill>
    </fill>
    <fill>
      <patternFill patternType="solid">
        <fgColor rgb="FF000000"/>
        <bgColor indexed="64"/>
      </patternFill>
    </fill>
    <fill>
      <patternFill patternType="solid">
        <fgColor rgb="FF808080"/>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medium">
        <color auto="1"/>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s>
  <cellStyleXfs count="71">
    <xf numFmtId="0" fontId="0" fillId="0" borderId="0"/>
    <xf numFmtId="167" fontId="4" fillId="0" borderId="0" applyNumberFormat="0" applyFill="0" applyBorder="0" applyAlignment="0" applyProtection="0"/>
    <xf numFmtId="167" fontId="5" fillId="0" borderId="1" applyNumberFormat="0" applyFill="0" applyAlignment="0" applyProtection="0"/>
    <xf numFmtId="167" fontId="6" fillId="0" borderId="2" applyNumberFormat="0" applyFill="0" applyAlignment="0" applyProtection="0"/>
    <xf numFmtId="167" fontId="7" fillId="0" borderId="3" applyNumberFormat="0" applyFill="0" applyAlignment="0" applyProtection="0"/>
    <xf numFmtId="167" fontId="7" fillId="0" borderId="0" applyNumberFormat="0" applyFill="0" applyBorder="0" applyAlignment="0" applyProtection="0"/>
    <xf numFmtId="167" fontId="8" fillId="2" borderId="0" applyNumberFormat="0" applyBorder="0" applyAlignment="0" applyProtection="0"/>
    <xf numFmtId="167" fontId="9" fillId="3" borderId="0" applyNumberFormat="0" applyBorder="0" applyAlignment="0" applyProtection="0"/>
    <xf numFmtId="167" fontId="10" fillId="4" borderId="0" applyNumberFormat="0" applyBorder="0" applyAlignment="0" applyProtection="0"/>
    <xf numFmtId="167" fontId="11" fillId="5" borderId="4" applyNumberFormat="0" applyAlignment="0" applyProtection="0"/>
    <xf numFmtId="167" fontId="12" fillId="6" borderId="5" applyNumberFormat="0" applyAlignment="0" applyProtection="0"/>
    <xf numFmtId="167" fontId="13" fillId="6" borderId="4" applyNumberFormat="0" applyAlignment="0" applyProtection="0"/>
    <xf numFmtId="167" fontId="14" fillId="0" borderId="6" applyNumberFormat="0" applyFill="0" applyAlignment="0" applyProtection="0"/>
    <xf numFmtId="167" fontId="15" fillId="7" borderId="7" applyNumberFormat="0" applyAlignment="0" applyProtection="0"/>
    <xf numFmtId="167" fontId="16" fillId="0" borderId="0" applyNumberFormat="0" applyFill="0" applyBorder="0" applyAlignment="0" applyProtection="0"/>
    <xf numFmtId="167" fontId="3" fillId="8" borderId="8" applyNumberFormat="0" applyFont="0" applyAlignment="0" applyProtection="0"/>
    <xf numFmtId="167" fontId="17" fillId="0" borderId="0" applyNumberFormat="0" applyFill="0" applyBorder="0" applyAlignment="0" applyProtection="0"/>
    <xf numFmtId="167" fontId="18" fillId="0" borderId="9" applyNumberFormat="0" applyFill="0" applyAlignment="0" applyProtection="0"/>
    <xf numFmtId="167" fontId="19" fillId="9" borderId="0" applyNumberFormat="0" applyBorder="0" applyAlignment="0" applyProtection="0"/>
    <xf numFmtId="167" fontId="3" fillId="10" borderId="0" applyNumberFormat="0" applyBorder="0" applyAlignment="0" applyProtection="0"/>
    <xf numFmtId="167" fontId="3" fillId="11" borderId="0" applyNumberFormat="0" applyBorder="0" applyAlignment="0" applyProtection="0"/>
    <xf numFmtId="167" fontId="19" fillId="12" borderId="0" applyNumberFormat="0" applyBorder="0" applyAlignment="0" applyProtection="0"/>
    <xf numFmtId="167" fontId="19" fillId="13" borderId="0" applyNumberFormat="0" applyBorder="0" applyAlignment="0" applyProtection="0"/>
    <xf numFmtId="167" fontId="3" fillId="14" borderId="0" applyNumberFormat="0" applyBorder="0" applyAlignment="0" applyProtection="0"/>
    <xf numFmtId="167" fontId="3" fillId="15" borderId="0" applyNumberFormat="0" applyBorder="0" applyAlignment="0" applyProtection="0"/>
    <xf numFmtId="167" fontId="19" fillId="16" borderId="0" applyNumberFormat="0" applyBorder="0" applyAlignment="0" applyProtection="0"/>
    <xf numFmtId="167" fontId="19" fillId="17" borderId="0" applyNumberFormat="0" applyBorder="0" applyAlignment="0" applyProtection="0"/>
    <xf numFmtId="167" fontId="3" fillId="18" borderId="0" applyNumberFormat="0" applyBorder="0" applyAlignment="0" applyProtection="0"/>
    <xf numFmtId="167" fontId="3" fillId="19" borderId="0" applyNumberFormat="0" applyBorder="0" applyAlignment="0" applyProtection="0"/>
    <xf numFmtId="167" fontId="19" fillId="20" borderId="0" applyNumberFormat="0" applyBorder="0" applyAlignment="0" applyProtection="0"/>
    <xf numFmtId="167" fontId="19" fillId="21" borderId="0" applyNumberFormat="0" applyBorder="0" applyAlignment="0" applyProtection="0"/>
    <xf numFmtId="167" fontId="3" fillId="22" borderId="0" applyNumberFormat="0" applyBorder="0" applyAlignment="0" applyProtection="0"/>
    <xf numFmtId="167" fontId="3" fillId="23" borderId="0" applyNumberFormat="0" applyBorder="0" applyAlignment="0" applyProtection="0"/>
    <xf numFmtId="167" fontId="19" fillId="24" borderId="0" applyNumberFormat="0" applyBorder="0" applyAlignment="0" applyProtection="0"/>
    <xf numFmtId="167" fontId="19" fillId="25" borderId="0" applyNumberFormat="0" applyBorder="0" applyAlignment="0" applyProtection="0"/>
    <xf numFmtId="167" fontId="3" fillId="26" borderId="0" applyNumberFormat="0" applyBorder="0" applyAlignment="0" applyProtection="0"/>
    <xf numFmtId="167" fontId="3" fillId="27" borderId="0" applyNumberFormat="0" applyBorder="0" applyAlignment="0" applyProtection="0"/>
    <xf numFmtId="167" fontId="19" fillId="28" borderId="0" applyNumberFormat="0" applyBorder="0" applyAlignment="0" applyProtection="0"/>
    <xf numFmtId="167" fontId="19" fillId="29" borderId="0" applyNumberFormat="0" applyBorder="0" applyAlignment="0" applyProtection="0"/>
    <xf numFmtId="167" fontId="3" fillId="30" borderId="0" applyNumberFormat="0" applyBorder="0" applyAlignment="0" applyProtection="0"/>
    <xf numFmtId="167" fontId="3" fillId="31" borderId="0" applyNumberFormat="0" applyBorder="0" applyAlignment="0" applyProtection="0"/>
    <xf numFmtId="167" fontId="19" fillId="32" borderId="0" applyNumberFormat="0" applyBorder="0" applyAlignment="0" applyProtection="0"/>
    <xf numFmtId="9" fontId="3" fillId="0" borderId="0" applyFont="0" applyFill="0" applyBorder="0" applyAlignment="0" applyProtection="0"/>
    <xf numFmtId="168" fontId="30" fillId="0" borderId="10">
      <alignment horizontal="center" vertical="center"/>
    </xf>
    <xf numFmtId="170" fontId="30" fillId="0" borderId="10">
      <alignment horizontal="center" vertical="center"/>
    </xf>
    <xf numFmtId="165" fontId="26" fillId="8" borderId="17">
      <alignment horizontal="center"/>
    </xf>
    <xf numFmtId="171" fontId="30" fillId="0" borderId="10">
      <alignment horizontal="center" vertical="center"/>
    </xf>
    <xf numFmtId="0" fontId="30" fillId="0" borderId="10"/>
    <xf numFmtId="169" fontId="30" fillId="0" borderId="10">
      <alignment horizontal="center" vertical="center"/>
    </xf>
    <xf numFmtId="165" fontId="26" fillId="0" borderId="17">
      <alignment horizontal="center"/>
    </xf>
    <xf numFmtId="166" fontId="30" fillId="0" borderId="10"/>
    <xf numFmtId="167" fontId="19" fillId="9" borderId="0" applyNumberFormat="0" applyBorder="0" applyAlignment="0" applyProtection="0"/>
    <xf numFmtId="167" fontId="3" fillId="8" borderId="8" applyNumberFormat="0" applyFont="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36" fillId="0" borderId="0"/>
    <xf numFmtId="0" fontId="3" fillId="30" borderId="0" applyNumberFormat="0" applyBorder="0" applyAlignment="0" applyProtection="0"/>
    <xf numFmtId="0" fontId="3" fillId="11" borderId="0" applyNumberFormat="0" applyBorder="0" applyAlignment="0" applyProtection="0"/>
    <xf numFmtId="167" fontId="35" fillId="8" borderId="8" applyNumberFormat="0" applyAlignment="0" applyProtection="0"/>
    <xf numFmtId="43" fontId="3" fillId="0" borderId="0" applyFont="0" applyFill="0" applyBorder="0" applyAlignment="0" applyProtection="0"/>
    <xf numFmtId="173" fontId="30" fillId="0" borderId="10">
      <alignment horizontal="center" vertical="center"/>
    </xf>
    <xf numFmtId="0" fontId="3" fillId="8" borderId="8" applyNumberFormat="0" applyFont="0" applyAlignment="0" applyProtection="0"/>
    <xf numFmtId="168" fontId="1" fillId="0" borderId="10">
      <alignment horizontal="center" vertical="center"/>
    </xf>
    <xf numFmtId="0" fontId="1" fillId="0" borderId="10"/>
    <xf numFmtId="0" fontId="5" fillId="0" borderId="1" applyNumberFormat="0" applyFill="0" applyAlignment="0" applyProtection="0"/>
    <xf numFmtId="171" fontId="1" fillId="0" borderId="10">
      <alignment horizontal="center" vertical="center"/>
    </xf>
    <xf numFmtId="0" fontId="7" fillId="0" borderId="3" applyNumberFormat="0" applyFill="0" applyAlignment="0" applyProtection="0"/>
    <xf numFmtId="0" fontId="3" fillId="10" borderId="0" applyNumberFormat="0" applyBorder="0" applyAlignment="0" applyProtection="0"/>
    <xf numFmtId="169" fontId="1" fillId="0" borderId="10">
      <alignment horizontal="center" vertical="center"/>
    </xf>
    <xf numFmtId="166" fontId="1" fillId="0" borderId="10"/>
  </cellStyleXfs>
  <cellXfs count="346">
    <xf numFmtId="0" fontId="0" fillId="0" borderId="0" xfId="0"/>
    <xf numFmtId="0" fontId="26" fillId="0" borderId="0" xfId="0" applyFont="1" applyFill="1"/>
    <xf numFmtId="0" fontId="19" fillId="33" borderId="0" xfId="0" applyFont="1" applyFill="1"/>
    <xf numFmtId="0" fontId="0" fillId="0" borderId="0" xfId="0" applyAlignment="1">
      <alignment horizontal="left" wrapText="1"/>
    </xf>
    <xf numFmtId="0" fontId="26" fillId="0" borderId="10" xfId="0" applyFont="1" applyFill="1" applyBorder="1"/>
    <xf numFmtId="0" fontId="25" fillId="38" borderId="18" xfId="0" applyFont="1" applyFill="1" applyBorder="1" applyAlignment="1">
      <alignment horizontal="center" vertical="center" textRotation="90" wrapText="1"/>
    </xf>
    <xf numFmtId="9" fontId="25" fillId="38" borderId="18" xfId="0" quotePrefix="1" applyNumberFormat="1" applyFont="1" applyFill="1" applyBorder="1" applyAlignment="1">
      <alignment horizontal="center" vertical="center" textRotation="90" wrapText="1"/>
    </xf>
    <xf numFmtId="0" fontId="19" fillId="33" borderId="10" xfId="0" applyFont="1" applyFill="1" applyBorder="1"/>
    <xf numFmtId="0" fontId="28" fillId="0" borderId="0" xfId="0" applyFont="1" applyFill="1" applyBorder="1" applyAlignment="1">
      <alignment horizontal="center" vertical="center" textRotation="90" wrapText="1" readingOrder="1"/>
    </xf>
    <xf numFmtId="0" fontId="28" fillId="0" borderId="0" xfId="0" applyFont="1" applyFill="1" applyBorder="1" applyAlignment="1">
      <alignment horizontal="center" vertical="center" wrapText="1" readingOrder="1"/>
    </xf>
    <xf numFmtId="0" fontId="29" fillId="0" borderId="0" xfId="0" applyFont="1"/>
    <xf numFmtId="0" fontId="26" fillId="0" borderId="0" xfId="0" applyFont="1"/>
    <xf numFmtId="0" fontId="26" fillId="0" borderId="10" xfId="0" applyFont="1" applyBorder="1"/>
    <xf numFmtId="0" fontId="0" fillId="0" borderId="10" xfId="0" applyBorder="1"/>
    <xf numFmtId="169" fontId="30" fillId="0" borderId="10" xfId="48">
      <alignment horizontal="center" vertical="center"/>
    </xf>
    <xf numFmtId="14" fontId="26" fillId="0" borderId="10" xfId="0" applyNumberFormat="1" applyFont="1" applyFill="1" applyBorder="1" applyAlignment="1">
      <alignment horizontal="center"/>
    </xf>
    <xf numFmtId="1" fontId="26" fillId="0" borderId="10" xfId="0" applyNumberFormat="1" applyFont="1" applyFill="1" applyBorder="1" applyAlignment="1">
      <alignment horizontal="center"/>
    </xf>
    <xf numFmtId="15" fontId="26" fillId="0" borderId="10" xfId="0" applyNumberFormat="1" applyFont="1" applyFill="1" applyBorder="1" applyAlignment="1">
      <alignment horizontal="center"/>
    </xf>
    <xf numFmtId="14" fontId="26" fillId="0" borderId="10" xfId="0" applyNumberFormat="1" applyFont="1" applyFill="1" applyBorder="1" applyAlignment="1">
      <alignment horizontal="left"/>
    </xf>
    <xf numFmtId="14" fontId="26" fillId="0" borderId="10" xfId="0" applyNumberFormat="1" applyFont="1" applyFill="1" applyBorder="1" applyAlignment="1">
      <alignment horizontal="left" vertical="center"/>
    </xf>
    <xf numFmtId="170" fontId="30" fillId="0" borderId="10" xfId="48" applyNumberFormat="1">
      <alignment horizontal="center" vertical="center"/>
    </xf>
    <xf numFmtId="0" fontId="0" fillId="0" borderId="0" xfId="0" applyBorder="1"/>
    <xf numFmtId="0" fontId="0" fillId="0" borderId="0" xfId="0"/>
    <xf numFmtId="0" fontId="26" fillId="0" borderId="0" xfId="0" applyFont="1" applyAlignment="1">
      <alignment horizontal="center"/>
    </xf>
    <xf numFmtId="0" fontId="26" fillId="0" borderId="10" xfId="0" applyFont="1" applyBorder="1" applyAlignment="1">
      <alignment horizontal="left"/>
    </xf>
    <xf numFmtId="165" fontId="26" fillId="0" borderId="17" xfId="49">
      <alignment horizontal="center"/>
    </xf>
    <xf numFmtId="0" fontId="19" fillId="33" borderId="0" xfId="0" applyFont="1" applyFill="1" applyAlignment="1">
      <alignment wrapText="1"/>
    </xf>
    <xf numFmtId="0" fontId="19" fillId="33" borderId="10" xfId="0" applyFont="1" applyFill="1" applyBorder="1" applyAlignment="1">
      <alignment horizontal="left" wrapText="1"/>
    </xf>
    <xf numFmtId="9" fontId="0" fillId="0" borderId="0" xfId="42" applyFont="1" applyBorder="1"/>
    <xf numFmtId="0" fontId="38" fillId="0" borderId="22" xfId="0" applyFont="1" applyBorder="1" applyAlignment="1">
      <alignment horizontal="center"/>
    </xf>
    <xf numFmtId="0" fontId="38" fillId="0" borderId="23" xfId="0" applyFont="1" applyBorder="1" applyAlignment="1">
      <alignment horizontal="center"/>
    </xf>
    <xf numFmtId="0" fontId="38" fillId="0" borderId="24" xfId="0" applyFont="1" applyBorder="1" applyAlignment="1">
      <alignment horizontal="center"/>
    </xf>
    <xf numFmtId="0" fontId="0" fillId="0" borderId="14" xfId="0" applyBorder="1"/>
    <xf numFmtId="0" fontId="0" fillId="0" borderId="25" xfId="0" applyBorder="1"/>
    <xf numFmtId="167" fontId="3" fillId="22" borderId="26" xfId="31" applyBorder="1"/>
    <xf numFmtId="167" fontId="0" fillId="22" borderId="26" xfId="31" applyFont="1" applyBorder="1"/>
    <xf numFmtId="0" fontId="0" fillId="0" borderId="27" xfId="0" applyBorder="1"/>
    <xf numFmtId="0" fontId="0" fillId="0" borderId="28" xfId="0" applyBorder="1"/>
    <xf numFmtId="167" fontId="0" fillId="22" borderId="29" xfId="31" applyFont="1" applyBorder="1"/>
    <xf numFmtId="167" fontId="18" fillId="44" borderId="26" xfId="31" applyFont="1" applyFill="1" applyBorder="1"/>
    <xf numFmtId="0" fontId="31" fillId="44" borderId="10" xfId="55" applyFont="1" applyFill="1" applyBorder="1"/>
    <xf numFmtId="9" fontId="26" fillId="0" borderId="10" xfId="42" applyFont="1" applyBorder="1" applyAlignment="1">
      <alignment horizontal="center" vertical="center"/>
    </xf>
    <xf numFmtId="0" fontId="18" fillId="46" borderId="0" xfId="0" applyFont="1" applyFill="1"/>
    <xf numFmtId="0" fontId="0" fillId="47" borderId="10" xfId="0" applyFill="1" applyBorder="1"/>
    <xf numFmtId="0" fontId="0" fillId="47" borderId="10" xfId="0" applyFill="1" applyBorder="1" applyAlignment="1">
      <alignment horizontal="left"/>
    </xf>
    <xf numFmtId="0" fontId="0" fillId="47" borderId="0" xfId="0" applyFill="1" applyBorder="1" applyAlignment="1">
      <alignment horizontal="left"/>
    </xf>
    <xf numFmtId="0" fontId="22" fillId="0" borderId="0" xfId="0" applyFont="1"/>
    <xf numFmtId="0" fontId="39" fillId="33" borderId="10" xfId="0" applyFont="1" applyFill="1" applyBorder="1"/>
    <xf numFmtId="0" fontId="40" fillId="0" borderId="10" xfId="0" applyFont="1" applyFill="1" applyBorder="1"/>
    <xf numFmtId="0" fontId="22" fillId="0" borderId="10" xfId="0" applyFont="1" applyBorder="1"/>
    <xf numFmtId="0" fontId="40" fillId="0" borderId="10" xfId="47" applyFont="1" applyFill="1" applyBorder="1"/>
    <xf numFmtId="9" fontId="40" fillId="0" borderId="10" xfId="42" applyFont="1" applyFill="1" applyBorder="1"/>
    <xf numFmtId="0" fontId="22" fillId="0" borderId="10" xfId="0" applyFont="1" applyFill="1" applyBorder="1"/>
    <xf numFmtId="170" fontId="40" fillId="0" borderId="10" xfId="44" applyFont="1" applyFill="1" applyBorder="1">
      <alignment horizontal="center" vertical="center"/>
    </xf>
    <xf numFmtId="0" fontId="40" fillId="0" borderId="10" xfId="0" applyFont="1" applyFill="1" applyBorder="1" applyAlignment="1">
      <alignment horizontal="left"/>
    </xf>
    <xf numFmtId="0" fontId="40" fillId="0" borderId="0" xfId="0" applyFont="1" applyFill="1" applyBorder="1"/>
    <xf numFmtId="0" fontId="22" fillId="0" borderId="0" xfId="0" applyFont="1" applyBorder="1"/>
    <xf numFmtId="0" fontId="40" fillId="36" borderId="10" xfId="0" applyFont="1" applyFill="1" applyBorder="1"/>
    <xf numFmtId="0" fontId="22" fillId="36" borderId="10" xfId="0" applyFont="1" applyFill="1" applyBorder="1"/>
    <xf numFmtId="0" fontId="40" fillId="41" borderId="10" xfId="0" applyFont="1" applyFill="1" applyBorder="1"/>
    <xf numFmtId="0" fontId="25" fillId="33" borderId="0" xfId="0" applyFont="1" applyFill="1" applyAlignment="1">
      <alignment horizontal="center" vertical="center" wrapText="1"/>
    </xf>
    <xf numFmtId="0" fontId="41" fillId="45" borderId="24" xfId="47" quotePrefix="1" applyFont="1" applyFill="1" applyBorder="1" applyAlignment="1">
      <alignment horizontal="center" vertical="center" wrapText="1"/>
    </xf>
    <xf numFmtId="0" fontId="42" fillId="0" borderId="0" xfId="0" applyFont="1"/>
    <xf numFmtId="14" fontId="42" fillId="0" borderId="10" xfId="0" applyNumberFormat="1" applyFont="1" applyFill="1" applyBorder="1" applyAlignment="1">
      <alignment horizontal="left"/>
    </xf>
    <xf numFmtId="14" fontId="42" fillId="0" borderId="10" xfId="0" applyNumberFormat="1" applyFont="1" applyFill="1" applyBorder="1" applyAlignment="1">
      <alignment horizontal="center"/>
    </xf>
    <xf numFmtId="1" fontId="42" fillId="0" borderId="10" xfId="0" applyNumberFormat="1" applyFont="1" applyFill="1" applyBorder="1" applyAlignment="1">
      <alignment horizontal="center" vertical="center"/>
    </xf>
    <xf numFmtId="15" fontId="42" fillId="0" borderId="10" xfId="0" applyNumberFormat="1" applyFont="1" applyFill="1" applyBorder="1" applyAlignment="1">
      <alignment horizontal="center" vertical="center"/>
    </xf>
    <xf numFmtId="168" fontId="42" fillId="0" borderId="10" xfId="43" applyFont="1" applyFill="1" applyAlignment="1">
      <alignment horizontal="center" vertical="center"/>
    </xf>
    <xf numFmtId="169" fontId="42" fillId="0" borderId="10" xfId="48" applyFont="1" applyFill="1" applyAlignment="1">
      <alignment horizontal="center" vertical="center"/>
    </xf>
    <xf numFmtId="14" fontId="42" fillId="0" borderId="10" xfId="31" applyNumberFormat="1" applyFont="1" applyFill="1" applyBorder="1" applyAlignment="1">
      <alignment horizontal="center"/>
    </xf>
    <xf numFmtId="168" fontId="42" fillId="0" borderId="10" xfId="31" applyNumberFormat="1" applyFont="1" applyFill="1" applyBorder="1" applyAlignment="1">
      <alignment horizontal="center" vertical="center"/>
    </xf>
    <xf numFmtId="9" fontId="42" fillId="0" borderId="10" xfId="42" applyFont="1" applyFill="1" applyBorder="1" applyAlignment="1">
      <alignment horizontal="center" vertical="center"/>
    </xf>
    <xf numFmtId="14" fontId="42" fillId="40" borderId="19" xfId="0" applyNumberFormat="1" applyFont="1" applyFill="1" applyBorder="1" applyAlignment="1">
      <alignment horizontal="left"/>
    </xf>
    <xf numFmtId="15" fontId="42" fillId="40" borderId="19" xfId="0" applyNumberFormat="1" applyFont="1" applyFill="1" applyBorder="1" applyAlignment="1">
      <alignment horizontal="center" vertical="center"/>
    </xf>
    <xf numFmtId="0" fontId="42" fillId="0" borderId="19" xfId="0" applyFont="1" applyBorder="1"/>
    <xf numFmtId="0" fontId="42" fillId="0" borderId="19" xfId="0" applyFont="1" applyBorder="1" applyAlignment="1">
      <alignment horizontal="left"/>
    </xf>
    <xf numFmtId="165" fontId="42" fillId="8" borderId="17" xfId="45" applyFont="1" applyAlignment="1">
      <alignment horizontal="center" vertical="center"/>
    </xf>
    <xf numFmtId="168" fontId="42" fillId="0" borderId="10" xfId="43" applyFont="1">
      <alignment horizontal="center" vertical="center"/>
    </xf>
    <xf numFmtId="9" fontId="43" fillId="8" borderId="8" xfId="15" applyNumberFormat="1" applyFont="1" applyAlignment="1"/>
    <xf numFmtId="0" fontId="43" fillId="8" borderId="8" xfId="15" applyNumberFormat="1" applyFont="1" applyAlignment="1">
      <alignment horizontal="left"/>
    </xf>
    <xf numFmtId="165" fontId="42" fillId="0" borderId="19" xfId="0" applyNumberFormat="1" applyFont="1" applyBorder="1" applyAlignment="1">
      <alignment horizontal="center" vertical="center"/>
    </xf>
    <xf numFmtId="171" fontId="42" fillId="0" borderId="10" xfId="46" applyFont="1">
      <alignment horizontal="center" vertical="center"/>
    </xf>
    <xf numFmtId="0" fontId="42" fillId="43" borderId="19" xfId="0" applyFont="1" applyFill="1" applyBorder="1" applyAlignment="1">
      <alignment horizontal="right"/>
    </xf>
    <xf numFmtId="165" fontId="42" fillId="43" borderId="17" xfId="49" applyFont="1" applyFill="1">
      <alignment horizontal="center"/>
    </xf>
    <xf numFmtId="165" fontId="42" fillId="43" borderId="19" xfId="0" applyNumberFormat="1" applyFont="1" applyFill="1" applyBorder="1" applyAlignment="1">
      <alignment horizontal="center" vertical="center"/>
    </xf>
    <xf numFmtId="168" fontId="42" fillId="43" borderId="10" xfId="43" applyFont="1" applyFill="1">
      <alignment horizontal="center" vertical="center"/>
    </xf>
    <xf numFmtId="14" fontId="42" fillId="40" borderId="21" xfId="0" applyNumberFormat="1" applyFont="1" applyFill="1" applyBorder="1" applyAlignment="1">
      <alignment horizontal="center"/>
    </xf>
    <xf numFmtId="9" fontId="42" fillId="40" borderId="21" xfId="0" applyNumberFormat="1" applyFont="1" applyFill="1" applyBorder="1" applyAlignment="1">
      <alignment horizontal="center" vertical="center"/>
    </xf>
    <xf numFmtId="168" fontId="42" fillId="40" borderId="10" xfId="43" applyFont="1" applyFill="1">
      <alignment horizontal="center" vertical="center"/>
    </xf>
    <xf numFmtId="0" fontId="42" fillId="0" borderId="10" xfId="0" applyFont="1" applyBorder="1"/>
    <xf numFmtId="0" fontId="42" fillId="0" borderId="10" xfId="0" applyFont="1" applyBorder="1" applyAlignment="1">
      <alignment horizontal="left"/>
    </xf>
    <xf numFmtId="0" fontId="42" fillId="0" borderId="19" xfId="0" applyFont="1" applyFill="1" applyBorder="1"/>
    <xf numFmtId="165" fontId="42" fillId="0" borderId="19" xfId="0" applyNumberFormat="1" applyFont="1" applyFill="1" applyBorder="1" applyAlignment="1">
      <alignment horizontal="center" vertical="center"/>
    </xf>
    <xf numFmtId="0" fontId="42" fillId="0" borderId="19" xfId="0" applyFont="1" applyFill="1" applyBorder="1" applyAlignment="1">
      <alignment horizontal="center" vertical="center"/>
    </xf>
    <xf numFmtId="0" fontId="42" fillId="0" borderId="0" xfId="0" applyFont="1" applyFill="1"/>
    <xf numFmtId="0" fontId="42" fillId="37" borderId="19" xfId="0" applyFont="1" applyFill="1" applyBorder="1"/>
    <xf numFmtId="0" fontId="42" fillId="37" borderId="0" xfId="0" applyFont="1" applyFill="1"/>
    <xf numFmtId="0" fontId="42" fillId="37" borderId="19" xfId="0" applyFont="1" applyFill="1" applyBorder="1" applyAlignment="1">
      <alignment horizontal="center" vertical="center"/>
    </xf>
    <xf numFmtId="165" fontId="42" fillId="37" borderId="19" xfId="0" applyNumberFormat="1" applyFont="1" applyFill="1" applyBorder="1" applyAlignment="1">
      <alignment horizontal="center" vertical="center"/>
    </xf>
    <xf numFmtId="0" fontId="42" fillId="0" borderId="0" xfId="0" applyFont="1" applyAlignment="1">
      <alignment horizontal="center" vertical="center"/>
    </xf>
    <xf numFmtId="14" fontId="25" fillId="35" borderId="20" xfId="0" applyNumberFormat="1" applyFont="1" applyFill="1" applyBorder="1" applyAlignment="1">
      <alignment horizontal="center"/>
    </xf>
    <xf numFmtId="14" fontId="25" fillId="35" borderId="20" xfId="0" applyNumberFormat="1" applyFont="1" applyFill="1" applyBorder="1" applyAlignment="1">
      <alignment horizontal="left"/>
    </xf>
    <xf numFmtId="1" fontId="25" fillId="35" borderId="20" xfId="0" applyNumberFormat="1" applyFont="1" applyFill="1" applyBorder="1" applyAlignment="1">
      <alignment horizontal="center" vertical="center"/>
    </xf>
    <xf numFmtId="0" fontId="42" fillId="0" borderId="10" xfId="47" applyFont="1" applyBorder="1" applyAlignment="1">
      <alignment horizontal="center" vertical="center"/>
    </xf>
    <xf numFmtId="9" fontId="42" fillId="0" borderId="10" xfId="0" applyNumberFormat="1" applyFont="1" applyBorder="1"/>
    <xf numFmtId="9" fontId="42" fillId="0" borderId="10" xfId="47" applyNumberFormat="1" applyFont="1" applyBorder="1" applyAlignment="1">
      <alignment horizontal="center" vertical="center"/>
    </xf>
    <xf numFmtId="0" fontId="40" fillId="0" borderId="0" xfId="0" applyFont="1" applyFill="1"/>
    <xf numFmtId="0" fontId="42" fillId="36" borderId="19" xfId="0" applyFont="1" applyFill="1" applyBorder="1"/>
    <xf numFmtId="0" fontId="28" fillId="33" borderId="10" xfId="0" applyFont="1" applyFill="1" applyBorder="1" applyAlignment="1">
      <alignment horizontal="center" vertical="center" textRotation="90" wrapText="1" readingOrder="1"/>
    </xf>
    <xf numFmtId="0" fontId="28" fillId="33" borderId="10" xfId="0" applyFont="1" applyFill="1" applyBorder="1" applyAlignment="1">
      <alignment horizontal="left" vertical="center" textRotation="90" wrapText="1" readingOrder="1"/>
    </xf>
    <xf numFmtId="0" fontId="29" fillId="0" borderId="0" xfId="0" applyFont="1" applyAlignment="1">
      <alignment horizontal="left"/>
    </xf>
    <xf numFmtId="0" fontId="26" fillId="0" borderId="0" xfId="0" applyFont="1" applyFill="1" applyAlignment="1">
      <alignment horizontal="center"/>
    </xf>
    <xf numFmtId="0" fontId="24" fillId="33" borderId="10" xfId="0" applyFont="1" applyFill="1" applyBorder="1" applyAlignment="1">
      <alignment horizontal="center" vertical="center" wrapText="1"/>
    </xf>
    <xf numFmtId="9" fontId="25" fillId="38" borderId="10" xfId="0" quotePrefix="1" applyNumberFormat="1" applyFont="1" applyFill="1" applyBorder="1" applyAlignment="1">
      <alignment horizontal="center" vertical="center" textRotation="90" wrapText="1"/>
    </xf>
    <xf numFmtId="0" fontId="41" fillId="45" borderId="10" xfId="47" quotePrefix="1" applyFont="1" applyFill="1" applyBorder="1" applyAlignment="1">
      <alignment horizontal="center" vertical="center" wrapText="1"/>
    </xf>
    <xf numFmtId="0" fontId="25" fillId="38" borderId="10" xfId="0" applyFont="1" applyFill="1" applyBorder="1" applyAlignment="1">
      <alignment horizontal="center" vertical="center" textRotation="90" wrapText="1"/>
    </xf>
    <xf numFmtId="168" fontId="26" fillId="0" borderId="10" xfId="43" applyFont="1" applyBorder="1">
      <alignment horizontal="center" vertical="center"/>
    </xf>
    <xf numFmtId="169" fontId="26" fillId="0" borderId="10" xfId="48" applyFont="1" applyBorder="1">
      <alignment horizontal="center" vertical="center"/>
    </xf>
    <xf numFmtId="14" fontId="26" fillId="40" borderId="10" xfId="0" applyNumberFormat="1" applyFont="1" applyFill="1" applyBorder="1" applyAlignment="1">
      <alignment horizontal="left"/>
    </xf>
    <xf numFmtId="15" fontId="26" fillId="40" borderId="10" xfId="0" applyNumberFormat="1" applyFont="1" applyFill="1" applyBorder="1" applyAlignment="1">
      <alignment horizontal="center"/>
    </xf>
    <xf numFmtId="165" fontId="26" fillId="0" borderId="10" xfId="0" applyNumberFormat="1" applyFont="1" applyBorder="1" applyAlignment="1">
      <alignment horizontal="center"/>
    </xf>
    <xf numFmtId="165" fontId="37" fillId="0" borderId="10" xfId="0" applyNumberFormat="1" applyFont="1" applyBorder="1" applyAlignment="1">
      <alignment horizontal="center"/>
    </xf>
    <xf numFmtId="0" fontId="37" fillId="26" borderId="10" xfId="35" applyNumberFormat="1" applyFont="1" applyBorder="1" applyAlignment="1">
      <alignment horizontal="right"/>
    </xf>
    <xf numFmtId="9" fontId="37" fillId="26" borderId="10" xfId="35" applyNumberFormat="1" applyFont="1" applyBorder="1" applyAlignment="1">
      <alignment horizontal="left"/>
    </xf>
    <xf numFmtId="165" fontId="37" fillId="26" borderId="10" xfId="35" applyNumberFormat="1" applyFont="1" applyBorder="1" applyAlignment="1">
      <alignment horizontal="center"/>
    </xf>
    <xf numFmtId="0" fontId="26" fillId="39" borderId="10" xfId="0" applyFont="1" applyFill="1" applyBorder="1"/>
    <xf numFmtId="0" fontId="26" fillId="39" borderId="10" xfId="0" applyFont="1" applyFill="1" applyBorder="1" applyAlignment="1">
      <alignment horizontal="left"/>
    </xf>
    <xf numFmtId="165" fontId="26" fillId="39" borderId="10" xfId="0" applyNumberFormat="1" applyFont="1" applyFill="1" applyBorder="1" applyAlignment="1">
      <alignment horizontal="center"/>
    </xf>
    <xf numFmtId="168" fontId="26" fillId="39" borderId="10" xfId="43" applyFont="1" applyFill="1" applyBorder="1">
      <alignment horizontal="center" vertical="center"/>
    </xf>
    <xf numFmtId="167" fontId="23" fillId="41" borderId="10" xfId="0" applyNumberFormat="1" applyFont="1" applyFill="1" applyBorder="1" applyAlignment="1">
      <alignment horizontal="center"/>
    </xf>
    <xf numFmtId="14" fontId="24" fillId="35" borderId="10" xfId="0" applyNumberFormat="1" applyFont="1" applyFill="1" applyBorder="1" applyAlignment="1">
      <alignment horizontal="left"/>
    </xf>
    <xf numFmtId="1" fontId="24" fillId="35" borderId="10" xfId="0" applyNumberFormat="1" applyFont="1" applyFill="1" applyBorder="1" applyAlignment="1">
      <alignment horizontal="center"/>
    </xf>
    <xf numFmtId="0" fontId="30" fillId="0" borderId="10" xfId="47" applyFill="1" applyBorder="1"/>
    <xf numFmtId="167" fontId="23" fillId="0" borderId="10" xfId="0" applyNumberFormat="1" applyFont="1" applyFill="1" applyBorder="1" applyAlignment="1">
      <alignment horizontal="center"/>
    </xf>
    <xf numFmtId="0" fontId="0" fillId="50" borderId="10" xfId="0" applyFill="1" applyBorder="1"/>
    <xf numFmtId="165" fontId="26" fillId="0" borderId="10" xfId="0" applyNumberFormat="1" applyFont="1" applyFill="1" applyBorder="1" applyAlignment="1">
      <alignment horizontal="center"/>
    </xf>
    <xf numFmtId="0" fontId="26" fillId="0" borderId="10" xfId="0" applyFont="1" applyFill="1" applyBorder="1" applyAlignment="1">
      <alignment horizontal="center"/>
    </xf>
    <xf numFmtId="170" fontId="29" fillId="0" borderId="10" xfId="0" applyNumberFormat="1" applyFont="1" applyBorder="1"/>
    <xf numFmtId="0" fontId="0" fillId="47" borderId="0" xfId="0" applyFill="1" applyBorder="1"/>
    <xf numFmtId="0" fontId="22" fillId="0" borderId="10" xfId="47" applyFont="1"/>
    <xf numFmtId="169" fontId="22" fillId="0" borderId="16" xfId="48" applyFont="1" applyBorder="1">
      <alignment horizontal="center" vertical="center"/>
    </xf>
    <xf numFmtId="0" fontId="22" fillId="0" borderId="10" xfId="0" applyFont="1" applyFill="1" applyBorder="1" applyAlignment="1"/>
    <xf numFmtId="9" fontId="22" fillId="0" borderId="16" xfId="42" applyFont="1" applyBorder="1" applyAlignment="1">
      <alignment horizontal="center" vertical="center"/>
    </xf>
    <xf numFmtId="0" fontId="39" fillId="33" borderId="10" xfId="0" applyFont="1" applyFill="1" applyBorder="1" applyAlignment="1">
      <alignment horizontal="center"/>
    </xf>
    <xf numFmtId="0" fontId="39" fillId="33" borderId="13" xfId="0" applyFont="1" applyFill="1" applyBorder="1" applyAlignment="1">
      <alignment horizontal="center"/>
    </xf>
    <xf numFmtId="0" fontId="39" fillId="33" borderId="13" xfId="0" applyFont="1" applyFill="1" applyBorder="1" applyAlignment="1">
      <alignment horizontal="center" vertical="top"/>
    </xf>
    <xf numFmtId="172" fontId="22" fillId="0" borderId="10" xfId="46" applyNumberFormat="1" applyFont="1">
      <alignment horizontal="center" vertical="center"/>
    </xf>
    <xf numFmtId="171" fontId="22" fillId="0" borderId="10" xfId="46" applyFont="1">
      <alignment horizontal="center" vertical="center"/>
    </xf>
    <xf numFmtId="0" fontId="40" fillId="0" borderId="0" xfId="47" applyFont="1" applyFill="1" applyBorder="1"/>
    <xf numFmtId="0" fontId="22" fillId="0" borderId="0" xfId="0" applyFont="1" applyAlignment="1">
      <alignment horizontal="left"/>
    </xf>
    <xf numFmtId="0" fontId="44" fillId="33" borderId="11" xfId="0" applyFont="1" applyFill="1" applyBorder="1" applyAlignment="1">
      <alignment wrapText="1"/>
    </xf>
    <xf numFmtId="0" fontId="45" fillId="0" borderId="10" xfId="0" applyFont="1" applyBorder="1" applyAlignment="1">
      <alignment horizontal="left"/>
    </xf>
    <xf numFmtId="9" fontId="45" fillId="0" borderId="10" xfId="42" applyFont="1" applyBorder="1" applyAlignment="1">
      <alignment horizontal="center"/>
    </xf>
    <xf numFmtId="0" fontId="46" fillId="0" borderId="0" xfId="0" applyFont="1" applyFill="1" applyBorder="1"/>
    <xf numFmtId="169" fontId="9" fillId="3" borderId="10" xfId="7" applyNumberFormat="1" applyBorder="1" applyAlignment="1">
      <alignment horizontal="center" vertical="center"/>
    </xf>
    <xf numFmtId="0" fontId="19" fillId="48" borderId="0" xfId="0" applyFont="1" applyFill="1"/>
    <xf numFmtId="10" fontId="0" fillId="0" borderId="0" xfId="0" applyNumberFormat="1"/>
    <xf numFmtId="167" fontId="31" fillId="40" borderId="14" xfId="26" applyFont="1" applyFill="1" applyBorder="1"/>
    <xf numFmtId="0" fontId="31" fillId="40" borderId="10" xfId="55" applyFont="1" applyFill="1" applyBorder="1"/>
    <xf numFmtId="167" fontId="31" fillId="40" borderId="10" xfId="18" applyFont="1" applyFill="1" applyBorder="1"/>
    <xf numFmtId="167" fontId="31" fillId="40" borderId="10" xfId="25" applyFont="1" applyFill="1" applyBorder="1"/>
    <xf numFmtId="1" fontId="42" fillId="0" borderId="10" xfId="0" quotePrefix="1" applyNumberFormat="1" applyFont="1" applyFill="1" applyBorder="1" applyAlignment="1">
      <alignment horizontal="center" vertical="center"/>
    </xf>
    <xf numFmtId="9" fontId="40" fillId="0" borderId="0" xfId="42" applyFont="1" applyFill="1" applyBorder="1"/>
    <xf numFmtId="164" fontId="40" fillId="0" borderId="0" xfId="42" applyNumberFormat="1" applyFont="1" applyFill="1" applyBorder="1"/>
    <xf numFmtId="9" fontId="22" fillId="0" borderId="0" xfId="42" applyFont="1" applyBorder="1"/>
    <xf numFmtId="165" fontId="42" fillId="39" borderId="19" xfId="0" applyNumberFormat="1" applyFont="1" applyFill="1" applyBorder="1" applyAlignment="1">
      <alignment horizontal="center" vertical="center"/>
    </xf>
    <xf numFmtId="174" fontId="30" fillId="0" borderId="10" xfId="48" applyNumberFormat="1">
      <alignment horizontal="center" vertical="center"/>
    </xf>
    <xf numFmtId="10" fontId="30" fillId="0" borderId="10" xfId="42" applyNumberFormat="1" applyFont="1" applyBorder="1" applyAlignment="1">
      <alignment horizontal="center" vertical="center"/>
    </xf>
    <xf numFmtId="0" fontId="42" fillId="39" borderId="19" xfId="0" applyFont="1" applyFill="1" applyBorder="1"/>
    <xf numFmtId="0" fontId="42" fillId="39" borderId="19" xfId="0" applyFont="1" applyFill="1" applyBorder="1" applyAlignment="1">
      <alignment horizontal="center" vertical="center"/>
    </xf>
    <xf numFmtId="0" fontId="42" fillId="39" borderId="0" xfId="0" applyFont="1" applyFill="1"/>
    <xf numFmtId="16" fontId="0" fillId="0" borderId="0" xfId="0" applyNumberFormat="1" applyBorder="1"/>
    <xf numFmtId="16" fontId="40" fillId="0" borderId="10" xfId="0" applyNumberFormat="1" applyFont="1" applyFill="1" applyBorder="1"/>
    <xf numFmtId="14" fontId="30" fillId="0" borderId="10" xfId="48" applyNumberFormat="1">
      <alignment horizontal="center" vertical="center"/>
    </xf>
    <xf numFmtId="169" fontId="30" fillId="0" borderId="10" xfId="48" quotePrefix="1">
      <alignment horizontal="center" vertical="center"/>
    </xf>
    <xf numFmtId="14" fontId="0" fillId="0" borderId="0" xfId="0" applyNumberFormat="1" applyBorder="1"/>
    <xf numFmtId="16" fontId="49" fillId="0" borderId="0" xfId="0" applyNumberFormat="1" applyFont="1" applyBorder="1"/>
    <xf numFmtId="170" fontId="50" fillId="0" borderId="10" xfId="48" applyNumberFormat="1" applyFont="1">
      <alignment horizontal="center" vertical="center"/>
    </xf>
    <xf numFmtId="10" fontId="50" fillId="0" borderId="10" xfId="42" applyNumberFormat="1" applyFont="1" applyBorder="1" applyAlignment="1">
      <alignment horizontal="center" vertical="center"/>
    </xf>
    <xf numFmtId="175" fontId="50" fillId="0" borderId="10" xfId="48" applyNumberFormat="1" applyFont="1" applyFill="1">
      <alignment horizontal="center" vertical="center"/>
    </xf>
    <xf numFmtId="175" fontId="50" fillId="0" borderId="10" xfId="48" applyNumberFormat="1" applyFont="1">
      <alignment horizontal="center" vertical="center"/>
    </xf>
    <xf numFmtId="9" fontId="11" fillId="5" borderId="4" xfId="9" quotePrefix="1" applyNumberFormat="1" applyAlignment="1">
      <alignment horizontal="center" vertical="center" textRotation="90" wrapText="1"/>
    </xf>
    <xf numFmtId="0" fontId="19" fillId="29" borderId="18" xfId="38" applyNumberFormat="1" applyBorder="1" applyAlignment="1">
      <alignment horizontal="center" vertical="center" textRotation="90" wrapText="1"/>
    </xf>
    <xf numFmtId="0" fontId="11" fillId="5" borderId="4" xfId="9" applyNumberFormat="1" applyAlignment="1">
      <alignment horizontal="center" vertical="center" textRotation="90" wrapText="1"/>
    </xf>
    <xf numFmtId="1" fontId="11" fillId="5" borderId="4" xfId="9" quotePrefix="1" applyNumberFormat="1" applyAlignment="1">
      <alignment horizontal="center" vertical="center"/>
    </xf>
    <xf numFmtId="1" fontId="19" fillId="29" borderId="10" xfId="38" applyNumberFormat="1" applyBorder="1" applyAlignment="1">
      <alignment horizontal="center" vertical="center"/>
    </xf>
    <xf numFmtId="1" fontId="11" fillId="5" borderId="4" xfId="9" applyNumberFormat="1" applyAlignment="1">
      <alignment horizontal="center" vertical="center"/>
    </xf>
    <xf numFmtId="15" fontId="11" fillId="5" borderId="4" xfId="9" applyNumberFormat="1" applyAlignment="1">
      <alignment horizontal="center" vertical="center"/>
    </xf>
    <xf numFmtId="15" fontId="19" fillId="29" borderId="10" xfId="38" applyNumberFormat="1" applyBorder="1" applyAlignment="1">
      <alignment horizontal="center" vertical="center"/>
    </xf>
    <xf numFmtId="168" fontId="11" fillId="5" borderId="4" xfId="9" applyNumberFormat="1" applyAlignment="1">
      <alignment horizontal="center" vertical="center"/>
    </xf>
    <xf numFmtId="168" fontId="19" fillId="29" borderId="10" xfId="38" applyNumberFormat="1" applyBorder="1" applyAlignment="1">
      <alignment horizontal="center" vertical="center"/>
    </xf>
    <xf numFmtId="169" fontId="11" fillId="5" borderId="4" xfId="9" applyNumberFormat="1" applyAlignment="1">
      <alignment horizontal="center" vertical="center"/>
    </xf>
    <xf numFmtId="169" fontId="19" fillId="29" borderId="10" xfId="38" applyNumberFormat="1" applyBorder="1" applyAlignment="1">
      <alignment horizontal="center" vertical="center"/>
    </xf>
    <xf numFmtId="9" fontId="11" fillId="5" borderId="4" xfId="9" applyNumberFormat="1" applyAlignment="1">
      <alignment horizontal="center" vertical="center"/>
    </xf>
    <xf numFmtId="9" fontId="19" fillId="29" borderId="10" xfId="38" applyNumberFormat="1" applyBorder="1" applyAlignment="1">
      <alignment horizontal="center" vertical="center"/>
    </xf>
    <xf numFmtId="165" fontId="11" fillId="5" borderId="4" xfId="9" applyNumberFormat="1" applyAlignment="1">
      <alignment horizontal="center" vertical="center"/>
    </xf>
    <xf numFmtId="165" fontId="19" fillId="29" borderId="17" xfId="38" applyNumberFormat="1" applyBorder="1" applyAlignment="1">
      <alignment horizontal="center" vertical="center"/>
    </xf>
    <xf numFmtId="165" fontId="19" fillId="29" borderId="19" xfId="38" applyNumberFormat="1" applyBorder="1" applyAlignment="1">
      <alignment horizontal="center" vertical="center"/>
    </xf>
    <xf numFmtId="9" fontId="11" fillId="5" borderId="4" xfId="9" applyNumberFormat="1"/>
    <xf numFmtId="0" fontId="11" fillId="5" borderId="4" xfId="9" applyNumberFormat="1"/>
    <xf numFmtId="0" fontId="11" fillId="5" borderId="4" xfId="9" applyNumberFormat="1" applyAlignment="1">
      <alignment horizontal="center" vertical="center"/>
    </xf>
    <xf numFmtId="0" fontId="9" fillId="3" borderId="10" xfId="7" applyNumberFormat="1" applyBorder="1"/>
    <xf numFmtId="170" fontId="30" fillId="0" borderId="10" xfId="48" applyNumberFormat="1" applyFont="1">
      <alignment horizontal="center" vertical="center"/>
    </xf>
    <xf numFmtId="175" fontId="30" fillId="0" borderId="10" xfId="48" applyNumberFormat="1">
      <alignment horizontal="center" vertical="center"/>
    </xf>
    <xf numFmtId="16" fontId="0" fillId="0" borderId="10" xfId="0" applyNumberFormat="1" applyBorder="1"/>
    <xf numFmtId="16" fontId="16" fillId="0" borderId="0" xfId="0" applyNumberFormat="1" applyFont="1" applyBorder="1"/>
    <xf numFmtId="169" fontId="51" fillId="0" borderId="10" xfId="48" applyFont="1">
      <alignment horizontal="center" vertical="center"/>
    </xf>
    <xf numFmtId="0" fontId="2" fillId="0" borderId="10" xfId="47" applyFont="1"/>
    <xf numFmtId="0" fontId="2" fillId="0" borderId="0" xfId="0" applyFont="1"/>
    <xf numFmtId="168" fontId="2" fillId="0" borderId="10" xfId="43" applyFont="1">
      <alignment horizontal="center" vertical="center"/>
    </xf>
    <xf numFmtId="0" fontId="52" fillId="0" borderId="1" xfId="2" applyNumberFormat="1" applyFont="1"/>
    <xf numFmtId="0" fontId="2" fillId="0" borderId="0" xfId="0" applyFont="1" applyBorder="1"/>
    <xf numFmtId="0" fontId="32" fillId="33" borderId="10" xfId="0" applyFont="1" applyFill="1" applyBorder="1"/>
    <xf numFmtId="0" fontId="32" fillId="33" borderId="10" xfId="47" applyFont="1" applyFill="1" applyBorder="1"/>
    <xf numFmtId="0" fontId="34" fillId="0" borderId="10" xfId="0" applyFont="1" applyFill="1" applyBorder="1"/>
    <xf numFmtId="0" fontId="34" fillId="41" borderId="10" xfId="0" applyFont="1" applyFill="1" applyBorder="1"/>
    <xf numFmtId="169" fontId="2" fillId="0" borderId="10" xfId="48" applyFont="1">
      <alignment horizontal="center" vertical="center"/>
    </xf>
    <xf numFmtId="0" fontId="2" fillId="0" borderId="10" xfId="0" applyFont="1" applyBorder="1"/>
    <xf numFmtId="0" fontId="2" fillId="51" borderId="10" xfId="0" applyFont="1" applyFill="1" applyBorder="1"/>
    <xf numFmtId="16" fontId="50" fillId="51" borderId="10" xfId="0" applyNumberFormat="1" applyFont="1" applyFill="1" applyBorder="1"/>
    <xf numFmtId="10" fontId="2" fillId="0" borderId="10" xfId="48" applyNumberFormat="1" applyFont="1">
      <alignment horizontal="center" vertical="center"/>
    </xf>
    <xf numFmtId="0" fontId="50" fillId="51" borderId="10" xfId="0" applyFont="1" applyFill="1" applyBorder="1"/>
    <xf numFmtId="170" fontId="2" fillId="0" borderId="10" xfId="48" applyNumberFormat="1" applyFont="1">
      <alignment horizontal="center" vertical="center"/>
    </xf>
    <xf numFmtId="16" fontId="2" fillId="51" borderId="10" xfId="0" applyNumberFormat="1" applyFont="1" applyFill="1" applyBorder="1"/>
    <xf numFmtId="171" fontId="2" fillId="0" borderId="10" xfId="46" applyFont="1">
      <alignment horizontal="center" vertical="center"/>
    </xf>
    <xf numFmtId="0" fontId="2" fillId="0" borderId="0" xfId="0" applyFont="1" applyAlignment="1">
      <alignment horizontal="left"/>
    </xf>
    <xf numFmtId="0" fontId="32" fillId="37" borderId="10" xfId="41" applyNumberFormat="1" applyFont="1" applyFill="1" applyBorder="1" applyAlignment="1">
      <alignment horizontal="center" vertical="center" textRotation="90" wrapText="1"/>
    </xf>
    <xf numFmtId="166" fontId="2" fillId="0" borderId="10" xfId="50" applyFont="1" applyBorder="1"/>
    <xf numFmtId="0" fontId="2" fillId="0" borderId="10" xfId="47" applyFont="1" applyAlignment="1">
      <alignment horizontal="center"/>
    </xf>
    <xf numFmtId="168" fontId="2" fillId="49" borderId="10" xfId="43" applyFont="1" applyFill="1" applyBorder="1">
      <alignment horizontal="center" vertical="center"/>
    </xf>
    <xf numFmtId="0" fontId="2" fillId="0" borderId="10" xfId="47" applyFont="1" applyAlignment="1">
      <alignment horizontal="left"/>
    </xf>
    <xf numFmtId="0" fontId="50" fillId="0" borderId="0" xfId="0" applyFont="1" applyBorder="1"/>
    <xf numFmtId="164" fontId="2" fillId="0" borderId="10" xfId="48" applyNumberFormat="1" applyFont="1">
      <alignment horizontal="center" vertical="center"/>
    </xf>
    <xf numFmtId="16" fontId="50" fillId="0" borderId="0" xfId="0" applyNumberFormat="1" applyFont="1" applyBorder="1"/>
    <xf numFmtId="0" fontId="53" fillId="0" borderId="0" xfId="0" applyFont="1" applyBorder="1"/>
    <xf numFmtId="0" fontId="1" fillId="0" borderId="0" xfId="0" applyFont="1"/>
    <xf numFmtId="0" fontId="1" fillId="0" borderId="0" xfId="0" applyFont="1" applyBorder="1"/>
    <xf numFmtId="0" fontId="1" fillId="43" borderId="10" xfId="0" applyFont="1" applyFill="1" applyBorder="1"/>
    <xf numFmtId="0" fontId="1" fillId="43" borderId="0" xfId="0" applyFont="1" applyFill="1"/>
    <xf numFmtId="0" fontId="1" fillId="42" borderId="0" xfId="0" applyFont="1" applyFill="1"/>
    <xf numFmtId="0" fontId="1" fillId="0" borderId="16" xfId="0" applyFont="1" applyFill="1" applyBorder="1"/>
    <xf numFmtId="0" fontId="1" fillId="0" borderId="15" xfId="0" applyFont="1" applyBorder="1"/>
    <xf numFmtId="169" fontId="1" fillId="0" borderId="10" xfId="48" applyFont="1">
      <alignment horizontal="center" vertical="center"/>
    </xf>
    <xf numFmtId="0" fontId="1" fillId="0" borderId="10" xfId="0" applyFont="1" applyBorder="1"/>
    <xf numFmtId="14" fontId="1" fillId="0" borderId="0" xfId="0" applyNumberFormat="1" applyFont="1" applyBorder="1"/>
    <xf numFmtId="0" fontId="1" fillId="51" borderId="10" xfId="0" applyFont="1" applyFill="1" applyBorder="1"/>
    <xf numFmtId="0" fontId="54" fillId="3" borderId="10" xfId="7" applyNumberFormat="1" applyFont="1" applyBorder="1"/>
    <xf numFmtId="10" fontId="1" fillId="0" borderId="10" xfId="48" applyNumberFormat="1" applyFont="1">
      <alignment horizontal="center" vertical="center"/>
    </xf>
    <xf numFmtId="10" fontId="1" fillId="0" borderId="10" xfId="42" applyNumberFormat="1" applyFont="1" applyBorder="1" applyAlignment="1">
      <alignment horizontal="center" vertical="center"/>
    </xf>
    <xf numFmtId="164" fontId="1" fillId="0" borderId="10" xfId="42" applyNumberFormat="1" applyFont="1" applyBorder="1" applyAlignment="1">
      <alignment horizontal="center" vertical="center"/>
    </xf>
    <xf numFmtId="9" fontId="1" fillId="0" borderId="10" xfId="42" applyFont="1" applyBorder="1" applyAlignment="1">
      <alignment horizontal="center" vertical="center"/>
    </xf>
    <xf numFmtId="16" fontId="1" fillId="0" borderId="0" xfId="0" applyNumberFormat="1" applyFont="1" applyBorder="1"/>
    <xf numFmtId="0" fontId="0" fillId="34" borderId="0" xfId="0" applyFill="1"/>
    <xf numFmtId="0" fontId="0" fillId="0" borderId="22" xfId="0" applyBorder="1"/>
    <xf numFmtId="0" fontId="0" fillId="0" borderId="31" xfId="0" applyBorder="1"/>
    <xf numFmtId="0" fontId="0" fillId="0" borderId="26" xfId="0" applyBorder="1"/>
    <xf numFmtId="0" fontId="0" fillId="34" borderId="10" xfId="0" applyFill="1" applyBorder="1"/>
    <xf numFmtId="0" fontId="0" fillId="0" borderId="33" xfId="0" applyBorder="1"/>
    <xf numFmtId="10" fontId="0" fillId="0" borderId="31" xfId="0" applyNumberFormat="1" applyBorder="1"/>
    <xf numFmtId="0" fontId="1" fillId="0" borderId="10" xfId="47" applyFont="1"/>
    <xf numFmtId="0" fontId="40" fillId="34" borderId="10" xfId="0" applyFont="1" applyFill="1" applyBorder="1"/>
    <xf numFmtId="169" fontId="30" fillId="34" borderId="10" xfId="48" applyFill="1">
      <alignment horizontal="center" vertical="center"/>
    </xf>
    <xf numFmtId="0" fontId="0" fillId="34" borderId="0" xfId="0" applyFill="1" applyBorder="1"/>
    <xf numFmtId="176" fontId="50" fillId="0" borderId="10" xfId="42" applyNumberFormat="1" applyFont="1" applyBorder="1" applyAlignment="1">
      <alignment horizontal="center" vertical="center"/>
    </xf>
    <xf numFmtId="0" fontId="38" fillId="0" borderId="23" xfId="0" applyFont="1" applyFill="1" applyBorder="1" applyAlignment="1">
      <alignment horizontal="center"/>
    </xf>
    <xf numFmtId="0" fontId="38" fillId="0" borderId="24" xfId="0" applyFont="1" applyFill="1" applyBorder="1" applyAlignment="1">
      <alignment horizontal="center"/>
    </xf>
    <xf numFmtId="10" fontId="0" fillId="0" borderId="32" xfId="0" applyNumberFormat="1" applyBorder="1"/>
    <xf numFmtId="0" fontId="0" fillId="0" borderId="29" xfId="0" applyBorder="1"/>
    <xf numFmtId="177" fontId="30" fillId="0" borderId="10" xfId="48" applyNumberFormat="1">
      <alignment horizontal="center" vertical="center"/>
    </xf>
    <xf numFmtId="16" fontId="16" fillId="34" borderId="0" xfId="0" applyNumberFormat="1" applyFont="1" applyFill="1" applyBorder="1"/>
    <xf numFmtId="178" fontId="0" fillId="47" borderId="10" xfId="0" applyNumberFormat="1" applyFill="1" applyBorder="1"/>
    <xf numFmtId="0" fontId="1" fillId="0" borderId="0" xfId="0" applyFont="1" applyProtection="1"/>
    <xf numFmtId="0" fontId="0" fillId="0" borderId="0" xfId="0" applyProtection="1"/>
    <xf numFmtId="0" fontId="1" fillId="0" borderId="0" xfId="0" applyFont="1" applyAlignment="1" applyProtection="1">
      <alignment horizontal="center"/>
    </xf>
    <xf numFmtId="168" fontId="32" fillId="33" borderId="30" xfId="0" applyNumberFormat="1" applyFont="1" applyFill="1" applyBorder="1" applyAlignment="1" applyProtection="1">
      <alignment horizontal="center" vertical="center"/>
    </xf>
    <xf numFmtId="0" fontId="32" fillId="33" borderId="30" xfId="0" applyFont="1" applyFill="1" applyBorder="1" applyAlignment="1" applyProtection="1">
      <alignment horizontal="center" vertical="center"/>
    </xf>
    <xf numFmtId="0" fontId="32" fillId="33" borderId="30" xfId="0" applyFont="1" applyFill="1" applyBorder="1" applyAlignment="1" applyProtection="1">
      <alignment horizontal="left" vertical="center"/>
    </xf>
    <xf numFmtId="168" fontId="1" fillId="43" borderId="10" xfId="63" applyNumberFormat="1" applyFont="1" applyFill="1" applyAlignment="1" applyProtection="1">
      <alignment horizontal="center" vertical="center"/>
    </xf>
    <xf numFmtId="0" fontId="1" fillId="37" borderId="10" xfId="0" applyFont="1" applyFill="1" applyBorder="1" applyAlignment="1" applyProtection="1">
      <alignment horizontal="center" vertical="center"/>
    </xf>
    <xf numFmtId="0" fontId="1" fillId="0" borderId="10" xfId="64" applyAlignment="1" applyProtection="1">
      <alignment horizontal="left" vertical="center"/>
    </xf>
    <xf numFmtId="170" fontId="1" fillId="47" borderId="10" xfId="63" applyNumberFormat="1" applyFont="1" applyFill="1" applyAlignment="1" applyProtection="1">
      <alignment horizontal="center" vertical="center"/>
      <protection locked="0"/>
    </xf>
    <xf numFmtId="0" fontId="1" fillId="0" borderId="0" xfId="0" applyFont="1" applyAlignment="1" applyProtection="1">
      <alignment horizontal="center" vertical="center"/>
    </xf>
    <xf numFmtId="0" fontId="1" fillId="0" borderId="0" xfId="0" applyFont="1" applyAlignment="1" applyProtection="1">
      <alignment vertical="center"/>
    </xf>
    <xf numFmtId="0" fontId="55" fillId="0" borderId="1" xfId="65" applyFont="1" applyAlignment="1" applyProtection="1">
      <alignment horizontal="left" vertical="center"/>
    </xf>
    <xf numFmtId="43" fontId="1" fillId="47" borderId="10" xfId="60" applyFont="1" applyFill="1" applyBorder="1" applyAlignment="1" applyProtection="1">
      <alignment horizontal="center" vertical="center"/>
      <protection locked="0"/>
    </xf>
    <xf numFmtId="0" fontId="1" fillId="0" borderId="0" xfId="0" applyFont="1" applyBorder="1" applyAlignment="1" applyProtection="1">
      <alignment horizontal="center" vertical="center"/>
    </xf>
    <xf numFmtId="0" fontId="36" fillId="0" borderId="0" xfId="56"/>
    <xf numFmtId="171" fontId="1" fillId="47" borderId="10" xfId="66" applyFont="1" applyFill="1" applyAlignment="1" applyProtection="1">
      <alignment horizontal="center" vertical="center"/>
      <protection locked="0"/>
    </xf>
    <xf numFmtId="0" fontId="1" fillId="0" borderId="10" xfId="64" applyBorder="1" applyAlignment="1">
      <alignment vertical="center"/>
    </xf>
    <xf numFmtId="0" fontId="1" fillId="8" borderId="10" xfId="42" applyNumberFormat="1" applyFont="1" applyFill="1" applyBorder="1" applyAlignment="1" applyProtection="1">
      <alignment horizontal="center" vertical="center"/>
      <protection locked="0"/>
    </xf>
    <xf numFmtId="171" fontId="1" fillId="37" borderId="10" xfId="0" applyNumberFormat="1" applyFont="1" applyFill="1" applyBorder="1" applyAlignment="1" applyProtection="1">
      <alignment horizontal="center" vertical="center"/>
    </xf>
    <xf numFmtId="0" fontId="32" fillId="33" borderId="10" xfId="0" applyFont="1" applyFill="1" applyBorder="1" applyAlignment="1" applyProtection="1">
      <alignment horizontal="center" vertical="center"/>
    </xf>
    <xf numFmtId="0" fontId="1" fillId="0" borderId="0" xfId="0" applyFont="1" applyAlignment="1" applyProtection="1">
      <alignment horizontal="left" vertical="center"/>
    </xf>
    <xf numFmtId="0" fontId="1" fillId="0" borderId="0" xfId="0" applyFont="1" applyAlignment="1" applyProtection="1">
      <alignment horizontal="left"/>
    </xf>
    <xf numFmtId="0" fontId="56" fillId="0" borderId="0" xfId="0" applyFont="1" applyAlignment="1" applyProtection="1">
      <alignment horizontal="left"/>
    </xf>
    <xf numFmtId="0" fontId="1" fillId="8" borderId="10" xfId="62" applyFont="1" applyBorder="1" applyAlignment="1" applyProtection="1">
      <alignment horizontal="center" vertical="center"/>
      <protection locked="0"/>
    </xf>
    <xf numFmtId="0" fontId="34" fillId="8" borderId="10" xfId="42" applyNumberFormat="1" applyFont="1" applyFill="1" applyBorder="1" applyAlignment="1" applyProtection="1">
      <alignment horizontal="center" vertical="center"/>
      <protection locked="0"/>
    </xf>
    <xf numFmtId="0" fontId="1" fillId="0" borderId="0" xfId="0" applyFont="1" applyAlignment="1" applyProtection="1">
      <alignment wrapText="1"/>
    </xf>
    <xf numFmtId="0" fontId="32" fillId="33" borderId="10" xfId="0" applyFont="1" applyFill="1" applyBorder="1" applyAlignment="1" applyProtection="1">
      <alignment horizontal="center" vertical="center" wrapText="1"/>
    </xf>
    <xf numFmtId="0" fontId="32" fillId="33" borderId="10" xfId="0" applyFont="1" applyFill="1" applyBorder="1" applyAlignment="1" applyProtection="1">
      <alignment horizontal="left" vertical="center" wrapText="1"/>
    </xf>
    <xf numFmtId="0" fontId="52" fillId="0" borderId="0" xfId="67" applyFont="1" applyBorder="1" applyAlignment="1" applyProtection="1">
      <alignment vertical="center"/>
    </xf>
    <xf numFmtId="43" fontId="1" fillId="10" borderId="10" xfId="68" applyNumberFormat="1" applyFont="1" applyBorder="1" applyAlignment="1" applyProtection="1">
      <alignment vertical="center"/>
    </xf>
    <xf numFmtId="0" fontId="1" fillId="8" borderId="8" xfId="62" applyFont="1" applyAlignment="1" applyProtection="1">
      <alignment vertical="center"/>
    </xf>
    <xf numFmtId="171" fontId="1" fillId="0" borderId="10" xfId="46" applyFont="1">
      <alignment horizontal="center" vertical="center"/>
    </xf>
    <xf numFmtId="0" fontId="0" fillId="0" borderId="0" xfId="0" applyAlignment="1">
      <alignment wrapText="1"/>
    </xf>
    <xf numFmtId="0" fontId="58" fillId="53" borderId="10" xfId="0" applyFont="1" applyFill="1" applyBorder="1" applyAlignment="1">
      <alignment horizontal="center" vertical="center" wrapText="1"/>
    </xf>
    <xf numFmtId="0" fontId="58" fillId="0" borderId="10" xfId="0" applyFont="1" applyBorder="1" applyAlignment="1">
      <alignment horizontal="center" vertical="center" wrapText="1"/>
    </xf>
    <xf numFmtId="0" fontId="6" fillId="0" borderId="2" xfId="3" applyNumberFormat="1" applyAlignment="1" applyProtection="1">
      <alignment horizontal="left"/>
      <protection hidden="1"/>
    </xf>
    <xf numFmtId="0" fontId="29" fillId="0" borderId="0" xfId="0" applyFont="1" applyProtection="1">
      <protection hidden="1"/>
    </xf>
    <xf numFmtId="0" fontId="0" fillId="0" borderId="0" xfId="0" applyProtection="1">
      <protection hidden="1"/>
    </xf>
    <xf numFmtId="0" fontId="32" fillId="33" borderId="10" xfId="64" applyFont="1" applyFill="1" applyProtection="1">
      <protection hidden="1"/>
    </xf>
    <xf numFmtId="0" fontId="32" fillId="33" borderId="37" xfId="64" applyFont="1" applyFill="1" applyBorder="1" applyProtection="1">
      <protection hidden="1"/>
    </xf>
    <xf numFmtId="0" fontId="1" fillId="0" borderId="10" xfId="64" applyProtection="1">
      <protection hidden="1"/>
    </xf>
    <xf numFmtId="169" fontId="1" fillId="0" borderId="10" xfId="69" applyAlignment="1">
      <alignment horizontal="left" wrapText="1"/>
    </xf>
    <xf numFmtId="166" fontId="1" fillId="0" borderId="10" xfId="70" applyAlignment="1">
      <alignment horizontal="left" wrapText="1"/>
    </xf>
    <xf numFmtId="0" fontId="1" fillId="0" borderId="10" xfId="64" applyAlignment="1">
      <alignment horizontal="left" wrapText="1"/>
    </xf>
    <xf numFmtId="0" fontId="0" fillId="0" borderId="0" xfId="0" applyAlignment="1" applyProtection="1">
      <alignment vertical="top" wrapText="1"/>
      <protection hidden="1"/>
    </xf>
    <xf numFmtId="169" fontId="1" fillId="0" borderId="10" xfId="69" applyProtection="1">
      <alignment horizontal="center" vertical="center"/>
      <protection hidden="1"/>
    </xf>
    <xf numFmtId="168" fontId="1" fillId="0" borderId="10" xfId="43" applyFont="1">
      <alignment horizontal="center" vertical="center"/>
    </xf>
    <xf numFmtId="168" fontId="1" fillId="49" borderId="10" xfId="63" applyFont="1" applyFill="1" applyBorder="1">
      <alignment horizontal="center" vertical="center"/>
    </xf>
    <xf numFmtId="170" fontId="1" fillId="0" borderId="10" xfId="44" applyFont="1">
      <alignment horizontal="center" vertical="center"/>
    </xf>
    <xf numFmtId="168" fontId="1" fillId="0" borderId="10" xfId="63" applyFont="1">
      <alignment horizontal="center" vertical="center"/>
    </xf>
    <xf numFmtId="170" fontId="1" fillId="34" borderId="10" xfId="44" applyFont="1" applyFill="1">
      <alignment horizontal="center" vertical="center"/>
    </xf>
    <xf numFmtId="170" fontId="1" fillId="0" borderId="10" xfId="44" applyFont="1" applyBorder="1">
      <alignment horizontal="center" vertical="center"/>
    </xf>
    <xf numFmtId="0" fontId="1" fillId="0" borderId="10" xfId="64" applyFont="1"/>
    <xf numFmtId="171" fontId="1" fillId="0" borderId="10" xfId="66" applyFont="1">
      <alignment horizontal="center" vertical="center"/>
    </xf>
    <xf numFmtId="170" fontId="1" fillId="0" borderId="10" xfId="69" applyNumberFormat="1">
      <alignment horizontal="center" vertical="center"/>
    </xf>
    <xf numFmtId="169" fontId="1" fillId="0" borderId="10" xfId="69">
      <alignment horizontal="center" vertical="center"/>
    </xf>
    <xf numFmtId="169" fontId="1" fillId="39" borderId="10" xfId="69" applyFill="1">
      <alignment horizontal="center" vertical="center"/>
    </xf>
    <xf numFmtId="171" fontId="1" fillId="39" borderId="10" xfId="66" applyFill="1">
      <alignment horizontal="center" vertical="center"/>
    </xf>
    <xf numFmtId="170" fontId="1" fillId="36" borderId="10" xfId="69" applyNumberFormat="1" applyFill="1">
      <alignment horizontal="center" vertical="center"/>
    </xf>
    <xf numFmtId="169" fontId="1" fillId="36" borderId="10" xfId="69" applyFill="1">
      <alignment horizontal="center" vertical="center"/>
    </xf>
    <xf numFmtId="0" fontId="58" fillId="0" borderId="10" xfId="0" applyFont="1" applyBorder="1" applyAlignment="1">
      <alignment horizontal="center" vertical="center" wrapText="1"/>
    </xf>
    <xf numFmtId="169" fontId="29" fillId="0" borderId="0" xfId="0" applyNumberFormat="1" applyFont="1"/>
    <xf numFmtId="0" fontId="1" fillId="0" borderId="10" xfId="64" applyBorder="1" applyAlignment="1" applyProtection="1">
      <alignment horizontal="left" vertical="center"/>
    </xf>
    <xf numFmtId="0" fontId="36" fillId="0" borderId="0" xfId="56" applyAlignment="1">
      <alignment wrapText="1"/>
    </xf>
    <xf numFmtId="0" fontId="59" fillId="0" borderId="12" xfId="64" applyFont="1" applyBorder="1" applyAlignment="1">
      <alignment horizontal="left" vertical="top" wrapText="1"/>
    </xf>
    <xf numFmtId="0" fontId="59" fillId="0" borderId="0" xfId="64" applyFont="1" applyBorder="1" applyAlignment="1">
      <alignment horizontal="left" vertical="top" wrapText="1"/>
    </xf>
    <xf numFmtId="0" fontId="1" fillId="0" borderId="10" xfId="0" applyFont="1" applyBorder="1" applyAlignment="1" applyProtection="1">
      <alignment horizontal="left" vertical="top" wrapText="1"/>
    </xf>
    <xf numFmtId="0" fontId="57" fillId="52" borderId="34" xfId="0" applyFont="1" applyFill="1" applyBorder="1" applyAlignment="1">
      <alignment horizontal="center" vertical="center" wrapText="1"/>
    </xf>
    <xf numFmtId="0" fontId="57" fillId="52" borderId="35" xfId="0" applyFont="1" applyFill="1" applyBorder="1" applyAlignment="1">
      <alignment horizontal="center" vertical="center" wrapText="1"/>
    </xf>
    <xf numFmtId="0" fontId="57" fillId="52" borderId="36" xfId="0" applyFont="1" applyFill="1" applyBorder="1" applyAlignment="1">
      <alignment horizontal="center" vertical="center" wrapText="1"/>
    </xf>
    <xf numFmtId="0" fontId="58" fillId="0" borderId="10" xfId="0" applyFont="1" applyBorder="1" applyAlignment="1">
      <alignment horizontal="center" vertical="center" wrapText="1"/>
    </xf>
    <xf numFmtId="0" fontId="58" fillId="0" borderId="30"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37" xfId="0" applyFont="1" applyBorder="1" applyAlignment="1">
      <alignment horizontal="center" vertical="center" wrapText="1"/>
    </xf>
  </cellXfs>
  <cellStyles count="71">
    <cellStyle name="20% - Accent1" xfId="19" builtinId="30" customBuiltin="1"/>
    <cellStyle name="20% - Accent1 2" xfId="68" xr:uid="{93DBF706-0171-4C91-83C8-8A6D7A625995}"/>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20% - Accent6 2" xfId="57" xr:uid="{EDF1A331-75AF-471A-83EA-349DA162BEDC}"/>
    <cellStyle name="40% - Accent1" xfId="20" builtinId="31" customBuiltin="1"/>
    <cellStyle name="40% - Accent1 2" xfId="58" xr:uid="{76F5513F-1700-4F0B-B19D-A8BFD802F382}"/>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1 2" xfId="51" xr:uid="{00000000-0005-0000-0000-000013000000}"/>
    <cellStyle name="Accent2" xfId="22" builtinId="33" customBuiltin="1"/>
    <cellStyle name="Accent3" xfId="26" builtinId="37" customBuiltin="1"/>
    <cellStyle name="Accent4" xfId="30" builtinId="41" customBuiltin="1"/>
    <cellStyle name="Accent4 2" xfId="53" xr:uid="{00000000-0005-0000-0000-000017000000}"/>
    <cellStyle name="Accent5" xfId="34" builtinId="45" customBuiltin="1"/>
    <cellStyle name="Accent5 2" xfId="54" xr:uid="{00000000-0005-0000-0000-000019000000}"/>
    <cellStyle name="Accent6" xfId="38" builtinId="49" customBuiltin="1"/>
    <cellStyle name="Accent6 2" xfId="55" xr:uid="{00000000-0005-0000-0000-00001B000000}"/>
    <cellStyle name="Bad" xfId="7" builtinId="27" customBuiltin="1"/>
    <cellStyle name="Boxed #" xfId="43" xr:uid="{00000000-0005-0000-0000-00001D000000}"/>
    <cellStyle name="Boxed # 2" xfId="63" xr:uid="{E0F58B52-4678-42A1-AD74-EDC2701B7C64}"/>
    <cellStyle name="Boxed #.#" xfId="48" xr:uid="{00000000-0005-0000-0000-00001E000000}"/>
    <cellStyle name="Boxed #.# 2" xfId="69" xr:uid="{C0FA6B61-FC61-42B6-AFC7-478BE8E95378}"/>
    <cellStyle name="Boxed #.##" xfId="44" xr:uid="{00000000-0005-0000-0000-00001F000000}"/>
    <cellStyle name="Boxed $" xfId="61" xr:uid="{99C25289-EFD6-41BC-ACC4-A4134BFCCB05}"/>
    <cellStyle name="Boxed %" xfId="46" xr:uid="{00000000-0005-0000-0000-000020000000}"/>
    <cellStyle name="Boxed % 2" xfId="66" xr:uid="{669AD19B-B64D-4706-890F-FF9521C9790F}"/>
    <cellStyle name="Boxed Date" xfId="50" xr:uid="{00000000-0005-0000-0000-000021000000}"/>
    <cellStyle name="Boxed Date 2" xfId="70" xr:uid="{2024A816-B408-45AE-B85D-76F91CAF742D}"/>
    <cellStyle name="Boxed Txt" xfId="47" xr:uid="{00000000-0005-0000-0000-000022000000}"/>
    <cellStyle name="Boxed Txt 2" xfId="64" xr:uid="{38F40BF5-EE8C-46B6-9C01-8C9761D862BF}"/>
    <cellStyle name="Calculation" xfId="11" builtinId="22" hidden="1" customBuiltin="1"/>
    <cellStyle name="Check Cell" xfId="13" builtinId="23" customBuiltin="1"/>
    <cellStyle name="Comma" xfId="60" builtinId="3"/>
    <cellStyle name="Explanatory Text" xfId="16" builtinId="53" customBuiltin="1"/>
    <cellStyle name="Good" xfId="6" builtinId="26" customBuiltin="1"/>
    <cellStyle name="Heading 1" xfId="2" builtinId="16" customBuiltin="1"/>
    <cellStyle name="Heading 1 2" xfId="65" xr:uid="{30FC97C0-3B2B-4FC9-A0B7-C702E2067121}"/>
    <cellStyle name="Heading 2" xfId="3" builtinId="17" customBuiltin="1"/>
    <cellStyle name="Heading 3" xfId="4" builtinId="18" customBuiltin="1"/>
    <cellStyle name="Heading 3 2" xfId="67" xr:uid="{7CC525EA-F341-4C86-B826-4287A672D911}"/>
    <cellStyle name="Heading 4" xfId="5" builtinId="19" customBuiltin="1"/>
    <cellStyle name="Input" xfId="9" builtinId="20" customBuiltin="1"/>
    <cellStyle name="Linked Cell" xfId="12" builtinId="24" hidden="1" customBuiltin="1"/>
    <cellStyle name="Neutral" xfId="8" builtinId="28" customBuiltin="1"/>
    <cellStyle name="Normal" xfId="0" builtinId="0" customBuiltin="1"/>
    <cellStyle name="Normal 2" xfId="56" xr:uid="{EEB4A794-3A5D-4596-87EB-98C7A7ABAF2E}"/>
    <cellStyle name="Note" xfId="15" builtinId="10" customBuiltin="1"/>
    <cellStyle name="Note 2" xfId="52" xr:uid="{00000000-0005-0000-0000-000030000000}"/>
    <cellStyle name="Note 2 2" xfId="59" xr:uid="{09363DD9-473C-439F-8861-46973FC83670}"/>
    <cellStyle name="Note 3" xfId="62" xr:uid="{4CF1F1FE-8717-4D28-B872-26D4FB141A67}"/>
    <cellStyle name="Output" xfId="10" builtinId="21" customBuiltin="1"/>
    <cellStyle name="Percent" xfId="42" builtinId="5"/>
    <cellStyle name="Title" xfId="1" builtinId="15" customBuiltin="1"/>
    <cellStyle name="Total" xfId="17" builtinId="25" customBuiltin="1"/>
    <cellStyle name="UC %" xfId="49" xr:uid="{00000000-0005-0000-0000-000035000000}"/>
    <cellStyle name="UC Formula%" xfId="45" xr:uid="{00000000-0005-0000-0000-000036000000}"/>
    <cellStyle name="Warning Text" xfId="14" builtinId="11" hidden="1" customBuiltin="1"/>
  </cellStyles>
  <dxfs count="1121">
    <dxf>
      <font>
        <color rgb="FFD223EF"/>
      </font>
      <fill>
        <patternFill>
          <bgColor theme="5" tint="0.79998168889431442"/>
        </patternFill>
      </fill>
    </dxf>
    <dxf>
      <font>
        <color rgb="FFD223EF"/>
      </font>
      <fill>
        <patternFill>
          <bgColor theme="5" tint="0.79998168889431442"/>
        </patternFill>
      </fill>
    </dxf>
    <dxf>
      <font>
        <color rgb="FFD223EF"/>
      </font>
      <fill>
        <patternFill>
          <bgColor theme="5" tint="0.79998168889431442"/>
        </patternFill>
      </fill>
    </dxf>
    <dxf>
      <font>
        <color rgb="FFD223EF"/>
      </font>
      <fill>
        <patternFill>
          <bgColor theme="5" tint="0.79998168889431442"/>
        </patternFill>
      </fill>
    </dxf>
    <dxf>
      <font>
        <color rgb="FFD223EF"/>
      </font>
      <fill>
        <patternFill>
          <bgColor theme="5" tint="0.79998168889431442"/>
        </patternFill>
      </fill>
    </dxf>
    <dxf>
      <font>
        <color rgb="FF0070C0"/>
      </font>
    </dxf>
    <dxf>
      <font>
        <color rgb="FF0070C0"/>
      </font>
    </dxf>
    <dxf>
      <font>
        <color rgb="FFD223EF"/>
      </font>
      <fill>
        <patternFill>
          <bgColor theme="5" tint="0.79998168889431442"/>
        </patternFill>
      </fill>
    </dxf>
    <dxf>
      <font>
        <b val="0"/>
        <i val="0"/>
        <strike val="0"/>
        <condense val="0"/>
        <extend val="0"/>
        <outline val="0"/>
        <shadow val="0"/>
        <u val="none"/>
        <vertAlign val="baseline"/>
        <sz val="8"/>
        <color theme="1"/>
        <name val="Ebrima"/>
        <scheme val="none"/>
      </font>
    </dxf>
    <dxf>
      <font>
        <b val="0"/>
        <i val="0"/>
        <strike val="0"/>
        <condense val="0"/>
        <extend val="0"/>
        <outline val="0"/>
        <shadow val="0"/>
        <u val="none"/>
        <vertAlign val="baseline"/>
        <sz val="8"/>
        <color theme="1"/>
        <name val="Ebrima"/>
        <scheme val="none"/>
      </font>
    </dxf>
    <dxf>
      <font>
        <b val="0"/>
        <i val="0"/>
        <strike val="0"/>
        <condense val="0"/>
        <extend val="0"/>
        <outline val="0"/>
        <shadow val="0"/>
        <u val="none"/>
        <vertAlign val="baseline"/>
        <sz val="8"/>
        <color theme="1"/>
        <name val="Ebrima"/>
        <scheme val="none"/>
      </font>
    </dxf>
    <dxf>
      <font>
        <b val="0"/>
        <i val="0"/>
        <strike val="0"/>
        <condense val="0"/>
        <extend val="0"/>
        <outline val="0"/>
        <shadow val="0"/>
        <u val="none"/>
        <vertAlign val="baseline"/>
        <sz val="8"/>
        <color theme="1"/>
        <name val="Ebrima"/>
        <scheme val="none"/>
      </font>
    </dxf>
    <dxf>
      <font>
        <b val="0"/>
        <i val="0"/>
        <strike val="0"/>
        <condense val="0"/>
        <extend val="0"/>
        <outline val="0"/>
        <shadow val="0"/>
        <u val="none"/>
        <vertAlign val="baseline"/>
        <sz val="8"/>
        <color theme="1"/>
        <name val="Ebrima"/>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Ebrima"/>
        <scheme val="none"/>
      </font>
    </dxf>
    <dxf>
      <font>
        <b val="0"/>
        <i val="0"/>
        <strike val="0"/>
        <condense val="0"/>
        <extend val="0"/>
        <outline val="0"/>
        <shadow val="0"/>
        <u val="none"/>
        <vertAlign val="baseline"/>
        <sz val="8"/>
        <color theme="1"/>
        <name val="Ebrima"/>
        <scheme val="none"/>
      </font>
    </dxf>
    <dxf>
      <font>
        <color rgb="FF0070C0"/>
      </font>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s>
  <tableStyles count="0" defaultTableStyle="TableStyleMedium2" defaultPivotStyle="PivotStyleLight16"/>
  <colors>
    <mruColors>
      <color rgb="FFFFFF99"/>
      <color rgb="FFFFFF66"/>
      <color rgb="FF00FF00"/>
      <color rgb="FFA59D61"/>
      <color rgb="FFD223EF"/>
      <color rgb="FF9BBB5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38</xdr:row>
      <xdr:rowOff>1876</xdr:rowOff>
    </xdr:from>
    <xdr:to>
      <xdr:col>12</xdr:col>
      <xdr:colOff>453710</xdr:colOff>
      <xdr:row>66</xdr:row>
      <xdr:rowOff>131742</xdr:rowOff>
    </xdr:to>
    <xdr:pic>
      <xdr:nvPicPr>
        <xdr:cNvPr id="2" name="Picture 1">
          <a:extLst>
            <a:ext uri="{FF2B5EF4-FFF2-40B4-BE49-F238E27FC236}">
              <a16:creationId xmlns:a16="http://schemas.microsoft.com/office/drawing/2014/main" id="{EF3A3E03-4A5C-4E2F-86D9-0418FF6CC916}"/>
            </a:ext>
          </a:extLst>
        </xdr:cNvPr>
        <xdr:cNvPicPr>
          <a:picLocks noChangeAspect="1"/>
        </xdr:cNvPicPr>
      </xdr:nvPicPr>
      <xdr:blipFill>
        <a:blip xmlns:r="http://schemas.openxmlformats.org/officeDocument/2006/relationships" r:embed="rId1"/>
        <a:stretch>
          <a:fillRect/>
        </a:stretch>
      </xdr:blipFill>
      <xdr:spPr>
        <a:xfrm>
          <a:off x="617220" y="6878926"/>
          <a:ext cx="7151690" cy="5214311"/>
        </a:xfrm>
        <a:prstGeom prst="rect">
          <a:avLst/>
        </a:prstGeom>
      </xdr:spPr>
    </xdr:pic>
    <xdr:clientData/>
  </xdr:twoCellAnchor>
  <xdr:twoCellAnchor editAs="oneCell">
    <xdr:from>
      <xdr:col>0</xdr:col>
      <xdr:colOff>578498</xdr:colOff>
      <xdr:row>0</xdr:row>
      <xdr:rowOff>173355</xdr:rowOff>
    </xdr:from>
    <xdr:to>
      <xdr:col>13</xdr:col>
      <xdr:colOff>324991</xdr:colOff>
      <xdr:row>37</xdr:row>
      <xdr:rowOff>95429</xdr:rowOff>
    </xdr:to>
    <xdr:pic>
      <xdr:nvPicPr>
        <xdr:cNvPr id="3" name="Picture 2">
          <a:extLst>
            <a:ext uri="{FF2B5EF4-FFF2-40B4-BE49-F238E27FC236}">
              <a16:creationId xmlns:a16="http://schemas.microsoft.com/office/drawing/2014/main" id="{628EA460-3AA5-497F-8DAE-FD1DAA1949A6}"/>
            </a:ext>
          </a:extLst>
        </xdr:cNvPr>
        <xdr:cNvPicPr>
          <a:picLocks noChangeAspect="1"/>
        </xdr:cNvPicPr>
      </xdr:nvPicPr>
      <xdr:blipFill>
        <a:blip xmlns:r="http://schemas.openxmlformats.org/officeDocument/2006/relationships" r:embed="rId2"/>
        <a:stretch>
          <a:fillRect/>
        </a:stretch>
      </xdr:blipFill>
      <xdr:spPr>
        <a:xfrm>
          <a:off x="578498" y="173355"/>
          <a:ext cx="7657958" cy="66162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502755/Documents/AM263P%20091223%20Processors%2045M%20PPA%20Tool%20ori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AM263_Power/220602%20Processors%2045M%20PPA%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History"/>
      <sheetName val="Control Panel"/>
      <sheetName val="Scaling Table"/>
      <sheetName val="PWRCALC"/>
      <sheetName val="Full Report"/>
      <sheetName val="STATSCALC"/>
      <sheetName val="SOCDB"/>
      <sheetName val="MDB"/>
      <sheetName val="MDB Audit"/>
      <sheetName val="AM263P_UC"/>
      <sheetName val="AM263_UC"/>
      <sheetName val="AM261_UC"/>
      <sheetName val="QC_UC"/>
      <sheetName val="AM273_UC"/>
      <sheetName val="AM240_UC"/>
      <sheetName val="AM241_UC"/>
      <sheetName val="AM273 Info"/>
      <sheetName val="AM263 Info"/>
      <sheetName val="AM263P Info"/>
      <sheetName val="AM261 Info"/>
    </sheetNames>
    <sheetDataSet>
      <sheetData sheetId="0"/>
      <sheetData sheetId="1">
        <row r="16">
          <cell r="B16" t="str">
            <v>AM263P</v>
          </cell>
        </row>
        <row r="48">
          <cell r="A48" t="str">
            <v>Power Domain</v>
          </cell>
          <cell r="B48" t="str">
            <v>Status</v>
          </cell>
        </row>
        <row r="49">
          <cell r="A49" t="str">
            <v>GP_Core_CTL</v>
          </cell>
          <cell r="B49" t="str">
            <v>on</v>
          </cell>
        </row>
        <row r="50">
          <cell r="A50" t="str">
            <v>N/A</v>
          </cell>
          <cell r="B50" t="str">
            <v>off</v>
          </cell>
        </row>
        <row r="51">
          <cell r="A51" t="str">
            <v>PD_C66</v>
          </cell>
          <cell r="B51" t="str">
            <v>off</v>
          </cell>
        </row>
      </sheetData>
      <sheetData sheetId="2"/>
      <sheetData sheetId="3"/>
      <sheetData sheetId="4"/>
      <sheetData sheetId="5"/>
      <sheetData sheetId="6">
        <row r="1">
          <cell r="A1" t="str">
            <v>Physical 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History"/>
      <sheetName val="Control Panel"/>
      <sheetName val="Full Report"/>
      <sheetName val="STATSCALC"/>
      <sheetName val="PWRCALC"/>
      <sheetName val="MDB"/>
      <sheetName val="MDB Audit"/>
      <sheetName val="SOCDB"/>
      <sheetName val="Scaling Table"/>
      <sheetName val="AM263_UC"/>
      <sheetName val="AM263P_UC"/>
      <sheetName val="QC_UC"/>
      <sheetName val="AM273_UC"/>
      <sheetName val="AM240_UC"/>
      <sheetName val="AM241_UC"/>
      <sheetName val="AM273 Info"/>
      <sheetName val="AM263 Info"/>
    </sheetNames>
    <sheetDataSet>
      <sheetData sheetId="0"/>
      <sheetData sheetId="1">
        <row r="442">
          <cell r="A442" t="str">
            <v>off</v>
          </cell>
        </row>
        <row r="443">
          <cell r="A443" t="str">
            <v>unused</v>
          </cell>
        </row>
        <row r="444">
          <cell r="A444" t="str">
            <v>master_1.563_mbaud_1p8v</v>
          </cell>
        </row>
        <row r="445">
          <cell r="A445" t="str">
            <v>master_1.563_mbaud_3p3v</v>
          </cell>
        </row>
        <row r="446">
          <cell r="A446" t="str">
            <v>master_3.125_mbaud_1p8v</v>
          </cell>
        </row>
        <row r="447">
          <cell r="A447" t="str">
            <v>master_3.125_mbaud_3p3v</v>
          </cell>
        </row>
        <row r="448">
          <cell r="A448" t="str">
            <v>master_6.25_mbaud_1p8v</v>
          </cell>
        </row>
        <row r="449">
          <cell r="A449" t="str">
            <v>master_6.25_mbaud_3p3v</v>
          </cell>
        </row>
        <row r="450">
          <cell r="A450" t="str">
            <v>master_12.5_mbaud_1p8v</v>
          </cell>
        </row>
        <row r="451">
          <cell r="A451" t="str">
            <v>master_12.5_mbaud_3p3v</v>
          </cell>
        </row>
        <row r="452">
          <cell r="A452" t="str">
            <v>master_2.083_mbaud_1p8v</v>
          </cell>
        </row>
        <row r="453">
          <cell r="A453" t="str">
            <v>master_2.083_mbaud_3p3v</v>
          </cell>
        </row>
        <row r="454">
          <cell r="A454" t="str">
            <v>master_25_mbaud_1p8v</v>
          </cell>
        </row>
        <row r="455">
          <cell r="A455" t="str">
            <v>master_25_mbaud_3p3v</v>
          </cell>
        </row>
        <row r="456">
          <cell r="A456" t="str">
            <v>master_40_mbaud_1p8v</v>
          </cell>
        </row>
        <row r="457">
          <cell r="A457" t="str">
            <v>master_40_mbaud_3p3v</v>
          </cell>
        </row>
        <row r="458">
          <cell r="A458" t="str">
            <v>slave_2.083_mbaud_1p8v</v>
          </cell>
        </row>
        <row r="459">
          <cell r="A459" t="str">
            <v>slave_2.083_mbaud_1p8v</v>
          </cell>
        </row>
        <row r="460">
          <cell r="A460" t="str">
            <v>slave_2.083_mbaud_3p3v</v>
          </cell>
        </row>
        <row r="461">
          <cell r="A461" t="str">
            <v>slave_2.083_mbaud_3p3v</v>
          </cell>
        </row>
        <row r="462">
          <cell r="A462" t="str">
            <v>slave_3.125_mbaud_1p8v</v>
          </cell>
        </row>
        <row r="463">
          <cell r="A463" t="str">
            <v>slave_3.125_mbaud_3p3v</v>
          </cell>
        </row>
        <row r="464">
          <cell r="A464" t="str">
            <v>slave_6.25_mbaud_1p8v</v>
          </cell>
        </row>
        <row r="465">
          <cell r="A465" t="str">
            <v>slave_6.25_mbaud_3p3v</v>
          </cell>
        </row>
        <row r="466">
          <cell r="A466" t="str">
            <v>slave_12.5_mbaud_1p8v</v>
          </cell>
        </row>
        <row r="467">
          <cell r="A467" t="str">
            <v>slave_12.5_mbaud_3p3v</v>
          </cell>
        </row>
        <row r="468">
          <cell r="A468" t="str">
            <v>slave_25_mbaud_1p8v</v>
          </cell>
        </row>
        <row r="469">
          <cell r="A469" t="str">
            <v>slave_25_mbaud_3p3v</v>
          </cell>
        </row>
        <row r="470">
          <cell r="A470" t="str">
            <v>slave_40_mbaud_1p8v</v>
          </cell>
        </row>
        <row r="471">
          <cell r="A471" t="str">
            <v>slave_40_mbaud_3p3v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5DC8B2-2F0A-4570-BE27-E6760CCBBFE3}" name="Table1" displayName="Table1" ref="A5346:E5348" totalsRowShown="0" headerRowDxfId="14" dataDxfId="13">
  <autoFilter ref="A5346:E5348" xr:uid="{420FE933-A441-4300-B305-6690B35B8E0B}"/>
  <tableColumns count="5">
    <tableColumn id="1" xr3:uid="{332EADB9-7203-429B-BFF0-1992FC6E6CFB}" name="Flash RWW current (mA)" dataDxfId="12"/>
    <tableColumn id="2" xr3:uid="{4C948FB7-EF09-4F46-9DCB-174D6D4A457C}" name="Flash Octal Read current (mA)" dataDxfId="11"/>
    <tableColumn id="3" xr3:uid="{38AD6EBB-25C3-472E-809D-4B0D57A2E9DB}" name="Flash RWW power (mW)" dataDxfId="10"/>
    <tableColumn id="4" xr3:uid="{F891DAA5-2A7F-438F-B718-18FA20817327}" name="Flash Octal Read power (mW)" dataDxfId="9"/>
    <tableColumn id="5" xr3:uid="{8F3BCB6B-C059-404D-A343-824148F3F6B4}" name="Temperature" dataDxfId="8"/>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65BC8-584C-4B96-BDEC-6532385A94CD}">
  <sheetPr>
    <tabColor theme="0" tint="-0.34998626667073579"/>
  </sheetPr>
  <dimension ref="A1:F48"/>
  <sheetViews>
    <sheetView zoomScale="130" zoomScaleNormal="130" workbookViewId="0">
      <selection activeCell="C4" sqref="C4"/>
    </sheetView>
  </sheetViews>
  <sheetFormatPr defaultColWidth="9.140625" defaultRowHeight="15" outlineLevelRow="1" x14ac:dyDescent="0.25"/>
  <cols>
    <col min="1" max="1" width="9.140625" style="22"/>
    <col min="2" max="2" width="8.5703125" style="22" customWidth="1"/>
    <col min="3" max="3" width="81.5703125" style="3" customWidth="1"/>
    <col min="4" max="4" width="10" style="22" bestFit="1" customWidth="1"/>
    <col min="5" max="16384" width="9.140625" style="22"/>
  </cols>
  <sheetData>
    <row r="1" spans="1:6" ht="108.75" customHeight="1" x14ac:dyDescent="0.25">
      <c r="A1" s="335" t="s">
        <v>6540</v>
      </c>
      <c r="B1" s="335"/>
      <c r="C1" s="335"/>
      <c r="D1" s="335"/>
      <c r="E1" s="335"/>
      <c r="F1" s="3"/>
    </row>
    <row r="2" spans="1:6" ht="29.25" customHeight="1" x14ac:dyDescent="0.25">
      <c r="A2" s="336" t="s">
        <v>6544</v>
      </c>
      <c r="B2" s="337"/>
      <c r="C2" s="337"/>
      <c r="D2" s="337"/>
      <c r="E2" s="337"/>
      <c r="F2" s="3"/>
    </row>
    <row r="3" spans="1:6" x14ac:dyDescent="0.25">
      <c r="A3" s="7" t="s">
        <v>21</v>
      </c>
      <c r="B3" s="7" t="s">
        <v>64</v>
      </c>
      <c r="C3" s="27" t="s">
        <v>42</v>
      </c>
      <c r="D3" s="7" t="s">
        <v>6541</v>
      </c>
      <c r="F3" s="3"/>
    </row>
    <row r="4" spans="1:6" x14ac:dyDescent="0.25">
      <c r="A4" s="313">
        <v>0.1</v>
      </c>
      <c r="B4" s="314">
        <v>45324</v>
      </c>
      <c r="C4" s="315" t="s">
        <v>6542</v>
      </c>
      <c r="D4" s="314" t="s">
        <v>6543</v>
      </c>
      <c r="E4" s="304"/>
      <c r="F4" s="3"/>
    </row>
    <row r="5" spans="1:6" outlineLevel="1" x14ac:dyDescent="0.25">
      <c r="A5" s="313"/>
      <c r="B5" s="314"/>
      <c r="C5" s="315"/>
      <c r="D5" s="315"/>
      <c r="F5" s="3"/>
    </row>
    <row r="6" spans="1:6" outlineLevel="1" x14ac:dyDescent="0.25">
      <c r="A6" s="313"/>
      <c r="B6" s="314"/>
      <c r="C6" s="315"/>
      <c r="D6" s="315"/>
      <c r="E6" s="3"/>
      <c r="F6" s="3"/>
    </row>
    <row r="7" spans="1:6" outlineLevel="1" x14ac:dyDescent="0.25">
      <c r="A7" s="313"/>
      <c r="B7" s="314"/>
      <c r="C7" s="315"/>
      <c r="D7" s="315"/>
      <c r="E7" s="3"/>
      <c r="F7" s="3"/>
    </row>
    <row r="8" spans="1:6" outlineLevel="1" x14ac:dyDescent="0.25">
      <c r="A8" s="313"/>
      <c r="B8" s="314"/>
      <c r="C8" s="315"/>
      <c r="D8" s="315"/>
      <c r="E8" s="3"/>
      <c r="F8" s="3"/>
    </row>
    <row r="9" spans="1:6" outlineLevel="1" x14ac:dyDescent="0.25">
      <c r="A9" s="313"/>
      <c r="B9" s="314"/>
      <c r="C9" s="315"/>
      <c r="D9" s="315"/>
      <c r="E9" s="3"/>
      <c r="F9" s="3"/>
    </row>
    <row r="10" spans="1:6" outlineLevel="1" x14ac:dyDescent="0.25">
      <c r="A10" s="313"/>
      <c r="B10" s="314"/>
      <c r="C10" s="315"/>
      <c r="D10" s="315"/>
      <c r="E10" s="3"/>
      <c r="F10" s="3"/>
    </row>
    <row r="11" spans="1:6" outlineLevel="1" x14ac:dyDescent="0.25">
      <c r="A11" s="313"/>
      <c r="B11" s="314"/>
      <c r="C11" s="315"/>
      <c r="D11" s="315"/>
      <c r="E11" s="3"/>
      <c r="F11" s="3"/>
    </row>
    <row r="12" spans="1:6" outlineLevel="1" x14ac:dyDescent="0.25">
      <c r="A12" s="313"/>
      <c r="B12" s="314"/>
      <c r="C12" s="315"/>
      <c r="D12" s="315"/>
      <c r="E12" s="3"/>
      <c r="F12" s="3"/>
    </row>
    <row r="13" spans="1:6" outlineLevel="1" x14ac:dyDescent="0.25">
      <c r="A13" s="3"/>
      <c r="B13" s="3"/>
      <c r="D13" s="3"/>
      <c r="E13" s="3"/>
      <c r="F13" s="3"/>
    </row>
    <row r="14" spans="1:6" outlineLevel="1" x14ac:dyDescent="0.25">
      <c r="A14" s="3"/>
      <c r="B14" s="3"/>
      <c r="D14" s="3"/>
      <c r="E14" s="3"/>
      <c r="F14" s="3"/>
    </row>
    <row r="15" spans="1:6" outlineLevel="1" x14ac:dyDescent="0.25">
      <c r="A15" s="3"/>
      <c r="B15" s="3"/>
      <c r="D15" s="3"/>
      <c r="E15" s="3"/>
      <c r="F15" s="3"/>
    </row>
    <row r="16" spans="1:6" outlineLevel="1" x14ac:dyDescent="0.25">
      <c r="A16" s="3"/>
      <c r="B16" s="3"/>
      <c r="D16" s="3"/>
      <c r="E16" s="3"/>
      <c r="F16" s="3"/>
    </row>
    <row r="17" spans="1:6" outlineLevel="1" x14ac:dyDescent="0.25">
      <c r="A17" s="3"/>
      <c r="B17" s="3"/>
      <c r="D17" s="3"/>
      <c r="E17" s="3"/>
      <c r="F17" s="3"/>
    </row>
    <row r="18" spans="1:6" outlineLevel="1" x14ac:dyDescent="0.25">
      <c r="A18" s="3"/>
      <c r="B18" s="3"/>
      <c r="D18" s="3"/>
      <c r="E18" s="3"/>
      <c r="F18" s="3"/>
    </row>
    <row r="19" spans="1:6" outlineLevel="1" x14ac:dyDescent="0.25">
      <c r="A19" s="3"/>
      <c r="B19" s="3"/>
      <c r="D19" s="3"/>
      <c r="E19" s="3"/>
      <c r="F19" s="3"/>
    </row>
    <row r="20" spans="1:6" outlineLevel="1" x14ac:dyDescent="0.25">
      <c r="A20" s="3"/>
      <c r="B20" s="3"/>
      <c r="D20" s="3"/>
      <c r="E20" s="3"/>
      <c r="F20" s="3"/>
    </row>
    <row r="21" spans="1:6" outlineLevel="1" x14ac:dyDescent="0.25">
      <c r="A21" s="3"/>
      <c r="B21" s="3"/>
      <c r="D21" s="3"/>
      <c r="E21" s="3"/>
      <c r="F21" s="3"/>
    </row>
    <row r="22" spans="1:6" outlineLevel="1" x14ac:dyDescent="0.25">
      <c r="A22" s="3"/>
      <c r="B22" s="3"/>
      <c r="D22" s="3"/>
      <c r="E22" s="3"/>
      <c r="F22" s="3"/>
    </row>
    <row r="23" spans="1:6" x14ac:dyDescent="0.25">
      <c r="A23" s="3"/>
      <c r="B23" s="3"/>
      <c r="D23" s="3"/>
      <c r="E23" s="3"/>
      <c r="F23" s="3"/>
    </row>
    <row r="24" spans="1:6" x14ac:dyDescent="0.25">
      <c r="A24" s="3"/>
      <c r="B24" s="3"/>
      <c r="D24" s="3"/>
      <c r="E24" s="3"/>
      <c r="F24" s="3"/>
    </row>
    <row r="25" spans="1:6" x14ac:dyDescent="0.25">
      <c r="A25" s="3"/>
      <c r="B25" s="3"/>
      <c r="D25" s="3"/>
      <c r="E25" s="3"/>
      <c r="F25" s="3"/>
    </row>
    <row r="26" spans="1:6" x14ac:dyDescent="0.25">
      <c r="A26" s="3"/>
      <c r="B26" s="3"/>
      <c r="D26" s="3"/>
      <c r="E26" s="3"/>
      <c r="F26" s="3"/>
    </row>
    <row r="27" spans="1:6" x14ac:dyDescent="0.25">
      <c r="A27" s="3"/>
      <c r="B27" s="3"/>
      <c r="D27" s="3"/>
      <c r="E27" s="3"/>
      <c r="F27" s="3"/>
    </row>
    <row r="28" spans="1:6" x14ac:dyDescent="0.25">
      <c r="A28" s="3"/>
      <c r="B28" s="3"/>
      <c r="D28" s="3"/>
      <c r="E28" s="3"/>
      <c r="F28" s="3"/>
    </row>
    <row r="29" spans="1:6" x14ac:dyDescent="0.25">
      <c r="A29" s="3"/>
      <c r="B29" s="3"/>
      <c r="D29" s="3"/>
      <c r="E29" s="3"/>
      <c r="F29" s="3"/>
    </row>
    <row r="30" spans="1:6" x14ac:dyDescent="0.25">
      <c r="A30" s="3"/>
      <c r="B30" s="3"/>
      <c r="D30" s="3"/>
      <c r="E30" s="3"/>
      <c r="F30" s="3"/>
    </row>
    <row r="31" spans="1:6" x14ac:dyDescent="0.25">
      <c r="A31" s="3"/>
      <c r="B31" s="3"/>
      <c r="D31" s="3"/>
      <c r="E31" s="3"/>
      <c r="F31" s="3"/>
    </row>
    <row r="32" spans="1:6" ht="15" customHeight="1" outlineLevel="1" x14ac:dyDescent="0.25">
      <c r="A32" s="3"/>
      <c r="B32" s="3"/>
      <c r="D32" s="3"/>
      <c r="E32" s="3"/>
      <c r="F32" s="3"/>
    </row>
    <row r="33" spans="1:6" ht="15" customHeight="1" outlineLevel="1" x14ac:dyDescent="0.25">
      <c r="A33" s="3"/>
      <c r="B33" s="3"/>
      <c r="D33" s="3"/>
      <c r="E33" s="3"/>
      <c r="F33" s="3"/>
    </row>
    <row r="34" spans="1:6" ht="15" customHeight="1" outlineLevel="1" x14ac:dyDescent="0.25">
      <c r="A34" s="3"/>
      <c r="B34" s="3"/>
      <c r="D34" s="3"/>
      <c r="E34" s="3"/>
      <c r="F34" s="3"/>
    </row>
    <row r="35" spans="1:6" ht="15" customHeight="1" outlineLevel="1" x14ac:dyDescent="0.25">
      <c r="A35" s="3"/>
      <c r="B35" s="3"/>
      <c r="D35" s="3"/>
      <c r="E35" s="3"/>
      <c r="F35" s="3"/>
    </row>
    <row r="36" spans="1:6" outlineLevel="1" x14ac:dyDescent="0.25">
      <c r="A36" s="3"/>
      <c r="B36" s="3"/>
      <c r="D36" s="3"/>
      <c r="E36" s="3"/>
      <c r="F36" s="3"/>
    </row>
    <row r="37" spans="1:6" outlineLevel="1" x14ac:dyDescent="0.25">
      <c r="A37" s="3"/>
      <c r="B37" s="3"/>
      <c r="D37" s="3"/>
      <c r="E37" s="3"/>
      <c r="F37" s="3"/>
    </row>
    <row r="38" spans="1:6" outlineLevel="1" x14ac:dyDescent="0.25">
      <c r="A38" s="3"/>
      <c r="B38" s="3"/>
      <c r="D38" s="3"/>
      <c r="E38" s="3"/>
      <c r="F38" s="3"/>
    </row>
    <row r="39" spans="1:6" ht="15" customHeight="1" outlineLevel="1" x14ac:dyDescent="0.25">
      <c r="A39" s="3"/>
      <c r="B39" s="3"/>
      <c r="D39" s="3"/>
      <c r="E39" s="3"/>
      <c r="F39" s="3"/>
    </row>
    <row r="40" spans="1:6" ht="15" customHeight="1" outlineLevel="1" x14ac:dyDescent="0.25">
      <c r="A40" s="3"/>
      <c r="B40" s="3"/>
      <c r="D40" s="3"/>
      <c r="E40" s="3"/>
      <c r="F40" s="3"/>
    </row>
    <row r="41" spans="1:6" ht="15" customHeight="1" outlineLevel="1" x14ac:dyDescent="0.25">
      <c r="A41" s="3"/>
      <c r="B41" s="3"/>
      <c r="D41" s="3"/>
      <c r="E41" s="3"/>
      <c r="F41" s="3"/>
    </row>
    <row r="42" spans="1:6" ht="15" customHeight="1" outlineLevel="1" x14ac:dyDescent="0.25">
      <c r="A42" s="3"/>
      <c r="B42" s="3"/>
      <c r="D42" s="3"/>
      <c r="E42" s="3"/>
      <c r="F42" s="3"/>
    </row>
    <row r="43" spans="1:6" ht="15" customHeight="1" outlineLevel="1" x14ac:dyDescent="0.25">
      <c r="A43" s="3"/>
      <c r="B43" s="3"/>
      <c r="D43" s="3"/>
      <c r="E43" s="3"/>
      <c r="F43" s="3"/>
    </row>
    <row r="44" spans="1:6" ht="15" customHeight="1" outlineLevel="1" x14ac:dyDescent="0.25">
      <c r="A44" s="3"/>
      <c r="B44" s="3"/>
      <c r="D44" s="3"/>
      <c r="E44" s="3"/>
      <c r="F44" s="3"/>
    </row>
    <row r="45" spans="1:6" ht="15" customHeight="1" outlineLevel="1" x14ac:dyDescent="0.25">
      <c r="A45" s="3"/>
      <c r="B45" s="3"/>
      <c r="D45" s="3"/>
      <c r="E45" s="3"/>
      <c r="F45" s="3"/>
    </row>
    <row r="46" spans="1:6" ht="15" customHeight="1" outlineLevel="1" x14ac:dyDescent="0.25">
      <c r="A46" s="3"/>
      <c r="B46" s="3"/>
      <c r="D46" s="3"/>
      <c r="E46" s="3"/>
      <c r="F46" s="3"/>
    </row>
    <row r="47" spans="1:6" x14ac:dyDescent="0.25">
      <c r="A47" s="3"/>
      <c r="B47" s="3"/>
      <c r="D47" s="3"/>
      <c r="E47" s="3"/>
      <c r="F47" s="3"/>
    </row>
    <row r="48" spans="1:6" x14ac:dyDescent="0.25">
      <c r="A48" s="3"/>
      <c r="B48" s="3"/>
      <c r="D48" s="3"/>
      <c r="E48" s="3"/>
      <c r="F48" s="3"/>
    </row>
  </sheetData>
  <mergeCells count="2">
    <mergeCell ref="A1:E1"/>
    <mergeCell ref="A2:E2"/>
  </mergeCells>
  <pageMargins left="0.25" right="0.25"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3DD7-2C5F-463C-A327-60D778EE071F}">
  <sheetPr>
    <tabColor theme="0" tint="-0.249977111117893"/>
  </sheetPr>
  <dimension ref="O1:S72"/>
  <sheetViews>
    <sheetView zoomScale="70" zoomScaleNormal="70" workbookViewId="0"/>
  </sheetViews>
  <sheetFormatPr defaultRowHeight="15" x14ac:dyDescent="0.25"/>
  <cols>
    <col min="15" max="15" width="18.85546875" bestFit="1" customWidth="1"/>
    <col min="16" max="16" width="84" bestFit="1" customWidth="1"/>
    <col min="17" max="17" width="11.5703125" bestFit="1" customWidth="1"/>
    <col min="18" max="18" width="47.85546875" bestFit="1" customWidth="1"/>
    <col min="19" max="19" width="25.140625" bestFit="1" customWidth="1"/>
  </cols>
  <sheetData>
    <row r="1" spans="15:19" ht="15.75" thickBot="1" x14ac:dyDescent="0.3">
      <c r="O1" t="s">
        <v>4788</v>
      </c>
    </row>
    <row r="2" spans="15:19" x14ac:dyDescent="0.25">
      <c r="O2" s="29" t="s">
        <v>4732</v>
      </c>
      <c r="P2" s="30" t="s">
        <v>4733</v>
      </c>
      <c r="Q2" s="30" t="s">
        <v>4734</v>
      </c>
      <c r="R2" s="30" t="s">
        <v>4735</v>
      </c>
      <c r="S2" s="31" t="s">
        <v>4736</v>
      </c>
    </row>
    <row r="3" spans="15:19" x14ac:dyDescent="0.25">
      <c r="O3" s="32"/>
      <c r="P3" s="21"/>
      <c r="Q3" s="21"/>
      <c r="R3" s="21"/>
      <c r="S3" s="33"/>
    </row>
    <row r="4" spans="15:19" x14ac:dyDescent="0.25">
      <c r="O4" s="157" t="s">
        <v>4737</v>
      </c>
      <c r="P4" s="21" t="s">
        <v>4738</v>
      </c>
      <c r="Q4" s="21"/>
      <c r="R4" s="21"/>
      <c r="S4" s="33"/>
    </row>
    <row r="5" spans="15:19" x14ac:dyDescent="0.25">
      <c r="O5" s="32"/>
      <c r="P5" s="21"/>
      <c r="Q5" s="21"/>
      <c r="R5" s="21"/>
      <c r="S5" s="33"/>
    </row>
    <row r="6" spans="15:19" x14ac:dyDescent="0.25">
      <c r="O6" s="157" t="s">
        <v>4739</v>
      </c>
      <c r="P6" s="21" t="s">
        <v>4740</v>
      </c>
      <c r="Q6" s="21"/>
      <c r="R6" s="21"/>
      <c r="S6" s="33"/>
    </row>
    <row r="7" spans="15:19" x14ac:dyDescent="0.25">
      <c r="O7" s="32"/>
      <c r="P7" s="21"/>
      <c r="Q7" s="21"/>
      <c r="R7" s="21"/>
      <c r="S7" s="33"/>
    </row>
    <row r="8" spans="15:19" x14ac:dyDescent="0.25">
      <c r="O8" s="157" t="s">
        <v>4741</v>
      </c>
      <c r="P8" s="21" t="s">
        <v>4742</v>
      </c>
      <c r="Q8" s="21"/>
      <c r="R8" s="21"/>
      <c r="S8" s="33"/>
    </row>
    <row r="9" spans="15:19" x14ac:dyDescent="0.25">
      <c r="O9" s="32"/>
      <c r="P9" s="21"/>
      <c r="Q9" s="21"/>
      <c r="R9" s="21"/>
      <c r="S9" s="33"/>
    </row>
    <row r="10" spans="15:19" x14ac:dyDescent="0.25">
      <c r="O10" s="157" t="s">
        <v>4743</v>
      </c>
      <c r="P10" s="21" t="s">
        <v>4744</v>
      </c>
      <c r="Q10" s="21"/>
      <c r="R10" s="21"/>
      <c r="S10" s="33"/>
    </row>
    <row r="11" spans="15:19" x14ac:dyDescent="0.25">
      <c r="O11" s="32"/>
      <c r="P11" s="21"/>
      <c r="Q11" s="21"/>
      <c r="R11" s="21"/>
      <c r="S11" s="33"/>
    </row>
    <row r="12" spans="15:19" x14ac:dyDescent="0.25">
      <c r="O12" s="157" t="s">
        <v>4745</v>
      </c>
      <c r="P12" s="21" t="s">
        <v>5438</v>
      </c>
      <c r="Q12" s="21"/>
      <c r="R12" s="21"/>
      <c r="S12" s="33"/>
    </row>
    <row r="13" spans="15:19" x14ac:dyDescent="0.25">
      <c r="O13" s="32"/>
      <c r="P13" s="21"/>
      <c r="Q13" s="21"/>
      <c r="R13" s="21"/>
      <c r="S13" s="33"/>
    </row>
    <row r="14" spans="15:19" x14ac:dyDescent="0.25">
      <c r="O14" s="32"/>
      <c r="P14" s="158" t="s">
        <v>4746</v>
      </c>
      <c r="Q14" s="28">
        <v>6.2902547367145499E-3</v>
      </c>
      <c r="R14" s="21" t="s">
        <v>4747</v>
      </c>
      <c r="S14" s="33"/>
    </row>
    <row r="15" spans="15:19" x14ac:dyDescent="0.25">
      <c r="O15" s="32"/>
      <c r="P15" s="158" t="s">
        <v>4748</v>
      </c>
      <c r="Q15" s="28">
        <v>2.096346017671019E-3</v>
      </c>
      <c r="R15" s="21" t="s">
        <v>4747</v>
      </c>
      <c r="S15" s="33"/>
    </row>
    <row r="16" spans="15:19" x14ac:dyDescent="0.25">
      <c r="O16" s="32"/>
      <c r="P16" s="158" t="s">
        <v>4701</v>
      </c>
      <c r="Q16" s="28">
        <v>1.2750845191638004E-2</v>
      </c>
      <c r="R16" s="21" t="s">
        <v>4747</v>
      </c>
      <c r="S16" s="33"/>
    </row>
    <row r="17" spans="15:19" x14ac:dyDescent="0.25">
      <c r="O17" s="32"/>
      <c r="P17" s="158" t="s">
        <v>4749</v>
      </c>
      <c r="Q17" s="28">
        <v>2.8494732288946764E-2</v>
      </c>
      <c r="R17" s="21" t="s">
        <v>4747</v>
      </c>
      <c r="S17" s="33"/>
    </row>
    <row r="18" spans="15:19" x14ac:dyDescent="0.25">
      <c r="O18" s="32"/>
      <c r="P18" s="40" t="s">
        <v>4750</v>
      </c>
      <c r="Q18" s="28"/>
      <c r="R18" s="21" t="s">
        <v>4751</v>
      </c>
      <c r="S18" s="33"/>
    </row>
    <row r="19" spans="15:19" x14ac:dyDescent="0.25">
      <c r="O19" s="32"/>
      <c r="P19" s="40" t="s">
        <v>4752</v>
      </c>
      <c r="Q19" s="28"/>
      <c r="R19" s="21" t="s">
        <v>4753</v>
      </c>
      <c r="S19" s="33"/>
    </row>
    <row r="20" spans="15:19" x14ac:dyDescent="0.25">
      <c r="O20" s="32"/>
      <c r="P20" s="40" t="s">
        <v>4754</v>
      </c>
      <c r="Q20" s="28"/>
      <c r="R20" s="21" t="s">
        <v>4753</v>
      </c>
      <c r="S20" s="33"/>
    </row>
    <row r="21" spans="15:19" x14ac:dyDescent="0.25">
      <c r="O21" s="32"/>
      <c r="P21" s="158" t="s">
        <v>4755</v>
      </c>
      <c r="Q21" s="28">
        <v>4.0515567259689461E-4</v>
      </c>
      <c r="R21" s="21" t="s">
        <v>4747</v>
      </c>
      <c r="S21" s="33"/>
    </row>
    <row r="22" spans="15:19" x14ac:dyDescent="0.25">
      <c r="O22" s="32"/>
      <c r="P22" s="158" t="s">
        <v>4756</v>
      </c>
      <c r="Q22" s="28">
        <v>3.5028323765959745E-3</v>
      </c>
      <c r="R22" s="21" t="s">
        <v>4757</v>
      </c>
      <c r="S22" s="33"/>
    </row>
    <row r="23" spans="15:19" x14ac:dyDescent="0.25">
      <c r="O23" s="32"/>
      <c r="P23" s="40" t="s">
        <v>4758</v>
      </c>
      <c r="Q23" s="28">
        <v>0.01</v>
      </c>
      <c r="R23" s="21" t="s">
        <v>4759</v>
      </c>
      <c r="S23" s="33"/>
    </row>
    <row r="24" spans="15:19" x14ac:dyDescent="0.25">
      <c r="O24" s="32"/>
      <c r="P24" s="158" t="s">
        <v>4760</v>
      </c>
      <c r="Q24" s="28">
        <v>0.01</v>
      </c>
      <c r="R24" s="21" t="s">
        <v>4761</v>
      </c>
      <c r="S24" s="33"/>
    </row>
    <row r="25" spans="15:19" x14ac:dyDescent="0.25">
      <c r="O25" s="32"/>
      <c r="P25" s="21"/>
      <c r="Q25" s="28"/>
      <c r="R25" s="21"/>
      <c r="S25" s="33"/>
    </row>
    <row r="26" spans="15:19" x14ac:dyDescent="0.25">
      <c r="O26" s="32"/>
      <c r="P26" s="158" t="s">
        <v>4762</v>
      </c>
      <c r="Q26" s="28">
        <v>0.92443627639375536</v>
      </c>
      <c r="R26" s="21" t="s">
        <v>4763</v>
      </c>
      <c r="S26" s="33"/>
    </row>
    <row r="27" spans="15:19" x14ac:dyDescent="0.25">
      <c r="O27" s="32"/>
      <c r="P27" s="21"/>
      <c r="Q27" s="21"/>
      <c r="R27" s="21"/>
      <c r="S27" s="33"/>
    </row>
    <row r="28" spans="15:19" x14ac:dyDescent="0.25">
      <c r="O28" s="32"/>
      <c r="P28" s="21"/>
      <c r="Q28" s="159" t="s">
        <v>4764</v>
      </c>
      <c r="R28" s="21"/>
      <c r="S28" s="33"/>
    </row>
    <row r="29" spans="15:19" x14ac:dyDescent="0.25">
      <c r="O29" s="32"/>
      <c r="P29" s="21"/>
      <c r="Q29" s="21"/>
      <c r="R29" s="160" t="s">
        <v>4765</v>
      </c>
      <c r="S29" s="33"/>
    </row>
    <row r="30" spans="15:19" x14ac:dyDescent="0.25">
      <c r="O30" s="32"/>
      <c r="P30" s="21"/>
      <c r="Q30" s="21"/>
      <c r="R30" s="160" t="s">
        <v>4766</v>
      </c>
      <c r="S30" s="33"/>
    </row>
    <row r="31" spans="15:19" x14ac:dyDescent="0.25">
      <c r="O31" s="32"/>
      <c r="P31" s="21"/>
      <c r="Q31" s="21"/>
      <c r="R31" s="160" t="s">
        <v>4767</v>
      </c>
      <c r="S31" s="33"/>
    </row>
    <row r="32" spans="15:19" x14ac:dyDescent="0.25">
      <c r="O32" s="32"/>
      <c r="P32" s="21"/>
      <c r="Q32" s="21"/>
      <c r="R32" s="160" t="s">
        <v>4768</v>
      </c>
      <c r="S32" s="33"/>
    </row>
    <row r="33" spans="15:19" x14ac:dyDescent="0.25">
      <c r="O33" s="32"/>
      <c r="P33" s="21"/>
      <c r="Q33" s="21"/>
      <c r="R33" s="160" t="s">
        <v>4769</v>
      </c>
      <c r="S33" s="33"/>
    </row>
    <row r="34" spans="15:19" x14ac:dyDescent="0.25">
      <c r="O34" s="32"/>
      <c r="P34" s="21"/>
      <c r="Q34" s="21"/>
      <c r="R34" s="160" t="s">
        <v>4770</v>
      </c>
      <c r="S34" s="33"/>
    </row>
    <row r="35" spans="15:19" x14ac:dyDescent="0.25">
      <c r="O35" s="32"/>
      <c r="P35" s="21"/>
      <c r="Q35" s="21"/>
      <c r="R35" s="160" t="s">
        <v>4771</v>
      </c>
      <c r="S35" s="33"/>
    </row>
    <row r="36" spans="15:19" x14ac:dyDescent="0.25">
      <c r="O36" s="32"/>
      <c r="P36" s="21"/>
      <c r="Q36" s="21"/>
      <c r="R36" s="21"/>
      <c r="S36" s="33"/>
    </row>
    <row r="37" spans="15:19" x14ac:dyDescent="0.25">
      <c r="O37" s="32"/>
      <c r="P37" s="21"/>
      <c r="Q37" s="159" t="s">
        <v>4772</v>
      </c>
      <c r="R37" s="21"/>
      <c r="S37" s="33"/>
    </row>
    <row r="38" spans="15:19" x14ac:dyDescent="0.25">
      <c r="O38" s="32"/>
      <c r="P38" s="21"/>
      <c r="Q38" s="21"/>
      <c r="R38" s="160" t="s">
        <v>4773</v>
      </c>
      <c r="S38" s="33"/>
    </row>
    <row r="39" spans="15:19" x14ac:dyDescent="0.25">
      <c r="O39" s="32"/>
      <c r="P39" s="21"/>
      <c r="Q39" s="21"/>
      <c r="R39" s="21"/>
      <c r="S39" s="34" t="s">
        <v>4774</v>
      </c>
    </row>
    <row r="40" spans="15:19" x14ac:dyDescent="0.25">
      <c r="O40" s="32"/>
      <c r="P40" s="21"/>
      <c r="Q40" s="21"/>
      <c r="R40" s="21"/>
      <c r="S40" s="34" t="s">
        <v>4775</v>
      </c>
    </row>
    <row r="41" spans="15:19" x14ac:dyDescent="0.25">
      <c r="O41" s="32"/>
      <c r="P41" s="21"/>
      <c r="Q41" s="21"/>
      <c r="R41" s="21"/>
      <c r="S41" s="34" t="s">
        <v>4776</v>
      </c>
    </row>
    <row r="42" spans="15:19" x14ac:dyDescent="0.25">
      <c r="O42" s="32"/>
      <c r="P42" s="21"/>
      <c r="Q42" s="21"/>
      <c r="R42" s="21"/>
      <c r="S42" s="39" t="s">
        <v>4728</v>
      </c>
    </row>
    <row r="43" spans="15:19" x14ac:dyDescent="0.25">
      <c r="O43" s="32"/>
      <c r="P43" s="21"/>
      <c r="Q43" s="21"/>
      <c r="R43" s="21"/>
      <c r="S43" s="34" t="s">
        <v>4777</v>
      </c>
    </row>
    <row r="44" spans="15:19" x14ac:dyDescent="0.25">
      <c r="O44" s="32"/>
      <c r="P44" s="21"/>
      <c r="Q44" s="21"/>
      <c r="R44" s="21"/>
      <c r="S44" s="34" t="s">
        <v>4778</v>
      </c>
    </row>
    <row r="45" spans="15:19" x14ac:dyDescent="0.25">
      <c r="O45" s="32"/>
      <c r="P45" s="21"/>
      <c r="Q45" s="21"/>
      <c r="R45" s="21"/>
      <c r="S45" s="39" t="s">
        <v>4779</v>
      </c>
    </row>
    <row r="46" spans="15:19" x14ac:dyDescent="0.25">
      <c r="O46" s="32"/>
      <c r="P46" s="21"/>
      <c r="Q46" s="21"/>
      <c r="R46" s="21"/>
      <c r="S46" s="35" t="s">
        <v>4780</v>
      </c>
    </row>
    <row r="47" spans="15:19" x14ac:dyDescent="0.25">
      <c r="O47" s="32"/>
      <c r="P47" s="21"/>
      <c r="Q47" s="21"/>
      <c r="R47" s="21"/>
      <c r="S47" s="33"/>
    </row>
    <row r="48" spans="15:19" x14ac:dyDescent="0.25">
      <c r="O48" s="32"/>
      <c r="P48" s="21"/>
      <c r="Q48" s="21"/>
      <c r="R48" s="160" t="s">
        <v>4781</v>
      </c>
      <c r="S48" s="33"/>
    </row>
    <row r="49" spans="15:19" x14ac:dyDescent="0.25">
      <c r="O49" s="32"/>
      <c r="P49" s="21"/>
      <c r="Q49" s="21"/>
      <c r="R49" s="21"/>
      <c r="S49" s="39" t="s">
        <v>4782</v>
      </c>
    </row>
    <row r="50" spans="15:19" x14ac:dyDescent="0.25">
      <c r="O50" s="32"/>
      <c r="P50" s="21"/>
      <c r="Q50" s="21"/>
      <c r="R50" s="21"/>
      <c r="S50" s="34" t="s">
        <v>4783</v>
      </c>
    </row>
    <row r="51" spans="15:19" x14ac:dyDescent="0.25">
      <c r="O51" s="32"/>
      <c r="P51" s="21"/>
      <c r="Q51" s="21"/>
      <c r="R51" s="21"/>
      <c r="S51" s="34" t="s">
        <v>4784</v>
      </c>
    </row>
    <row r="52" spans="15:19" x14ac:dyDescent="0.25">
      <c r="O52" s="32"/>
      <c r="P52" s="21"/>
      <c r="Q52" s="21"/>
      <c r="R52" s="21"/>
      <c r="S52" s="39" t="s">
        <v>4700</v>
      </c>
    </row>
    <row r="53" spans="15:19" x14ac:dyDescent="0.25">
      <c r="O53" s="32"/>
      <c r="P53" s="21"/>
      <c r="Q53" s="21"/>
      <c r="R53" s="21"/>
      <c r="S53" s="34" t="s">
        <v>4785</v>
      </c>
    </row>
    <row r="54" spans="15:19" x14ac:dyDescent="0.25">
      <c r="O54" s="32"/>
      <c r="P54" s="21"/>
      <c r="Q54" s="21"/>
      <c r="R54" s="21"/>
      <c r="S54" s="34" t="s">
        <v>4786</v>
      </c>
    </row>
    <row r="55" spans="15:19" x14ac:dyDescent="0.25">
      <c r="O55" s="32"/>
      <c r="P55" s="21"/>
      <c r="Q55" s="21"/>
      <c r="R55" s="21"/>
      <c r="S55" s="34" t="s">
        <v>4699</v>
      </c>
    </row>
    <row r="56" spans="15:19" x14ac:dyDescent="0.25">
      <c r="O56" s="32"/>
      <c r="P56" s="21"/>
      <c r="Q56" s="21"/>
      <c r="R56" s="21"/>
      <c r="S56" s="39" t="s">
        <v>4729</v>
      </c>
    </row>
    <row r="57" spans="15:19" ht="15.75" thickBot="1" x14ac:dyDescent="0.3">
      <c r="O57" s="36"/>
      <c r="P57" s="37"/>
      <c r="Q57" s="37"/>
      <c r="R57" s="37"/>
      <c r="S57" s="38" t="s">
        <v>4787</v>
      </c>
    </row>
    <row r="59" spans="15:19" x14ac:dyDescent="0.25">
      <c r="P59" t="s">
        <v>5968</v>
      </c>
    </row>
    <row r="60" spans="15:19" x14ac:dyDescent="0.25">
      <c r="P60" t="s">
        <v>5969</v>
      </c>
    </row>
    <row r="61" spans="15:19" x14ac:dyDescent="0.25">
      <c r="P61" t="s">
        <v>5970</v>
      </c>
    </row>
    <row r="62" spans="15:19" x14ac:dyDescent="0.25">
      <c r="P62" t="s">
        <v>5971</v>
      </c>
    </row>
    <row r="63" spans="15:19" x14ac:dyDescent="0.25">
      <c r="P63" t="s">
        <v>5972</v>
      </c>
    </row>
    <row r="64" spans="15:19" x14ac:dyDescent="0.25">
      <c r="P64" t="s">
        <v>5973</v>
      </c>
    </row>
    <row r="65" spans="16:16" x14ac:dyDescent="0.25">
      <c r="P65" t="s">
        <v>5974</v>
      </c>
    </row>
    <row r="66" spans="16:16" x14ac:dyDescent="0.25">
      <c r="P66" t="s">
        <v>5975</v>
      </c>
    </row>
    <row r="67" spans="16:16" x14ac:dyDescent="0.25">
      <c r="P67" t="s">
        <v>5976</v>
      </c>
    </row>
    <row r="68" spans="16:16" x14ac:dyDescent="0.25">
      <c r="P68" t="s">
        <v>5977</v>
      </c>
    </row>
    <row r="69" spans="16:16" x14ac:dyDescent="0.25">
      <c r="P69" t="s">
        <v>5978</v>
      </c>
    </row>
    <row r="71" spans="16:16" x14ac:dyDescent="0.25">
      <c r="P71" t="s">
        <v>5979</v>
      </c>
    </row>
    <row r="72" spans="16:16" x14ac:dyDescent="0.25">
      <c r="P72" t="s">
        <v>5980</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36B6-8EDA-4AC7-B0E1-629015390746}">
  <sheetPr>
    <tabColor theme="0" tint="-0.249977111117893"/>
  </sheetPr>
  <dimension ref="A4:K144"/>
  <sheetViews>
    <sheetView topLeftCell="A11" zoomScale="70" zoomScaleNormal="70" workbookViewId="0">
      <selection activeCell="B5" sqref="B5:K60"/>
    </sheetView>
  </sheetViews>
  <sheetFormatPr defaultRowHeight="15" x14ac:dyDescent="0.25"/>
  <cols>
    <col min="3" max="3" width="16.28515625" bestFit="1" customWidth="1"/>
    <col min="4" max="4" width="25.42578125" bestFit="1" customWidth="1"/>
    <col min="5" max="5" width="25.28515625" bestFit="1" customWidth="1"/>
    <col min="6" max="6" width="23.7109375" bestFit="1" customWidth="1"/>
    <col min="7" max="7" width="23" bestFit="1" customWidth="1"/>
    <col min="8" max="8" width="27.5703125" bestFit="1" customWidth="1"/>
    <col min="9" max="9" width="20.28515625" bestFit="1" customWidth="1"/>
    <col min="10" max="10" width="29.7109375" bestFit="1" customWidth="1"/>
    <col min="11" max="11" width="21.7109375" bestFit="1" customWidth="1"/>
  </cols>
  <sheetData>
    <row r="4" spans="2:11" ht="15.75" thickBot="1" x14ac:dyDescent="0.3"/>
    <row r="5" spans="2:11" x14ac:dyDescent="0.25">
      <c r="B5" s="253" t="s">
        <v>6430</v>
      </c>
      <c r="C5" s="30" t="s">
        <v>4732</v>
      </c>
      <c r="D5" s="30" t="s">
        <v>4733</v>
      </c>
      <c r="E5" s="30" t="s">
        <v>4734</v>
      </c>
      <c r="F5" s="30" t="s">
        <v>4735</v>
      </c>
      <c r="G5" s="30" t="s">
        <v>4736</v>
      </c>
      <c r="H5" s="264" t="s">
        <v>6416</v>
      </c>
      <c r="I5" s="264" t="s">
        <v>6417</v>
      </c>
      <c r="J5" s="264" t="s">
        <v>6418</v>
      </c>
      <c r="K5" s="265" t="s">
        <v>6458</v>
      </c>
    </row>
    <row r="6" spans="2:11" x14ac:dyDescent="0.25">
      <c r="B6" s="258">
        <v>0.98709999999999998</v>
      </c>
      <c r="C6" s="13" t="s">
        <v>5950</v>
      </c>
      <c r="D6" s="13"/>
      <c r="E6" s="13"/>
      <c r="F6" s="13"/>
      <c r="G6" s="13"/>
      <c r="H6" s="13"/>
      <c r="I6" s="13"/>
      <c r="J6" s="13"/>
      <c r="K6" s="255"/>
    </row>
    <row r="7" spans="2:11" x14ac:dyDescent="0.25">
      <c r="B7" s="258">
        <v>5.8999999999999999E-3</v>
      </c>
      <c r="C7" s="13" t="s">
        <v>6420</v>
      </c>
      <c r="D7" s="13"/>
      <c r="E7" s="13"/>
      <c r="F7" s="13"/>
      <c r="G7" s="13"/>
      <c r="H7" s="13"/>
      <c r="I7" s="13"/>
      <c r="J7" s="13"/>
      <c r="K7" s="255"/>
    </row>
    <row r="8" spans="2:11" x14ac:dyDescent="0.25">
      <c r="B8" s="258">
        <v>2.8999999999999998E-3</v>
      </c>
      <c r="C8" s="13" t="s">
        <v>6419</v>
      </c>
      <c r="D8" s="13"/>
      <c r="E8" s="13"/>
      <c r="F8" s="13"/>
      <c r="G8" s="13"/>
      <c r="H8" s="13"/>
      <c r="I8" s="13"/>
      <c r="J8" s="13"/>
      <c r="K8" s="255"/>
    </row>
    <row r="9" spans="2:11" x14ac:dyDescent="0.25">
      <c r="B9" s="258">
        <v>1.5E-3</v>
      </c>
      <c r="C9" s="13" t="s">
        <v>6422</v>
      </c>
      <c r="D9" s="13"/>
      <c r="E9" s="13"/>
      <c r="F9" s="13"/>
      <c r="G9" s="13"/>
      <c r="H9" s="13"/>
      <c r="I9" s="13"/>
      <c r="J9" s="13"/>
      <c r="K9" s="255"/>
    </row>
    <row r="10" spans="2:11" x14ac:dyDescent="0.25">
      <c r="B10" s="258">
        <v>8.0000000000000004E-4</v>
      </c>
      <c r="C10" s="13" t="s">
        <v>6423</v>
      </c>
      <c r="D10" s="13"/>
      <c r="E10" s="13"/>
      <c r="F10" s="13"/>
      <c r="G10" s="13"/>
      <c r="H10" s="13"/>
      <c r="I10" s="13"/>
      <c r="J10" s="13"/>
      <c r="K10" s="255"/>
    </row>
    <row r="11" spans="2:11" x14ac:dyDescent="0.25">
      <c r="B11" s="258">
        <v>1.6000000000000001E-3</v>
      </c>
      <c r="C11" s="13" t="s">
        <v>6421</v>
      </c>
      <c r="D11" s="13"/>
      <c r="E11" s="13"/>
      <c r="F11" s="13"/>
      <c r="G11" s="13"/>
      <c r="H11" s="13"/>
      <c r="I11" s="13"/>
      <c r="J11" s="13"/>
      <c r="K11" s="255"/>
    </row>
    <row r="12" spans="2:11" x14ac:dyDescent="0.25">
      <c r="B12" s="254"/>
      <c r="C12" s="13"/>
      <c r="D12" s="13"/>
      <c r="E12" s="13"/>
      <c r="F12" s="13"/>
      <c r="G12" s="13"/>
      <c r="H12" s="13"/>
      <c r="I12" s="13"/>
      <c r="J12" s="13"/>
      <c r="K12" s="255"/>
    </row>
    <row r="13" spans="2:11" x14ac:dyDescent="0.25">
      <c r="B13" s="258"/>
      <c r="C13" s="13"/>
      <c r="D13" s="13"/>
      <c r="E13" s="13"/>
      <c r="F13" s="13"/>
      <c r="G13" s="13"/>
      <c r="H13" s="13"/>
      <c r="I13" s="13"/>
      <c r="J13" s="13"/>
      <c r="K13" s="255"/>
    </row>
    <row r="14" spans="2:11" x14ac:dyDescent="0.25">
      <c r="B14" s="258">
        <v>0.94930000000000003</v>
      </c>
      <c r="C14" s="13"/>
      <c r="D14" s="13" t="s">
        <v>4772</v>
      </c>
      <c r="E14" s="13"/>
      <c r="F14" s="13"/>
      <c r="G14" s="13"/>
      <c r="H14" s="13"/>
      <c r="I14" s="13"/>
      <c r="J14" s="13"/>
      <c r="K14" s="255"/>
    </row>
    <row r="15" spans="2:11" x14ac:dyDescent="0.25">
      <c r="B15" s="258">
        <v>0.02</v>
      </c>
      <c r="C15" s="13"/>
      <c r="D15" s="13" t="s">
        <v>4726</v>
      </c>
      <c r="E15" s="13"/>
      <c r="F15" s="13"/>
      <c r="G15" s="13"/>
      <c r="H15" s="13"/>
      <c r="I15" s="13"/>
      <c r="J15" s="13"/>
      <c r="K15" s="255"/>
    </row>
    <row r="16" spans="2:11" x14ac:dyDescent="0.25">
      <c r="B16" s="258">
        <v>6.4000000000000003E-3</v>
      </c>
      <c r="C16" s="13"/>
      <c r="D16" s="13" t="s">
        <v>4701</v>
      </c>
      <c r="E16" s="13"/>
      <c r="F16" s="13"/>
      <c r="G16" s="13"/>
      <c r="H16" s="13"/>
      <c r="I16" s="13"/>
      <c r="J16" s="13"/>
      <c r="K16" s="255"/>
    </row>
    <row r="17" spans="2:11" x14ac:dyDescent="0.25">
      <c r="B17" s="258">
        <v>3.8999999999999998E-3</v>
      </c>
      <c r="C17" s="13"/>
      <c r="D17" s="13" t="s">
        <v>4756</v>
      </c>
      <c r="E17" s="13"/>
      <c r="F17" s="13"/>
      <c r="G17" s="13"/>
      <c r="H17" s="13"/>
      <c r="I17" s="13"/>
      <c r="J17" s="13"/>
      <c r="K17" s="255"/>
    </row>
    <row r="18" spans="2:11" x14ac:dyDescent="0.25">
      <c r="B18" s="258">
        <v>2.5999999999999999E-3</v>
      </c>
      <c r="C18" s="13"/>
      <c r="D18" s="13" t="s">
        <v>4755</v>
      </c>
      <c r="E18" s="13"/>
      <c r="F18" s="13"/>
      <c r="G18" s="13"/>
      <c r="H18" s="13"/>
      <c r="I18" s="13"/>
      <c r="J18" s="13"/>
      <c r="K18" s="255"/>
    </row>
    <row r="19" spans="2:11" x14ac:dyDescent="0.25">
      <c r="B19" s="258">
        <v>2.5000000000000001E-3</v>
      </c>
      <c r="C19" s="13"/>
      <c r="D19" s="13" t="s">
        <v>4758</v>
      </c>
      <c r="E19" s="13"/>
      <c r="F19" s="13"/>
      <c r="G19" s="13"/>
      <c r="H19" s="13"/>
      <c r="I19" s="13"/>
      <c r="J19" s="13"/>
      <c r="K19" s="255"/>
    </row>
    <row r="20" spans="2:11" x14ac:dyDescent="0.25">
      <c r="B20" s="258">
        <v>1.2999999999999999E-3</v>
      </c>
      <c r="C20" s="13"/>
      <c r="D20" s="13" t="s">
        <v>6431</v>
      </c>
      <c r="E20" s="13"/>
      <c r="F20" s="13"/>
      <c r="G20" s="13"/>
      <c r="H20" s="13"/>
      <c r="I20" s="13"/>
      <c r="J20" s="13"/>
      <c r="K20" s="255"/>
    </row>
    <row r="21" spans="2:11" x14ac:dyDescent="0.25">
      <c r="B21" s="258">
        <v>4.0000000000000002E-4</v>
      </c>
      <c r="C21" s="13"/>
      <c r="D21" s="13" t="s">
        <v>5951</v>
      </c>
      <c r="E21" s="13"/>
      <c r="F21" s="13"/>
      <c r="G21" s="13"/>
      <c r="H21" s="13"/>
      <c r="I21" s="13"/>
      <c r="J21" s="13"/>
      <c r="K21" s="255"/>
    </row>
    <row r="22" spans="2:11" x14ac:dyDescent="0.25">
      <c r="B22" s="258"/>
      <c r="C22" s="13"/>
      <c r="D22" s="13"/>
      <c r="E22" s="13"/>
      <c r="F22" s="13"/>
      <c r="G22" s="13"/>
      <c r="H22" s="13"/>
      <c r="I22" s="13"/>
      <c r="J22" s="13"/>
      <c r="K22" s="255"/>
    </row>
    <row r="23" spans="2:11" x14ac:dyDescent="0.25">
      <c r="B23" s="254"/>
      <c r="C23" s="13"/>
      <c r="D23" s="13"/>
      <c r="E23" s="13"/>
      <c r="F23" s="13"/>
      <c r="G23" s="13"/>
      <c r="H23" s="13"/>
      <c r="I23" s="13"/>
      <c r="J23" s="13"/>
      <c r="K23" s="255"/>
    </row>
    <row r="24" spans="2:11" x14ac:dyDescent="0.25">
      <c r="B24" s="258">
        <v>0.63500000000000001</v>
      </c>
      <c r="C24" s="13"/>
      <c r="D24" s="13"/>
      <c r="E24" s="13" t="s">
        <v>4781</v>
      </c>
      <c r="F24" s="13"/>
      <c r="G24" s="13"/>
      <c r="H24" s="13"/>
      <c r="I24" s="13"/>
      <c r="J24" s="13"/>
      <c r="K24" s="255"/>
    </row>
    <row r="25" spans="2:11" x14ac:dyDescent="0.25">
      <c r="B25" s="258">
        <v>0.10100000000000001</v>
      </c>
      <c r="C25" s="13"/>
      <c r="D25" s="13"/>
      <c r="E25" s="13" t="s">
        <v>5953</v>
      </c>
      <c r="F25" s="13"/>
      <c r="G25" s="13"/>
      <c r="H25" s="13"/>
      <c r="I25" s="13"/>
      <c r="J25" s="13"/>
      <c r="K25" s="255"/>
    </row>
    <row r="26" spans="2:11" x14ac:dyDescent="0.25">
      <c r="B26" s="258">
        <v>0.08</v>
      </c>
      <c r="C26" s="13"/>
      <c r="D26" s="13"/>
      <c r="E26" s="13" t="s">
        <v>6433</v>
      </c>
      <c r="F26" s="13"/>
      <c r="G26" s="13"/>
      <c r="H26" s="13"/>
      <c r="I26" s="13"/>
      <c r="J26" s="13"/>
      <c r="K26" s="255"/>
    </row>
    <row r="27" spans="2:11" x14ac:dyDescent="0.25">
      <c r="B27" s="258">
        <v>7.9600000000000004E-2</v>
      </c>
      <c r="C27" s="13"/>
      <c r="D27" s="13"/>
      <c r="E27" s="13" t="s">
        <v>6434</v>
      </c>
      <c r="F27" s="13"/>
      <c r="G27" s="13"/>
      <c r="H27" s="13"/>
      <c r="I27" s="13"/>
      <c r="J27" s="13"/>
      <c r="K27" s="255"/>
    </row>
    <row r="28" spans="2:11" x14ac:dyDescent="0.25">
      <c r="B28" s="258">
        <v>5.28E-2</v>
      </c>
      <c r="C28" s="13"/>
      <c r="D28" s="13"/>
      <c r="E28" s="13" t="s">
        <v>6432</v>
      </c>
      <c r="F28" s="13"/>
      <c r="G28" s="13"/>
      <c r="H28" s="13"/>
      <c r="I28" s="13"/>
      <c r="J28" s="13"/>
      <c r="K28" s="255"/>
    </row>
    <row r="29" spans="2:11" x14ac:dyDescent="0.25">
      <c r="B29" s="258">
        <v>1.11E-2</v>
      </c>
      <c r="C29" s="13"/>
      <c r="D29" s="13"/>
      <c r="E29" s="13" t="s">
        <v>6435</v>
      </c>
      <c r="F29" s="13"/>
      <c r="G29" s="13"/>
      <c r="H29" s="13"/>
      <c r="I29" s="13"/>
      <c r="J29" s="13"/>
      <c r="K29" s="255"/>
    </row>
    <row r="30" spans="2:11" x14ac:dyDescent="0.25">
      <c r="B30" s="258">
        <v>7.4999999999999997E-3</v>
      </c>
      <c r="C30" s="13"/>
      <c r="D30" s="13"/>
      <c r="E30" s="13" t="s">
        <v>6436</v>
      </c>
      <c r="F30" s="13"/>
      <c r="G30" s="13"/>
      <c r="H30" s="13"/>
      <c r="I30" s="13"/>
      <c r="J30" s="13"/>
      <c r="K30" s="255"/>
    </row>
    <row r="31" spans="2:11" x14ac:dyDescent="0.25">
      <c r="B31" s="258">
        <v>2.8E-3</v>
      </c>
      <c r="C31" s="13"/>
      <c r="D31" s="13"/>
      <c r="E31" s="13" t="s">
        <v>6425</v>
      </c>
      <c r="F31" s="13"/>
      <c r="G31" s="13"/>
      <c r="H31" s="13"/>
      <c r="I31" s="13"/>
      <c r="J31" s="13"/>
      <c r="K31" s="255"/>
    </row>
    <row r="32" spans="2:11" x14ac:dyDescent="0.25">
      <c r="B32" s="258">
        <v>2.3999999999999998E-3</v>
      </c>
      <c r="C32" s="13"/>
      <c r="D32" s="13"/>
      <c r="E32" s="13" t="s">
        <v>6437</v>
      </c>
      <c r="F32" s="13"/>
      <c r="G32" s="13"/>
      <c r="H32" s="13"/>
      <c r="I32" s="13"/>
      <c r="J32" s="13"/>
      <c r="K32" s="255"/>
    </row>
    <row r="33" spans="2:11" x14ac:dyDescent="0.25">
      <c r="B33" s="258">
        <v>2.3E-3</v>
      </c>
      <c r="C33" s="13"/>
      <c r="D33" s="13"/>
      <c r="E33" s="13" t="s">
        <v>6424</v>
      </c>
      <c r="F33" s="13"/>
      <c r="G33" s="13"/>
      <c r="H33" s="13"/>
      <c r="I33" s="13"/>
      <c r="J33" s="13"/>
      <c r="K33" s="255"/>
    </row>
    <row r="34" spans="2:11" x14ac:dyDescent="0.25">
      <c r="B34" s="258">
        <v>1.8E-3</v>
      </c>
      <c r="C34" s="13"/>
      <c r="D34" s="13"/>
      <c r="E34" s="13" t="s">
        <v>6438</v>
      </c>
      <c r="F34" s="13"/>
      <c r="G34" s="13"/>
      <c r="H34" s="13"/>
      <c r="I34" s="13"/>
      <c r="J34" s="13"/>
      <c r="K34" s="255"/>
    </row>
    <row r="35" spans="2:11" x14ac:dyDescent="0.25">
      <c r="B35" s="258">
        <v>8.9999999999999998E-4</v>
      </c>
      <c r="C35" s="13"/>
      <c r="D35" s="13"/>
      <c r="E35" s="13" t="s">
        <v>5952</v>
      </c>
      <c r="F35" s="13"/>
      <c r="G35" s="13"/>
      <c r="H35" s="13"/>
      <c r="I35" s="13"/>
      <c r="J35" s="13"/>
      <c r="K35" s="255"/>
    </row>
    <row r="36" spans="2:11" x14ac:dyDescent="0.25">
      <c r="B36" s="258"/>
      <c r="C36" s="13"/>
      <c r="D36" s="13"/>
      <c r="E36" s="13"/>
      <c r="F36" s="13"/>
      <c r="G36" s="13"/>
      <c r="H36" s="13"/>
      <c r="I36" s="13"/>
      <c r="J36" s="13"/>
      <c r="K36" s="255"/>
    </row>
    <row r="37" spans="2:11" x14ac:dyDescent="0.25">
      <c r="B37" s="258"/>
      <c r="C37" s="13"/>
      <c r="D37" s="13"/>
      <c r="E37" s="13"/>
      <c r="F37" s="13"/>
      <c r="G37" s="13"/>
      <c r="H37" s="13"/>
      <c r="I37" s="13"/>
      <c r="J37" s="13"/>
      <c r="K37" s="255"/>
    </row>
    <row r="38" spans="2:11" x14ac:dyDescent="0.25">
      <c r="B38" s="258"/>
      <c r="C38" s="13"/>
      <c r="D38" s="13"/>
      <c r="E38" s="13"/>
      <c r="F38" s="13"/>
      <c r="G38" s="13"/>
      <c r="H38" s="13"/>
      <c r="I38" s="13"/>
      <c r="J38" s="13"/>
      <c r="K38" s="255"/>
    </row>
    <row r="39" spans="2:11" x14ac:dyDescent="0.25">
      <c r="B39" s="258">
        <v>0.1246</v>
      </c>
      <c r="C39" s="13"/>
      <c r="D39" s="13"/>
      <c r="E39" s="13"/>
      <c r="F39" s="13" t="s">
        <v>4785</v>
      </c>
      <c r="G39" s="13"/>
      <c r="H39" s="13"/>
      <c r="I39" s="13"/>
      <c r="J39" s="13"/>
      <c r="K39" s="255"/>
    </row>
    <row r="40" spans="2:11" x14ac:dyDescent="0.25">
      <c r="B40" s="258">
        <v>0.1241</v>
      </c>
      <c r="C40" s="13"/>
      <c r="D40" s="13"/>
      <c r="E40" s="13"/>
      <c r="F40" s="13" t="s">
        <v>5962</v>
      </c>
      <c r="G40" s="13"/>
      <c r="H40" s="13"/>
      <c r="I40" s="13"/>
      <c r="J40" s="13"/>
      <c r="K40" s="255"/>
    </row>
    <row r="41" spans="2:11" x14ac:dyDescent="0.25">
      <c r="B41" s="258">
        <v>0.1216</v>
      </c>
      <c r="C41" s="13"/>
      <c r="D41" s="13"/>
      <c r="E41" s="13"/>
      <c r="F41" s="13" t="s">
        <v>4786</v>
      </c>
      <c r="G41" s="13"/>
      <c r="H41" s="13"/>
      <c r="I41" s="13"/>
      <c r="J41" s="13"/>
      <c r="K41" s="255"/>
    </row>
    <row r="42" spans="2:11" x14ac:dyDescent="0.25">
      <c r="B42" s="258">
        <v>0.1181</v>
      </c>
      <c r="C42" s="13"/>
      <c r="D42" s="13"/>
      <c r="E42" s="13"/>
      <c r="F42" s="13" t="s">
        <v>4729</v>
      </c>
      <c r="G42" s="13"/>
      <c r="H42" s="13"/>
      <c r="I42" s="13"/>
      <c r="J42" s="13"/>
      <c r="K42" s="255"/>
    </row>
    <row r="43" spans="2:11" x14ac:dyDescent="0.25">
      <c r="B43" s="258">
        <v>9.7500000000000003E-2</v>
      </c>
      <c r="C43" s="13"/>
      <c r="D43" s="13"/>
      <c r="E43" s="13"/>
      <c r="F43" s="13" t="s">
        <v>5954</v>
      </c>
      <c r="G43" s="13"/>
      <c r="H43" s="13"/>
      <c r="I43" s="13"/>
      <c r="J43" s="13"/>
      <c r="K43" s="255"/>
    </row>
    <row r="44" spans="2:11" x14ac:dyDescent="0.25">
      <c r="B44" s="258">
        <v>7.8399999999999997E-2</v>
      </c>
      <c r="C44" s="13"/>
      <c r="D44" s="13"/>
      <c r="E44" s="13"/>
      <c r="F44" s="13" t="s">
        <v>4700</v>
      </c>
      <c r="G44" s="13"/>
      <c r="H44" s="13"/>
      <c r="I44" s="13"/>
      <c r="J44" s="13"/>
      <c r="K44" s="255"/>
    </row>
    <row r="45" spans="2:11" x14ac:dyDescent="0.25">
      <c r="B45" s="258">
        <v>7.8200000000000006E-2</v>
      </c>
      <c r="C45" s="13"/>
      <c r="D45" s="13"/>
      <c r="E45" s="13"/>
      <c r="F45" s="13" t="s">
        <v>5963</v>
      </c>
      <c r="G45" s="13"/>
      <c r="H45" s="13"/>
      <c r="I45" s="13"/>
      <c r="J45" s="13"/>
      <c r="K45" s="255"/>
    </row>
    <row r="46" spans="2:11" x14ac:dyDescent="0.25">
      <c r="B46" s="258">
        <v>7.8200000000000006E-2</v>
      </c>
      <c r="C46" s="13"/>
      <c r="D46" s="13"/>
      <c r="E46" s="13"/>
      <c r="F46" s="13" t="s">
        <v>5963</v>
      </c>
      <c r="G46" s="13"/>
      <c r="H46" s="13"/>
      <c r="I46" s="13"/>
      <c r="J46" s="13"/>
      <c r="K46" s="255"/>
    </row>
    <row r="47" spans="2:11" x14ac:dyDescent="0.25">
      <c r="B47" s="258">
        <v>5.16E-2</v>
      </c>
      <c r="C47" s="13"/>
      <c r="D47" s="13"/>
      <c r="E47" s="13"/>
      <c r="F47" s="13" t="s">
        <v>6439</v>
      </c>
      <c r="G47" s="13"/>
      <c r="H47" s="13"/>
      <c r="I47" s="13"/>
      <c r="J47" s="13"/>
      <c r="K47" s="255"/>
    </row>
    <row r="48" spans="2:11" x14ac:dyDescent="0.25">
      <c r="B48" s="258">
        <v>1.9699999999999999E-2</v>
      </c>
      <c r="C48" s="13"/>
      <c r="D48" s="13"/>
      <c r="E48" s="13"/>
      <c r="F48" s="13" t="s">
        <v>6440</v>
      </c>
      <c r="G48" s="13"/>
      <c r="H48" s="13"/>
      <c r="I48" s="13"/>
      <c r="J48" s="13"/>
      <c r="K48" s="255"/>
    </row>
    <row r="49" spans="2:11" x14ac:dyDescent="0.25">
      <c r="B49" s="258">
        <v>1.2999999999999999E-2</v>
      </c>
      <c r="C49" s="13"/>
      <c r="D49" s="13"/>
      <c r="E49" s="13"/>
      <c r="F49" s="13" t="s">
        <v>4699</v>
      </c>
      <c r="G49" s="13"/>
      <c r="H49" s="13"/>
      <c r="I49" s="13"/>
      <c r="J49" s="13"/>
      <c r="K49" s="255"/>
    </row>
    <row r="50" spans="2:11" x14ac:dyDescent="0.25">
      <c r="B50" s="258">
        <v>1.04E-2</v>
      </c>
      <c r="C50" s="13"/>
      <c r="D50" s="13"/>
      <c r="E50" s="13"/>
      <c r="F50" s="13" t="s">
        <v>6441</v>
      </c>
      <c r="G50" s="13"/>
      <c r="H50" s="13"/>
      <c r="I50" s="13"/>
      <c r="J50" s="13"/>
      <c r="K50" s="255"/>
    </row>
    <row r="51" spans="2:11" x14ac:dyDescent="0.25">
      <c r="B51" s="254"/>
      <c r="C51" s="13"/>
      <c r="D51" s="13"/>
      <c r="E51" s="13"/>
      <c r="F51" s="13"/>
      <c r="G51" s="13"/>
      <c r="H51" s="13"/>
      <c r="I51" s="13"/>
      <c r="J51" s="13"/>
      <c r="K51" s="255"/>
    </row>
    <row r="52" spans="2:11" x14ac:dyDescent="0.25">
      <c r="B52" s="254"/>
      <c r="C52" s="13"/>
      <c r="D52" s="13"/>
      <c r="E52" s="13"/>
      <c r="F52" s="13"/>
      <c r="G52" s="13"/>
      <c r="H52" s="13"/>
      <c r="I52" s="13"/>
      <c r="J52" s="13"/>
      <c r="K52" s="255"/>
    </row>
    <row r="53" spans="2:11" x14ac:dyDescent="0.25">
      <c r="B53" s="258">
        <v>0.1231</v>
      </c>
      <c r="C53" s="13"/>
      <c r="D53" s="13"/>
      <c r="E53" s="13"/>
      <c r="F53" s="13"/>
      <c r="G53" s="13" t="s">
        <v>4717</v>
      </c>
      <c r="H53" s="13"/>
      <c r="I53" s="13"/>
      <c r="J53" s="13"/>
      <c r="K53" s="255"/>
    </row>
    <row r="54" spans="2:11" x14ac:dyDescent="0.25">
      <c r="B54" s="258">
        <v>0.1177</v>
      </c>
      <c r="C54" s="13"/>
      <c r="D54" s="13"/>
      <c r="E54" s="13"/>
      <c r="F54" s="13"/>
      <c r="G54" s="13" t="s">
        <v>4719</v>
      </c>
      <c r="H54" s="13"/>
      <c r="I54" s="13"/>
      <c r="J54" s="13"/>
      <c r="K54" s="255"/>
    </row>
    <row r="55" spans="2:11" x14ac:dyDescent="0.25">
      <c r="B55" s="258">
        <v>8.5000000000000006E-2</v>
      </c>
      <c r="C55" s="13"/>
      <c r="D55" s="13"/>
      <c r="E55" s="13"/>
      <c r="F55" s="13"/>
      <c r="G55" s="13" t="s">
        <v>5959</v>
      </c>
      <c r="H55" s="13"/>
      <c r="I55" s="13"/>
      <c r="J55" s="13"/>
      <c r="K55" s="255"/>
    </row>
    <row r="56" spans="2:11" x14ac:dyDescent="0.25">
      <c r="B56" s="258">
        <v>7.5800000000000006E-2</v>
      </c>
      <c r="C56" s="13"/>
      <c r="D56" s="13"/>
      <c r="E56" s="13"/>
      <c r="F56" s="13"/>
      <c r="G56" s="13" t="s">
        <v>5964</v>
      </c>
      <c r="H56" s="13"/>
      <c r="I56" s="13"/>
      <c r="J56" s="13"/>
      <c r="K56" s="255"/>
    </row>
    <row r="57" spans="2:11" x14ac:dyDescent="0.25">
      <c r="B57" s="258">
        <v>7.5800000000000006E-2</v>
      </c>
      <c r="C57" s="13"/>
      <c r="D57" s="13"/>
      <c r="E57" s="13"/>
      <c r="F57" s="13"/>
      <c r="G57" s="13" t="s">
        <v>5964</v>
      </c>
      <c r="H57" s="13"/>
      <c r="I57" s="13"/>
      <c r="J57" s="13"/>
      <c r="K57" s="255"/>
    </row>
    <row r="58" spans="2:11" x14ac:dyDescent="0.25">
      <c r="B58" s="258">
        <v>6.9099999999999995E-2</v>
      </c>
      <c r="C58" s="13"/>
      <c r="D58" s="13"/>
      <c r="E58" s="13"/>
      <c r="F58" s="13"/>
      <c r="G58" s="13" t="s">
        <v>5965</v>
      </c>
      <c r="H58" s="13"/>
      <c r="I58" s="13"/>
      <c r="J58" s="13"/>
      <c r="K58" s="255"/>
    </row>
    <row r="59" spans="2:11" x14ac:dyDescent="0.25">
      <c r="B59" s="258">
        <v>5.2400000000000002E-2</v>
      </c>
      <c r="C59" s="13"/>
      <c r="D59" s="13"/>
      <c r="E59" s="13"/>
      <c r="F59" s="13"/>
      <c r="G59" s="13" t="s">
        <v>6442</v>
      </c>
      <c r="H59" s="13"/>
      <c r="I59" s="13"/>
      <c r="J59" s="13"/>
      <c r="K59" s="255"/>
    </row>
    <row r="60" spans="2:11" x14ac:dyDescent="0.25">
      <c r="B60" s="258">
        <v>5.16E-2</v>
      </c>
      <c r="C60" s="13"/>
      <c r="D60" s="13"/>
      <c r="E60" s="13"/>
      <c r="F60" s="13"/>
      <c r="G60" s="13" t="s">
        <v>6443</v>
      </c>
      <c r="H60" s="13"/>
      <c r="I60" s="13"/>
      <c r="J60" s="13"/>
      <c r="K60" s="255"/>
    </row>
    <row r="61" spans="2:11" x14ac:dyDescent="0.25">
      <c r="B61" s="258">
        <v>4.1099999999999998E-2</v>
      </c>
      <c r="C61" s="13"/>
      <c r="D61" s="13"/>
      <c r="E61" s="13"/>
      <c r="F61" s="13"/>
      <c r="G61" s="13" t="s">
        <v>5955</v>
      </c>
      <c r="H61" s="13"/>
      <c r="I61" s="13"/>
      <c r="J61" s="13"/>
      <c r="K61" s="255"/>
    </row>
    <row r="62" spans="2:11" x14ac:dyDescent="0.25">
      <c r="B62" s="258">
        <v>3.5299999999999998E-2</v>
      </c>
      <c r="C62" s="13"/>
      <c r="D62" s="13"/>
      <c r="E62" s="13"/>
      <c r="F62" s="13"/>
      <c r="G62" s="13" t="s">
        <v>6444</v>
      </c>
      <c r="H62" s="13"/>
      <c r="I62" s="13"/>
      <c r="J62" s="13"/>
      <c r="K62" s="255"/>
    </row>
    <row r="63" spans="2:11" x14ac:dyDescent="0.25">
      <c r="B63" s="258">
        <v>3.2399999999999998E-2</v>
      </c>
      <c r="C63" s="13"/>
      <c r="D63" s="13"/>
      <c r="E63" s="13"/>
      <c r="F63" s="13"/>
      <c r="G63" s="13" t="s">
        <v>5956</v>
      </c>
      <c r="H63" s="13"/>
      <c r="I63" s="13"/>
      <c r="J63" s="13"/>
      <c r="K63" s="255"/>
    </row>
    <row r="64" spans="2:11" x14ac:dyDescent="0.25">
      <c r="B64" s="258">
        <v>3.0300000000000001E-2</v>
      </c>
      <c r="C64" s="13"/>
      <c r="D64" s="13"/>
      <c r="E64" s="13"/>
      <c r="F64" s="13"/>
      <c r="G64" s="13" t="s">
        <v>6426</v>
      </c>
      <c r="H64" s="13"/>
      <c r="I64" s="13"/>
      <c r="J64" s="13"/>
      <c r="K64" s="255"/>
    </row>
    <row r="65" spans="2:11" x14ac:dyDescent="0.25">
      <c r="B65" s="258">
        <v>2.2100000000000002E-2</v>
      </c>
      <c r="C65" s="13"/>
      <c r="D65" s="13"/>
      <c r="E65" s="13"/>
      <c r="F65" s="13"/>
      <c r="G65" s="13" t="s">
        <v>5957</v>
      </c>
      <c r="H65" s="13"/>
      <c r="I65" s="13"/>
      <c r="J65" s="13"/>
      <c r="K65" s="255"/>
    </row>
    <row r="66" spans="2:11" x14ac:dyDescent="0.25">
      <c r="B66" s="258">
        <v>1.2800000000000001E-2</v>
      </c>
      <c r="C66" s="13"/>
      <c r="D66" s="13"/>
      <c r="E66" s="13"/>
      <c r="F66" s="13"/>
      <c r="G66" s="13" t="s">
        <v>5967</v>
      </c>
      <c r="H66" s="13"/>
      <c r="I66" s="13"/>
      <c r="J66" s="13"/>
      <c r="K66" s="255"/>
    </row>
    <row r="67" spans="2:11" x14ac:dyDescent="0.25">
      <c r="B67" s="258">
        <v>9.2999999999999992E-3</v>
      </c>
      <c r="C67" s="13"/>
      <c r="D67" s="13"/>
      <c r="E67" s="13"/>
      <c r="F67" s="13"/>
      <c r="G67" s="13" t="s">
        <v>5958</v>
      </c>
      <c r="H67" s="13"/>
      <c r="I67" s="13"/>
      <c r="J67" s="13"/>
      <c r="K67" s="255"/>
    </row>
    <row r="68" spans="2:11" x14ac:dyDescent="0.25">
      <c r="B68" s="258">
        <v>6.8999999999999999E-3</v>
      </c>
      <c r="C68" s="13"/>
      <c r="D68" s="13"/>
      <c r="E68" s="13"/>
      <c r="F68" s="13"/>
      <c r="G68" s="13" t="s">
        <v>5966</v>
      </c>
      <c r="H68" s="13"/>
      <c r="I68" s="13"/>
      <c r="J68" s="13"/>
      <c r="K68" s="255"/>
    </row>
    <row r="69" spans="2:11" x14ac:dyDescent="0.25">
      <c r="B69" s="258">
        <v>5.0000000000000001E-3</v>
      </c>
      <c r="C69" s="13"/>
      <c r="D69" s="13"/>
      <c r="E69" s="13"/>
      <c r="F69" s="13"/>
      <c r="G69" s="13" t="s">
        <v>6445</v>
      </c>
      <c r="H69" s="13"/>
      <c r="I69" s="13"/>
      <c r="J69" s="13"/>
      <c r="K69" s="255"/>
    </row>
    <row r="70" spans="2:11" x14ac:dyDescent="0.25">
      <c r="B70" s="258">
        <v>4.8999999999999998E-3</v>
      </c>
      <c r="C70" s="13"/>
      <c r="D70" s="13"/>
      <c r="E70" s="13"/>
      <c r="F70" s="13"/>
      <c r="G70" s="13" t="s">
        <v>6446</v>
      </c>
      <c r="H70" s="13"/>
      <c r="I70" s="13"/>
      <c r="J70" s="13"/>
      <c r="K70" s="255"/>
    </row>
    <row r="71" spans="2:11" x14ac:dyDescent="0.25">
      <c r="B71" s="258"/>
      <c r="C71" s="13"/>
      <c r="D71" s="13"/>
      <c r="E71" s="13"/>
      <c r="F71" s="13"/>
      <c r="G71" s="13"/>
      <c r="H71" s="13"/>
      <c r="I71" s="13"/>
      <c r="J71" s="13"/>
      <c r="K71" s="255"/>
    </row>
    <row r="72" spans="2:11" x14ac:dyDescent="0.25">
      <c r="B72" s="258">
        <v>0.12189999999999999</v>
      </c>
      <c r="C72" s="13"/>
      <c r="D72" s="13"/>
      <c r="E72" s="13"/>
      <c r="F72" s="13"/>
      <c r="G72" s="13"/>
      <c r="H72" s="13" t="s">
        <v>6447</v>
      </c>
      <c r="I72" s="13"/>
      <c r="J72" s="13"/>
      <c r="K72" s="255"/>
    </row>
    <row r="73" spans="2:11" x14ac:dyDescent="0.25">
      <c r="B73" s="258">
        <v>0.1157</v>
      </c>
      <c r="C73" s="13"/>
      <c r="D73" s="13"/>
      <c r="E73" s="13"/>
      <c r="F73" s="13"/>
      <c r="G73" s="13"/>
      <c r="H73" s="13" t="s">
        <v>6448</v>
      </c>
      <c r="I73" s="13"/>
      <c r="J73" s="13"/>
      <c r="K73" s="255"/>
    </row>
    <row r="74" spans="2:11" x14ac:dyDescent="0.25">
      <c r="B74" s="258">
        <v>7.4800000000000005E-2</v>
      </c>
      <c r="C74" s="13"/>
      <c r="D74" s="13"/>
      <c r="E74" s="13"/>
      <c r="F74" s="13"/>
      <c r="G74" s="13"/>
      <c r="H74" s="13" t="s">
        <v>6449</v>
      </c>
      <c r="I74" s="13"/>
      <c r="J74" s="13"/>
      <c r="K74" s="255"/>
    </row>
    <row r="75" spans="2:11" x14ac:dyDescent="0.25">
      <c r="B75" s="258">
        <v>7.4800000000000005E-2</v>
      </c>
      <c r="C75" s="13"/>
      <c r="D75" s="13"/>
      <c r="E75" s="13"/>
      <c r="F75" s="13"/>
      <c r="G75" s="13"/>
      <c r="H75" s="13" t="s">
        <v>6449</v>
      </c>
      <c r="I75" s="13"/>
      <c r="J75" s="13"/>
      <c r="K75" s="255"/>
    </row>
    <row r="76" spans="2:11" x14ac:dyDescent="0.25">
      <c r="B76" s="258">
        <v>6.7699999999999996E-2</v>
      </c>
      <c r="C76" s="13"/>
      <c r="D76" s="13"/>
      <c r="E76" s="13"/>
      <c r="F76" s="13"/>
      <c r="G76" s="13"/>
      <c r="H76" s="13" t="s">
        <v>6450</v>
      </c>
      <c r="I76" s="13"/>
      <c r="J76" s="13"/>
      <c r="K76" s="255"/>
    </row>
    <row r="77" spans="2:11" x14ac:dyDescent="0.25">
      <c r="B77" s="258">
        <v>5.9799999999999999E-2</v>
      </c>
      <c r="C77" s="13"/>
      <c r="D77" s="13"/>
      <c r="E77" s="13"/>
      <c r="F77" s="13"/>
      <c r="G77" s="13"/>
      <c r="H77" s="13" t="s">
        <v>6427</v>
      </c>
      <c r="I77" s="13"/>
      <c r="J77" s="13"/>
      <c r="K77" s="255"/>
    </row>
    <row r="78" spans="2:11" x14ac:dyDescent="0.25">
      <c r="B78" s="258">
        <v>5.1299999999999998E-2</v>
      </c>
      <c r="C78" s="13"/>
      <c r="D78" s="13"/>
      <c r="E78" s="13"/>
      <c r="F78" s="13"/>
      <c r="G78" s="13"/>
      <c r="H78" s="13" t="s">
        <v>6443</v>
      </c>
      <c r="I78" s="13"/>
      <c r="J78" s="13"/>
      <c r="K78" s="255"/>
    </row>
    <row r="79" spans="2:11" x14ac:dyDescent="0.25">
      <c r="B79" s="258">
        <v>2.4400000000000002E-2</v>
      </c>
      <c r="C79" s="13"/>
      <c r="D79" s="13"/>
      <c r="E79" s="13"/>
      <c r="F79" s="13"/>
      <c r="G79" s="13"/>
      <c r="H79" s="13" t="s">
        <v>6451</v>
      </c>
      <c r="I79" s="13"/>
      <c r="J79" s="13"/>
      <c r="K79" s="255"/>
    </row>
    <row r="80" spans="2:11" x14ac:dyDescent="0.25">
      <c r="B80" s="258">
        <v>1.89E-2</v>
      </c>
      <c r="C80" s="13"/>
      <c r="D80" s="13"/>
      <c r="E80" s="13"/>
      <c r="F80" s="13"/>
      <c r="G80" s="13"/>
      <c r="H80" s="13" t="s">
        <v>6452</v>
      </c>
      <c r="I80" s="13"/>
      <c r="J80" s="13"/>
      <c r="K80" s="255"/>
    </row>
    <row r="81" spans="2:11" x14ac:dyDescent="0.25">
      <c r="B81" s="258">
        <v>1.6199999999999999E-2</v>
      </c>
      <c r="C81" s="13"/>
      <c r="D81" s="13"/>
      <c r="E81" s="13"/>
      <c r="F81" s="13"/>
      <c r="G81" s="13"/>
      <c r="H81" s="13" t="s">
        <v>6453</v>
      </c>
      <c r="I81" s="13"/>
      <c r="J81" s="13"/>
      <c r="K81" s="255"/>
    </row>
    <row r="82" spans="2:11" x14ac:dyDescent="0.25">
      <c r="B82" s="258">
        <v>1.5699999999999999E-2</v>
      </c>
      <c r="C82" s="13"/>
      <c r="D82" s="13"/>
      <c r="E82" s="13"/>
      <c r="F82" s="13"/>
      <c r="G82" s="13"/>
      <c r="H82" s="13" t="s">
        <v>6454</v>
      </c>
      <c r="I82" s="13"/>
      <c r="J82" s="13"/>
      <c r="K82" s="255"/>
    </row>
    <row r="83" spans="2:11" x14ac:dyDescent="0.25">
      <c r="B83" s="258">
        <v>1.55E-2</v>
      </c>
      <c r="C83" s="13"/>
      <c r="D83" s="13"/>
      <c r="E83" s="13"/>
      <c r="F83" s="13"/>
      <c r="G83" s="13"/>
      <c r="H83" s="13" t="s">
        <v>6455</v>
      </c>
      <c r="I83" s="13"/>
      <c r="J83" s="13"/>
      <c r="K83" s="255"/>
    </row>
    <row r="84" spans="2:11" x14ac:dyDescent="0.25">
      <c r="B84" s="258">
        <v>1.55E-2</v>
      </c>
      <c r="C84" s="13"/>
      <c r="D84" s="13"/>
      <c r="E84" s="13"/>
      <c r="F84" s="13"/>
      <c r="G84" s="13"/>
      <c r="H84" s="13" t="s">
        <v>5960</v>
      </c>
      <c r="I84" s="13"/>
      <c r="J84" s="13"/>
      <c r="K84" s="255"/>
    </row>
    <row r="85" spans="2:11" x14ac:dyDescent="0.25">
      <c r="B85" s="258">
        <v>1.4800000000000001E-2</v>
      </c>
      <c r="C85" s="13"/>
      <c r="D85" s="13"/>
      <c r="E85" s="13"/>
      <c r="F85" s="13"/>
      <c r="G85" s="13"/>
      <c r="H85" s="13" t="s">
        <v>5961</v>
      </c>
      <c r="I85" s="13"/>
      <c r="J85" s="13"/>
      <c r="K85" s="255"/>
    </row>
    <row r="86" spans="2:11" x14ac:dyDescent="0.25">
      <c r="B86" s="258">
        <v>8.0999999999999996E-3</v>
      </c>
      <c r="C86" s="13"/>
      <c r="D86" s="13"/>
      <c r="E86" s="13"/>
      <c r="F86" s="13"/>
      <c r="G86" s="13"/>
      <c r="H86" s="13" t="s">
        <v>6456</v>
      </c>
      <c r="I86" s="13"/>
      <c r="J86" s="13"/>
      <c r="K86" s="255"/>
    </row>
    <row r="87" spans="2:11" x14ac:dyDescent="0.25">
      <c r="B87" s="258">
        <v>6.1000000000000004E-3</v>
      </c>
      <c r="C87" s="13"/>
      <c r="D87" s="13"/>
      <c r="E87" s="13"/>
      <c r="F87" s="13"/>
      <c r="G87" s="13"/>
      <c r="H87" s="13" t="s">
        <v>5966</v>
      </c>
      <c r="I87" s="13"/>
      <c r="J87" s="13"/>
      <c r="K87" s="255"/>
    </row>
    <row r="88" spans="2:11" x14ac:dyDescent="0.25">
      <c r="B88" s="258">
        <v>4.7999999999999996E-3</v>
      </c>
      <c r="C88" s="13"/>
      <c r="D88" s="13"/>
      <c r="E88" s="13"/>
      <c r="F88" s="13"/>
      <c r="G88" s="13"/>
      <c r="H88" s="13" t="s">
        <v>6457</v>
      </c>
      <c r="I88" s="13"/>
      <c r="J88" s="13"/>
      <c r="K88" s="255"/>
    </row>
    <row r="89" spans="2:11" x14ac:dyDescent="0.25">
      <c r="B89" s="254"/>
      <c r="C89" s="13"/>
      <c r="D89" s="13"/>
      <c r="E89" s="13"/>
      <c r="F89" s="13"/>
      <c r="G89" s="13"/>
      <c r="H89" s="13"/>
      <c r="I89" s="13"/>
      <c r="J89" s="13"/>
      <c r="K89" s="255"/>
    </row>
    <row r="90" spans="2:11" x14ac:dyDescent="0.25">
      <c r="B90" s="254"/>
      <c r="C90" s="13"/>
      <c r="D90" s="13"/>
      <c r="E90" s="13"/>
      <c r="F90" s="13"/>
      <c r="G90" s="13"/>
      <c r="H90" s="13"/>
      <c r="I90" s="13"/>
      <c r="J90" s="13"/>
      <c r="K90" s="255"/>
    </row>
    <row r="91" spans="2:11" x14ac:dyDescent="0.25">
      <c r="B91" s="258">
        <v>0.1157</v>
      </c>
      <c r="C91" s="13"/>
      <c r="D91" s="13"/>
      <c r="E91" s="13"/>
      <c r="F91" s="13"/>
      <c r="G91" s="13"/>
      <c r="H91" s="13"/>
      <c r="I91" s="13" t="s">
        <v>6459</v>
      </c>
      <c r="J91" s="13"/>
      <c r="K91" s="255"/>
    </row>
    <row r="92" spans="2:11" x14ac:dyDescent="0.25">
      <c r="B92" s="258">
        <v>9.7000000000000003E-2</v>
      </c>
      <c r="C92" s="13"/>
      <c r="D92" s="13"/>
      <c r="E92" s="13"/>
      <c r="F92" s="13"/>
      <c r="G92" s="13"/>
      <c r="H92" s="13"/>
      <c r="I92" s="13" t="s">
        <v>6460</v>
      </c>
      <c r="J92" s="13"/>
      <c r="K92" s="255"/>
    </row>
    <row r="93" spans="2:11" x14ac:dyDescent="0.25">
      <c r="B93" s="258">
        <v>5.1700000000000003E-2</v>
      </c>
      <c r="C93" s="13"/>
      <c r="D93" s="13"/>
      <c r="E93" s="13"/>
      <c r="F93" s="13"/>
      <c r="G93" s="13"/>
      <c r="H93" s="13"/>
      <c r="I93" s="13" t="s">
        <v>6461</v>
      </c>
      <c r="J93" s="13"/>
      <c r="K93" s="255"/>
    </row>
    <row r="94" spans="2:11" x14ac:dyDescent="0.25">
      <c r="B94" s="258">
        <v>5.0599999999999999E-2</v>
      </c>
      <c r="C94" s="13"/>
      <c r="D94" s="13"/>
      <c r="E94" s="13"/>
      <c r="F94" s="13"/>
      <c r="G94" s="13"/>
      <c r="H94" s="13"/>
      <c r="I94" s="13" t="s">
        <v>6462</v>
      </c>
      <c r="J94" s="13"/>
      <c r="K94" s="255"/>
    </row>
    <row r="95" spans="2:11" x14ac:dyDescent="0.25">
      <c r="B95" s="258">
        <v>4.02E-2</v>
      </c>
      <c r="C95" s="13"/>
      <c r="D95" s="13"/>
      <c r="E95" s="13"/>
      <c r="F95" s="13"/>
      <c r="G95" s="13"/>
      <c r="H95" s="13"/>
      <c r="I95" s="13" t="s">
        <v>6463</v>
      </c>
      <c r="J95" s="13"/>
      <c r="K95" s="255"/>
    </row>
    <row r="96" spans="2:11" x14ac:dyDescent="0.25">
      <c r="B96" s="258">
        <v>4.02E-2</v>
      </c>
      <c r="C96" s="13"/>
      <c r="D96" s="13"/>
      <c r="E96" s="13"/>
      <c r="F96" s="13"/>
      <c r="G96" s="13"/>
      <c r="H96" s="13"/>
      <c r="I96" s="13" t="s">
        <v>6463</v>
      </c>
      <c r="J96" s="13"/>
      <c r="K96" s="255"/>
    </row>
    <row r="97" spans="2:11" x14ac:dyDescent="0.25">
      <c r="B97" s="258">
        <v>2.4400000000000002E-2</v>
      </c>
      <c r="C97" s="13"/>
      <c r="D97" s="13"/>
      <c r="E97" s="13"/>
      <c r="F97" s="13"/>
      <c r="G97" s="13"/>
      <c r="H97" s="13"/>
      <c r="I97" s="13" t="s">
        <v>6464</v>
      </c>
      <c r="J97" s="13"/>
      <c r="K97" s="255"/>
    </row>
    <row r="98" spans="2:11" x14ac:dyDescent="0.25">
      <c r="B98" s="258">
        <v>2.4400000000000002E-2</v>
      </c>
      <c r="C98" s="13"/>
      <c r="D98" s="13"/>
      <c r="E98" s="13"/>
      <c r="F98" s="13"/>
      <c r="G98" s="13"/>
      <c r="H98" s="13"/>
      <c r="I98" s="13" t="s">
        <v>6465</v>
      </c>
      <c r="J98" s="13"/>
      <c r="K98" s="255"/>
    </row>
    <row r="99" spans="2:11" x14ac:dyDescent="0.25">
      <c r="B99" s="258">
        <v>2.2700000000000001E-2</v>
      </c>
      <c r="C99" s="13"/>
      <c r="D99" s="13"/>
      <c r="E99" s="13"/>
      <c r="F99" s="13"/>
      <c r="G99" s="13"/>
      <c r="H99" s="13"/>
      <c r="I99" s="13" t="s">
        <v>6466</v>
      </c>
      <c r="J99" s="13"/>
      <c r="K99" s="255"/>
    </row>
    <row r="100" spans="2:11" x14ac:dyDescent="0.25">
      <c r="B100" s="258">
        <v>1.89E-2</v>
      </c>
      <c r="C100" s="13"/>
      <c r="D100" s="13"/>
      <c r="E100" s="13"/>
      <c r="F100" s="13"/>
      <c r="G100" s="13"/>
      <c r="H100" s="13"/>
      <c r="I100" s="13" t="s">
        <v>6464</v>
      </c>
      <c r="J100" s="13"/>
      <c r="K100" s="255"/>
    </row>
    <row r="101" spans="2:11" x14ac:dyDescent="0.25">
      <c r="B101" s="258">
        <v>1.0500000000000001E-2</v>
      </c>
      <c r="C101" s="13"/>
      <c r="D101" s="13"/>
      <c r="E101" s="13"/>
      <c r="F101" s="13"/>
      <c r="G101" s="13"/>
      <c r="H101" s="13"/>
      <c r="I101" s="13" t="s">
        <v>6467</v>
      </c>
      <c r="J101" s="13"/>
      <c r="K101" s="255"/>
    </row>
    <row r="102" spans="2:11" x14ac:dyDescent="0.25">
      <c r="B102" s="258">
        <v>0.01</v>
      </c>
      <c r="C102" s="13"/>
      <c r="D102" s="13"/>
      <c r="E102" s="13"/>
      <c r="F102" s="13"/>
      <c r="G102" s="13"/>
      <c r="H102" s="13"/>
      <c r="I102" s="13" t="s">
        <v>6468</v>
      </c>
      <c r="J102" s="13"/>
      <c r="K102" s="255"/>
    </row>
    <row r="103" spans="2:11" x14ac:dyDescent="0.25">
      <c r="B103" s="258">
        <v>8.0000000000000002E-3</v>
      </c>
      <c r="C103" s="13"/>
      <c r="D103" s="13"/>
      <c r="E103" s="13"/>
      <c r="F103" s="13"/>
      <c r="G103" s="13"/>
      <c r="H103" s="13"/>
      <c r="I103" s="13" t="s">
        <v>6469</v>
      </c>
      <c r="J103" s="13"/>
      <c r="K103" s="255"/>
    </row>
    <row r="104" spans="2:11" x14ac:dyDescent="0.25">
      <c r="B104" s="258"/>
      <c r="C104" s="13"/>
      <c r="D104" s="13"/>
      <c r="E104" s="13"/>
      <c r="F104" s="13"/>
      <c r="G104" s="13"/>
      <c r="H104" s="13"/>
      <c r="I104" s="13"/>
      <c r="J104" s="13"/>
      <c r="K104" s="255"/>
    </row>
    <row r="105" spans="2:11" x14ac:dyDescent="0.25">
      <c r="B105" s="258"/>
      <c r="C105" s="13"/>
      <c r="D105" s="13"/>
      <c r="E105" s="13"/>
      <c r="F105" s="13"/>
      <c r="G105" s="13"/>
      <c r="H105" s="13"/>
      <c r="I105" s="13"/>
      <c r="J105" s="13"/>
      <c r="K105" s="255"/>
    </row>
    <row r="106" spans="2:11" x14ac:dyDescent="0.25">
      <c r="B106" s="258"/>
      <c r="C106" s="13"/>
      <c r="D106" s="13"/>
      <c r="E106" s="13"/>
      <c r="F106" s="13"/>
      <c r="G106" s="13"/>
      <c r="H106" s="13"/>
      <c r="I106" s="13"/>
      <c r="J106" s="13"/>
      <c r="K106" s="255"/>
    </row>
    <row r="107" spans="2:11" x14ac:dyDescent="0.25">
      <c r="B107" s="258"/>
      <c r="C107" s="13"/>
      <c r="D107" s="13"/>
      <c r="E107" s="13"/>
      <c r="F107" s="13"/>
      <c r="G107" s="13"/>
      <c r="H107" s="13"/>
      <c r="I107" s="13"/>
      <c r="J107" s="13"/>
      <c r="K107" s="255"/>
    </row>
    <row r="108" spans="2:11" x14ac:dyDescent="0.25">
      <c r="B108" s="258"/>
      <c r="C108" s="13"/>
      <c r="D108" s="13"/>
      <c r="E108" s="13"/>
      <c r="F108" s="13"/>
      <c r="G108" s="13"/>
      <c r="H108" s="13"/>
      <c r="I108" s="13"/>
      <c r="J108" s="13"/>
      <c r="K108" s="255"/>
    </row>
    <row r="109" spans="2:11" x14ac:dyDescent="0.25">
      <c r="B109" s="258"/>
      <c r="C109" s="13"/>
      <c r="D109" s="13"/>
      <c r="E109" s="13"/>
      <c r="F109" s="13"/>
      <c r="G109" s="13"/>
      <c r="H109" s="13"/>
      <c r="I109" s="13"/>
      <c r="J109" s="13"/>
      <c r="K109" s="255"/>
    </row>
    <row r="110" spans="2:11" x14ac:dyDescent="0.25">
      <c r="B110" s="258"/>
      <c r="C110" s="13"/>
      <c r="D110" s="13"/>
      <c r="E110" s="13"/>
      <c r="F110" s="13"/>
      <c r="G110" s="13"/>
      <c r="H110" s="13"/>
      <c r="I110" s="13"/>
      <c r="J110" s="13"/>
      <c r="K110" s="255"/>
    </row>
    <row r="111" spans="2:11" x14ac:dyDescent="0.25">
      <c r="B111" s="258"/>
      <c r="C111" s="13"/>
      <c r="D111" s="13"/>
      <c r="E111" s="13"/>
      <c r="F111" s="13"/>
      <c r="G111" s="13"/>
      <c r="H111" s="13"/>
      <c r="I111" s="13"/>
      <c r="J111" s="13"/>
      <c r="K111" s="255"/>
    </row>
    <row r="112" spans="2:11" x14ac:dyDescent="0.25">
      <c r="B112" s="258"/>
      <c r="C112" s="13"/>
      <c r="D112" s="13"/>
      <c r="E112" s="13"/>
      <c r="F112" s="13"/>
      <c r="G112" s="13"/>
      <c r="H112" s="13"/>
      <c r="I112" s="13"/>
      <c r="J112" s="13" t="s">
        <v>6470</v>
      </c>
      <c r="K112" s="255"/>
    </row>
    <row r="113" spans="1:11" x14ac:dyDescent="0.25">
      <c r="B113" s="258">
        <v>0.1137</v>
      </c>
      <c r="C113" s="13"/>
      <c r="D113" s="13"/>
      <c r="E113" s="13"/>
      <c r="F113" s="13"/>
      <c r="G113" s="13"/>
      <c r="H113" s="13"/>
      <c r="I113" s="13"/>
      <c r="J113" s="13" t="s">
        <v>6471</v>
      </c>
      <c r="K113" s="255"/>
    </row>
    <row r="114" spans="1:11" x14ac:dyDescent="0.25">
      <c r="B114" s="258">
        <v>9.6000000000000002E-2</v>
      </c>
      <c r="C114" s="13"/>
      <c r="D114" s="13"/>
      <c r="E114" s="13"/>
      <c r="F114" s="13"/>
      <c r="G114" s="13"/>
      <c r="H114" s="13"/>
      <c r="I114" s="13"/>
      <c r="J114" s="13" t="s">
        <v>6472</v>
      </c>
      <c r="K114" s="255"/>
    </row>
    <row r="115" spans="1:11" x14ac:dyDescent="0.25">
      <c r="B115" s="258">
        <v>4.9700000000000001E-2</v>
      </c>
      <c r="C115" s="13"/>
      <c r="D115" s="13"/>
      <c r="E115" s="13"/>
      <c r="F115" s="13"/>
      <c r="G115" s="13"/>
      <c r="H115" s="13"/>
      <c r="I115" s="13"/>
      <c r="J115" s="13" t="s">
        <v>6473</v>
      </c>
      <c r="K115" s="255"/>
    </row>
    <row r="116" spans="1:11" x14ac:dyDescent="0.25">
      <c r="B116" s="258">
        <v>4.0599999999999997E-2</v>
      </c>
      <c r="C116" s="13"/>
      <c r="D116" s="13"/>
      <c r="E116" s="13"/>
      <c r="F116" s="13"/>
      <c r="G116" s="13"/>
      <c r="H116" s="13"/>
      <c r="I116" s="13"/>
      <c r="J116" s="13" t="s">
        <v>6474</v>
      </c>
      <c r="K116" s="255"/>
    </row>
    <row r="117" spans="1:11" x14ac:dyDescent="0.25">
      <c r="B117" s="258">
        <v>2.0799999999999999E-2</v>
      </c>
      <c r="C117" s="13"/>
      <c r="D117" s="13"/>
      <c r="E117" s="13"/>
      <c r="F117" s="13"/>
      <c r="G117" s="13"/>
      <c r="H117" s="13"/>
      <c r="I117" s="13"/>
      <c r="J117" s="13" t="s">
        <v>6474</v>
      </c>
      <c r="K117" s="255"/>
    </row>
    <row r="118" spans="1:11" x14ac:dyDescent="0.25">
      <c r="B118" s="258">
        <v>1.6299999999999999E-2</v>
      </c>
      <c r="C118" s="13"/>
      <c r="D118" s="13"/>
      <c r="E118" s="13"/>
      <c r="F118" s="13"/>
      <c r="G118" s="13"/>
      <c r="H118" s="13"/>
      <c r="I118" s="13"/>
      <c r="J118" s="13" t="s">
        <v>6475</v>
      </c>
      <c r="K118" s="255"/>
    </row>
    <row r="119" spans="1:11" x14ac:dyDescent="0.25">
      <c r="B119" s="258">
        <v>1.14E-2</v>
      </c>
      <c r="C119" s="13"/>
      <c r="D119" s="13"/>
      <c r="E119" s="13"/>
      <c r="F119" s="13"/>
      <c r="G119" s="13"/>
      <c r="H119" s="13"/>
      <c r="I119" s="13"/>
      <c r="J119" s="13" t="s">
        <v>6476</v>
      </c>
      <c r="K119" s="255"/>
    </row>
    <row r="120" spans="1:11" x14ac:dyDescent="0.25">
      <c r="A120" s="22"/>
      <c r="B120" s="258"/>
      <c r="C120" s="13"/>
      <c r="D120" s="13"/>
      <c r="E120" s="13"/>
      <c r="F120" s="13"/>
      <c r="G120" s="13"/>
      <c r="H120" s="13"/>
      <c r="I120" s="13"/>
      <c r="J120" s="13"/>
      <c r="K120" s="255"/>
    </row>
    <row r="121" spans="1:11" x14ac:dyDescent="0.25">
      <c r="B121" s="258">
        <v>8.9899999999999994E-2</v>
      </c>
      <c r="C121" s="13"/>
      <c r="D121" s="13"/>
      <c r="E121" s="13"/>
      <c r="F121" s="13"/>
      <c r="G121" s="13"/>
      <c r="H121" s="13"/>
      <c r="I121" s="13"/>
      <c r="J121" s="13"/>
      <c r="K121" s="255" t="s">
        <v>6477</v>
      </c>
    </row>
    <row r="122" spans="1:11" x14ac:dyDescent="0.25">
      <c r="B122" s="258">
        <v>8.9099999999999999E-2</v>
      </c>
      <c r="C122" s="13"/>
      <c r="D122" s="13"/>
      <c r="E122" s="13"/>
      <c r="F122" s="13"/>
      <c r="G122" s="13"/>
      <c r="H122" s="13"/>
      <c r="I122" s="13"/>
      <c r="J122" s="13"/>
      <c r="K122" s="255" t="s">
        <v>6449</v>
      </c>
    </row>
    <row r="123" spans="1:11" x14ac:dyDescent="0.25">
      <c r="B123" s="258">
        <v>4.9700000000000001E-2</v>
      </c>
      <c r="C123" s="13"/>
      <c r="D123" s="13"/>
      <c r="E123" s="13"/>
      <c r="F123" s="13"/>
      <c r="G123" s="13"/>
      <c r="H123" s="13"/>
      <c r="I123" s="13"/>
      <c r="J123" s="13"/>
      <c r="K123" s="255" t="s">
        <v>6478</v>
      </c>
    </row>
    <row r="124" spans="1:11" x14ac:dyDescent="0.25">
      <c r="B124" s="258">
        <v>3.4500000000000003E-2</v>
      </c>
      <c r="C124" s="13"/>
      <c r="D124" s="13"/>
      <c r="E124" s="13"/>
      <c r="F124" s="13"/>
      <c r="G124" s="13"/>
      <c r="H124" s="13"/>
      <c r="I124" s="13"/>
      <c r="J124" s="13"/>
      <c r="K124" s="255" t="s">
        <v>6479</v>
      </c>
    </row>
    <row r="125" spans="1:11" x14ac:dyDescent="0.25">
      <c r="B125" s="258">
        <v>2.4199999999999999E-2</v>
      </c>
      <c r="C125" s="13"/>
      <c r="D125" s="13"/>
      <c r="E125" s="13"/>
      <c r="F125" s="13"/>
      <c r="G125" s="13"/>
      <c r="H125" s="13"/>
      <c r="I125" s="13"/>
      <c r="J125" s="13"/>
      <c r="K125" s="255" t="s">
        <v>6480</v>
      </c>
    </row>
    <row r="126" spans="1:11" x14ac:dyDescent="0.25">
      <c r="B126" s="258">
        <v>2.0799999999999999E-2</v>
      </c>
      <c r="C126" s="13"/>
      <c r="D126" s="13"/>
      <c r="E126" s="13"/>
      <c r="F126" s="13"/>
      <c r="G126" s="13"/>
      <c r="H126" s="13"/>
      <c r="I126" s="13"/>
      <c r="J126" s="13"/>
      <c r="K126" s="255" t="s">
        <v>6481</v>
      </c>
    </row>
    <row r="127" spans="1:11" x14ac:dyDescent="0.25">
      <c r="B127" s="258">
        <v>1.6299999999999999E-2</v>
      </c>
      <c r="C127" s="13"/>
      <c r="D127" s="13"/>
      <c r="E127" s="13"/>
      <c r="F127" s="13"/>
      <c r="G127" s="13"/>
      <c r="H127" s="13"/>
      <c r="I127" s="13"/>
      <c r="J127" s="13"/>
      <c r="K127" s="255" t="s">
        <v>6481</v>
      </c>
    </row>
    <row r="128" spans="1:11" x14ac:dyDescent="0.25">
      <c r="B128" s="258">
        <v>8.8000000000000005E-3</v>
      </c>
      <c r="C128" s="13"/>
      <c r="D128" s="13"/>
      <c r="E128" s="13"/>
      <c r="F128" s="13"/>
      <c r="G128" s="13"/>
      <c r="H128" s="13"/>
      <c r="I128" s="13"/>
      <c r="J128" s="13"/>
      <c r="K128" s="255" t="s">
        <v>6482</v>
      </c>
    </row>
    <row r="129" spans="2:11" x14ac:dyDescent="0.25">
      <c r="B129" s="258"/>
      <c r="C129" s="13"/>
      <c r="D129" s="13"/>
      <c r="E129" s="13"/>
      <c r="F129" s="13"/>
      <c r="G129" s="13"/>
      <c r="H129" s="13"/>
      <c r="I129" s="13"/>
      <c r="J129" s="13"/>
      <c r="K129" s="255"/>
    </row>
    <row r="130" spans="2:11" x14ac:dyDescent="0.25">
      <c r="B130" s="258"/>
      <c r="C130" s="13"/>
      <c r="D130" s="13"/>
      <c r="E130" s="13"/>
      <c r="F130" s="13"/>
      <c r="G130" s="13"/>
      <c r="H130" s="13"/>
      <c r="I130" s="13"/>
      <c r="J130" s="13"/>
      <c r="K130" s="255"/>
    </row>
    <row r="131" spans="2:11" ht="15.75" thickBot="1" x14ac:dyDescent="0.3">
      <c r="B131" s="266"/>
      <c r="C131" s="257"/>
      <c r="D131" s="257"/>
      <c r="E131" s="257"/>
      <c r="F131" s="257"/>
      <c r="G131" s="257"/>
      <c r="H131" s="257"/>
      <c r="I131" s="257"/>
      <c r="J131" s="257"/>
      <c r="K131" s="267"/>
    </row>
    <row r="132" spans="2:11" x14ac:dyDescent="0.25">
      <c r="B132" s="156"/>
    </row>
    <row r="133" spans="2:11" x14ac:dyDescent="0.25">
      <c r="B133" s="156"/>
    </row>
    <row r="134" spans="2:11" x14ac:dyDescent="0.25">
      <c r="B134" s="156"/>
    </row>
    <row r="135" spans="2:11" x14ac:dyDescent="0.25">
      <c r="B135" s="156"/>
    </row>
    <row r="136" spans="2:11" x14ac:dyDescent="0.25">
      <c r="B136" s="156"/>
    </row>
    <row r="137" spans="2:11" x14ac:dyDescent="0.25">
      <c r="B137" s="156"/>
    </row>
    <row r="138" spans="2:11" x14ac:dyDescent="0.25">
      <c r="B138" s="156"/>
    </row>
    <row r="139" spans="2:11" x14ac:dyDescent="0.25">
      <c r="B139" s="156"/>
    </row>
    <row r="140" spans="2:11" x14ac:dyDescent="0.25">
      <c r="B140" s="156"/>
    </row>
    <row r="141" spans="2:11" x14ac:dyDescent="0.25">
      <c r="B141" s="156"/>
    </row>
    <row r="142" spans="2:11" x14ac:dyDescent="0.25">
      <c r="B142" s="156"/>
    </row>
    <row r="143" spans="2:11" x14ac:dyDescent="0.25">
      <c r="B143" s="156"/>
    </row>
    <row r="144" spans="2:11" x14ac:dyDescent="0.25">
      <c r="B144" s="15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ED82A-AAED-4302-9023-509356E7D2A9}">
  <sheetPr>
    <pageSetUpPr fitToPage="1"/>
  </sheetPr>
  <dimension ref="A1:L44"/>
  <sheetViews>
    <sheetView tabSelected="1" topLeftCell="A10" zoomScale="112" zoomScaleNormal="112" workbookViewId="0">
      <selection activeCell="G28" sqref="G28"/>
    </sheetView>
  </sheetViews>
  <sheetFormatPr defaultColWidth="8.7109375" defaultRowHeight="15" x14ac:dyDescent="0.25"/>
  <cols>
    <col min="1" max="1" width="27.28515625" style="271" customWidth="1"/>
    <col min="2" max="2" width="21.28515625" style="271" customWidth="1"/>
    <col min="3" max="3" width="15.28515625" style="273" bestFit="1" customWidth="1"/>
    <col min="4" max="5" width="12.7109375" style="273" customWidth="1"/>
    <col min="6" max="6" width="12.28515625" style="273" customWidth="1"/>
    <col min="7" max="7" width="12.5703125" style="272" customWidth="1"/>
    <col min="8" max="10" width="10.7109375" style="272" customWidth="1"/>
    <col min="11" max="11" width="19.28515625" style="272" customWidth="1"/>
    <col min="12" max="12" width="25.5703125" style="272" customWidth="1"/>
    <col min="13" max="13" width="31.7109375" style="271" customWidth="1"/>
    <col min="14" max="48" width="8.7109375" style="271" customWidth="1"/>
    <col min="49" max="16384" width="8.7109375" style="271"/>
  </cols>
  <sheetData>
    <row r="1" spans="1:12" ht="16.5" thickBot="1" x14ac:dyDescent="0.3">
      <c r="A1" s="283" t="s">
        <v>6539</v>
      </c>
      <c r="D1" s="278" t="s">
        <v>6525</v>
      </c>
      <c r="E1" s="302" t="s">
        <v>6524</v>
      </c>
      <c r="F1" s="301" t="s">
        <v>6523</v>
      </c>
    </row>
    <row r="2" spans="1:12" ht="15.75" thickTop="1" x14ac:dyDescent="0.25">
      <c r="A2" s="338" t="s">
        <v>6522</v>
      </c>
      <c r="B2" s="338"/>
      <c r="C2" s="338"/>
      <c r="D2" s="338"/>
      <c r="E2" s="338"/>
      <c r="F2" s="338"/>
      <c r="G2" s="272" t="s">
        <v>6521</v>
      </c>
    </row>
    <row r="3" spans="1:12" x14ac:dyDescent="0.25">
      <c r="A3" s="338"/>
      <c r="B3" s="338"/>
      <c r="C3" s="338"/>
      <c r="D3" s="338"/>
      <c r="E3" s="338"/>
      <c r="F3" s="338"/>
    </row>
    <row r="4" spans="1:12" x14ac:dyDescent="0.25">
      <c r="A4" s="338"/>
      <c r="B4" s="338"/>
      <c r="C4" s="338"/>
      <c r="D4" s="338"/>
      <c r="E4" s="338"/>
      <c r="F4" s="338"/>
    </row>
    <row r="5" spans="1:12" x14ac:dyDescent="0.25">
      <c r="A5" s="338"/>
      <c r="B5" s="338"/>
      <c r="C5" s="338"/>
      <c r="D5" s="338"/>
      <c r="E5" s="338"/>
      <c r="F5" s="338"/>
    </row>
    <row r="6" spans="1:12" x14ac:dyDescent="0.25">
      <c r="A6" s="338"/>
      <c r="B6" s="338"/>
      <c r="C6" s="338"/>
      <c r="D6" s="338"/>
      <c r="E6" s="338"/>
      <c r="F6" s="338"/>
    </row>
    <row r="7" spans="1:12" x14ac:dyDescent="0.25">
      <c r="A7" s="338"/>
      <c r="B7" s="338"/>
      <c r="C7" s="338"/>
      <c r="D7" s="338"/>
      <c r="E7" s="338"/>
      <c r="F7" s="338"/>
    </row>
    <row r="8" spans="1:12" x14ac:dyDescent="0.25">
      <c r="A8" s="338"/>
      <c r="B8" s="338"/>
      <c r="C8" s="338"/>
      <c r="D8" s="338"/>
      <c r="E8" s="338"/>
      <c r="F8" s="338"/>
    </row>
    <row r="9" spans="1:12" ht="16.5" thickBot="1" x14ac:dyDescent="0.3">
      <c r="A9" s="283" t="s">
        <v>6520</v>
      </c>
      <c r="B9" s="282"/>
      <c r="C9" s="281"/>
      <c r="D9" s="281"/>
      <c r="E9" s="281"/>
      <c r="F9" s="281"/>
    </row>
    <row r="10" spans="1:12" ht="16.5" thickTop="1" thickBot="1" x14ac:dyDescent="0.3">
      <c r="A10" s="300"/>
      <c r="B10" s="282"/>
      <c r="C10" s="281"/>
      <c r="D10" s="281"/>
      <c r="E10" s="281"/>
      <c r="F10" s="281"/>
    </row>
    <row r="11" spans="1:12" s="297" customFormat="1" ht="12.6" customHeight="1" x14ac:dyDescent="0.25">
      <c r="A11" s="299" t="s">
        <v>6519</v>
      </c>
      <c r="B11" s="298" t="s">
        <v>6518</v>
      </c>
      <c r="C11" s="298" t="s">
        <v>6509</v>
      </c>
      <c r="D11" s="22"/>
      <c r="E11" s="339" t="s">
        <v>6529</v>
      </c>
      <c r="F11" s="340"/>
      <c r="G11" s="341"/>
      <c r="H11" s="272"/>
      <c r="I11" s="272"/>
      <c r="J11" s="272"/>
    </row>
    <row r="12" spans="1:12" ht="12.6" customHeight="1" x14ac:dyDescent="0.25">
      <c r="A12" s="279" t="s">
        <v>6517</v>
      </c>
      <c r="B12" s="296" t="s">
        <v>6516</v>
      </c>
      <c r="C12" s="287">
        <v>0.05</v>
      </c>
      <c r="D12" s="22"/>
      <c r="E12" s="305" t="s">
        <v>6530</v>
      </c>
      <c r="F12" s="305" t="s">
        <v>6515</v>
      </c>
      <c r="G12" s="305" t="s">
        <v>6514</v>
      </c>
      <c r="K12" s="271"/>
      <c r="L12" s="271"/>
    </row>
    <row r="13" spans="1:12" ht="12.6" customHeight="1" x14ac:dyDescent="0.25">
      <c r="A13" s="279" t="s">
        <v>6515</v>
      </c>
      <c r="B13" s="295" t="s">
        <v>6513</v>
      </c>
      <c r="C13" s="287">
        <v>0.7</v>
      </c>
      <c r="D13" s="22"/>
      <c r="E13" s="342" t="s">
        <v>6534</v>
      </c>
      <c r="F13" s="306" t="s">
        <v>6513</v>
      </c>
      <c r="G13" s="306" t="s">
        <v>6513</v>
      </c>
      <c r="K13" s="271"/>
      <c r="L13" s="271"/>
    </row>
    <row r="14" spans="1:12" ht="12.6" customHeight="1" x14ac:dyDescent="0.25">
      <c r="A14" s="279" t="s">
        <v>6514</v>
      </c>
      <c r="B14" s="295" t="s">
        <v>6513</v>
      </c>
      <c r="C14" s="287">
        <v>0.7</v>
      </c>
      <c r="D14" s="22"/>
      <c r="E14" s="342"/>
      <c r="F14" s="306" t="s">
        <v>6531</v>
      </c>
      <c r="G14" s="306" t="s">
        <v>6531</v>
      </c>
      <c r="K14" s="271"/>
      <c r="L14" s="271"/>
    </row>
    <row r="15" spans="1:12" ht="12.6" customHeight="1" x14ac:dyDescent="0.25">
      <c r="A15" s="279" t="s">
        <v>7</v>
      </c>
      <c r="B15" s="278">
        <v>200</v>
      </c>
      <c r="C15" s="287">
        <v>0</v>
      </c>
      <c r="D15" s="22"/>
      <c r="E15" s="342"/>
      <c r="F15" s="306" t="s">
        <v>6532</v>
      </c>
      <c r="G15" s="306" t="s">
        <v>6532</v>
      </c>
      <c r="K15" s="271"/>
      <c r="L15" s="271"/>
    </row>
    <row r="16" spans="1:12" ht="12.6" customHeight="1" x14ac:dyDescent="0.25">
      <c r="A16" s="279" t="s">
        <v>6512</v>
      </c>
      <c r="B16" s="278">
        <v>200</v>
      </c>
      <c r="C16" s="287">
        <v>0.05</v>
      </c>
      <c r="D16" s="22"/>
      <c r="E16" s="342"/>
      <c r="F16" s="306" t="s">
        <v>6533</v>
      </c>
      <c r="G16" s="306" t="s">
        <v>6533</v>
      </c>
      <c r="K16" s="271"/>
      <c r="L16" s="271"/>
    </row>
    <row r="17" spans="1:12" ht="12.6" customHeight="1" x14ac:dyDescent="0.25">
      <c r="A17" s="294"/>
      <c r="B17" s="281"/>
      <c r="C17" s="22"/>
      <c r="D17" s="292"/>
      <c r="E17" s="305" t="s">
        <v>6530</v>
      </c>
      <c r="F17" s="305" t="s">
        <v>6515</v>
      </c>
      <c r="G17" s="305" t="s">
        <v>6514</v>
      </c>
    </row>
    <row r="18" spans="1:12" ht="12.6" customHeight="1" x14ac:dyDescent="0.25">
      <c r="A18" s="293"/>
      <c r="B18" s="281"/>
      <c r="C18" s="22"/>
      <c r="D18" s="292"/>
      <c r="E18" s="343" t="s">
        <v>6535</v>
      </c>
      <c r="F18" s="343" t="s">
        <v>6531</v>
      </c>
      <c r="G18" s="343" t="s">
        <v>6531</v>
      </c>
    </row>
    <row r="19" spans="1:12" ht="12.6" customHeight="1" x14ac:dyDescent="0.25">
      <c r="A19" s="276" t="s">
        <v>6511</v>
      </c>
      <c r="B19" s="291" t="s">
        <v>6510</v>
      </c>
      <c r="C19" s="291" t="s">
        <v>6509</v>
      </c>
      <c r="D19" s="22"/>
      <c r="E19" s="345"/>
      <c r="F19" s="344"/>
      <c r="G19" s="344"/>
      <c r="K19" s="271"/>
      <c r="L19" s="271"/>
    </row>
    <row r="20" spans="1:12" ht="12.6" customHeight="1" x14ac:dyDescent="0.25">
      <c r="A20" s="279" t="s">
        <v>6508</v>
      </c>
      <c r="B20" s="280" t="s">
        <v>4798</v>
      </c>
      <c r="C20" s="290">
        <v>1</v>
      </c>
      <c r="D20" s="22"/>
      <c r="E20" s="344"/>
      <c r="F20" s="306" t="s">
        <v>6533</v>
      </c>
      <c r="G20" s="332" t="s">
        <v>6533</v>
      </c>
      <c r="K20" s="271"/>
      <c r="L20" s="271"/>
    </row>
    <row r="21" spans="1:12" ht="12.6" customHeight="1" x14ac:dyDescent="0.25">
      <c r="A21" s="279" t="s">
        <v>6507</v>
      </c>
      <c r="B21" s="280" t="s">
        <v>5159</v>
      </c>
      <c r="C21" s="290">
        <v>1</v>
      </c>
      <c r="D21" s="22"/>
      <c r="E21" s="272"/>
      <c r="F21" s="272"/>
      <c r="I21" s="271"/>
      <c r="J21" s="271"/>
      <c r="K21" s="271"/>
      <c r="L21" s="271"/>
    </row>
    <row r="22" spans="1:12" s="272" customFormat="1" ht="12.6" customHeight="1" x14ac:dyDescent="0.25">
      <c r="A22" s="279" t="s">
        <v>6506</v>
      </c>
      <c r="B22" s="280" t="s">
        <v>5159</v>
      </c>
      <c r="C22" s="290">
        <v>1</v>
      </c>
      <c r="D22" s="22"/>
    </row>
    <row r="23" spans="1:12" s="272" customFormat="1" ht="12.6" customHeight="1" x14ac:dyDescent="0.25">
      <c r="A23" s="279" t="s">
        <v>6505</v>
      </c>
      <c r="B23" s="289" t="s">
        <v>4897</v>
      </c>
      <c r="C23" s="287">
        <v>0.05</v>
      </c>
      <c r="D23" s="22"/>
    </row>
    <row r="24" spans="1:12" s="235" customFormat="1" ht="12.6" customHeight="1" x14ac:dyDescent="0.25">
      <c r="A24" s="279" t="s">
        <v>6504</v>
      </c>
      <c r="B24" s="289" t="s">
        <v>4798</v>
      </c>
      <c r="C24" s="287">
        <v>0.1</v>
      </c>
      <c r="D24" s="22"/>
      <c r="E24" s="285"/>
      <c r="F24" s="272"/>
      <c r="G24" s="22"/>
    </row>
    <row r="25" spans="1:12" s="272" customFormat="1" ht="12.6" customHeight="1" x14ac:dyDescent="0.25">
      <c r="A25" s="279" t="s">
        <v>6527</v>
      </c>
      <c r="B25" s="280" t="s">
        <v>4923</v>
      </c>
      <c r="C25" s="287">
        <v>0.15</v>
      </c>
      <c r="D25" s="22"/>
      <c r="E25" s="285"/>
      <c r="F25" s="235"/>
    </row>
    <row r="26" spans="1:12" s="272" customFormat="1" ht="12.6" customHeight="1" x14ac:dyDescent="0.25">
      <c r="A26" s="279" t="s">
        <v>6526</v>
      </c>
      <c r="B26" s="280" t="s">
        <v>5159</v>
      </c>
      <c r="C26" s="287">
        <v>0.1</v>
      </c>
      <c r="D26" s="22"/>
      <c r="E26" s="285"/>
      <c r="F26" s="235"/>
    </row>
    <row r="27" spans="1:12" s="272" customFormat="1" ht="12.6" customHeight="1" x14ac:dyDescent="0.25">
      <c r="A27" s="279" t="s">
        <v>6503</v>
      </c>
      <c r="B27" s="280" t="s">
        <v>5159</v>
      </c>
      <c r="C27" s="287">
        <v>0.5</v>
      </c>
      <c r="D27" s="22"/>
      <c r="E27" s="22"/>
      <c r="F27" s="235"/>
    </row>
    <row r="28" spans="1:12" s="272" customFormat="1" ht="12.6" customHeight="1" x14ac:dyDescent="0.25">
      <c r="A28" s="288" t="s">
        <v>6502</v>
      </c>
      <c r="B28" s="280" t="s">
        <v>5520</v>
      </c>
      <c r="C28" s="287">
        <v>0.25</v>
      </c>
      <c r="D28" s="22"/>
      <c r="E28" s="22"/>
      <c r="F28" s="22"/>
      <c r="G28" s="286"/>
    </row>
    <row r="29" spans="1:12" s="272" customFormat="1" ht="12.6" customHeight="1" x14ac:dyDescent="0.25">
      <c r="A29" s="279" t="s">
        <v>6501</v>
      </c>
      <c r="B29" s="280" t="s">
        <v>5600</v>
      </c>
      <c r="C29" s="287">
        <v>0.25</v>
      </c>
      <c r="D29" s="22"/>
      <c r="E29" s="22"/>
      <c r="F29" s="22"/>
      <c r="G29" s="286"/>
    </row>
    <row r="30" spans="1:12" s="272" customFormat="1" ht="12.6" customHeight="1" x14ac:dyDescent="0.25">
      <c r="A30" s="279"/>
      <c r="C30" s="22"/>
      <c r="D30" s="22"/>
      <c r="E30" s="22"/>
      <c r="F30" s="22"/>
    </row>
    <row r="31" spans="1:12" s="22" customFormat="1" ht="12.6" customHeight="1" x14ac:dyDescent="0.25">
      <c r="A31" s="276" t="s">
        <v>6557</v>
      </c>
      <c r="B31" s="291" t="s">
        <v>129</v>
      </c>
      <c r="E31" s="273"/>
    </row>
    <row r="32" spans="1:12" s="22" customFormat="1" ht="12.6" customHeight="1" x14ac:dyDescent="0.25">
      <c r="A32" s="334" t="s">
        <v>6500</v>
      </c>
      <c r="B32" s="284">
        <v>85</v>
      </c>
      <c r="E32" s="281"/>
      <c r="F32" s="273"/>
    </row>
    <row r="33" spans="1:6" s="22" customFormat="1" ht="12.6" customHeight="1" x14ac:dyDescent="0.25">
      <c r="A33" s="334" t="s">
        <v>6558</v>
      </c>
      <c r="B33" s="284" t="s">
        <v>6559</v>
      </c>
      <c r="E33" s="271"/>
      <c r="F33" s="281"/>
    </row>
    <row r="34" spans="1:6" s="22" customFormat="1" ht="12.6" customHeight="1" x14ac:dyDescent="0.25">
      <c r="A34" s="334" t="s">
        <v>6570</v>
      </c>
      <c r="B34" s="284" t="s">
        <v>40</v>
      </c>
      <c r="E34" s="271"/>
      <c r="F34" s="271"/>
    </row>
    <row r="35" spans="1:6" ht="12.6" customHeight="1" x14ac:dyDescent="0.25">
      <c r="A35" s="22"/>
      <c r="E35" s="271"/>
      <c r="F35" s="271"/>
    </row>
    <row r="36" spans="1:6" ht="12.6" customHeight="1" thickBot="1" x14ac:dyDescent="0.3">
      <c r="A36" s="283" t="s">
        <v>6499</v>
      </c>
      <c r="B36" s="282"/>
      <c r="C36" s="281"/>
      <c r="E36" s="271"/>
      <c r="F36" s="271"/>
    </row>
    <row r="37" spans="1:6" ht="12.6" customHeight="1" thickTop="1" x14ac:dyDescent="0.25">
      <c r="A37" s="276" t="s">
        <v>6498</v>
      </c>
      <c r="B37" s="275" t="s">
        <v>5932</v>
      </c>
      <c r="C37" s="276" t="s">
        <v>5428</v>
      </c>
      <c r="D37" s="276" t="s">
        <v>6497</v>
      </c>
      <c r="E37" s="272"/>
      <c r="F37" s="271"/>
    </row>
    <row r="38" spans="1:6" s="272" customFormat="1" ht="12.6" customHeight="1" x14ac:dyDescent="0.25">
      <c r="A38" s="279" t="s">
        <v>5</v>
      </c>
      <c r="B38" s="280">
        <v>1.1999999999999993</v>
      </c>
      <c r="C38" s="277">
        <f ca="1">vdd_total</f>
        <v>1158.1700145369787</v>
      </c>
      <c r="D38" s="277">
        <f ca="1">C38/B38</f>
        <v>965.14167878081616</v>
      </c>
    </row>
    <row r="39" spans="1:6" s="272" customFormat="1" ht="12.6" customHeight="1" x14ac:dyDescent="0.25">
      <c r="A39" s="279" t="s">
        <v>6496</v>
      </c>
      <c r="B39" s="280">
        <v>1.1999999999999993</v>
      </c>
      <c r="C39" s="277">
        <f>vddar_total</f>
        <v>117.95312571776861</v>
      </c>
      <c r="D39" s="277">
        <f>C39/B39</f>
        <v>98.294271431473902</v>
      </c>
    </row>
    <row r="40" spans="1:6" s="272" customFormat="1" ht="12.6" customHeight="1" x14ac:dyDescent="0.25">
      <c r="A40" s="279" t="s">
        <v>5873</v>
      </c>
      <c r="B40" s="280">
        <v>3.3</v>
      </c>
      <c r="C40" s="277">
        <f ca="1">vdda_total</f>
        <v>51.931417664864227</v>
      </c>
      <c r="D40" s="277">
        <f ca="1">C40/B40</f>
        <v>15.736793231777039</v>
      </c>
      <c r="E40" s="273"/>
    </row>
    <row r="41" spans="1:6" s="272" customFormat="1" ht="12.6" customHeight="1" x14ac:dyDescent="0.25">
      <c r="A41" s="279" t="s">
        <v>5944</v>
      </c>
      <c r="B41" s="278">
        <v>1.8</v>
      </c>
      <c r="C41" s="277">
        <f ca="1">vddio18_total</f>
        <v>0.77321072071498231</v>
      </c>
      <c r="D41" s="277">
        <f ca="1">C41/B41</f>
        <v>0.4295615115083235</v>
      </c>
      <c r="E41" s="273"/>
      <c r="F41" s="273"/>
    </row>
    <row r="42" spans="1:6" s="272" customFormat="1" ht="12.6" customHeight="1" x14ac:dyDescent="0.25">
      <c r="A42" s="279" t="s">
        <v>5945</v>
      </c>
      <c r="B42" s="278">
        <v>3.3</v>
      </c>
      <c r="C42" s="277">
        <f ca="1">vddio33_total+(IF(sip_mode="SIP",IF(Temperature_Tj=25,IF(Input!B34="RWW",PWRCALC!C5347,PWRCALC!D5347),IF(Input!B34="RWW",PWRCALC!C5348,PWRCALC!D5348)),0))</f>
        <v>60.480510463026405</v>
      </c>
      <c r="D42" s="277">
        <f ca="1">C42/B42</f>
        <v>18.327427413038304</v>
      </c>
      <c r="E42" s="273"/>
      <c r="F42" s="273"/>
    </row>
    <row r="43" spans="1:6" s="272" customFormat="1" ht="12.6" customHeight="1" x14ac:dyDescent="0.25">
      <c r="A43" s="276" t="s">
        <v>6495</v>
      </c>
      <c r="B43" s="275"/>
      <c r="C43" s="274">
        <f ca="1">SUM(C38:C42)</f>
        <v>1389.308279103353</v>
      </c>
      <c r="D43" s="274">
        <f ca="1">SUM(D38:D42)</f>
        <v>1097.9297323686137</v>
      </c>
      <c r="E43" s="273"/>
      <c r="F43" s="273"/>
    </row>
    <row r="44" spans="1:6" s="272" customFormat="1" ht="12.6" customHeight="1" x14ac:dyDescent="0.25">
      <c r="B44" s="271"/>
      <c r="C44" s="273"/>
      <c r="D44" s="273"/>
      <c r="E44" s="273"/>
      <c r="F44" s="273"/>
    </row>
  </sheetData>
  <mergeCells count="6">
    <mergeCell ref="A2:F8"/>
    <mergeCell ref="E11:G11"/>
    <mergeCell ref="E13:E16"/>
    <mergeCell ref="F18:F19"/>
    <mergeCell ref="G18:G19"/>
    <mergeCell ref="E18:E20"/>
  </mergeCells>
  <dataValidations count="13">
    <dataValidation type="list" allowBlank="1" showInputMessage="1" showErrorMessage="1" sqref="B29" xr:uid="{AAA0AB40-6D5B-4CC2-9D4D-5D3FD0359B8A}">
      <formula1>spi_modes</formula1>
    </dataValidation>
    <dataValidation type="list" allowBlank="1" showInputMessage="1" showErrorMessage="1" sqref="B14" xr:uid="{DBEB4F96-4EA7-4F9D-9185-0C98046FDD35}">
      <formula1>"0,400 Lockstep, 400 Dual, 200 Lockstep, 200 Dual"</formula1>
    </dataValidation>
    <dataValidation type="list" allowBlank="1" showInputMessage="1" showErrorMessage="1" sqref="B27 B20:B22" xr:uid="{EF2698F7-8780-47B4-A6B6-DC3398FA2504}">
      <formula1>epwm_modes</formula1>
    </dataValidation>
    <dataValidation type="list" allowBlank="1" showInputMessage="1" showErrorMessage="1" sqref="B25" xr:uid="{8996257E-26C3-4639-B8EB-A38EC3FB946F}">
      <formula1>ospi_modes</formula1>
    </dataValidation>
    <dataValidation type="list" allowBlank="1" showInputMessage="1" showErrorMessage="1" sqref="B28" xr:uid="{6B02330B-4548-4CB4-970A-AB5B2EF6DCF7}">
      <formula1>canfd_modes</formula1>
    </dataValidation>
    <dataValidation type="list" allowBlank="1" showInputMessage="1" showErrorMessage="1" sqref="B23:B24" xr:uid="{198EEF14-A291-4784-AB77-520012654EAE}">
      <formula1>ethernet_modes</formula1>
    </dataValidation>
    <dataValidation type="list" allowBlank="1" showInputMessage="1" showErrorMessage="1" sqref="B12" xr:uid="{C94C55D6-5378-494A-94F3-F66636EC13A2}">
      <formula1>"Secure Boot, Runtime Services"</formula1>
    </dataValidation>
    <dataValidation type="list" allowBlank="1" showInputMessage="1" showErrorMessage="1" sqref="B13" xr:uid="{E3BB6A83-FAD5-42B7-B5E1-12494BE07F8D}">
      <formula1>"400 Lockstep, 400 Dual, 200 Lockstep, 200 Dual"</formula1>
    </dataValidation>
    <dataValidation type="list" allowBlank="1" showInputMessage="1" showErrorMessage="1" sqref="B38:B39" xr:uid="{3DB7DF58-96DF-4F48-A56F-6709DD70B62B}">
      <formula1>vdd_choices</formula1>
    </dataValidation>
    <dataValidation type="list" allowBlank="1" showInputMessage="1" showErrorMessage="1" sqref="B40" xr:uid="{967B7F85-86CC-432E-B248-3F25E97A743B}">
      <formula1>"3.465,3.3,3.135"</formula1>
    </dataValidation>
    <dataValidation type="list" allowBlank="1" showInputMessage="1" showErrorMessage="1" sqref="B26" xr:uid="{AACE89E5-3016-4AA9-8028-FC92857E003B}">
      <formula1>on_off_modes</formula1>
    </dataValidation>
    <dataValidation type="list" allowBlank="1" showInputMessage="1" showErrorMessage="1" sqref="B33" xr:uid="{56073EFE-7AAB-4D6E-A939-BC3BF994C86E}">
      <formula1>sip_non_sip_modes</formula1>
    </dataValidation>
    <dataValidation type="list" allowBlank="1" showInputMessage="1" showErrorMessage="1" sqref="B32" xr:uid="{58F280F5-4EBF-4C26-B2EB-220B6765D0B7}">
      <formula1>IF(sip_mode="non-SIP",tj_choices,tj_choices_SIP)</formula1>
    </dataValidation>
  </dataValidations>
  <pageMargins left="0.7" right="0.7" top="0.75" bottom="0.75" header="0.3" footer="0.3"/>
  <pageSetup scale="89"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67D8CA0E-62B4-4CCC-81E2-55DCBF08F3AF}">
          <x14:formula1>
            <xm:f>IF(sip_mode="Non-SIP",PWRCALC!$A$5354,flash_operation_modes)</xm:f>
          </x14:formula1>
          <xm:sqref>B34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5D5C6-F6B9-4125-B96A-9A80D5581931}">
  <dimension ref="A1:A12"/>
  <sheetViews>
    <sheetView workbookViewId="0">
      <selection activeCell="A22" sqref="A22"/>
    </sheetView>
  </sheetViews>
  <sheetFormatPr defaultColWidth="9.140625" defaultRowHeight="15" x14ac:dyDescent="0.25"/>
  <cols>
    <col min="1" max="1" width="168.85546875" style="22" customWidth="1"/>
    <col min="2" max="16384" width="9.140625" style="22"/>
  </cols>
  <sheetData>
    <row r="1" spans="1:1" ht="221.25" customHeight="1" x14ac:dyDescent="0.25">
      <c r="A1" s="316" t="s">
        <v>6545</v>
      </c>
    </row>
    <row r="12" spans="1:1" ht="15" customHeight="1" x14ac:dyDescent="0.25"/>
  </sheetData>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pageSetUpPr fitToPage="1"/>
  </sheetPr>
  <dimension ref="A1:AT5354"/>
  <sheetViews>
    <sheetView topLeftCell="A769" zoomScale="92" zoomScaleNormal="110" workbookViewId="0">
      <selection activeCell="N3" sqref="N3"/>
    </sheetView>
  </sheetViews>
  <sheetFormatPr defaultColWidth="12.85546875" defaultRowHeight="10.5" outlineLevelCol="1" x14ac:dyDescent="0.15"/>
  <cols>
    <col min="1" max="1" width="20.5703125" style="110" customWidth="1" outlineLevel="1"/>
    <col min="2" max="2" width="16.85546875" style="10" customWidth="1"/>
    <col min="3" max="3" width="21" style="10" customWidth="1"/>
    <col min="4" max="4" width="11" style="10" customWidth="1"/>
    <col min="5" max="5" width="14" style="10" customWidth="1"/>
    <col min="6" max="9" width="6.7109375" style="10" customWidth="1"/>
    <col min="10" max="10" width="6.28515625" style="10" customWidth="1"/>
    <col min="11" max="11" width="22.7109375" style="10" customWidth="1"/>
    <col min="12" max="13" width="6.7109375" style="10" customWidth="1"/>
    <col min="14" max="25" width="6.7109375" style="10" customWidth="1" outlineLevel="1"/>
    <col min="26" max="26" width="14.42578125" style="10" customWidth="1" outlineLevel="1"/>
    <col min="27" max="29" width="6.7109375" style="10" customWidth="1" outlineLevel="1"/>
    <col min="30" max="32" width="6.7109375" style="10" customWidth="1"/>
    <col min="33" max="34" width="6.7109375" style="10" customWidth="1" outlineLevel="1"/>
    <col min="35" max="38" width="6.7109375" style="10" customWidth="1"/>
    <col min="39" max="39" width="26.28515625" style="10" bestFit="1" customWidth="1"/>
    <col min="40" max="16384" width="12.85546875" style="10"/>
  </cols>
  <sheetData>
    <row r="1" spans="1:46" s="208" customFormat="1" ht="11.25" x14ac:dyDescent="0.2">
      <c r="A1" s="225" t="s">
        <v>4710</v>
      </c>
      <c r="B1" s="208" t="s">
        <v>4710</v>
      </c>
      <c r="C1" s="208" t="s">
        <v>4710</v>
      </c>
      <c r="D1" s="208" t="s">
        <v>4710</v>
      </c>
      <c r="E1" s="208" t="s">
        <v>4710</v>
      </c>
      <c r="F1" s="208" t="s">
        <v>4710</v>
      </c>
      <c r="G1" s="208" t="s">
        <v>4710</v>
      </c>
      <c r="H1" s="208" t="s">
        <v>4710</v>
      </c>
      <c r="I1" s="208" t="s">
        <v>4710</v>
      </c>
      <c r="J1" s="208" t="s">
        <v>4710</v>
      </c>
      <c r="K1" s="208" t="s">
        <v>4710</v>
      </c>
      <c r="L1" s="208" t="s">
        <v>4710</v>
      </c>
      <c r="M1" s="208" t="s">
        <v>4710</v>
      </c>
    </row>
    <row r="2" spans="1:46" s="9" customFormat="1" ht="82.35" customHeight="1" x14ac:dyDescent="0.25">
      <c r="A2" s="109" t="s">
        <v>10</v>
      </c>
      <c r="B2" s="108" t="s">
        <v>9</v>
      </c>
      <c r="C2" s="226" t="s">
        <v>42</v>
      </c>
      <c r="D2" s="226" t="s">
        <v>5234</v>
      </c>
      <c r="E2" s="226" t="s">
        <v>1</v>
      </c>
      <c r="F2" s="226" t="s">
        <v>5367</v>
      </c>
      <c r="G2" s="226" t="s">
        <v>2</v>
      </c>
      <c r="H2" s="226" t="s">
        <v>5428</v>
      </c>
      <c r="I2" s="226" t="s">
        <v>5429</v>
      </c>
      <c r="J2" s="226" t="s">
        <v>5220</v>
      </c>
      <c r="K2" s="226" t="s">
        <v>38</v>
      </c>
      <c r="L2" s="226" t="s">
        <v>5475</v>
      </c>
      <c r="M2" s="226" t="s">
        <v>5270</v>
      </c>
      <c r="N2" s="226" t="s">
        <v>5245</v>
      </c>
      <c r="O2" s="226" t="s">
        <v>5255</v>
      </c>
      <c r="P2" s="226" t="s">
        <v>5246</v>
      </c>
      <c r="Q2" s="226" t="s">
        <v>5275</v>
      </c>
      <c r="R2" s="226" t="s">
        <v>5274</v>
      </c>
      <c r="S2" s="226" t="s">
        <v>5257</v>
      </c>
      <c r="T2" s="226" t="s">
        <v>5256</v>
      </c>
      <c r="U2" s="226" t="s">
        <v>5263</v>
      </c>
      <c r="V2" s="226" t="s">
        <v>5262</v>
      </c>
      <c r="W2" s="226" t="s">
        <v>5430</v>
      </c>
      <c r="X2" s="226" t="s">
        <v>5431</v>
      </c>
      <c r="Y2" s="226" t="s">
        <v>5432</v>
      </c>
      <c r="Z2" s="226" t="s">
        <v>5933</v>
      </c>
      <c r="AA2" s="226" t="s">
        <v>5934</v>
      </c>
      <c r="AB2" s="226" t="s">
        <v>5935</v>
      </c>
      <c r="AC2" s="226" t="s">
        <v>5433</v>
      </c>
      <c r="AD2" s="226" t="s">
        <v>5363</v>
      </c>
      <c r="AE2" s="226" t="s">
        <v>5364</v>
      </c>
      <c r="AF2" s="226" t="s">
        <v>5365</v>
      </c>
      <c r="AG2" s="226" t="s">
        <v>5361</v>
      </c>
      <c r="AH2" s="226" t="s">
        <v>5362</v>
      </c>
      <c r="AI2" s="226" t="s">
        <v>5354</v>
      </c>
      <c r="AJ2" s="226" t="s">
        <v>5355</v>
      </c>
      <c r="AK2" s="226" t="s">
        <v>5356</v>
      </c>
      <c r="AL2" s="226" t="s">
        <v>5357</v>
      </c>
      <c r="AM2" s="226" t="s">
        <v>5924</v>
      </c>
      <c r="AP2" s="8"/>
      <c r="AQ2" s="8"/>
      <c r="AR2" s="8"/>
      <c r="AS2" s="8"/>
      <c r="AT2" s="8"/>
    </row>
    <row r="3" spans="1:46" ht="12.6" customHeight="1" x14ac:dyDescent="0.2">
      <c r="A3" s="207" t="s">
        <v>4717</v>
      </c>
      <c r="B3" s="207" t="s">
        <v>11</v>
      </c>
      <c r="C3" s="209" t="str">
        <f t="shared" ref="C3:F28" si="0">VLOOKUP($A3&amp;"_"&amp;C$2,MDB,6,0)</f>
        <v>r5fss am263</v>
      </c>
      <c r="D3" s="227" t="str">
        <f t="shared" si="0"/>
        <v>pg1</v>
      </c>
      <c r="E3" s="207" t="str">
        <f t="shared" si="0"/>
        <v>1 processor</v>
      </c>
      <c r="F3" s="207" t="str">
        <f t="shared" si="0"/>
        <v>mcu</v>
      </c>
      <c r="G3" s="318">
        <v>0</v>
      </c>
      <c r="H3" s="216">
        <f ca="1">SUM(N3:V3)</f>
        <v>0</v>
      </c>
      <c r="I3" s="228" t="s">
        <v>4872</v>
      </c>
      <c r="J3" s="209">
        <f t="shared" ref="J3:J31" si="1">IFERROR(VLOOKUP($A3&amp;"_"&amp;J$2,MDB,6,0),0)</f>
        <v>400</v>
      </c>
      <c r="K3" s="207">
        <f ca="1">IFERROR(INDEX(INDIRECT(uc_sheet&amp;"!$A$1"):INDIRECT(uc_sheet&amp;"!$CZ$1000"),MATCH($A3&amp;$B3,INDIRECT(uc_sheet&amp;"!$a$1"):INDIRECT(uc_sheet&amp;"!$a$1000"),0),MATCH(use_case,INDIRECT(uc_sheet&amp;"!$A$1"):INDIRECT(uc_sheet&amp;"!$CZ$1"),0)+1),0)</f>
        <v>0</v>
      </c>
      <c r="L3" s="224">
        <f ca="1">IFERROR(INDEX(INDIRECT(uc_sheet&amp;"!$A$1"):INDIRECT(uc_sheet&amp;"!$CZ$1000"),MATCH($A3&amp;$B3,INDIRECT(uc_sheet&amp;"!$a$1"):INDIRECT(uc_sheet&amp;"!$a$1000"),0),MATCH(use_case,INDIRECT(uc_sheet&amp;"!$A$1"):INDIRECT(uc_sheet&amp;"!$CZ$1"),0)),0)</f>
        <v>0</v>
      </c>
      <c r="M3" s="229"/>
      <c r="N3" s="320">
        <f t="shared" ref="N3:N31" si="2">IFERROR(VLOOKUP($A3&amp;"_"&amp;N$2,MDB,6,0),0)*(Lkg_Scale_VDD_OSVT*$AI3+Lkg_Scale_VDD_XSVT*$AJ3+Lkg_Scale_VDD_SVT*$AK3+Lkg_Scale_VDD_LVT*$AL3)*$G3*IF($I3="off",4%,1)</f>
        <v>0</v>
      </c>
      <c r="O3" s="322">
        <f t="shared" ref="O3:O31" ca="1" si="3">(AG3*(Dyn_Int_Scale_OSVT*$AI3+Dyn_Int_Scale_XSVT*$AJ3+Dyn_Int_Scale_SVT*$AK3+Dyn_Int_Scale_LVT*$AL3)+AH3*(Dyn_Sw_Scale_OSVT*$AI3+Dyn_Sw_Scale_XSVT*$AJ3+Dyn_Sw_Scale_SVT*$AK3+Dyn_Sw_Scale_LVT*$AL3))*G3*IF(I3="off",0,1)*IF(L3=0,0.1%,1)*(AD3+(AE3-AD3)*L3)*(K3/J3)</f>
        <v>0</v>
      </c>
      <c r="P3" s="320">
        <f t="shared" ref="P3:P31" si="4">IFERROR(VLOOKUP($A3&amp;"_"&amp;P$2,MDB,6,0),0)*(Lkg_Scale_VDDAR_OSVT*$AI3+Lkg_Scale_VDDAR_XSVT*$AJ3+Lkg_Scale_VDDAR_SVT*$AK3+Lkg_Scale_VDDAR_LVT*$AL3)*$G3*IF($I3="off",4%,1)</f>
        <v>0</v>
      </c>
      <c r="Q3" s="319"/>
      <c r="R3" s="319"/>
      <c r="S3" s="319"/>
      <c r="T3" s="319"/>
      <c r="U3" s="319"/>
      <c r="V3" s="319"/>
      <c r="W3" s="324" t="s">
        <v>5203</v>
      </c>
      <c r="X3" s="324" t="s">
        <v>8</v>
      </c>
      <c r="Y3" s="324" t="s">
        <v>61</v>
      </c>
      <c r="Z3" s="324" t="s">
        <v>6546</v>
      </c>
      <c r="AA3" s="324" t="s">
        <v>6546</v>
      </c>
      <c r="AB3" s="324" t="s">
        <v>6546</v>
      </c>
      <c r="AC3" s="321">
        <v>0</v>
      </c>
      <c r="AD3" s="249">
        <f t="shared" ref="AD3:AL15" si="5">IFERROR(VLOOKUP($A3&amp;"_"&amp;AD$2,MDB,6,0),0)</f>
        <v>1.2500000000000001E-2</v>
      </c>
      <c r="AE3" s="248">
        <f t="shared" si="5"/>
        <v>0.04</v>
      </c>
      <c r="AF3" s="320">
        <f t="shared" si="5"/>
        <v>0.06</v>
      </c>
      <c r="AG3" s="320">
        <f t="shared" si="5"/>
        <v>2091.6</v>
      </c>
      <c r="AH3" s="320">
        <f t="shared" si="5"/>
        <v>2870.8</v>
      </c>
      <c r="AI3" s="325">
        <f t="shared" si="5"/>
        <v>0.22274270384286995</v>
      </c>
      <c r="AJ3" s="325">
        <f t="shared" si="5"/>
        <v>0.45042739886952715</v>
      </c>
      <c r="AK3" s="325">
        <f t="shared" si="5"/>
        <v>0.32682989728760298</v>
      </c>
      <c r="AL3" s="325">
        <f t="shared" si="5"/>
        <v>0</v>
      </c>
      <c r="AM3" s="137" t="str">
        <f t="shared" ref="AM3:AM74" si="6">A3&amp;B3</f>
        <v>I_cortexr5ss_wrap_0</v>
      </c>
    </row>
    <row r="4" spans="1:46" ht="12.6" customHeight="1" x14ac:dyDescent="0.2">
      <c r="A4" s="207" t="s">
        <v>4717</v>
      </c>
      <c r="B4" s="207" t="s">
        <v>12</v>
      </c>
      <c r="C4" s="209" t="str">
        <f t="shared" si="0"/>
        <v>r5fss am263</v>
      </c>
      <c r="D4" s="227" t="str">
        <f t="shared" si="0"/>
        <v>pg1</v>
      </c>
      <c r="E4" s="207" t="str">
        <f t="shared" si="0"/>
        <v>1 processor</v>
      </c>
      <c r="F4" s="207" t="str">
        <f t="shared" si="0"/>
        <v>mcu</v>
      </c>
      <c r="G4" s="318">
        <v>0</v>
      </c>
      <c r="H4" s="216">
        <f t="shared" ref="H4:H67" ca="1" si="7">SUM(N4:V4)</f>
        <v>0</v>
      </c>
      <c r="I4" s="228" t="s">
        <v>4872</v>
      </c>
      <c r="J4" s="209">
        <f t="shared" si="1"/>
        <v>400</v>
      </c>
      <c r="K4" s="207">
        <f ca="1">IFERROR(INDEX(INDIRECT(uc_sheet&amp;"!$A$1"):INDIRECT(uc_sheet&amp;"!$CZ$1000"),MATCH($A4&amp;$B4,INDIRECT(uc_sheet&amp;"!$a$1"):INDIRECT(uc_sheet&amp;"!$a$1000"),0),MATCH(use_case,INDIRECT(uc_sheet&amp;"!$A$1"):INDIRECT(uc_sheet&amp;"!$CZ$1"),0)+1),0)</f>
        <v>0</v>
      </c>
      <c r="L4" s="224">
        <f ca="1">IFERROR(INDEX(INDIRECT(uc_sheet&amp;"!$A$1"):INDIRECT(uc_sheet&amp;"!$CZ$1000"),MATCH($A4&amp;$B4,INDIRECT(uc_sheet&amp;"!$a$1"):INDIRECT(uc_sheet&amp;"!$a$1000"),0),MATCH(use_case,INDIRECT(uc_sheet&amp;"!$A$1"):INDIRECT(uc_sheet&amp;"!$CZ$1"),0)),0)</f>
        <v>0</v>
      </c>
      <c r="M4" s="229"/>
      <c r="N4" s="320">
        <f t="shared" si="2"/>
        <v>0</v>
      </c>
      <c r="O4" s="322">
        <f t="shared" ca="1" si="3"/>
        <v>0</v>
      </c>
      <c r="P4" s="320">
        <f t="shared" si="4"/>
        <v>0</v>
      </c>
      <c r="Q4" s="319"/>
      <c r="R4" s="319"/>
      <c r="S4" s="319"/>
      <c r="T4" s="319"/>
      <c r="U4" s="319"/>
      <c r="V4" s="319"/>
      <c r="W4" s="324" t="s">
        <v>5203</v>
      </c>
      <c r="X4" s="324" t="s">
        <v>8</v>
      </c>
      <c r="Y4" s="324" t="s">
        <v>61</v>
      </c>
      <c r="Z4" s="324" t="s">
        <v>6546</v>
      </c>
      <c r="AA4" s="324" t="s">
        <v>6546</v>
      </c>
      <c r="AB4" s="324" t="s">
        <v>6546</v>
      </c>
      <c r="AC4" s="321">
        <v>0</v>
      </c>
      <c r="AD4" s="249">
        <f t="shared" si="5"/>
        <v>1.2500000000000001E-2</v>
      </c>
      <c r="AE4" s="248">
        <f t="shared" si="5"/>
        <v>0.04</v>
      </c>
      <c r="AF4" s="320">
        <f t="shared" si="5"/>
        <v>0.06</v>
      </c>
      <c r="AG4" s="320">
        <f t="shared" si="5"/>
        <v>2091.6</v>
      </c>
      <c r="AH4" s="320">
        <f t="shared" si="5"/>
        <v>2870.8</v>
      </c>
      <c r="AI4" s="325">
        <f t="shared" si="5"/>
        <v>0.22274270384286995</v>
      </c>
      <c r="AJ4" s="325">
        <f t="shared" si="5"/>
        <v>0.45042739886952715</v>
      </c>
      <c r="AK4" s="325">
        <f t="shared" si="5"/>
        <v>0.32682989728760298</v>
      </c>
      <c r="AL4" s="325">
        <f t="shared" si="5"/>
        <v>0</v>
      </c>
      <c r="AM4" s="137" t="str">
        <f t="shared" si="6"/>
        <v>I_cortexr5ss_wrap_1</v>
      </c>
    </row>
    <row r="5" spans="1:46" ht="12.6" customHeight="1" x14ac:dyDescent="0.2">
      <c r="A5" s="207" t="s">
        <v>4789</v>
      </c>
      <c r="B5" s="207" t="s">
        <v>11</v>
      </c>
      <c r="C5" s="209" t="str">
        <f t="shared" si="0"/>
        <v>r5fss tpr12</v>
      </c>
      <c r="D5" s="227" t="str">
        <f t="shared" si="0"/>
        <v>pg1</v>
      </c>
      <c r="E5" s="207" t="str">
        <f t="shared" si="0"/>
        <v>1 processor</v>
      </c>
      <c r="F5" s="207" t="str">
        <f t="shared" si="0"/>
        <v>mcu</v>
      </c>
      <c r="G5" s="318">
        <v>0</v>
      </c>
      <c r="H5" s="216">
        <f t="shared" ca="1" si="7"/>
        <v>0</v>
      </c>
      <c r="I5" s="228" t="s">
        <v>4798</v>
      </c>
      <c r="J5" s="209">
        <f t="shared" si="1"/>
        <v>400</v>
      </c>
      <c r="K5" s="207">
        <f ca="1">IFERROR(INDEX(INDIRECT(uc_sheet&amp;"!$A$1"):INDIRECT(uc_sheet&amp;"!$CZ$1000"),MATCH($A5&amp;$B5,INDIRECT(uc_sheet&amp;"!$a$1"):INDIRECT(uc_sheet&amp;"!$a$1000"),0),MATCH(use_case,INDIRECT(uc_sheet&amp;"!$A$1"):INDIRECT(uc_sheet&amp;"!$CZ$1"),0)+1),0)</f>
        <v>0</v>
      </c>
      <c r="L5" s="224">
        <f ca="1">IFERROR(INDEX(INDIRECT(uc_sheet&amp;"!$A$1"):INDIRECT(uc_sheet&amp;"!$CZ$1000"),MATCH($A5&amp;$B5,INDIRECT(uc_sheet&amp;"!$a$1"):INDIRECT(uc_sheet&amp;"!$a$1000"),0),MATCH(use_case,INDIRECT(uc_sheet&amp;"!$A$1"):INDIRECT(uc_sheet&amp;"!$CZ$1"),0)),0)</f>
        <v>0</v>
      </c>
      <c r="M5" s="229"/>
      <c r="N5" s="320">
        <f t="shared" si="2"/>
        <v>0</v>
      </c>
      <c r="O5" s="320">
        <f t="shared" ca="1" si="3"/>
        <v>0</v>
      </c>
      <c r="P5" s="320">
        <f t="shared" si="4"/>
        <v>0</v>
      </c>
      <c r="Q5" s="319"/>
      <c r="R5" s="319"/>
      <c r="S5" s="319"/>
      <c r="T5" s="319"/>
      <c r="U5" s="319"/>
      <c r="V5" s="319"/>
      <c r="W5" s="324" t="s">
        <v>5203</v>
      </c>
      <c r="X5" s="324" t="s">
        <v>40</v>
      </c>
      <c r="Y5" s="324" t="s">
        <v>40</v>
      </c>
      <c r="Z5" s="324" t="s">
        <v>6546</v>
      </c>
      <c r="AA5" s="324" t="s">
        <v>6546</v>
      </c>
      <c r="AB5" s="324" t="s">
        <v>6546</v>
      </c>
      <c r="AC5" s="321" t="s">
        <v>40</v>
      </c>
      <c r="AD5" s="320">
        <f t="shared" si="5"/>
        <v>1.2500000000000001E-2</v>
      </c>
      <c r="AE5" s="320">
        <f t="shared" si="5"/>
        <v>0.04</v>
      </c>
      <c r="AF5" s="320">
        <f t="shared" si="5"/>
        <v>0.06</v>
      </c>
      <c r="AG5" s="320">
        <f t="shared" si="5"/>
        <v>2193.6</v>
      </c>
      <c r="AH5" s="320">
        <f t="shared" si="5"/>
        <v>2014.4</v>
      </c>
      <c r="AI5" s="325">
        <f t="shared" si="5"/>
        <v>5.8999999999999999E-3</v>
      </c>
      <c r="AJ5" s="325">
        <f t="shared" si="5"/>
        <v>0.32520000000000004</v>
      </c>
      <c r="AK5" s="325">
        <f t="shared" si="5"/>
        <v>0.67180000000000006</v>
      </c>
      <c r="AL5" s="325">
        <f t="shared" si="5"/>
        <v>0</v>
      </c>
      <c r="AM5" s="137" t="str">
        <f t="shared" si="6"/>
        <v>I_cortexr5ss_wrap_tpr12_0</v>
      </c>
    </row>
    <row r="6" spans="1:46" ht="12.6" customHeight="1" x14ac:dyDescent="0.2">
      <c r="A6" s="259" t="s">
        <v>6008</v>
      </c>
      <c r="B6" s="207" t="s">
        <v>11</v>
      </c>
      <c r="C6" s="209" t="str">
        <f t="shared" si="0"/>
        <v>r5fss am263p w TMU</v>
      </c>
      <c r="D6" s="227" t="str">
        <f t="shared" si="0"/>
        <v>ppr</v>
      </c>
      <c r="E6" s="207" t="str">
        <f t="shared" si="0"/>
        <v>1 processor</v>
      </c>
      <c r="F6" s="207" t="str">
        <f t="shared" si="0"/>
        <v>mcu</v>
      </c>
      <c r="G6" s="209">
        <v>1</v>
      </c>
      <c r="H6" s="216">
        <f t="shared" si="7"/>
        <v>225.38433134038061</v>
      </c>
      <c r="I6" s="228" t="s">
        <v>4872</v>
      </c>
      <c r="J6" s="209">
        <f t="shared" si="1"/>
        <v>400</v>
      </c>
      <c r="K6" s="207">
        <f>IF(IFERROR(SEARCH("400",mcu_mode_0,1),0)&gt;0,400,200)</f>
        <v>400</v>
      </c>
      <c r="L6" s="224">
        <f>mcu_util_0</f>
        <v>0.7</v>
      </c>
      <c r="M6" s="229"/>
      <c r="N6" s="320">
        <f>IFERROR(VLOOKUP($A6&amp;"_"&amp;N$2,MDB,6,0),0)*(Lkg_Scale_VDD_OSVT*$AI6+Lkg_Scale_VDD_XSVT*$AJ6+Lkg_Scale_VDD_SVT*$AK6+Lkg_Scale_VDD_LVT*$AL6)*$G6*IF($I6="off",4%,1)</f>
        <v>21.088421815273939</v>
      </c>
      <c r="O6" s="320">
        <f>(AG6*(Dyn_Int_Scale_OSVT*$AI6+Dyn_Int_Scale_XSVT*$AJ6+Dyn_Int_Scale_SVT*$AK6+Dyn_Int_Scale_LVT*$AL6)+AH6*(Dyn_Sw_Scale_OSVT*$AI6+Dyn_Sw_Scale_XSVT*$AJ6+Dyn_Sw_Scale_SVT*$AK6+Dyn_Sw_Scale_LVT*$AL6))*G6*IF(I6="off",0,1)*IF(L6=0,0.1%,1)*(AD6+(AE6-AD6)*L6)*(K6/J6)</f>
        <v>189.4704837711173</v>
      </c>
      <c r="P6" s="320">
        <f t="shared" si="4"/>
        <v>14.825425753989373</v>
      </c>
      <c r="Q6" s="319"/>
      <c r="R6" s="319"/>
      <c r="S6" s="319"/>
      <c r="T6" s="319"/>
      <c r="U6" s="319"/>
      <c r="V6" s="319"/>
      <c r="W6" s="324" t="s">
        <v>5203</v>
      </c>
      <c r="X6" s="324" t="s">
        <v>8</v>
      </c>
      <c r="Y6" s="324" t="s">
        <v>61</v>
      </c>
      <c r="Z6" s="324" t="s">
        <v>6546</v>
      </c>
      <c r="AA6" s="324" t="s">
        <v>6546</v>
      </c>
      <c r="AB6" s="324" t="s">
        <v>6546</v>
      </c>
      <c r="AC6" s="321">
        <v>1</v>
      </c>
      <c r="AD6" s="248">
        <f t="shared" si="5"/>
        <v>1.2500000000000001E-2</v>
      </c>
      <c r="AE6" s="320">
        <f t="shared" si="5"/>
        <v>0.04</v>
      </c>
      <c r="AF6" s="320">
        <f t="shared" si="5"/>
        <v>0.06</v>
      </c>
      <c r="AG6" s="320">
        <f t="shared" si="5"/>
        <v>3352</v>
      </c>
      <c r="AH6" s="320">
        <f t="shared" si="5"/>
        <v>2848</v>
      </c>
      <c r="AI6" s="325">
        <f t="shared" si="5"/>
        <v>6.5000000000000002E-2</v>
      </c>
      <c r="AJ6" s="325">
        <f t="shared" si="5"/>
        <v>0.5675</v>
      </c>
      <c r="AK6" s="325">
        <f t="shared" si="5"/>
        <v>0.36749999999999999</v>
      </c>
      <c r="AL6" s="325">
        <f t="shared" si="5"/>
        <v>0</v>
      </c>
      <c r="AM6" s="137" t="str">
        <f t="shared" si="6"/>
        <v>sam263p_cortexr5ss_wrap_0</v>
      </c>
    </row>
    <row r="7" spans="1:46" ht="12.6" customHeight="1" x14ac:dyDescent="0.2">
      <c r="A7" s="207" t="s">
        <v>6008</v>
      </c>
      <c r="B7" s="207" t="s">
        <v>12</v>
      </c>
      <c r="C7" s="209" t="str">
        <f t="shared" si="0"/>
        <v>r5fss am263p w TMU</v>
      </c>
      <c r="D7" s="227" t="str">
        <f t="shared" si="0"/>
        <v>ppr</v>
      </c>
      <c r="E7" s="207" t="str">
        <f t="shared" si="0"/>
        <v>1 processor</v>
      </c>
      <c r="F7" s="207" t="str">
        <f t="shared" si="0"/>
        <v>mcu</v>
      </c>
      <c r="G7" s="209">
        <v>1</v>
      </c>
      <c r="H7" s="216">
        <f t="shared" si="7"/>
        <v>225.38433134038061</v>
      </c>
      <c r="I7" s="228" t="s">
        <v>4872</v>
      </c>
      <c r="J7" s="209">
        <f t="shared" si="1"/>
        <v>400</v>
      </c>
      <c r="K7" s="207">
        <f>IF(IFERROR(SEARCH("400",mcu_mode_1,1),0)&gt;0,400,200)</f>
        <v>400</v>
      </c>
      <c r="L7" s="224">
        <f>mcu_util_1</f>
        <v>0.7</v>
      </c>
      <c r="M7" s="229"/>
      <c r="N7" s="320">
        <f t="shared" si="2"/>
        <v>21.088421815273939</v>
      </c>
      <c r="O7" s="320">
        <f t="shared" si="3"/>
        <v>189.4704837711173</v>
      </c>
      <c r="P7" s="320">
        <f t="shared" si="4"/>
        <v>14.825425753989373</v>
      </c>
      <c r="Q7" s="319"/>
      <c r="R7" s="319"/>
      <c r="S7" s="319"/>
      <c r="T7" s="319"/>
      <c r="U7" s="319"/>
      <c r="V7" s="319"/>
      <c r="W7" s="324" t="s">
        <v>5203</v>
      </c>
      <c r="X7" s="324" t="s">
        <v>8</v>
      </c>
      <c r="Y7" s="324" t="s">
        <v>61</v>
      </c>
      <c r="Z7" s="324" t="s">
        <v>6546</v>
      </c>
      <c r="AA7" s="324" t="s">
        <v>6546</v>
      </c>
      <c r="AB7" s="324" t="s">
        <v>6546</v>
      </c>
      <c r="AC7" s="321">
        <v>1</v>
      </c>
      <c r="AD7" s="248">
        <f t="shared" si="5"/>
        <v>1.2500000000000001E-2</v>
      </c>
      <c r="AE7" s="248">
        <f t="shared" si="5"/>
        <v>0.04</v>
      </c>
      <c r="AF7" s="248">
        <f t="shared" si="5"/>
        <v>0.06</v>
      </c>
      <c r="AG7" s="320">
        <f t="shared" si="5"/>
        <v>3352</v>
      </c>
      <c r="AH7" s="320">
        <f t="shared" si="5"/>
        <v>2848</v>
      </c>
      <c r="AI7" s="325">
        <f t="shared" si="5"/>
        <v>6.5000000000000002E-2</v>
      </c>
      <c r="AJ7" s="325">
        <f t="shared" si="5"/>
        <v>0.5675</v>
      </c>
      <c r="AK7" s="325">
        <f t="shared" si="5"/>
        <v>0.36749999999999999</v>
      </c>
      <c r="AL7" s="325">
        <f t="shared" si="5"/>
        <v>0</v>
      </c>
      <c r="AM7" s="137" t="str">
        <f t="shared" si="6"/>
        <v>sam263p_cortexr5ss_wrap_1</v>
      </c>
    </row>
    <row r="8" spans="1:46" ht="12.6" customHeight="1" x14ac:dyDescent="0.2">
      <c r="A8" s="207" t="s">
        <v>6272</v>
      </c>
      <c r="B8" s="207" t="s">
        <v>11</v>
      </c>
      <c r="C8" s="209" t="str">
        <f t="shared" ref="C8:F10" si="8">VLOOKUP($A8&amp;"_"&amp;C$2,MDB,6,0)</f>
        <v>usb2 controller</v>
      </c>
      <c r="D8" s="227">
        <f t="shared" si="0"/>
        <v>44797</v>
      </c>
      <c r="E8" s="207" t="str">
        <f t="shared" si="8"/>
        <v>3 periph</v>
      </c>
      <c r="F8" s="207" t="str">
        <f t="shared" si="8"/>
        <v>c2c</v>
      </c>
      <c r="G8" s="318">
        <v>0</v>
      </c>
      <c r="H8" s="216">
        <f t="shared" ca="1" si="7"/>
        <v>0</v>
      </c>
      <c r="I8" s="228" t="s">
        <v>4798</v>
      </c>
      <c r="J8" s="209">
        <f t="shared" ref="J8:J10" si="9">IFERROR(VLOOKUP($A8&amp;"_"&amp;J$2,MDB,6,0),0)</f>
        <v>960</v>
      </c>
      <c r="K8" s="207">
        <f ca="1">IFERROR(INDEX(INDIRECT(uc_sheet&amp;"!$A$1"):INDIRECT(uc_sheet&amp;"!$CZ$1000"),MATCH($A8&amp;$B8,INDIRECT(uc_sheet&amp;"!$a$1"):INDIRECT(uc_sheet&amp;"!$a$1000"),0),MATCH(use_case,INDIRECT(uc_sheet&amp;"!$A$1"):INDIRECT(uc_sheet&amp;"!$CZ$1"),0)+1),0)</f>
        <v>0</v>
      </c>
      <c r="L8" s="224">
        <f ca="1">IFERROR(INDEX(INDIRECT(uc_sheet&amp;"!$A$1"):INDIRECT(uc_sheet&amp;"!$CZ$1000"),MATCH($A8&amp;$B8,INDIRECT(uc_sheet&amp;"!$a$1"):INDIRECT(uc_sheet&amp;"!$a$1000"),0),MATCH(use_case,INDIRECT(uc_sheet&amp;"!$A$1"):INDIRECT(uc_sheet&amp;"!$CZ$1"),0)),0)</f>
        <v>0</v>
      </c>
      <c r="M8" s="229"/>
      <c r="N8" s="320">
        <f t="shared" ref="N8" si="10">IFERROR(VLOOKUP($A8&amp;"_"&amp;N$2,MDB,6,0),0)*(Lkg_Scale_VDD_OSVT*$AI8+Lkg_Scale_VDD_XSVT*$AJ8+Lkg_Scale_VDD_SVT*$AK8+Lkg_Scale_VDD_LVT*$AL8)*$G8*IF($I8="off",4%,1)</f>
        <v>0</v>
      </c>
      <c r="O8" s="320">
        <f t="shared" ref="O8:O10" ca="1" si="11">(AG8*(Dyn_Int_Scale_OSVT*$AI8+Dyn_Int_Scale_XSVT*$AJ8+Dyn_Int_Scale_SVT*$AK8+Dyn_Int_Scale_LVT*$AL8)+AH8*(Dyn_Sw_Scale_OSVT*$AI8+Dyn_Sw_Scale_XSVT*$AJ8+Dyn_Sw_Scale_SVT*$AK8+Dyn_Sw_Scale_LVT*$AL8))*G8*IF(I8="off",0,1)*IF(L8=0,0.1%,1)*(AD8+(AE8-AD8)*L8)*(K8/J8)</f>
        <v>0</v>
      </c>
      <c r="P8" s="320">
        <f t="shared" ref="P8:P10" si="12">IFERROR(VLOOKUP($A8&amp;"_"&amp;P$2,MDB,6,0),0)*(Lkg_Scale_VDDAR_OSVT*$AI8+Lkg_Scale_VDDAR_XSVT*$AJ8+Lkg_Scale_VDDAR_SVT*$AK8+Lkg_Scale_VDDAR_LVT*$AL8)*$G8*IF($I8="off",4%,1)</f>
        <v>0</v>
      </c>
      <c r="Q8" s="319"/>
      <c r="R8" s="319"/>
      <c r="S8" s="319"/>
      <c r="T8" s="319"/>
      <c r="U8" s="319"/>
      <c r="V8" s="319"/>
      <c r="W8" s="324" t="s">
        <v>5203</v>
      </c>
      <c r="X8" s="324" t="s">
        <v>40</v>
      </c>
      <c r="Y8" s="324" t="s">
        <v>40</v>
      </c>
      <c r="Z8" s="324" t="s">
        <v>6546</v>
      </c>
      <c r="AA8" s="324" t="s">
        <v>6546</v>
      </c>
      <c r="AB8" s="324" t="s">
        <v>6546</v>
      </c>
      <c r="AC8" s="321" t="s">
        <v>40</v>
      </c>
      <c r="AD8" s="248">
        <f t="shared" si="5"/>
        <v>1.9099999999999999E-2</v>
      </c>
      <c r="AE8" s="248">
        <f t="shared" si="5"/>
        <v>0.04</v>
      </c>
      <c r="AF8" s="248">
        <f t="shared" si="5"/>
        <v>0.06</v>
      </c>
      <c r="AG8" s="320">
        <f t="shared" si="5"/>
        <v>1408.23495</v>
      </c>
      <c r="AH8" s="320">
        <f t="shared" si="5"/>
        <v>1735.7314500000002</v>
      </c>
      <c r="AI8" s="325">
        <f t="shared" si="5"/>
        <v>2.865768703421815E-3</v>
      </c>
      <c r="AJ8" s="325">
        <f t="shared" si="5"/>
        <v>9.4327481983179098E-2</v>
      </c>
      <c r="AK8" s="325">
        <f t="shared" si="5"/>
        <v>0.9028067493133991</v>
      </c>
      <c r="AL8" s="325">
        <f t="shared" si="5"/>
        <v>0</v>
      </c>
      <c r="AM8" s="137" t="str">
        <f t="shared" si="6"/>
        <v>sam261_usb_wrap_0</v>
      </c>
    </row>
    <row r="9" spans="1:46" ht="12.6" customHeight="1" x14ac:dyDescent="0.2">
      <c r="A9" s="207" t="s">
        <v>6409</v>
      </c>
      <c r="B9" s="207" t="s">
        <v>11</v>
      </c>
      <c r="C9" s="209" t="str">
        <f t="shared" si="8"/>
        <v>am263p resolver</v>
      </c>
      <c r="D9" s="227" t="str">
        <f t="shared" si="0"/>
        <v>pg1</v>
      </c>
      <c r="E9" s="207" t="str">
        <f t="shared" si="0"/>
        <v>4 infra</v>
      </c>
      <c r="F9" s="207" t="str">
        <f t="shared" si="0"/>
        <v>mix</v>
      </c>
      <c r="G9" s="209">
        <v>1</v>
      </c>
      <c r="H9" s="216">
        <f t="shared" si="7"/>
        <v>23.9777503169963</v>
      </c>
      <c r="I9" s="228" t="s">
        <v>4872</v>
      </c>
      <c r="J9" s="209">
        <f t="shared" si="1"/>
        <v>200</v>
      </c>
      <c r="K9" s="207">
        <v>200</v>
      </c>
      <c r="L9" s="224">
        <f>Resolver_util</f>
        <v>0.1</v>
      </c>
      <c r="M9" s="229"/>
      <c r="N9" s="320">
        <f t="shared" si="2"/>
        <v>7.9579612920206353</v>
      </c>
      <c r="O9" s="320">
        <f t="shared" si="11"/>
        <v>16.019789024975665</v>
      </c>
      <c r="P9" s="320">
        <f t="shared" si="4"/>
        <v>0</v>
      </c>
      <c r="Q9" s="319"/>
      <c r="R9" s="319"/>
      <c r="S9" s="319"/>
      <c r="T9" s="319"/>
      <c r="U9" s="319"/>
      <c r="V9" s="319"/>
      <c r="W9" s="324" t="s">
        <v>5203</v>
      </c>
      <c r="X9" s="324" t="s">
        <v>8</v>
      </c>
      <c r="Y9" s="324" t="s">
        <v>61</v>
      </c>
      <c r="Z9" s="324" t="s">
        <v>6546</v>
      </c>
      <c r="AA9" s="324" t="s">
        <v>6546</v>
      </c>
      <c r="AB9" s="324" t="s">
        <v>6546</v>
      </c>
      <c r="AC9" s="321">
        <v>1</v>
      </c>
      <c r="AD9" s="248">
        <f t="shared" si="5"/>
        <v>1.9099999999999999E-2</v>
      </c>
      <c r="AE9" s="248">
        <f t="shared" si="5"/>
        <v>0.04</v>
      </c>
      <c r="AF9" s="248">
        <f t="shared" si="5"/>
        <v>0.06</v>
      </c>
      <c r="AG9" s="320">
        <f t="shared" si="5"/>
        <v>421.92</v>
      </c>
      <c r="AH9" s="320">
        <f t="shared" si="5"/>
        <v>363.36</v>
      </c>
      <c r="AI9" s="325">
        <f t="shared" si="5"/>
        <v>5.74E-2</v>
      </c>
      <c r="AJ9" s="325">
        <f t="shared" si="5"/>
        <v>0.58960000000000001</v>
      </c>
      <c r="AK9" s="325">
        <f t="shared" si="5"/>
        <v>0.35299999999999998</v>
      </c>
      <c r="AL9" s="325">
        <f t="shared" si="5"/>
        <v>0</v>
      </c>
      <c r="AM9" s="137" t="str">
        <f t="shared" si="6"/>
        <v>sam263p_resolver_0</v>
      </c>
    </row>
    <row r="10" spans="1:46" ht="12.6" customHeight="1" x14ac:dyDescent="0.2">
      <c r="A10" s="259" t="s">
        <v>6321</v>
      </c>
      <c r="B10" s="207" t="s">
        <v>11</v>
      </c>
      <c r="C10" s="209" t="str">
        <f>VLOOKUP($A10&amp;"_"&amp;C$2,MDB,6,0)</f>
        <v>r5fss am261 w TMU</v>
      </c>
      <c r="D10" s="227" t="str">
        <f t="shared" si="8"/>
        <v>pg1</v>
      </c>
      <c r="E10" s="207" t="str">
        <f t="shared" si="8"/>
        <v>1 processor</v>
      </c>
      <c r="F10" s="207" t="str">
        <f t="shared" si="8"/>
        <v>mcu</v>
      </c>
      <c r="G10" s="209">
        <v>0</v>
      </c>
      <c r="H10" s="216">
        <f t="shared" ca="1" si="7"/>
        <v>0</v>
      </c>
      <c r="I10" s="228" t="s">
        <v>4798</v>
      </c>
      <c r="J10" s="209">
        <f t="shared" si="9"/>
        <v>400</v>
      </c>
      <c r="K10" s="207">
        <f ca="1">IFERROR(INDEX(INDIRECT(uc_sheet&amp;"!$A$1"):INDIRECT(uc_sheet&amp;"!$CZ$1000"),MATCH($A10&amp;$B10,INDIRECT(uc_sheet&amp;"!$a$1"):INDIRECT(uc_sheet&amp;"!$a$1000"),0),MATCH(use_case,INDIRECT(uc_sheet&amp;"!$A$1"):INDIRECT(uc_sheet&amp;"!$CZ$1"),0)+1),0)</f>
        <v>0</v>
      </c>
      <c r="L10" s="224">
        <f ca="1">IFERROR(INDEX(INDIRECT(uc_sheet&amp;"!$A$1"):INDIRECT(uc_sheet&amp;"!$CZ$1000"),MATCH($A10&amp;$B10,INDIRECT(uc_sheet&amp;"!$a$1"):INDIRECT(uc_sheet&amp;"!$a$1000"),0),MATCH(use_case,INDIRECT(uc_sheet&amp;"!$A$1"):INDIRECT(uc_sheet&amp;"!$CZ$1"),0)),0)</f>
        <v>0</v>
      </c>
      <c r="M10" s="229"/>
      <c r="N10" s="320">
        <f>IFERROR(VLOOKUP($A10&amp;"_"&amp;N$2,MDB,6,0),0)*(Lkg_Scale_VDD_OSVT*$AI10+Lkg_Scale_VDD_XSVT*$AJ10+Lkg_Scale_VDD_SVT*$AK10+Lkg_Scale_VDD_LVT*$AL10)*$G10*IF($I10="off",4%,1)</f>
        <v>0</v>
      </c>
      <c r="O10" s="320">
        <f t="shared" ca="1" si="11"/>
        <v>0</v>
      </c>
      <c r="P10" s="320">
        <f t="shared" si="12"/>
        <v>0</v>
      </c>
      <c r="Q10" s="319"/>
      <c r="R10" s="319"/>
      <c r="S10" s="319"/>
      <c r="T10" s="319"/>
      <c r="U10" s="319"/>
      <c r="V10" s="319"/>
      <c r="W10" s="324" t="s">
        <v>5203</v>
      </c>
      <c r="X10" s="324" t="s">
        <v>40</v>
      </c>
      <c r="Y10" s="324" t="s">
        <v>40</v>
      </c>
      <c r="Z10" s="324" t="s">
        <v>6546</v>
      </c>
      <c r="AA10" s="324" t="s">
        <v>6546</v>
      </c>
      <c r="AB10" s="324" t="s">
        <v>6546</v>
      </c>
      <c r="AC10" s="321">
        <v>1</v>
      </c>
      <c r="AD10" s="320">
        <f t="shared" ref="AD10:AL10" si="13">IFERROR(VLOOKUP($A10&amp;"_"&amp;AD$2,MDB,6,0),0)</f>
        <v>1.2500000000000001E-2</v>
      </c>
      <c r="AE10" s="320">
        <f t="shared" si="13"/>
        <v>4.0500000000000001E-2</v>
      </c>
      <c r="AF10" s="320">
        <f t="shared" si="13"/>
        <v>0.06</v>
      </c>
      <c r="AG10" s="320">
        <f t="shared" si="13"/>
        <v>2091.6</v>
      </c>
      <c r="AH10" s="320">
        <f t="shared" si="13"/>
        <v>2870.8</v>
      </c>
      <c r="AI10" s="325">
        <f t="shared" si="13"/>
        <v>0.22274270384286995</v>
      </c>
      <c r="AJ10" s="325">
        <f t="shared" si="13"/>
        <v>0.45042739886952715</v>
      </c>
      <c r="AK10" s="325">
        <f t="shared" si="13"/>
        <v>0.32682989728760298</v>
      </c>
      <c r="AL10" s="325">
        <f t="shared" si="13"/>
        <v>0</v>
      </c>
      <c r="AM10" s="137" t="str">
        <f t="shared" si="6"/>
        <v>sam261_cortexr5ss_wrap_0</v>
      </c>
    </row>
    <row r="11" spans="1:46" ht="12.6" customHeight="1" x14ac:dyDescent="0.2">
      <c r="A11" s="259" t="s">
        <v>4728</v>
      </c>
      <c r="B11" s="207" t="s">
        <v>11</v>
      </c>
      <c r="C11" s="209" t="str">
        <f t="shared" si="0"/>
        <v>c66 tpr12</v>
      </c>
      <c r="D11" s="227" t="str">
        <f t="shared" si="0"/>
        <v>pg1</v>
      </c>
      <c r="E11" s="207" t="str">
        <f t="shared" si="0"/>
        <v>2 aspe</v>
      </c>
      <c r="F11" s="207" t="str">
        <f t="shared" si="0"/>
        <v>dsp</v>
      </c>
      <c r="G11" s="209">
        <v>0</v>
      </c>
      <c r="H11" s="216">
        <f t="shared" ca="1" si="7"/>
        <v>0</v>
      </c>
      <c r="I11" s="228" t="s">
        <v>4798</v>
      </c>
      <c r="J11" s="209">
        <f t="shared" si="1"/>
        <v>450</v>
      </c>
      <c r="K11" s="207">
        <f ca="1">IFERROR(INDEX(INDIRECT(uc_sheet&amp;"!$A$1"):INDIRECT(uc_sheet&amp;"!$CZ$1000"),MATCH($A11&amp;$B11,INDIRECT(uc_sheet&amp;"!$a$1"):INDIRECT(uc_sheet&amp;"!$a$1000"),0),MATCH(use_case,INDIRECT(uc_sheet&amp;"!$A$1"):INDIRECT(uc_sheet&amp;"!$CZ$1"),0)+1),0)</f>
        <v>0</v>
      </c>
      <c r="L11" s="224">
        <f ca="1">IFERROR(INDEX(INDIRECT(uc_sheet&amp;"!$A$1"):INDIRECT(uc_sheet&amp;"!$CZ$1000"),MATCH($A11&amp;$B11,INDIRECT(uc_sheet&amp;"!$a$1"):INDIRECT(uc_sheet&amp;"!$a$1000"),0),MATCH(use_case,INDIRECT(uc_sheet&amp;"!$A$1"):INDIRECT(uc_sheet&amp;"!$CZ$1"),0)),0)</f>
        <v>0</v>
      </c>
      <c r="M11" s="229"/>
      <c r="N11" s="320">
        <f t="shared" si="2"/>
        <v>0</v>
      </c>
      <c r="O11" s="320">
        <f t="shared" ca="1" si="3"/>
        <v>0</v>
      </c>
      <c r="P11" s="320">
        <f t="shared" si="4"/>
        <v>0</v>
      </c>
      <c r="Q11" s="319"/>
      <c r="R11" s="319"/>
      <c r="S11" s="319"/>
      <c r="T11" s="319"/>
      <c r="U11" s="319"/>
      <c r="V11" s="319"/>
      <c r="W11" s="324" t="s">
        <v>5203</v>
      </c>
      <c r="X11" s="324" t="s">
        <v>40</v>
      </c>
      <c r="Y11" s="324" t="s">
        <v>40</v>
      </c>
      <c r="Z11" s="324" t="s">
        <v>6546</v>
      </c>
      <c r="AA11" s="324" t="s">
        <v>6546</v>
      </c>
      <c r="AB11" s="324" t="s">
        <v>6546</v>
      </c>
      <c r="AC11" s="321" t="s">
        <v>40</v>
      </c>
      <c r="AD11" s="320">
        <f t="shared" si="5"/>
        <v>1.7500000000000002E-2</v>
      </c>
      <c r="AE11" s="320">
        <f t="shared" si="5"/>
        <v>0.04</v>
      </c>
      <c r="AF11" s="320">
        <f t="shared" si="5"/>
        <v>0.06</v>
      </c>
      <c r="AG11" s="320">
        <f t="shared" si="5"/>
        <v>5364</v>
      </c>
      <c r="AH11" s="320">
        <f t="shared" si="5"/>
        <v>0.06</v>
      </c>
      <c r="AI11" s="325">
        <f t="shared" si="5"/>
        <v>1.9E-3</v>
      </c>
      <c r="AJ11" s="325">
        <f t="shared" si="5"/>
        <v>0.22949999999999998</v>
      </c>
      <c r="AK11" s="325">
        <f t="shared" si="5"/>
        <v>0.76760000000000006</v>
      </c>
      <c r="AL11" s="325">
        <f t="shared" si="5"/>
        <v>0</v>
      </c>
      <c r="AM11" s="137" t="str">
        <f t="shared" si="6"/>
        <v>I_radar_c66_corepac_0</v>
      </c>
    </row>
    <row r="12" spans="1:46" ht="12.6" customHeight="1" x14ac:dyDescent="0.2">
      <c r="A12" s="207" t="s">
        <v>5462</v>
      </c>
      <c r="B12" s="207" t="s">
        <v>11</v>
      </c>
      <c r="C12" s="209" t="str">
        <f t="shared" si="0"/>
        <v>hwa</v>
      </c>
      <c r="D12" s="227" t="str">
        <f t="shared" si="0"/>
        <v>pg1</v>
      </c>
      <c r="E12" s="207" t="str">
        <f t="shared" si="0"/>
        <v>2 aspe</v>
      </c>
      <c r="F12" s="207" t="str">
        <f t="shared" si="0"/>
        <v>dsp</v>
      </c>
      <c r="G12" s="209">
        <v>0</v>
      </c>
      <c r="H12" s="216">
        <f t="shared" ca="1" si="7"/>
        <v>0</v>
      </c>
      <c r="I12" s="228" t="s">
        <v>4798</v>
      </c>
      <c r="J12" s="209">
        <f t="shared" si="1"/>
        <v>400</v>
      </c>
      <c r="K12" s="207">
        <f ca="1">IFERROR(INDEX(INDIRECT(uc_sheet&amp;"!$A$1"):INDIRECT(uc_sheet&amp;"!$CZ$1000"),MATCH($A12&amp;$B12,INDIRECT(uc_sheet&amp;"!$a$1"):INDIRECT(uc_sheet&amp;"!$a$1000"),0),MATCH(use_case,INDIRECT(uc_sheet&amp;"!$A$1"):INDIRECT(uc_sheet&amp;"!$CZ$1"),0)+1),0)</f>
        <v>0</v>
      </c>
      <c r="L12" s="224">
        <f ca="1">IFERROR(INDEX(INDIRECT(uc_sheet&amp;"!$A$1"):INDIRECT(uc_sheet&amp;"!$CZ$1000"),MATCH($A12&amp;$B12,INDIRECT(uc_sheet&amp;"!$a$1"):INDIRECT(uc_sheet&amp;"!$a$1000"),0),MATCH(use_case,INDIRECT(uc_sheet&amp;"!$A$1"):INDIRECT(uc_sheet&amp;"!$CZ$1"),0)),0)</f>
        <v>0</v>
      </c>
      <c r="M12" s="229"/>
      <c r="N12" s="320">
        <f t="shared" si="2"/>
        <v>0</v>
      </c>
      <c r="O12" s="320">
        <f t="shared" ca="1" si="3"/>
        <v>0</v>
      </c>
      <c r="P12" s="320">
        <f t="shared" si="4"/>
        <v>0</v>
      </c>
      <c r="Q12" s="319"/>
      <c r="R12" s="319"/>
      <c r="S12" s="319"/>
      <c r="T12" s="319"/>
      <c r="U12" s="319"/>
      <c r="V12" s="319"/>
      <c r="W12" s="324" t="s">
        <v>5203</v>
      </c>
      <c r="X12" s="324" t="s">
        <v>40</v>
      </c>
      <c r="Y12" s="324" t="s">
        <v>40</v>
      </c>
      <c r="Z12" s="324" t="s">
        <v>6546</v>
      </c>
      <c r="AA12" s="324" t="s">
        <v>6546</v>
      </c>
      <c r="AB12" s="324" t="s">
        <v>6546</v>
      </c>
      <c r="AC12" s="321" t="s">
        <v>40</v>
      </c>
      <c r="AD12" s="320">
        <f t="shared" si="5"/>
        <v>1.9199999999999998E-2</v>
      </c>
      <c r="AE12" s="320">
        <f t="shared" si="5"/>
        <v>6.9938664453052898E-2</v>
      </c>
      <c r="AF12" s="320">
        <f t="shared" si="5"/>
        <v>0.1</v>
      </c>
      <c r="AG12" s="320">
        <f t="shared" si="5"/>
        <v>2228</v>
      </c>
      <c r="AH12" s="320">
        <f t="shared" si="5"/>
        <v>2108.8000000000002</v>
      </c>
      <c r="AI12" s="325">
        <f t="shared" si="5"/>
        <v>0</v>
      </c>
      <c r="AJ12" s="325">
        <f t="shared" si="5"/>
        <v>0.43829999999999997</v>
      </c>
      <c r="AK12" s="325">
        <f t="shared" si="5"/>
        <v>0.55830000000000002</v>
      </c>
      <c r="AL12" s="325">
        <f t="shared" si="5"/>
        <v>0</v>
      </c>
      <c r="AM12" s="137" t="str">
        <f t="shared" si="6"/>
        <v>radar_hwa_top_0</v>
      </c>
    </row>
    <row r="13" spans="1:46" ht="12.6" customHeight="1" x14ac:dyDescent="0.2">
      <c r="A13" s="207" t="s">
        <v>5463</v>
      </c>
      <c r="B13" s="207" t="s">
        <v>11</v>
      </c>
      <c r="C13" s="209" t="str">
        <f t="shared" si="0"/>
        <v>mcaspx3</v>
      </c>
      <c r="D13" s="227" t="str">
        <f t="shared" si="0"/>
        <v>pg1</v>
      </c>
      <c r="E13" s="207" t="str">
        <f t="shared" si="0"/>
        <v>3 periph</v>
      </c>
      <c r="F13" s="207" t="str">
        <f t="shared" si="0"/>
        <v>audio</v>
      </c>
      <c r="G13" s="209">
        <v>0</v>
      </c>
      <c r="H13" s="216">
        <f t="shared" ca="1" si="7"/>
        <v>0</v>
      </c>
      <c r="I13" s="228" t="s">
        <v>4798</v>
      </c>
      <c r="J13" s="209">
        <f t="shared" si="1"/>
        <v>200</v>
      </c>
      <c r="K13" s="207">
        <f ca="1">IFERROR(INDEX(INDIRECT(uc_sheet&amp;"!$A$1"):INDIRECT(uc_sheet&amp;"!$CZ$1000"),MATCH($A13&amp;$B13,INDIRECT(uc_sheet&amp;"!$a$1"):INDIRECT(uc_sheet&amp;"!$a$1000"),0),MATCH(use_case,INDIRECT(uc_sheet&amp;"!$A$1"):INDIRECT(uc_sheet&amp;"!$CZ$1"),0)+1),0)</f>
        <v>0</v>
      </c>
      <c r="L13" s="224">
        <f ca="1">IFERROR(INDEX(INDIRECT(uc_sheet&amp;"!$A$1"):INDIRECT(uc_sheet&amp;"!$CZ$1000"),MATCH($A13&amp;$B13,INDIRECT(uc_sheet&amp;"!$a$1"):INDIRECT(uc_sheet&amp;"!$a$1000"),0),MATCH(use_case,INDIRECT(uc_sheet&amp;"!$A$1"):INDIRECT(uc_sheet&amp;"!$CZ$1"),0)),0)</f>
        <v>0</v>
      </c>
      <c r="M13" s="229"/>
      <c r="N13" s="320">
        <f t="shared" si="2"/>
        <v>0</v>
      </c>
      <c r="O13" s="320">
        <f t="shared" ca="1" si="3"/>
        <v>0</v>
      </c>
      <c r="P13" s="320">
        <f t="shared" si="4"/>
        <v>0</v>
      </c>
      <c r="Q13" s="319"/>
      <c r="R13" s="319"/>
      <c r="S13" s="319"/>
      <c r="T13" s="319"/>
      <c r="U13" s="319"/>
      <c r="V13" s="319"/>
      <c r="W13" s="324" t="s">
        <v>5203</v>
      </c>
      <c r="X13" s="324" t="s">
        <v>40</v>
      </c>
      <c r="Y13" s="324" t="s">
        <v>40</v>
      </c>
      <c r="Z13" s="324" t="s">
        <v>6546</v>
      </c>
      <c r="AA13" s="324" t="s">
        <v>6546</v>
      </c>
      <c r="AB13" s="324" t="s">
        <v>6546</v>
      </c>
      <c r="AC13" s="321" t="s">
        <v>40</v>
      </c>
      <c r="AD13" s="320">
        <f t="shared" si="5"/>
        <v>5.0200000000000002E-2</v>
      </c>
      <c r="AE13" s="320">
        <f t="shared" si="5"/>
        <v>0.04</v>
      </c>
      <c r="AF13" s="320">
        <f t="shared" si="5"/>
        <v>0.06</v>
      </c>
      <c r="AG13" s="320">
        <f t="shared" si="5"/>
        <v>96.96</v>
      </c>
      <c r="AH13" s="320">
        <f t="shared" si="5"/>
        <v>98.72</v>
      </c>
      <c r="AI13" s="325">
        <f t="shared" si="5"/>
        <v>1.1999999999999999E-3</v>
      </c>
      <c r="AJ13" s="325">
        <f t="shared" si="5"/>
        <v>7.9899999999999999E-2</v>
      </c>
      <c r="AK13" s="325">
        <f t="shared" si="5"/>
        <v>0.92</v>
      </c>
      <c r="AL13" s="325">
        <f t="shared" si="5"/>
        <v>0</v>
      </c>
      <c r="AM13" s="137" t="str">
        <f t="shared" si="6"/>
        <v>radar_mcasp_wrap_0</v>
      </c>
    </row>
    <row r="14" spans="1:46" ht="12.6" customHeight="1" x14ac:dyDescent="0.2">
      <c r="A14" s="207" t="s">
        <v>6215</v>
      </c>
      <c r="B14" s="207" t="s">
        <v>11</v>
      </c>
      <c r="C14" s="209" t="str">
        <f t="shared" si="0"/>
        <v>usb2 controller</v>
      </c>
      <c r="D14" s="227">
        <f t="shared" si="0"/>
        <v>44797</v>
      </c>
      <c r="E14" s="207" t="str">
        <f t="shared" si="0"/>
        <v>3 periph</v>
      </c>
      <c r="F14" s="207" t="str">
        <f t="shared" si="0"/>
        <v>c2c</v>
      </c>
      <c r="G14" s="209">
        <v>0</v>
      </c>
      <c r="H14" s="216">
        <f t="shared" ca="1" si="7"/>
        <v>0</v>
      </c>
      <c r="I14" s="228" t="s">
        <v>4798</v>
      </c>
      <c r="J14" s="209">
        <f t="shared" si="1"/>
        <v>600</v>
      </c>
      <c r="K14" s="207">
        <f ca="1">IFERROR(INDEX(INDIRECT(uc_sheet&amp;"!$A$1"):INDIRECT(uc_sheet&amp;"!$CZ$1000"),MATCH($A14&amp;$B14,INDIRECT(uc_sheet&amp;"!$a$1"):INDIRECT(uc_sheet&amp;"!$a$1000"),0),MATCH(use_case,INDIRECT(uc_sheet&amp;"!$A$1"):INDIRECT(uc_sheet&amp;"!$CZ$1"),0)+1),0)</f>
        <v>0</v>
      </c>
      <c r="L14" s="224">
        <f ca="1">IFERROR(INDEX(INDIRECT(uc_sheet&amp;"!$A$1"):INDIRECT(uc_sheet&amp;"!$CZ$1000"),MATCH($A14&amp;$B14,INDIRECT(uc_sheet&amp;"!$a$1"):INDIRECT(uc_sheet&amp;"!$a$1000"),0),MATCH(use_case,INDIRECT(uc_sheet&amp;"!$A$1"):INDIRECT(uc_sheet&amp;"!$CZ$1"),0)),0)</f>
        <v>0</v>
      </c>
      <c r="M14" s="229"/>
      <c r="N14" s="320">
        <f t="shared" si="2"/>
        <v>0</v>
      </c>
      <c r="O14" s="320">
        <f t="shared" ca="1" si="3"/>
        <v>0</v>
      </c>
      <c r="P14" s="320">
        <f t="shared" si="4"/>
        <v>0</v>
      </c>
      <c r="Q14" s="319"/>
      <c r="R14" s="319"/>
      <c r="S14" s="319"/>
      <c r="T14" s="319"/>
      <c r="U14" s="319"/>
      <c r="V14" s="319"/>
      <c r="W14" s="324" t="s">
        <v>5203</v>
      </c>
      <c r="X14" s="324" t="s">
        <v>40</v>
      </c>
      <c r="Y14" s="324" t="s">
        <v>40</v>
      </c>
      <c r="Z14" s="324" t="s">
        <v>6546</v>
      </c>
      <c r="AA14" s="324" t="s">
        <v>6546</v>
      </c>
      <c r="AB14" s="324" t="s">
        <v>6546</v>
      </c>
      <c r="AC14" s="321" t="s">
        <v>40</v>
      </c>
      <c r="AD14" s="320">
        <f t="shared" si="5"/>
        <v>1.9099999999999999E-2</v>
      </c>
      <c r="AE14" s="320">
        <f t="shared" si="5"/>
        <v>0.04</v>
      </c>
      <c r="AF14" s="320">
        <f t="shared" si="5"/>
        <v>0.06</v>
      </c>
      <c r="AG14" s="320">
        <f t="shared" si="5"/>
        <v>1408.23495</v>
      </c>
      <c r="AH14" s="320">
        <f t="shared" si="5"/>
        <v>1735.7314500000002</v>
      </c>
      <c r="AI14" s="325">
        <f t="shared" si="5"/>
        <v>2.865768703421815E-3</v>
      </c>
      <c r="AJ14" s="325">
        <f t="shared" si="5"/>
        <v>9.4327481983179098E-2</v>
      </c>
      <c r="AK14" s="325">
        <f t="shared" si="5"/>
        <v>0.9028067493133991</v>
      </c>
      <c r="AL14" s="325">
        <f t="shared" si="5"/>
        <v>0</v>
      </c>
      <c r="AM14" s="137" t="str">
        <f t="shared" si="6"/>
        <v>sam240_usb_wrap_0</v>
      </c>
    </row>
    <row r="15" spans="1:46" ht="12.6" customHeight="1" x14ac:dyDescent="0.2">
      <c r="A15" s="207" t="s">
        <v>4719</v>
      </c>
      <c r="B15" s="207" t="s">
        <v>11</v>
      </c>
      <c r="C15" s="209" t="str">
        <f t="shared" si="0"/>
        <v>cpsw3</v>
      </c>
      <c r="D15" s="227" t="str">
        <f t="shared" si="0"/>
        <v>pg1</v>
      </c>
      <c r="E15" s="207" t="str">
        <f t="shared" si="0"/>
        <v>3 periph</v>
      </c>
      <c r="F15" s="207" t="str">
        <f t="shared" si="0"/>
        <v>networking</v>
      </c>
      <c r="G15" s="209">
        <v>0</v>
      </c>
      <c r="H15" s="216">
        <f t="shared" ca="1" si="7"/>
        <v>0</v>
      </c>
      <c r="I15" s="228" t="s">
        <v>4872</v>
      </c>
      <c r="J15" s="209">
        <f t="shared" si="1"/>
        <v>240</v>
      </c>
      <c r="K15" s="207">
        <f ca="1">IFERROR(INDEX(INDIRECT(uc_sheet&amp;"!$A$1"):INDIRECT(uc_sheet&amp;"!$CZ$1000"),MATCH($A15&amp;$B15,INDIRECT(uc_sheet&amp;"!$a$1"):INDIRECT(uc_sheet&amp;"!$a$1000"),0),MATCH(use_case,INDIRECT(uc_sheet&amp;"!$A$1"):INDIRECT(uc_sheet&amp;"!$CZ$1"),0)+1),0)</f>
        <v>0</v>
      </c>
      <c r="L15" s="224">
        <f ca="1">IFERROR(INDEX(INDIRECT(uc_sheet&amp;"!$A$1"):INDIRECT(uc_sheet&amp;"!$CZ$1000"),MATCH($A15&amp;$B15,INDIRECT(uc_sheet&amp;"!$a$1"):INDIRECT(uc_sheet&amp;"!$a$1000"),0),MATCH(use_case,INDIRECT(uc_sheet&amp;"!$A$1"):INDIRECT(uc_sheet&amp;"!$CZ$1"),0)),0)</f>
        <v>0</v>
      </c>
      <c r="M15" s="229"/>
      <c r="N15" s="320">
        <f t="shared" si="2"/>
        <v>0</v>
      </c>
      <c r="O15" s="322">
        <f t="shared" ca="1" si="3"/>
        <v>0</v>
      </c>
      <c r="P15" s="320">
        <f t="shared" si="4"/>
        <v>0</v>
      </c>
      <c r="Q15" s="319"/>
      <c r="R15" s="319"/>
      <c r="S15" s="319"/>
      <c r="T15" s="319"/>
      <c r="U15" s="319"/>
      <c r="V15" s="319"/>
      <c r="W15" s="324" t="s">
        <v>5203</v>
      </c>
      <c r="X15" s="324" t="s">
        <v>8</v>
      </c>
      <c r="Y15" s="324" t="s">
        <v>61</v>
      </c>
      <c r="Z15" s="324" t="s">
        <v>6546</v>
      </c>
      <c r="AA15" s="324" t="s">
        <v>6546</v>
      </c>
      <c r="AB15" s="324" t="s">
        <v>6546</v>
      </c>
      <c r="AC15" s="321">
        <v>0</v>
      </c>
      <c r="AD15" s="249">
        <f t="shared" si="5"/>
        <v>3.6478658536585364E-2</v>
      </c>
      <c r="AE15" s="248">
        <f t="shared" si="5"/>
        <v>0.04</v>
      </c>
      <c r="AF15" s="320">
        <f t="shared" si="5"/>
        <v>0.06</v>
      </c>
      <c r="AG15" s="320">
        <f t="shared" si="5"/>
        <v>1062.4000000000001</v>
      </c>
      <c r="AH15" s="320">
        <f t="shared" si="5"/>
        <v>1713.6</v>
      </c>
      <c r="AI15" s="325">
        <f t="shared" si="5"/>
        <v>2.865768703421815E-3</v>
      </c>
      <c r="AJ15" s="325">
        <f t="shared" si="5"/>
        <v>9.4327481983179098E-2</v>
      </c>
      <c r="AK15" s="325">
        <f t="shared" si="5"/>
        <v>0.9028067493133991</v>
      </c>
      <c r="AL15" s="325">
        <f t="shared" si="5"/>
        <v>0</v>
      </c>
      <c r="AM15" s="137" t="str">
        <f t="shared" si="6"/>
        <v>I_cpsw_3gcss_wrap_0</v>
      </c>
    </row>
    <row r="16" spans="1:46" ht="12.6" customHeight="1" x14ac:dyDescent="0.2">
      <c r="A16" s="207" t="s">
        <v>4729</v>
      </c>
      <c r="B16" s="207" t="s">
        <v>11</v>
      </c>
      <c r="C16" s="209" t="str">
        <f t="shared" si="0"/>
        <v>cpsw</v>
      </c>
      <c r="D16" s="227" t="str">
        <f t="shared" si="0"/>
        <v>pg1</v>
      </c>
      <c r="E16" s="207" t="str">
        <f t="shared" si="0"/>
        <v>3 periph</v>
      </c>
      <c r="F16" s="207" t="str">
        <f t="shared" si="0"/>
        <v>networking</v>
      </c>
      <c r="G16" s="209">
        <v>0</v>
      </c>
      <c r="H16" s="216">
        <f t="shared" ca="1" si="7"/>
        <v>0</v>
      </c>
      <c r="I16" s="228" t="s">
        <v>4798</v>
      </c>
      <c r="J16" s="209">
        <f t="shared" si="1"/>
        <v>200</v>
      </c>
      <c r="K16" s="207">
        <f ca="1">IFERROR(INDEX(INDIRECT(uc_sheet&amp;"!$A$1"):INDIRECT(uc_sheet&amp;"!$CZ$1000"),MATCH($A16&amp;$B16,INDIRECT(uc_sheet&amp;"!$a$1"):INDIRECT(uc_sheet&amp;"!$a$1000"),0),MATCH(use_case,INDIRECT(uc_sheet&amp;"!$A$1"):INDIRECT(uc_sheet&amp;"!$CZ$1"),0)+1),0)</f>
        <v>0</v>
      </c>
      <c r="L16" s="224">
        <f ca="1">IFERROR(INDEX(INDIRECT(uc_sheet&amp;"!$A$1"):INDIRECT(uc_sheet&amp;"!$CZ$1000"),MATCH($A16&amp;$B16,INDIRECT(uc_sheet&amp;"!$a$1"):INDIRECT(uc_sheet&amp;"!$a$1000"),0),MATCH(use_case,INDIRECT(uc_sheet&amp;"!$A$1"):INDIRECT(uc_sheet&amp;"!$CZ$1"),0)),0)</f>
        <v>0</v>
      </c>
      <c r="M16" s="229"/>
      <c r="N16" s="320">
        <f t="shared" si="2"/>
        <v>0</v>
      </c>
      <c r="O16" s="320">
        <f t="shared" ca="1" si="3"/>
        <v>0</v>
      </c>
      <c r="P16" s="320">
        <f t="shared" si="4"/>
        <v>0</v>
      </c>
      <c r="Q16" s="319"/>
      <c r="R16" s="319"/>
      <c r="S16" s="319"/>
      <c r="T16" s="319"/>
      <c r="U16" s="319"/>
      <c r="V16" s="319"/>
      <c r="W16" s="324" t="s">
        <v>5203</v>
      </c>
      <c r="X16" s="324" t="s">
        <v>40</v>
      </c>
      <c r="Y16" s="324" t="s">
        <v>40</v>
      </c>
      <c r="Z16" s="324" t="s">
        <v>6546</v>
      </c>
      <c r="AA16" s="324" t="s">
        <v>6546</v>
      </c>
      <c r="AB16" s="324" t="s">
        <v>6546</v>
      </c>
      <c r="AC16" s="321" t="s">
        <v>40</v>
      </c>
      <c r="AD16" s="320">
        <f t="shared" ref="AD16:AL31" si="14">IFERROR(VLOOKUP($A16&amp;"_"&amp;AD$2,MDB,6,0),0)</f>
        <v>3.6478658536585364E-2</v>
      </c>
      <c r="AE16" s="320">
        <f t="shared" si="14"/>
        <v>0.04</v>
      </c>
      <c r="AF16" s="320">
        <f t="shared" si="14"/>
        <v>0.06</v>
      </c>
      <c r="AG16" s="320">
        <f t="shared" si="14"/>
        <v>518.64</v>
      </c>
      <c r="AH16" s="320">
        <f t="shared" si="14"/>
        <v>616.88</v>
      </c>
      <c r="AI16" s="325">
        <f t="shared" si="14"/>
        <v>1.1699999999999999E-2</v>
      </c>
      <c r="AJ16" s="325">
        <f t="shared" si="14"/>
        <v>0.71609999999999996</v>
      </c>
      <c r="AK16" s="325">
        <f t="shared" si="14"/>
        <v>0.26890000000000003</v>
      </c>
      <c r="AL16" s="325">
        <f t="shared" si="14"/>
        <v>0</v>
      </c>
      <c r="AM16" s="137" t="str">
        <f t="shared" si="6"/>
        <v>I_cpsw_top_wrap_0</v>
      </c>
    </row>
    <row r="17" spans="1:39" ht="12.6" customHeight="1" x14ac:dyDescent="0.2">
      <c r="A17" s="207" t="s">
        <v>6347</v>
      </c>
      <c r="B17" s="207" t="s">
        <v>11</v>
      </c>
      <c r="C17" s="209" t="str">
        <f t="shared" ref="C17:F18" si="15">VLOOKUP($A17&amp;"_"&amp;C$2,MDB,6,0)</f>
        <v>cpsw3</v>
      </c>
      <c r="D17" s="227" t="str">
        <f t="shared" si="15"/>
        <v>pg1</v>
      </c>
      <c r="E17" s="207" t="str">
        <f t="shared" si="15"/>
        <v>3 periph</v>
      </c>
      <c r="F17" s="207" t="str">
        <f t="shared" si="15"/>
        <v>networking</v>
      </c>
      <c r="G17" s="209">
        <v>0</v>
      </c>
      <c r="H17" s="216">
        <f t="shared" ca="1" si="7"/>
        <v>0</v>
      </c>
      <c r="I17" s="228" t="s">
        <v>4872</v>
      </c>
      <c r="J17" s="209">
        <f t="shared" ref="J17:J18" si="16">IFERROR(VLOOKUP($A17&amp;"_"&amp;J$2,MDB,6,0),0)</f>
        <v>240</v>
      </c>
      <c r="K17" s="207">
        <f ca="1">IFERROR(INDEX(INDIRECT(uc_sheet&amp;"!$A$1"):INDIRECT(uc_sheet&amp;"!$CZ$1000"),MATCH($A17&amp;$B17,INDIRECT(uc_sheet&amp;"!$a$1"):INDIRECT(uc_sheet&amp;"!$a$1000"),0),MATCH(use_case,INDIRECT(uc_sheet&amp;"!$A$1"):INDIRECT(uc_sheet&amp;"!$CZ$1"),0)+1),0)</f>
        <v>0</v>
      </c>
      <c r="L17" s="224">
        <f ca="1">IFERROR(INDEX(INDIRECT(uc_sheet&amp;"!$A$1"):INDIRECT(uc_sheet&amp;"!$CZ$1000"),MATCH($A17&amp;$B17,INDIRECT(uc_sheet&amp;"!$a$1"):INDIRECT(uc_sheet&amp;"!$a$1000"),0),MATCH(use_case,INDIRECT(uc_sheet&amp;"!$A$1"):INDIRECT(uc_sheet&amp;"!$CZ$1"),0)),0)</f>
        <v>0</v>
      </c>
      <c r="M17" s="229"/>
      <c r="N17" s="320">
        <f t="shared" ref="N17:N18" si="17">IFERROR(VLOOKUP($A17&amp;"_"&amp;N$2,MDB,6,0),0)*(Lkg_Scale_VDD_OSVT*$AI17+Lkg_Scale_VDD_XSVT*$AJ17+Lkg_Scale_VDD_SVT*$AK17+Lkg_Scale_VDD_LVT*$AL17)*$G17*IF($I17="off",4%,1)</f>
        <v>0</v>
      </c>
      <c r="O17" s="320">
        <f t="shared" ref="O17" ca="1" si="18">(AG17*(Dyn_Int_Scale_OSVT*$AI17+Dyn_Int_Scale_XSVT*$AJ17+Dyn_Int_Scale_SVT*$AK17+Dyn_Int_Scale_LVT*$AL17)+AH17*(Dyn_Sw_Scale_OSVT*$AI17+Dyn_Sw_Scale_XSVT*$AJ17+Dyn_Sw_Scale_SVT*$AK17+Dyn_Sw_Scale_LVT*$AL17))*G17*IF(I17="off",0,1)*IF(L17=0,0.1%,1)*(AD17+(AE17-AD17)*L17)*(K17/J17)</f>
        <v>0</v>
      </c>
      <c r="P17" s="320">
        <f t="shared" ref="P17:P18" si="19">IFERROR(VLOOKUP($A17&amp;"_"&amp;P$2,MDB,6,0),0)*(Lkg_Scale_VDDAR_OSVT*$AI17+Lkg_Scale_VDDAR_XSVT*$AJ17+Lkg_Scale_VDDAR_SVT*$AK17+Lkg_Scale_VDDAR_LVT*$AL17)*$G17*IF($I17="off",4%,1)</f>
        <v>0</v>
      </c>
      <c r="Q17" s="319"/>
      <c r="R17" s="319"/>
      <c r="S17" s="319"/>
      <c r="T17" s="319"/>
      <c r="U17" s="319"/>
      <c r="V17" s="319"/>
      <c r="W17" s="324" t="s">
        <v>5203</v>
      </c>
      <c r="X17" s="324" t="s">
        <v>8</v>
      </c>
      <c r="Y17" s="324" t="s">
        <v>61</v>
      </c>
      <c r="Z17" s="324" t="s">
        <v>6546</v>
      </c>
      <c r="AA17" s="324" t="s">
        <v>6546</v>
      </c>
      <c r="AB17" s="324" t="s">
        <v>6546</v>
      </c>
      <c r="AC17" s="321">
        <v>0</v>
      </c>
      <c r="AD17" s="248">
        <f t="shared" ref="AD17:AL18" si="20">IFERROR(VLOOKUP($A17&amp;"_"&amp;AD$2,MDB,6,0),0)</f>
        <v>3.6478658536585364E-2</v>
      </c>
      <c r="AE17" s="248">
        <f t="shared" si="20"/>
        <v>0.04</v>
      </c>
      <c r="AF17" s="248">
        <f t="shared" si="20"/>
        <v>0.06</v>
      </c>
      <c r="AG17" s="320">
        <f t="shared" si="20"/>
        <v>1062.4000000000001</v>
      </c>
      <c r="AH17" s="320">
        <f t="shared" si="20"/>
        <v>1713.6</v>
      </c>
      <c r="AI17" s="325">
        <f t="shared" si="20"/>
        <v>0</v>
      </c>
      <c r="AJ17" s="325">
        <f t="shared" si="20"/>
        <v>0.5</v>
      </c>
      <c r="AK17" s="325">
        <f t="shared" si="20"/>
        <v>0.5</v>
      </c>
      <c r="AL17" s="325">
        <f t="shared" si="20"/>
        <v>0</v>
      </c>
      <c r="AM17" s="137" t="str">
        <f t="shared" si="6"/>
        <v>sam261_cpsw_3gcss_wrap_0</v>
      </c>
    </row>
    <row r="18" spans="1:39" ht="12.6" customHeight="1" x14ac:dyDescent="0.2">
      <c r="A18" s="207" t="s">
        <v>6347</v>
      </c>
      <c r="B18" s="207" t="s">
        <v>12</v>
      </c>
      <c r="C18" s="209" t="str">
        <f t="shared" si="15"/>
        <v>cpsw3</v>
      </c>
      <c r="D18" s="227" t="str">
        <f t="shared" si="15"/>
        <v>pg1</v>
      </c>
      <c r="E18" s="207" t="str">
        <f t="shared" si="15"/>
        <v>3 periph</v>
      </c>
      <c r="F18" s="207" t="str">
        <f t="shared" si="15"/>
        <v>networking</v>
      </c>
      <c r="G18" s="209">
        <v>0</v>
      </c>
      <c r="H18" s="216">
        <f t="shared" ca="1" si="7"/>
        <v>0</v>
      </c>
      <c r="I18" s="228" t="s">
        <v>4872</v>
      </c>
      <c r="J18" s="209">
        <f t="shared" si="16"/>
        <v>240</v>
      </c>
      <c r="K18" s="207">
        <f ca="1">IFERROR(INDEX(INDIRECT(uc_sheet&amp;"!$A$1"):INDIRECT(uc_sheet&amp;"!$CZ$1000"),MATCH($A18&amp;$B18,INDIRECT(uc_sheet&amp;"!$a$1"):INDIRECT(uc_sheet&amp;"!$a$1000"),0),MATCH(use_case,INDIRECT(uc_sheet&amp;"!$A$1"):INDIRECT(uc_sheet&amp;"!$CZ$1"),0)+1),0)</f>
        <v>0</v>
      </c>
      <c r="L18" s="224">
        <f ca="1">IFERROR(INDEX(INDIRECT(uc_sheet&amp;"!$A$1"):INDIRECT(uc_sheet&amp;"!$CZ$1000"),MATCH($A18&amp;$B18,INDIRECT(uc_sheet&amp;"!$a$1"):INDIRECT(uc_sheet&amp;"!$a$1000"),0),MATCH(use_case,INDIRECT(uc_sheet&amp;"!$A$1"):INDIRECT(uc_sheet&amp;"!$CZ$1"),0)),0)</f>
        <v>0</v>
      </c>
      <c r="M18" s="229"/>
      <c r="N18" s="320">
        <f t="shared" si="17"/>
        <v>0</v>
      </c>
      <c r="O18" s="320">
        <f t="shared" ref="O18" ca="1" si="21">(AG18*(Dyn_Int_Scale_OSVT*$AI18+Dyn_Int_Scale_XSVT*$AJ18+Dyn_Int_Scale_SVT*$AK18+Dyn_Int_Scale_LVT*$AL18)+AH18*(Dyn_Sw_Scale_OSVT*$AI18+Dyn_Sw_Scale_XSVT*$AJ18+Dyn_Sw_Scale_SVT*$AK18+Dyn_Sw_Scale_LVT*$AL18))*G18*IF(I18="off",0,1)*IF(L18=0,0.1%,1)*(AD18+(AE18-AD18)*L18)*(K18/J18)</f>
        <v>0</v>
      </c>
      <c r="P18" s="320">
        <f t="shared" si="19"/>
        <v>0</v>
      </c>
      <c r="Q18" s="319"/>
      <c r="R18" s="319"/>
      <c r="S18" s="319"/>
      <c r="T18" s="319"/>
      <c r="U18" s="319"/>
      <c r="V18" s="319"/>
      <c r="W18" s="324" t="s">
        <v>5203</v>
      </c>
      <c r="X18" s="324" t="s">
        <v>8</v>
      </c>
      <c r="Y18" s="324" t="s">
        <v>61</v>
      </c>
      <c r="Z18" s="324" t="s">
        <v>6546</v>
      </c>
      <c r="AA18" s="324" t="s">
        <v>6546</v>
      </c>
      <c r="AB18" s="324" t="s">
        <v>6546</v>
      </c>
      <c r="AC18" s="321">
        <v>0</v>
      </c>
      <c r="AD18" s="248">
        <f t="shared" si="20"/>
        <v>3.6478658536585364E-2</v>
      </c>
      <c r="AE18" s="248">
        <f t="shared" si="20"/>
        <v>0.04</v>
      </c>
      <c r="AF18" s="248">
        <f t="shared" si="20"/>
        <v>0.06</v>
      </c>
      <c r="AG18" s="320">
        <f t="shared" si="20"/>
        <v>1062.4000000000001</v>
      </c>
      <c r="AH18" s="320">
        <f t="shared" si="20"/>
        <v>1713.6</v>
      </c>
      <c r="AI18" s="325">
        <f t="shared" si="20"/>
        <v>0</v>
      </c>
      <c r="AJ18" s="325">
        <f t="shared" si="20"/>
        <v>0.5</v>
      </c>
      <c r="AK18" s="325">
        <f t="shared" si="20"/>
        <v>0.5</v>
      </c>
      <c r="AL18" s="325">
        <f t="shared" si="20"/>
        <v>0</v>
      </c>
      <c r="AM18" s="137" t="str">
        <f t="shared" si="6"/>
        <v>sam261_cpsw_3gcss_wrap_1</v>
      </c>
    </row>
    <row r="19" spans="1:39" ht="12.6" customHeight="1" x14ac:dyDescent="0.2">
      <c r="A19" s="207" t="s">
        <v>6012</v>
      </c>
      <c r="B19" s="207" t="s">
        <v>11</v>
      </c>
      <c r="C19" s="209" t="str">
        <f t="shared" si="0"/>
        <v>cpsw3</v>
      </c>
      <c r="D19" s="227" t="str">
        <f t="shared" si="0"/>
        <v>pg1</v>
      </c>
      <c r="E19" s="207" t="str">
        <f t="shared" si="0"/>
        <v>3 periph</v>
      </c>
      <c r="F19" s="207" t="str">
        <f t="shared" si="0"/>
        <v>networking</v>
      </c>
      <c r="G19" s="209">
        <v>1</v>
      </c>
      <c r="H19" s="216">
        <f t="shared" si="7"/>
        <v>72.891714368095947</v>
      </c>
      <c r="I19" s="228" t="s">
        <v>4872</v>
      </c>
      <c r="J19" s="209">
        <v>200</v>
      </c>
      <c r="K19" s="207">
        <v>200</v>
      </c>
      <c r="L19" s="224">
        <f>cpsw_util</f>
        <v>0.05</v>
      </c>
      <c r="M19" s="229"/>
      <c r="N19" s="320">
        <f t="shared" si="2"/>
        <v>6.182341873671672</v>
      </c>
      <c r="O19" s="320">
        <f t="shared" si="3"/>
        <v>65.326360602813892</v>
      </c>
      <c r="P19" s="320">
        <f>IFERROR(VLOOKUP($A19&amp;"_"&amp;P$2,MDB,6,0),0)*(Lkg_Scale_VDDAR_OSVT*$AI19+Lkg_Scale_VDDAR_XSVT*$AJ19+Lkg_Scale_VDDAR_SVT*$AE19+Lkg_Scale_VDDAR_LVT*$AL19)*$G19*IF($I19="off",4%,1)</f>
        <v>1.3830118916103857</v>
      </c>
      <c r="Q19" s="319"/>
      <c r="R19" s="319"/>
      <c r="S19" s="319"/>
      <c r="T19" s="319"/>
      <c r="U19" s="319"/>
      <c r="V19" s="319"/>
      <c r="W19" s="324" t="s">
        <v>5203</v>
      </c>
      <c r="X19" s="324" t="s">
        <v>8</v>
      </c>
      <c r="Y19" s="324" t="s">
        <v>61</v>
      </c>
      <c r="Z19" s="324" t="s">
        <v>6546</v>
      </c>
      <c r="AA19" s="324" t="s">
        <v>6546</v>
      </c>
      <c r="AB19" s="324" t="s">
        <v>6546</v>
      </c>
      <c r="AC19" s="321">
        <v>1</v>
      </c>
      <c r="AD19" s="320">
        <f t="shared" si="14"/>
        <v>3.6478658536585364E-2</v>
      </c>
      <c r="AE19" s="320">
        <f t="shared" si="14"/>
        <v>0.04</v>
      </c>
      <c r="AF19" s="320">
        <f t="shared" si="14"/>
        <v>0.06</v>
      </c>
      <c r="AG19" s="320">
        <f t="shared" si="14"/>
        <v>828</v>
      </c>
      <c r="AH19" s="320">
        <f t="shared" si="14"/>
        <v>1012.8</v>
      </c>
      <c r="AI19" s="325">
        <f t="shared" si="14"/>
        <v>0.18</v>
      </c>
      <c r="AJ19" s="325">
        <f t="shared" si="14"/>
        <v>0.75</v>
      </c>
      <c r="AK19" s="325">
        <f t="shared" si="14"/>
        <v>7.0000000000000007E-2</v>
      </c>
      <c r="AL19" s="325">
        <f t="shared" si="14"/>
        <v>0</v>
      </c>
      <c r="AM19" s="137" t="str">
        <f t="shared" si="6"/>
        <v>sam263p_cpsw_3gcss_wrap_0</v>
      </c>
    </row>
    <row r="20" spans="1:39" ht="12.6" customHeight="1" x14ac:dyDescent="0.2">
      <c r="A20" s="207" t="s">
        <v>4718</v>
      </c>
      <c r="B20" s="207" t="s">
        <v>11</v>
      </c>
      <c r="C20" s="209" t="str">
        <f t="shared" si="0"/>
        <v>icssm</v>
      </c>
      <c r="D20" s="227" t="str">
        <f t="shared" si="0"/>
        <v>pg1</v>
      </c>
      <c r="E20" s="207" t="str">
        <f t="shared" si="0"/>
        <v>3 periph</v>
      </c>
      <c r="F20" s="207" t="str">
        <f t="shared" si="0"/>
        <v>networking</v>
      </c>
      <c r="G20" s="209">
        <v>1</v>
      </c>
      <c r="H20" s="216">
        <f t="shared" si="7"/>
        <v>16.332687874868519</v>
      </c>
      <c r="I20" s="228" t="s">
        <v>4872</v>
      </c>
      <c r="J20" s="209">
        <f t="shared" si="1"/>
        <v>200</v>
      </c>
      <c r="K20" s="207">
        <f>ICSSM_freq</f>
        <v>200</v>
      </c>
      <c r="L20" s="224">
        <f>ICSSM_Util</f>
        <v>0</v>
      </c>
      <c r="M20" s="229"/>
      <c r="N20" s="320">
        <f t="shared" si="2"/>
        <v>13.384218527657232</v>
      </c>
      <c r="O20" s="322">
        <f t="shared" si="3"/>
        <v>2.6259366290158948E-2</v>
      </c>
      <c r="P20" s="320">
        <f t="shared" si="4"/>
        <v>2.9222099809211279</v>
      </c>
      <c r="Q20" s="319"/>
      <c r="R20" s="319"/>
      <c r="S20" s="319"/>
      <c r="T20" s="319"/>
      <c r="U20" s="319"/>
      <c r="V20" s="319"/>
      <c r="W20" s="324" t="s">
        <v>5203</v>
      </c>
      <c r="X20" s="324" t="s">
        <v>8</v>
      </c>
      <c r="Y20" s="324" t="s">
        <v>61</v>
      </c>
      <c r="Z20" s="324" t="s">
        <v>6546</v>
      </c>
      <c r="AA20" s="324" t="s">
        <v>6546</v>
      </c>
      <c r="AB20" s="324" t="s">
        <v>6546</v>
      </c>
      <c r="AC20" s="321">
        <v>1</v>
      </c>
      <c r="AD20" s="249">
        <f t="shared" si="14"/>
        <v>2.3E-2</v>
      </c>
      <c r="AE20" s="248">
        <f t="shared" si="14"/>
        <v>0.04</v>
      </c>
      <c r="AF20" s="248">
        <f t="shared" si="14"/>
        <v>0.06</v>
      </c>
      <c r="AG20" s="320">
        <f t="shared" si="14"/>
        <v>521.67999999999995</v>
      </c>
      <c r="AH20" s="320">
        <f t="shared" si="14"/>
        <v>657.2</v>
      </c>
      <c r="AI20" s="325">
        <f t="shared" si="14"/>
        <v>1.4415087853223058E-2</v>
      </c>
      <c r="AJ20" s="325">
        <f t="shared" si="14"/>
        <v>0.42515727702063294</v>
      </c>
      <c r="AK20" s="325">
        <f t="shared" si="14"/>
        <v>0.56042763512614391</v>
      </c>
      <c r="AL20" s="325">
        <f t="shared" si="14"/>
        <v>0</v>
      </c>
      <c r="AM20" s="137" t="str">
        <f t="shared" si="6"/>
        <v>u_icss_m_wrap_0</v>
      </c>
    </row>
    <row r="21" spans="1:39" ht="11.25" customHeight="1" x14ac:dyDescent="0.2">
      <c r="A21" s="207" t="s">
        <v>4718</v>
      </c>
      <c r="B21" s="207" t="s">
        <v>12</v>
      </c>
      <c r="C21" s="209" t="str">
        <f t="shared" si="0"/>
        <v>icssm</v>
      </c>
      <c r="D21" s="227" t="str">
        <f t="shared" si="0"/>
        <v>pg1</v>
      </c>
      <c r="E21" s="207" t="str">
        <f t="shared" si="0"/>
        <v>3 periph</v>
      </c>
      <c r="F21" s="207" t="str">
        <f t="shared" si="0"/>
        <v>networking</v>
      </c>
      <c r="G21" s="209">
        <v>0</v>
      </c>
      <c r="H21" s="216">
        <f t="shared" ca="1" si="7"/>
        <v>0</v>
      </c>
      <c r="I21" s="228" t="s">
        <v>4798</v>
      </c>
      <c r="J21" s="209">
        <f t="shared" si="1"/>
        <v>200</v>
      </c>
      <c r="K21" s="207">
        <f>ICSSM_freq</f>
        <v>200</v>
      </c>
      <c r="L21" s="224">
        <f ca="1">IFERROR(INDEX(INDIRECT(uc_sheet&amp;"!$A$1"):INDIRECT(uc_sheet&amp;"!$CZ$1000"),MATCH($A21&amp;$B21,INDIRECT(uc_sheet&amp;"!$a$1"):INDIRECT(uc_sheet&amp;"!$a$1000"),0),MATCH(use_case,INDIRECT(uc_sheet&amp;"!$A$1"):INDIRECT(uc_sheet&amp;"!$CZ$1"),0)),0)</f>
        <v>0</v>
      </c>
      <c r="M21" s="229"/>
      <c r="N21" s="320">
        <f t="shared" si="2"/>
        <v>0</v>
      </c>
      <c r="O21" s="320">
        <f t="shared" ca="1" si="3"/>
        <v>0</v>
      </c>
      <c r="P21" s="320">
        <f t="shared" si="4"/>
        <v>0</v>
      </c>
      <c r="Q21" s="319"/>
      <c r="R21" s="319"/>
      <c r="S21" s="319"/>
      <c r="T21" s="319"/>
      <c r="U21" s="319"/>
      <c r="V21" s="319"/>
      <c r="W21" s="324" t="s">
        <v>5203</v>
      </c>
      <c r="X21" s="324" t="s">
        <v>40</v>
      </c>
      <c r="Y21" s="324" t="s">
        <v>40</v>
      </c>
      <c r="Z21" s="324" t="s">
        <v>6546</v>
      </c>
      <c r="AA21" s="324" t="s">
        <v>6546</v>
      </c>
      <c r="AB21" s="324" t="s">
        <v>6546</v>
      </c>
      <c r="AC21" s="321" t="s">
        <v>40</v>
      </c>
      <c r="AD21" s="320">
        <f t="shared" si="14"/>
        <v>2.3E-2</v>
      </c>
      <c r="AE21" s="320">
        <f t="shared" si="14"/>
        <v>0.04</v>
      </c>
      <c r="AF21" s="320">
        <f t="shared" si="14"/>
        <v>0.06</v>
      </c>
      <c r="AG21" s="320">
        <f t="shared" si="14"/>
        <v>521.67999999999995</v>
      </c>
      <c r="AH21" s="320">
        <f t="shared" si="14"/>
        <v>657.2</v>
      </c>
      <c r="AI21" s="325">
        <f t="shared" si="14"/>
        <v>1.4415087853223058E-2</v>
      </c>
      <c r="AJ21" s="325">
        <f t="shared" si="14"/>
        <v>0.42515727702063294</v>
      </c>
      <c r="AK21" s="325">
        <f t="shared" si="14"/>
        <v>0.56042763512614391</v>
      </c>
      <c r="AL21" s="325">
        <f t="shared" si="14"/>
        <v>0</v>
      </c>
      <c r="AM21" s="137" t="str">
        <f t="shared" si="6"/>
        <v>u_icss_m_wrap_1</v>
      </c>
    </row>
    <row r="22" spans="1:39" ht="12.6" customHeight="1" x14ac:dyDescent="0.2">
      <c r="A22" s="207" t="s">
        <v>4730</v>
      </c>
      <c r="B22" s="207" t="s">
        <v>11</v>
      </c>
      <c r="C22" s="209" t="str">
        <f t="shared" si="0"/>
        <v>am273 top logic</v>
      </c>
      <c r="D22" s="227" t="str">
        <f t="shared" si="0"/>
        <v>pg1</v>
      </c>
      <c r="E22" s="207" t="str">
        <f t="shared" si="0"/>
        <v>4 infra</v>
      </c>
      <c r="F22" s="207" t="str">
        <f t="shared" si="0"/>
        <v>mix</v>
      </c>
      <c r="G22" s="209">
        <v>0</v>
      </c>
      <c r="H22" s="216">
        <f t="shared" ca="1" si="7"/>
        <v>0</v>
      </c>
      <c r="I22" s="228" t="s">
        <v>4798</v>
      </c>
      <c r="J22" s="209">
        <f t="shared" si="1"/>
        <v>200</v>
      </c>
      <c r="K22" s="207">
        <f ca="1">IFERROR(INDEX(INDIRECT(uc_sheet&amp;"!$A$1"):INDIRECT(uc_sheet&amp;"!$CZ$1000"),MATCH($A22&amp;$B22,INDIRECT(uc_sheet&amp;"!$a$1"):INDIRECT(uc_sheet&amp;"!$a$1000"),0),MATCH(use_case,INDIRECT(uc_sheet&amp;"!$A$1"):INDIRECT(uc_sheet&amp;"!$CZ$1"),0)+1),0)</f>
        <v>0</v>
      </c>
      <c r="L22" s="224">
        <f ca="1">IFERROR(INDEX(INDIRECT(uc_sheet&amp;"!$A$1"):INDIRECT(uc_sheet&amp;"!$CZ$1000"),MATCH($A22&amp;$B22,INDIRECT(uc_sheet&amp;"!$a$1"):INDIRECT(uc_sheet&amp;"!$a$1000"),0),MATCH(use_case,INDIRECT(uc_sheet&amp;"!$A$1"):INDIRECT(uc_sheet&amp;"!$CZ$1"),0)),0)</f>
        <v>0</v>
      </c>
      <c r="M22" s="229"/>
      <c r="N22" s="320">
        <f t="shared" si="2"/>
        <v>0</v>
      </c>
      <c r="O22" s="320">
        <f t="shared" ca="1" si="3"/>
        <v>0</v>
      </c>
      <c r="P22" s="320">
        <f t="shared" si="4"/>
        <v>0</v>
      </c>
      <c r="Q22" s="319"/>
      <c r="R22" s="319"/>
      <c r="S22" s="319"/>
      <c r="T22" s="319"/>
      <c r="U22" s="319"/>
      <c r="V22" s="319"/>
      <c r="W22" s="324" t="s">
        <v>5203</v>
      </c>
      <c r="X22" s="324" t="s">
        <v>40</v>
      </c>
      <c r="Y22" s="324" t="s">
        <v>40</v>
      </c>
      <c r="Z22" s="324" t="s">
        <v>6546</v>
      </c>
      <c r="AA22" s="324" t="s">
        <v>6546</v>
      </c>
      <c r="AB22" s="324" t="s">
        <v>6546</v>
      </c>
      <c r="AC22" s="321" t="s">
        <v>40</v>
      </c>
      <c r="AD22" s="320">
        <f t="shared" si="14"/>
        <v>1.9199999999999998E-2</v>
      </c>
      <c r="AE22" s="320">
        <f t="shared" si="14"/>
        <v>0.04</v>
      </c>
      <c r="AF22" s="320">
        <f t="shared" si="14"/>
        <v>0.06</v>
      </c>
      <c r="AG22" s="320">
        <f t="shared" si="14"/>
        <v>6862.0500000000011</v>
      </c>
      <c r="AH22" s="320">
        <f t="shared" si="14"/>
        <v>8821.9700000000012</v>
      </c>
      <c r="AI22" s="325">
        <f t="shared" si="14"/>
        <v>3.4500000000000003E-2</v>
      </c>
      <c r="AJ22" s="325">
        <f t="shared" si="14"/>
        <v>0.26100000000000001</v>
      </c>
      <c r="AK22" s="325">
        <f t="shared" si="14"/>
        <v>0.67720000000000002</v>
      </c>
      <c r="AL22" s="325">
        <f t="shared" si="14"/>
        <v>2.6200000000000001E-2</v>
      </c>
      <c r="AM22" s="137" t="str">
        <f t="shared" si="6"/>
        <v>l_tpr12_core_0</v>
      </c>
    </row>
    <row r="23" spans="1:39" ht="12.6" customHeight="1" x14ac:dyDescent="0.2">
      <c r="A23" s="207" t="s">
        <v>6050</v>
      </c>
      <c r="B23" s="207" t="s">
        <v>11</v>
      </c>
      <c r="C23" s="209" t="str">
        <f t="shared" si="0"/>
        <v>am240 top logic</v>
      </c>
      <c r="D23" s="227">
        <f t="shared" si="0"/>
        <v>44797</v>
      </c>
      <c r="E23" s="207" t="str">
        <f t="shared" si="0"/>
        <v>4 infra</v>
      </c>
      <c r="F23" s="207" t="str">
        <f t="shared" si="0"/>
        <v>mix</v>
      </c>
      <c r="G23" s="209">
        <v>0</v>
      </c>
      <c r="H23" s="216">
        <f t="shared" ca="1" si="7"/>
        <v>0</v>
      </c>
      <c r="I23" s="228" t="s">
        <v>4872</v>
      </c>
      <c r="J23" s="209">
        <f t="shared" si="1"/>
        <v>200</v>
      </c>
      <c r="K23" s="207">
        <f ca="1">IFERROR(INDEX(INDIRECT(uc_sheet&amp;"!$A$1"):INDIRECT(uc_sheet&amp;"!$CZ$1000"),MATCH($A23&amp;$B23,INDIRECT(uc_sheet&amp;"!$a$1"):INDIRECT(uc_sheet&amp;"!$a$1000"),0),MATCH(use_case,INDIRECT(uc_sheet&amp;"!$A$1"):INDIRECT(uc_sheet&amp;"!$CZ$1"),0)+1),0)</f>
        <v>0</v>
      </c>
      <c r="L23" s="224">
        <f ca="1">IFERROR(INDEX(INDIRECT(uc_sheet&amp;"!$A$1"):INDIRECT(uc_sheet&amp;"!$CZ$1000"),MATCH($A23&amp;$B23,INDIRECT(uc_sheet&amp;"!$a$1"):INDIRECT(uc_sheet&amp;"!$a$1000"),0),MATCH(use_case,INDIRECT(uc_sheet&amp;"!$A$1"):INDIRECT(uc_sheet&amp;"!$CZ$1"),0)),0)</f>
        <v>0</v>
      </c>
      <c r="M23" s="229"/>
      <c r="N23" s="320">
        <f t="shared" si="2"/>
        <v>0</v>
      </c>
      <c r="O23" s="320">
        <f t="shared" ca="1" si="3"/>
        <v>0</v>
      </c>
      <c r="P23" s="320">
        <f t="shared" si="4"/>
        <v>0</v>
      </c>
      <c r="Q23" s="319"/>
      <c r="R23" s="319"/>
      <c r="S23" s="319"/>
      <c r="T23" s="319"/>
      <c r="U23" s="319"/>
      <c r="V23" s="319"/>
      <c r="W23" s="324" t="s">
        <v>5203</v>
      </c>
      <c r="X23" s="324" t="s">
        <v>8</v>
      </c>
      <c r="Y23" s="324" t="s">
        <v>61</v>
      </c>
      <c r="Z23" s="324" t="s">
        <v>6546</v>
      </c>
      <c r="AA23" s="324" t="s">
        <v>6546</v>
      </c>
      <c r="AB23" s="324" t="s">
        <v>6546</v>
      </c>
      <c r="AC23" s="321">
        <v>1</v>
      </c>
      <c r="AD23" s="320">
        <f t="shared" si="14"/>
        <v>1.9099999999999999E-2</v>
      </c>
      <c r="AE23" s="320">
        <f t="shared" si="14"/>
        <v>4.4999999999999998E-2</v>
      </c>
      <c r="AF23" s="320">
        <f t="shared" si="14"/>
        <v>0.06</v>
      </c>
      <c r="AG23" s="320">
        <f t="shared" si="14"/>
        <v>3262.4940104166672</v>
      </c>
      <c r="AH23" s="320">
        <f t="shared" si="14"/>
        <v>4117.5986979166664</v>
      </c>
      <c r="AI23" s="325">
        <f t="shared" si="14"/>
        <v>0.05</v>
      </c>
      <c r="AJ23" s="325">
        <f t="shared" si="14"/>
        <v>0.5</v>
      </c>
      <c r="AK23" s="325">
        <f t="shared" si="14"/>
        <v>0.45</v>
      </c>
      <c r="AL23" s="325">
        <f t="shared" si="14"/>
        <v>0</v>
      </c>
      <c r="AM23" s="137" t="str">
        <f t="shared" si="6"/>
        <v>sam240_core_0</v>
      </c>
    </row>
    <row r="24" spans="1:39" ht="12.6" customHeight="1" x14ac:dyDescent="0.2">
      <c r="A24" s="207" t="s">
        <v>6014</v>
      </c>
      <c r="B24" s="207" t="s">
        <v>11</v>
      </c>
      <c r="C24" s="209" t="str">
        <f t="shared" si="0"/>
        <v>am241 top logic</v>
      </c>
      <c r="D24" s="227">
        <f t="shared" si="0"/>
        <v>44501</v>
      </c>
      <c r="E24" s="207" t="str">
        <f t="shared" si="0"/>
        <v>4 infra</v>
      </c>
      <c r="F24" s="207" t="str">
        <f t="shared" si="0"/>
        <v>mix</v>
      </c>
      <c r="G24" s="209">
        <v>0</v>
      </c>
      <c r="H24" s="216">
        <f t="shared" ca="1" si="7"/>
        <v>0</v>
      </c>
      <c r="I24" s="228" t="s">
        <v>4872</v>
      </c>
      <c r="J24" s="209">
        <f t="shared" si="1"/>
        <v>200</v>
      </c>
      <c r="K24" s="207">
        <f ca="1">IFERROR(INDEX(INDIRECT(uc_sheet&amp;"!$A$1"):INDIRECT(uc_sheet&amp;"!$CZ$1000"),MATCH($A24&amp;$B24,INDIRECT(uc_sheet&amp;"!$a$1"):INDIRECT(uc_sheet&amp;"!$a$1000"),0),MATCH(use_case,INDIRECT(uc_sheet&amp;"!$A$1"):INDIRECT(uc_sheet&amp;"!$CZ$1"),0)+1),0)</f>
        <v>0</v>
      </c>
      <c r="L24" s="224">
        <f ca="1">IFERROR(INDEX(INDIRECT(uc_sheet&amp;"!$A$1"):INDIRECT(uc_sheet&amp;"!$CZ$1000"),MATCH($A24&amp;$B24,INDIRECT(uc_sheet&amp;"!$a$1"):INDIRECT(uc_sheet&amp;"!$a$1000"),0),MATCH(use_case,INDIRECT(uc_sheet&amp;"!$A$1"):INDIRECT(uc_sheet&amp;"!$CZ$1"),0)),0)</f>
        <v>0</v>
      </c>
      <c r="M24" s="229"/>
      <c r="N24" s="320">
        <f t="shared" si="2"/>
        <v>0</v>
      </c>
      <c r="O24" s="320">
        <f t="shared" ca="1" si="3"/>
        <v>0</v>
      </c>
      <c r="P24" s="320">
        <f t="shared" si="4"/>
        <v>0</v>
      </c>
      <c r="Q24" s="319"/>
      <c r="R24" s="319"/>
      <c r="S24" s="319"/>
      <c r="T24" s="319"/>
      <c r="U24" s="319"/>
      <c r="V24" s="319"/>
      <c r="W24" s="324" t="s">
        <v>5203</v>
      </c>
      <c r="X24" s="324" t="s">
        <v>8</v>
      </c>
      <c r="Y24" s="324" t="s">
        <v>61</v>
      </c>
      <c r="Z24" s="324" t="s">
        <v>6546</v>
      </c>
      <c r="AA24" s="324" t="s">
        <v>6546</v>
      </c>
      <c r="AB24" s="324" t="s">
        <v>6546</v>
      </c>
      <c r="AC24" s="321">
        <v>1</v>
      </c>
      <c r="AD24" s="320">
        <f t="shared" si="14"/>
        <v>1.9099999999999999E-2</v>
      </c>
      <c r="AE24" s="320">
        <f t="shared" si="14"/>
        <v>4.4999999999999998E-2</v>
      </c>
      <c r="AF24" s="320">
        <f t="shared" si="14"/>
        <v>0.06</v>
      </c>
      <c r="AG24" s="320">
        <f t="shared" si="14"/>
        <v>5558.4375000000009</v>
      </c>
      <c r="AH24" s="320">
        <f t="shared" si="14"/>
        <v>7015.3125</v>
      </c>
      <c r="AI24" s="325">
        <f t="shared" si="14"/>
        <v>3.4500000000000003E-2</v>
      </c>
      <c r="AJ24" s="325">
        <f t="shared" si="14"/>
        <v>0.25</v>
      </c>
      <c r="AK24" s="325">
        <f t="shared" si="14"/>
        <v>0.67720000000000002</v>
      </c>
      <c r="AL24" s="325">
        <f t="shared" si="14"/>
        <v>2.6200000000000001E-2</v>
      </c>
      <c r="AM24" s="137" t="str">
        <f t="shared" si="6"/>
        <v>sam241_core_0</v>
      </c>
    </row>
    <row r="25" spans="1:39" ht="12.6" customHeight="1" x14ac:dyDescent="0.2">
      <c r="A25" s="207" t="s">
        <v>4720</v>
      </c>
      <c r="B25" s="207" t="s">
        <v>11</v>
      </c>
      <c r="C25" s="209" t="str">
        <f t="shared" si="0"/>
        <v>am263 top level</v>
      </c>
      <c r="D25" s="227" t="str">
        <f t="shared" si="0"/>
        <v>pg1</v>
      </c>
      <c r="E25" s="207" t="str">
        <f t="shared" si="0"/>
        <v>4 infra</v>
      </c>
      <c r="F25" s="207" t="str">
        <f t="shared" si="0"/>
        <v>mix</v>
      </c>
      <c r="G25" s="209">
        <v>0</v>
      </c>
      <c r="H25" s="216">
        <f t="shared" ca="1" si="7"/>
        <v>0</v>
      </c>
      <c r="I25" s="228" t="s">
        <v>4872</v>
      </c>
      <c r="J25" s="209">
        <f t="shared" si="1"/>
        <v>200</v>
      </c>
      <c r="K25" s="207">
        <f ca="1">IFERROR(INDEX(INDIRECT(uc_sheet&amp;"!$A$1"):INDIRECT(uc_sheet&amp;"!$CZ$1000"),MATCH($A25&amp;$B25,INDIRECT(uc_sheet&amp;"!$a$1"):INDIRECT(uc_sheet&amp;"!$a$1000"),0),MATCH(use_case,INDIRECT(uc_sheet&amp;"!$A$1"):INDIRECT(uc_sheet&amp;"!$CZ$1"),0)+1),0)</f>
        <v>0</v>
      </c>
      <c r="L25" s="224">
        <f ca="1">IFERROR(INDEX(INDIRECT(uc_sheet&amp;"!$A$1"):INDIRECT(uc_sheet&amp;"!$CZ$1000"),MATCH($A25&amp;$B25,INDIRECT(uc_sheet&amp;"!$a$1"):INDIRECT(uc_sheet&amp;"!$a$1000"),0),MATCH(use_case,INDIRECT(uc_sheet&amp;"!$A$1"):INDIRECT(uc_sheet&amp;"!$CZ$1"),0)),0)</f>
        <v>0</v>
      </c>
      <c r="M25" s="229"/>
      <c r="N25" s="320">
        <f t="shared" si="2"/>
        <v>0</v>
      </c>
      <c r="O25" s="322">
        <f t="shared" ca="1" si="3"/>
        <v>0</v>
      </c>
      <c r="P25" s="320">
        <f t="shared" si="4"/>
        <v>0</v>
      </c>
      <c r="Q25" s="319"/>
      <c r="R25" s="319"/>
      <c r="S25" s="319"/>
      <c r="T25" s="319"/>
      <c r="U25" s="319"/>
      <c r="V25" s="319"/>
      <c r="W25" s="324" t="s">
        <v>5203</v>
      </c>
      <c r="X25" s="324" t="s">
        <v>8</v>
      </c>
      <c r="Y25" s="324" t="s">
        <v>61</v>
      </c>
      <c r="Z25" s="324" t="s">
        <v>6546</v>
      </c>
      <c r="AA25" s="324" t="s">
        <v>6546</v>
      </c>
      <c r="AB25" s="324" t="s">
        <v>6546</v>
      </c>
      <c r="AC25" s="321">
        <v>1</v>
      </c>
      <c r="AD25" s="249">
        <f t="shared" si="14"/>
        <v>1.9120000000000002E-2</v>
      </c>
      <c r="AE25" s="248">
        <f t="shared" si="14"/>
        <v>4.4999999999999998E-2</v>
      </c>
      <c r="AF25" s="320">
        <f t="shared" si="14"/>
        <v>0.06</v>
      </c>
      <c r="AG25" s="320">
        <f t="shared" si="14"/>
        <v>5928.8857199999993</v>
      </c>
      <c r="AH25" s="320">
        <f t="shared" si="14"/>
        <v>7482.8525999999993</v>
      </c>
      <c r="AI25" s="325">
        <f t="shared" si="14"/>
        <v>0.05</v>
      </c>
      <c r="AJ25" s="325">
        <f t="shared" si="14"/>
        <v>0.25</v>
      </c>
      <c r="AK25" s="325">
        <f t="shared" si="14"/>
        <v>0.67500000000000004</v>
      </c>
      <c r="AL25" s="325">
        <f t="shared" si="14"/>
        <v>2.5000000000000001E-2</v>
      </c>
      <c r="AM25" s="137" t="str">
        <f t="shared" si="6"/>
        <v>sam263_core_0</v>
      </c>
    </row>
    <row r="26" spans="1:39" ht="12.6" customHeight="1" x14ac:dyDescent="0.2">
      <c r="A26" s="207" t="s">
        <v>6295</v>
      </c>
      <c r="B26" s="207" t="s">
        <v>11</v>
      </c>
      <c r="C26" s="209" t="str">
        <f t="shared" ref="C26:F26" si="22">VLOOKUP($A26&amp;"_"&amp;C$2,MDB,6,0)</f>
        <v>am261 top level</v>
      </c>
      <c r="D26" s="227" t="str">
        <f t="shared" si="22"/>
        <v>3/4/22 est</v>
      </c>
      <c r="E26" s="207" t="str">
        <f t="shared" si="22"/>
        <v>4 infra</v>
      </c>
      <c r="F26" s="207" t="str">
        <f t="shared" si="22"/>
        <v>mix</v>
      </c>
      <c r="G26" s="209">
        <v>0</v>
      </c>
      <c r="H26" s="216">
        <f t="shared" ca="1" si="7"/>
        <v>0</v>
      </c>
      <c r="I26" s="228" t="s">
        <v>4872</v>
      </c>
      <c r="J26" s="209">
        <f t="shared" ref="J26" si="23">IFERROR(VLOOKUP($A26&amp;"_"&amp;J$2,MDB,6,0),0)</f>
        <v>200</v>
      </c>
      <c r="K26" s="207">
        <f ca="1">IFERROR(INDEX(INDIRECT(uc_sheet&amp;"!$A$1"):INDIRECT(uc_sheet&amp;"!$CZ$1000"),MATCH($A26&amp;$B26,INDIRECT(uc_sheet&amp;"!$a$1"):INDIRECT(uc_sheet&amp;"!$a$1000"),0),MATCH(use_case,INDIRECT(uc_sheet&amp;"!$A$1"):INDIRECT(uc_sheet&amp;"!$CZ$1"),0)+1),0)</f>
        <v>0</v>
      </c>
      <c r="L26" s="224">
        <f ca="1">IFERROR(INDEX(INDIRECT(uc_sheet&amp;"!$A$1"):INDIRECT(uc_sheet&amp;"!$CZ$1000"),MATCH($A26&amp;$B26,INDIRECT(uc_sheet&amp;"!$a$1"):INDIRECT(uc_sheet&amp;"!$a$1000"),0),MATCH(use_case,INDIRECT(uc_sheet&amp;"!$A$1"):INDIRECT(uc_sheet&amp;"!$CZ$1"),0)),0)</f>
        <v>0</v>
      </c>
      <c r="M26" s="229"/>
      <c r="N26" s="320">
        <f t="shared" ref="N26" si="24">IFERROR(VLOOKUP($A26&amp;"_"&amp;N$2,MDB,6,0),0)*(Lkg_Scale_VDD_OSVT*$AI26+Lkg_Scale_VDD_XSVT*$AJ26+Lkg_Scale_VDD_SVT*$AK26+Lkg_Scale_VDD_LVT*$AL26)*$G26*IF($I26="off",4%,1)</f>
        <v>0</v>
      </c>
      <c r="O26" s="320">
        <f t="shared" ref="O26" ca="1" si="25">(AG26*(Dyn_Int_Scale_OSVT*$AI26+Dyn_Int_Scale_XSVT*$AJ26+Dyn_Int_Scale_SVT*$AK26+Dyn_Int_Scale_LVT*$AL26)+AH26*(Dyn_Sw_Scale_OSVT*$AI26+Dyn_Sw_Scale_XSVT*$AJ26+Dyn_Sw_Scale_SVT*$AK26+Dyn_Sw_Scale_LVT*$AL26))*G26*IF(I26="off",0,1)*IF(L26=0,0.1%,1)*(AD26+(AE26-AD26)*L26)*(K26/J26)</f>
        <v>0</v>
      </c>
      <c r="P26" s="320">
        <f t="shared" ref="P26" si="26">IFERROR(VLOOKUP($A26&amp;"_"&amp;P$2,MDB,6,0),0)*(Lkg_Scale_VDDAR_OSVT*$AI26+Lkg_Scale_VDDAR_XSVT*$AJ26+Lkg_Scale_VDDAR_SVT*$AK26+Lkg_Scale_VDDAR_LVT*$AL26)*$G26*IF($I26="off",4%,1)</f>
        <v>0</v>
      </c>
      <c r="Q26" s="319"/>
      <c r="R26" s="319"/>
      <c r="S26" s="319"/>
      <c r="T26" s="319"/>
      <c r="U26" s="319"/>
      <c r="V26" s="319"/>
      <c r="W26" s="324" t="s">
        <v>5203</v>
      </c>
      <c r="X26" s="324" t="s">
        <v>8</v>
      </c>
      <c r="Y26" s="324" t="s">
        <v>61</v>
      </c>
      <c r="Z26" s="324" t="s">
        <v>6546</v>
      </c>
      <c r="AA26" s="324" t="s">
        <v>6546</v>
      </c>
      <c r="AB26" s="324" t="s">
        <v>6546</v>
      </c>
      <c r="AC26" s="321">
        <v>1</v>
      </c>
      <c r="AD26" s="248">
        <f t="shared" ref="AD26:AL26" si="27">IFERROR(VLOOKUP($A26&amp;"_"&amp;AD$2,MDB,6,0),0)</f>
        <v>1.9120000000000002E-2</v>
      </c>
      <c r="AE26" s="248">
        <f t="shared" si="27"/>
        <v>4.4999999999999998E-2</v>
      </c>
      <c r="AF26" s="248">
        <f t="shared" si="27"/>
        <v>0.06</v>
      </c>
      <c r="AG26" s="320">
        <f t="shared" si="27"/>
        <v>4758.1354233281618</v>
      </c>
      <c r="AH26" s="320">
        <f t="shared" si="27"/>
        <v>6005.2500207057892</v>
      </c>
      <c r="AI26" s="325">
        <f t="shared" si="27"/>
        <v>0.05</v>
      </c>
      <c r="AJ26" s="325">
        <f t="shared" si="27"/>
        <v>0.5</v>
      </c>
      <c r="AK26" s="325">
        <f t="shared" si="27"/>
        <v>0.45</v>
      </c>
      <c r="AL26" s="325">
        <f t="shared" si="27"/>
        <v>0</v>
      </c>
      <c r="AM26" s="137" t="str">
        <f t="shared" si="6"/>
        <v>sam261_core_0</v>
      </c>
    </row>
    <row r="27" spans="1:39" ht="12.6" customHeight="1" x14ac:dyDescent="0.2">
      <c r="A27" s="259" t="s">
        <v>6000</v>
      </c>
      <c r="B27" s="207" t="s">
        <v>11</v>
      </c>
      <c r="C27" s="209" t="str">
        <f t="shared" si="0"/>
        <v>am263p top level</v>
      </c>
      <c r="D27" s="227" t="str">
        <f t="shared" si="0"/>
        <v>3/4/22 est</v>
      </c>
      <c r="E27" s="207" t="str">
        <f t="shared" si="0"/>
        <v>4 infra</v>
      </c>
      <c r="F27" s="207" t="str">
        <f t="shared" si="0"/>
        <v>mix</v>
      </c>
      <c r="G27" s="209">
        <v>1</v>
      </c>
      <c r="H27" s="216">
        <f t="shared" si="7"/>
        <v>621.30453040427585</v>
      </c>
      <c r="I27" s="228" t="s">
        <v>4872</v>
      </c>
      <c r="J27" s="209">
        <f t="shared" si="1"/>
        <v>200</v>
      </c>
      <c r="K27" s="207">
        <v>200</v>
      </c>
      <c r="L27" s="224">
        <v>0.36</v>
      </c>
      <c r="M27" s="229"/>
      <c r="N27" s="320">
        <f t="shared" si="2"/>
        <v>128.49657468257149</v>
      </c>
      <c r="O27" s="320">
        <f t="shared" si="3"/>
        <v>418.83120143261146</v>
      </c>
      <c r="P27" s="320">
        <f>IFERROR(VLOOKUP($A27&amp;"_"&amp;P$2,MDB,6,0),0)*(Lkg_Scale_VDDAR_OSVT*$AI27+Lkg_Scale_VDDAR_XSVT*$AJ27+Lkg_Scale_VDDAR_SVT*$AK27+Lkg_Scale_VDDAR_LVT*$AL27)*$G27*IF($I27="off",4%,1)</f>
        <v>73.976754289092952</v>
      </c>
      <c r="Q27" s="319"/>
      <c r="R27" s="319"/>
      <c r="S27" s="319"/>
      <c r="T27" s="319"/>
      <c r="U27" s="319"/>
      <c r="V27" s="319"/>
      <c r="W27" s="324" t="s">
        <v>5203</v>
      </c>
      <c r="X27" s="324" t="s">
        <v>8</v>
      </c>
      <c r="Y27" s="324" t="s">
        <v>61</v>
      </c>
      <c r="Z27" s="324" t="s">
        <v>6546</v>
      </c>
      <c r="AA27" s="324" t="s">
        <v>6546</v>
      </c>
      <c r="AB27" s="324" t="s">
        <v>6546</v>
      </c>
      <c r="AC27" s="321">
        <v>1</v>
      </c>
      <c r="AD27" s="248">
        <f t="shared" si="14"/>
        <v>1.9099999999999999E-2</v>
      </c>
      <c r="AE27" s="248">
        <f t="shared" si="14"/>
        <v>0.04</v>
      </c>
      <c r="AF27" s="248">
        <f t="shared" si="14"/>
        <v>0.06</v>
      </c>
      <c r="AG27" s="320">
        <f t="shared" si="14"/>
        <v>7584.4</v>
      </c>
      <c r="AH27" s="320">
        <f t="shared" si="14"/>
        <v>8681.84</v>
      </c>
      <c r="AI27" s="325">
        <f t="shared" si="14"/>
        <v>4.8800000000000003E-2</v>
      </c>
      <c r="AJ27" s="325">
        <f t="shared" si="14"/>
        <v>0.72419999999999995</v>
      </c>
      <c r="AK27" s="325">
        <f t="shared" si="14"/>
        <v>0.22700000000000001</v>
      </c>
      <c r="AL27" s="325">
        <f t="shared" si="14"/>
        <v>0</v>
      </c>
      <c r="AM27" s="137" t="str">
        <f t="shared" si="6"/>
        <v>sam263p_core_0</v>
      </c>
    </row>
    <row r="28" spans="1:39" ht="12.6" customHeight="1" x14ac:dyDescent="0.2">
      <c r="A28" s="207" t="s">
        <v>4700</v>
      </c>
      <c r="B28" s="207" t="s">
        <v>11</v>
      </c>
      <c r="C28" s="209" t="str">
        <f t="shared" si="0"/>
        <v>hsm am263</v>
      </c>
      <c r="D28" s="227" t="str">
        <f t="shared" si="0"/>
        <v>pg1</v>
      </c>
      <c r="E28" s="207" t="str">
        <f t="shared" si="0"/>
        <v>4 infra</v>
      </c>
      <c r="F28" s="207" t="str">
        <f t="shared" si="0"/>
        <v>security</v>
      </c>
      <c r="G28" s="209">
        <v>0</v>
      </c>
      <c r="H28" s="216">
        <f t="shared" ca="1" si="7"/>
        <v>0</v>
      </c>
      <c r="I28" s="228" t="s">
        <v>4872</v>
      </c>
      <c r="J28" s="209">
        <f t="shared" si="1"/>
        <v>200</v>
      </c>
      <c r="K28" s="207">
        <f ca="1">IFERROR(INDEX(INDIRECT(uc_sheet&amp;"!$A$1"):INDIRECT(uc_sheet&amp;"!$CZ$1000"),MATCH($A28&amp;$B28,INDIRECT(uc_sheet&amp;"!$a$1"):INDIRECT(uc_sheet&amp;"!$a$1000"),0),MATCH(use_case,INDIRECT(uc_sheet&amp;"!$A$1"):INDIRECT(uc_sheet&amp;"!$CZ$1"),0)+1),0)</f>
        <v>0</v>
      </c>
      <c r="L28" s="303"/>
      <c r="M28" s="229"/>
      <c r="N28" s="320">
        <f t="shared" si="2"/>
        <v>0</v>
      </c>
      <c r="O28" s="322">
        <f t="shared" ca="1" si="3"/>
        <v>0</v>
      </c>
      <c r="P28" s="320">
        <f t="shared" si="4"/>
        <v>0</v>
      </c>
      <c r="Q28" s="319"/>
      <c r="R28" s="319"/>
      <c r="S28" s="319"/>
      <c r="T28" s="319"/>
      <c r="U28" s="319"/>
      <c r="V28" s="319"/>
      <c r="W28" s="324" t="s">
        <v>5203</v>
      </c>
      <c r="X28" s="324" t="s">
        <v>8</v>
      </c>
      <c r="Y28" s="324" t="s">
        <v>61</v>
      </c>
      <c r="Z28" s="324" t="s">
        <v>6546</v>
      </c>
      <c r="AA28" s="324" t="s">
        <v>6546</v>
      </c>
      <c r="AB28" s="324" t="s">
        <v>6546</v>
      </c>
      <c r="AC28" s="321">
        <v>1</v>
      </c>
      <c r="AD28" s="249">
        <f t="shared" si="14"/>
        <v>1.9199999999999998E-2</v>
      </c>
      <c r="AE28" s="248">
        <f t="shared" si="14"/>
        <v>0.04</v>
      </c>
      <c r="AF28" s="320">
        <f t="shared" si="14"/>
        <v>0.06</v>
      </c>
      <c r="AG28" s="320">
        <f t="shared" si="14"/>
        <v>1257.5999999999999</v>
      </c>
      <c r="AH28" s="320">
        <f t="shared" si="14"/>
        <v>1295.2</v>
      </c>
      <c r="AI28" s="325">
        <f t="shared" si="14"/>
        <v>2.1076584869552578E-2</v>
      </c>
      <c r="AJ28" s="325">
        <f t="shared" si="14"/>
        <v>0.6</v>
      </c>
      <c r="AK28" s="325">
        <f t="shared" si="14"/>
        <v>0.38</v>
      </c>
      <c r="AL28" s="325">
        <f t="shared" si="14"/>
        <v>0</v>
      </c>
      <c r="AM28" s="137" t="str">
        <f t="shared" si="6"/>
        <v>I_radar_hsm_corepac_0</v>
      </c>
    </row>
    <row r="29" spans="1:39" ht="12.6" customHeight="1" x14ac:dyDescent="0.2">
      <c r="A29" s="207" t="s">
        <v>5461</v>
      </c>
      <c r="B29" s="207" t="s">
        <v>11</v>
      </c>
      <c r="C29" s="209" t="str">
        <f t="shared" ref="C29:F50" si="28">VLOOKUP($A29&amp;"_"&amp;C$2,MDB,6,0)</f>
        <v>hsm tpr12</v>
      </c>
      <c r="D29" s="227" t="str">
        <f t="shared" si="28"/>
        <v>pg1</v>
      </c>
      <c r="E29" s="207" t="str">
        <f t="shared" si="28"/>
        <v>4 infra</v>
      </c>
      <c r="F29" s="207" t="str">
        <f t="shared" si="28"/>
        <v>security</v>
      </c>
      <c r="G29" s="209">
        <v>0</v>
      </c>
      <c r="H29" s="216">
        <f t="shared" ca="1" si="7"/>
        <v>0</v>
      </c>
      <c r="I29" s="228" t="s">
        <v>4798</v>
      </c>
      <c r="J29" s="209">
        <f t="shared" si="1"/>
        <v>200</v>
      </c>
      <c r="K29" s="207">
        <f ca="1">IFERROR(INDEX(INDIRECT(uc_sheet&amp;"!$A$1"):INDIRECT(uc_sheet&amp;"!$CZ$1000"),MATCH($A29&amp;$B29,INDIRECT(uc_sheet&amp;"!$a$1"):INDIRECT(uc_sheet&amp;"!$a$1000"),0),MATCH(use_case,INDIRECT(uc_sheet&amp;"!$A$1"):INDIRECT(uc_sheet&amp;"!$CZ$1"),0)+1),0)</f>
        <v>0</v>
      </c>
      <c r="L29" s="224">
        <f ca="1">IFERROR(INDEX(INDIRECT(uc_sheet&amp;"!$A$1"):INDIRECT(uc_sheet&amp;"!$CZ$1000"),MATCH($A29&amp;$B29,INDIRECT(uc_sheet&amp;"!$a$1"):INDIRECT(uc_sheet&amp;"!$a$1000"),0),MATCH(use_case,INDIRECT(uc_sheet&amp;"!$A$1"):INDIRECT(uc_sheet&amp;"!$CZ$1"),0)),0)</f>
        <v>0</v>
      </c>
      <c r="M29" s="229"/>
      <c r="N29" s="320">
        <f t="shared" si="2"/>
        <v>0</v>
      </c>
      <c r="O29" s="320">
        <f t="shared" ca="1" si="3"/>
        <v>0</v>
      </c>
      <c r="P29" s="320">
        <f t="shared" si="4"/>
        <v>0</v>
      </c>
      <c r="Q29" s="319"/>
      <c r="R29" s="319"/>
      <c r="S29" s="319"/>
      <c r="T29" s="319"/>
      <c r="U29" s="319"/>
      <c r="V29" s="319"/>
      <c r="W29" s="324" t="s">
        <v>5203</v>
      </c>
      <c r="X29" s="324" t="s">
        <v>40</v>
      </c>
      <c r="Y29" s="324" t="s">
        <v>40</v>
      </c>
      <c r="Z29" s="324" t="s">
        <v>6546</v>
      </c>
      <c r="AA29" s="324" t="s">
        <v>6546</v>
      </c>
      <c r="AB29" s="324" t="s">
        <v>6546</v>
      </c>
      <c r="AC29" s="321" t="s">
        <v>40</v>
      </c>
      <c r="AD29" s="320">
        <f t="shared" si="14"/>
        <v>1.9199999999999998E-2</v>
      </c>
      <c r="AE29" s="320">
        <f t="shared" si="14"/>
        <v>0.04</v>
      </c>
      <c r="AF29" s="320">
        <f t="shared" si="14"/>
        <v>0.06</v>
      </c>
      <c r="AG29" s="320">
        <f t="shared" si="14"/>
        <v>1224.8</v>
      </c>
      <c r="AH29" s="320">
        <f t="shared" si="14"/>
        <v>1068</v>
      </c>
      <c r="AI29" s="325">
        <f t="shared" si="14"/>
        <v>6.0000000000000001E-3</v>
      </c>
      <c r="AJ29" s="325">
        <f t="shared" si="14"/>
        <v>0.5665</v>
      </c>
      <c r="AK29" s="325">
        <f t="shared" si="14"/>
        <v>0.42859999999999998</v>
      </c>
      <c r="AL29" s="325">
        <f t="shared" si="14"/>
        <v>2.9999999999999997E-4</v>
      </c>
      <c r="AM29" s="137" t="str">
        <f t="shared" si="6"/>
        <v>radar_hsm_0</v>
      </c>
    </row>
    <row r="30" spans="1:39" ht="12.6" customHeight="1" x14ac:dyDescent="0.2">
      <c r="A30" s="207" t="s">
        <v>6372</v>
      </c>
      <c r="B30" s="207" t="s">
        <v>11</v>
      </c>
      <c r="C30" s="209" t="str">
        <f t="shared" ref="C30:F30" si="29">VLOOKUP($A30&amp;"_"&amp;C$2,MDB,6,0)</f>
        <v>hsm am261</v>
      </c>
      <c r="D30" s="227" t="str">
        <f t="shared" si="29"/>
        <v>ppr</v>
      </c>
      <c r="E30" s="207" t="str">
        <f t="shared" si="29"/>
        <v>4 infra</v>
      </c>
      <c r="F30" s="207" t="str">
        <f t="shared" si="29"/>
        <v>security</v>
      </c>
      <c r="G30" s="209">
        <v>0</v>
      </c>
      <c r="H30" s="216">
        <f t="shared" ca="1" si="7"/>
        <v>0</v>
      </c>
      <c r="I30" s="228" t="s">
        <v>4872</v>
      </c>
      <c r="J30" s="209">
        <f t="shared" ref="J30" si="30">IFERROR(VLOOKUP($A30&amp;"_"&amp;J$2,MDB,6,0),0)</f>
        <v>200</v>
      </c>
      <c r="K30" s="207">
        <f ca="1">IFERROR(INDEX(INDIRECT(uc_sheet&amp;"!$A$1"):INDIRECT(uc_sheet&amp;"!$CZ$1000"),MATCH($A30&amp;$B30,INDIRECT(uc_sheet&amp;"!$a$1"):INDIRECT(uc_sheet&amp;"!$a$1000"),0),MATCH(use_case,INDIRECT(uc_sheet&amp;"!$A$1"):INDIRECT(uc_sheet&amp;"!$CZ$1"),0)+1),0)</f>
        <v>0</v>
      </c>
      <c r="L30" s="224">
        <f ca="1">IFERROR(INDEX(INDIRECT(uc_sheet&amp;"!$A$1"):INDIRECT(uc_sheet&amp;"!$CZ$1000"),MATCH($A30&amp;$B30,INDIRECT(uc_sheet&amp;"!$a$1"):INDIRECT(uc_sheet&amp;"!$a$1000"),0),MATCH(use_case,INDIRECT(uc_sheet&amp;"!$A$1"):INDIRECT(uc_sheet&amp;"!$CZ$1"),0)),0)</f>
        <v>0</v>
      </c>
      <c r="M30" s="229"/>
      <c r="N30" s="320">
        <f t="shared" ref="N30" si="31">IFERROR(VLOOKUP($A30&amp;"_"&amp;N$2,MDB,6,0),0)*(Lkg_Scale_VDD_OSVT*$AI30+Lkg_Scale_VDD_XSVT*$AJ30+Lkg_Scale_VDD_SVT*$AK30+Lkg_Scale_VDD_LVT*$AL30)*$G30*IF($I30="off",4%,1)</f>
        <v>0</v>
      </c>
      <c r="O30" s="320">
        <f t="shared" ref="O30" ca="1" si="32">(AG30*(Dyn_Int_Scale_OSVT*$AI30+Dyn_Int_Scale_XSVT*$AJ30+Dyn_Int_Scale_SVT*$AK30+Dyn_Int_Scale_LVT*$AL30)+AH30*(Dyn_Sw_Scale_OSVT*$AI30+Dyn_Sw_Scale_XSVT*$AJ30+Dyn_Sw_Scale_SVT*$AK30+Dyn_Sw_Scale_LVT*$AL30))*G30*IF(I30="off",0,1)*IF(L30=0,0.1%,1)*(AD30+(AE30-AD30)*L30)*(K30/J30)</f>
        <v>0</v>
      </c>
      <c r="P30" s="320">
        <f t="shared" ref="P30" si="33">IFERROR(VLOOKUP($A30&amp;"_"&amp;P$2,MDB,6,0),0)*(Lkg_Scale_VDDAR_OSVT*$AI30+Lkg_Scale_VDDAR_XSVT*$AJ30+Lkg_Scale_VDDAR_SVT*$AK30+Lkg_Scale_VDDAR_LVT*$AL30)*$G30*IF($I30="off",4%,1)</f>
        <v>0</v>
      </c>
      <c r="Q30" s="319"/>
      <c r="R30" s="319"/>
      <c r="S30" s="319"/>
      <c r="T30" s="319"/>
      <c r="U30" s="319"/>
      <c r="V30" s="319"/>
      <c r="W30" s="324" t="s">
        <v>5203</v>
      </c>
      <c r="X30" s="324" t="s">
        <v>8</v>
      </c>
      <c r="Y30" s="324" t="s">
        <v>61</v>
      </c>
      <c r="Z30" s="324" t="s">
        <v>6546</v>
      </c>
      <c r="AA30" s="324" t="s">
        <v>6546</v>
      </c>
      <c r="AB30" s="324" t="s">
        <v>6546</v>
      </c>
      <c r="AC30" s="321">
        <v>1</v>
      </c>
      <c r="AD30" s="248">
        <f t="shared" ref="AD30:AL30" si="34">IFERROR(VLOOKUP($A30&amp;"_"&amp;AD$2,MDB,6,0),0)</f>
        <v>1.9199999999999998E-2</v>
      </c>
      <c r="AE30" s="248">
        <f t="shared" si="34"/>
        <v>0.04</v>
      </c>
      <c r="AF30" s="248">
        <f t="shared" si="34"/>
        <v>0.06</v>
      </c>
      <c r="AG30" s="320">
        <f t="shared" si="34"/>
        <v>1290.987610619469</v>
      </c>
      <c r="AH30" s="320">
        <f t="shared" si="34"/>
        <v>1329.5858407079647</v>
      </c>
      <c r="AI30" s="325">
        <f t="shared" si="34"/>
        <v>2.1076584869552578E-2</v>
      </c>
      <c r="AJ30" s="325">
        <f t="shared" si="34"/>
        <v>0.6</v>
      </c>
      <c r="AK30" s="325">
        <f t="shared" si="34"/>
        <v>0.38</v>
      </c>
      <c r="AL30" s="325">
        <f t="shared" si="34"/>
        <v>0</v>
      </c>
      <c r="AM30" s="137" t="str">
        <f t="shared" si="6"/>
        <v>sam261_radar_hsm_corepac_0</v>
      </c>
    </row>
    <row r="31" spans="1:39" ht="12.6" customHeight="1" x14ac:dyDescent="0.2">
      <c r="A31" s="259" t="s">
        <v>6013</v>
      </c>
      <c r="B31" s="207" t="s">
        <v>11</v>
      </c>
      <c r="C31" s="209" t="str">
        <f t="shared" si="28"/>
        <v>hsm am263p</v>
      </c>
      <c r="D31" s="227" t="str">
        <f t="shared" si="28"/>
        <v>ppr</v>
      </c>
      <c r="E31" s="207" t="str">
        <f t="shared" si="28"/>
        <v>4 infra</v>
      </c>
      <c r="F31" s="207" t="str">
        <f t="shared" si="28"/>
        <v>security</v>
      </c>
      <c r="G31" s="209">
        <v>1</v>
      </c>
      <c r="H31" s="216">
        <f t="shared" si="7"/>
        <v>85.766957059096683</v>
      </c>
      <c r="I31" s="228" t="s">
        <v>4872</v>
      </c>
      <c r="J31" s="209">
        <f t="shared" si="1"/>
        <v>200</v>
      </c>
      <c r="K31" s="207">
        <v>200</v>
      </c>
      <c r="L31" s="224">
        <f>hsm_util</f>
        <v>0.05</v>
      </c>
      <c r="M31" s="229"/>
      <c r="N31" s="320">
        <f t="shared" si="2"/>
        <v>14.830377764625059</v>
      </c>
      <c r="O31" s="320">
        <f t="shared" si="3"/>
        <v>60.916281246306241</v>
      </c>
      <c r="P31" s="320">
        <f t="shared" si="4"/>
        <v>10.020298048165394</v>
      </c>
      <c r="Q31" s="319"/>
      <c r="R31" s="319"/>
      <c r="S31" s="319"/>
      <c r="T31" s="319"/>
      <c r="U31" s="319"/>
      <c r="V31" s="319"/>
      <c r="W31" s="324" t="s">
        <v>5203</v>
      </c>
      <c r="X31" s="324" t="s">
        <v>8</v>
      </c>
      <c r="Y31" s="324" t="s">
        <v>61</v>
      </c>
      <c r="Z31" s="324" t="s">
        <v>6546</v>
      </c>
      <c r="AA31" s="324" t="s">
        <v>6546</v>
      </c>
      <c r="AB31" s="324" t="s">
        <v>6546</v>
      </c>
      <c r="AC31" s="321">
        <v>1</v>
      </c>
      <c r="AD31" s="248">
        <f t="shared" si="14"/>
        <v>1.9199999999999998E-2</v>
      </c>
      <c r="AE31" s="248">
        <f t="shared" si="14"/>
        <v>0.04</v>
      </c>
      <c r="AF31" s="248">
        <f t="shared" si="14"/>
        <v>0.06</v>
      </c>
      <c r="AG31" s="320">
        <f t="shared" si="14"/>
        <v>1764</v>
      </c>
      <c r="AH31" s="320">
        <f t="shared" si="14"/>
        <v>1367</v>
      </c>
      <c r="AI31" s="325">
        <f t="shared" si="14"/>
        <v>6.5500000000000003E-2</v>
      </c>
      <c r="AJ31" s="325">
        <f t="shared" si="14"/>
        <v>0.77890000000000004</v>
      </c>
      <c r="AK31" s="325">
        <f t="shared" si="14"/>
        <v>0.15559999999999999</v>
      </c>
      <c r="AL31" s="325">
        <f t="shared" si="14"/>
        <v>0</v>
      </c>
      <c r="AM31" s="137" t="str">
        <f t="shared" si="6"/>
        <v>sam263p_radar_hsm_corepac_0</v>
      </c>
    </row>
    <row r="32" spans="1:39" ht="12.6" customHeight="1" x14ac:dyDescent="0.2">
      <c r="A32" s="207" t="s">
        <v>5448</v>
      </c>
      <c r="B32" s="207" t="s">
        <v>5468</v>
      </c>
      <c r="C32" s="209" t="str">
        <f t="shared" si="28"/>
        <v>adc - 12bit - 4 msps 3.3v</v>
      </c>
      <c r="D32" s="227" t="str">
        <f t="shared" si="28"/>
        <v>rev_0p8p2</v>
      </c>
      <c r="E32" s="207" t="str">
        <f t="shared" si="28"/>
        <v>5 analog</v>
      </c>
      <c r="F32" s="207" t="str">
        <f t="shared" si="28"/>
        <v>clocking</v>
      </c>
      <c r="G32" s="209">
        <v>1</v>
      </c>
      <c r="H32" s="216">
        <f t="shared" si="7"/>
        <v>8.3169988439559965</v>
      </c>
      <c r="I32" s="228" t="s">
        <v>4872</v>
      </c>
      <c r="J32" s="229"/>
      <c r="K32" s="230">
        <v>1000</v>
      </c>
      <c r="L32" s="224">
        <v>1</v>
      </c>
      <c r="M32" s="229"/>
      <c r="N32" s="320">
        <f>IFERROR(VLOOKUP($A32&amp;"_"&amp;N$2,MDB,6,0),0)*Lkg_Scale_VDD_SVT*$G32</f>
        <v>1.4799537582398943E-2</v>
      </c>
      <c r="O32" s="320">
        <f t="shared" ref="O32:O40" si="35">IFERROR(VLOOKUP($A32&amp;"_"&amp;O$2&amp;"_"&amp;$K32,MDB,6,0),0)</f>
        <v>0.18</v>
      </c>
      <c r="P32" s="319"/>
      <c r="Q32" s="320">
        <f>IFERROR(VLOOKUP($A32&amp;"_"&amp;Q$2,MDB,6,0),0)*Lkg_Scale_VDD_SVT*$G32</f>
        <v>2.2199306373598418E-2</v>
      </c>
      <c r="R32" s="320">
        <f t="shared" ref="R32:R64" si="36">IFERROR(VLOOKUP($A32&amp;"_"&amp;R$2&amp;"_"&amp;$K32,MDB,6,0),0)</f>
        <v>8.1</v>
      </c>
      <c r="S32" s="320">
        <f>IFERROR(VLOOKUP($A32&amp;"_"&amp;S$2,MDB,6,0),0)*Lkg_Scale_VDD_SVT*$G32</f>
        <v>0</v>
      </c>
      <c r="T32" s="320">
        <f t="shared" ref="T32:T64" si="37">IFERROR(VLOOKUP($A32&amp;"_"&amp;T$2&amp;"_"&amp;$K32,MDB,6,0),0)</f>
        <v>0</v>
      </c>
      <c r="U32" s="320">
        <f>IFERROR(VLOOKUP($A32&amp;"_"&amp;U$2,MDB,6,0),0)*Lkg_Scale_VDD_SVT*$G32</f>
        <v>0</v>
      </c>
      <c r="V32" s="320">
        <f t="shared" ref="V32:V64" si="38">IFERROR(VLOOKUP($A32&amp;"_"&amp;V$2&amp;"_"&amp;$K32,MDB,6,0),0)</f>
        <v>0</v>
      </c>
      <c r="W32" s="324" t="s">
        <v>5192</v>
      </c>
      <c r="X32" s="324" t="s">
        <v>8</v>
      </c>
      <c r="Y32" s="324" t="s">
        <v>61</v>
      </c>
      <c r="Z32" s="324" t="s">
        <v>6547</v>
      </c>
      <c r="AA32" s="324" t="s">
        <v>6546</v>
      </c>
      <c r="AB32" s="324" t="s">
        <v>6546</v>
      </c>
      <c r="AC32" s="319"/>
      <c r="AD32" s="319"/>
      <c r="AE32" s="319"/>
      <c r="AF32" s="319"/>
      <c r="AG32" s="319"/>
      <c r="AH32" s="319"/>
      <c r="AI32" s="319"/>
      <c r="AJ32" s="319"/>
      <c r="AK32" s="319"/>
      <c r="AL32" s="319"/>
      <c r="AM32" s="137" t="str">
        <f t="shared" si="6"/>
        <v>adpllj_core</v>
      </c>
    </row>
    <row r="33" spans="1:39" ht="12.6" customHeight="1" x14ac:dyDescent="0.2">
      <c r="A33" s="207" t="s">
        <v>5448</v>
      </c>
      <c r="B33" s="207" t="s">
        <v>5470</v>
      </c>
      <c r="C33" s="209" t="str">
        <f t="shared" si="28"/>
        <v>adc - 12bit - 4 msps 3.3v</v>
      </c>
      <c r="D33" s="227" t="str">
        <f t="shared" si="28"/>
        <v>rev_0p8p2</v>
      </c>
      <c r="E33" s="207" t="str">
        <f t="shared" si="28"/>
        <v>5 analog</v>
      </c>
      <c r="F33" s="207" t="str">
        <f t="shared" si="28"/>
        <v>clocking</v>
      </c>
      <c r="G33" s="209">
        <v>0</v>
      </c>
      <c r="H33" s="216">
        <f t="shared" ca="1" si="7"/>
        <v>0</v>
      </c>
      <c r="I33" s="228" t="s">
        <v>4798</v>
      </c>
      <c r="J33" s="229"/>
      <c r="K33" s="230" t="str">
        <f ca="1">IFERROR(INDEX(INDIRECT(uc_sheet&amp;"!$A$1"):INDIRECT(uc_sheet&amp;"!$CZ$1000"),MATCH($A33&amp;$B33,INDIRECT(uc_sheet&amp;"!$a$1"):INDIRECT(uc_sheet&amp;"!$a$1000"),0),MATCH(use_case,INDIRECT(uc_sheet&amp;"!$A$1"):INDIRECT(uc_sheet&amp;"!$CZ$1"),0)+1),"")</f>
        <v/>
      </c>
      <c r="L33" s="224">
        <f ca="1">IFERROR(INDEX(INDIRECT(uc_sheet&amp;"!$A$1"):INDIRECT(uc_sheet&amp;"!$CZ$1000"),MATCH($A33&amp;$B33,INDIRECT(uc_sheet&amp;"!$a$1"):INDIRECT(uc_sheet&amp;"!$a$1000"),0),MATCH(use_case,INDIRECT(uc_sheet&amp;"!$A$1"):INDIRECT(uc_sheet&amp;"!$CZ$1"),0)),0)</f>
        <v>0</v>
      </c>
      <c r="M33" s="229"/>
      <c r="N33" s="320">
        <f>IFERROR(VLOOKUP($A33&amp;"_"&amp;N$2,MDB,6,0),0)*Lkg_Scale_VDD_SVT*$G33</f>
        <v>0</v>
      </c>
      <c r="O33" s="320">
        <f t="shared" ca="1" si="35"/>
        <v>0</v>
      </c>
      <c r="P33" s="319"/>
      <c r="Q33" s="320">
        <f>IFERROR(VLOOKUP($A33&amp;"_"&amp;Q$2,MDB,6,0),0)*Lkg_Scale_VDD_SVT*$G33</f>
        <v>0</v>
      </c>
      <c r="R33" s="320">
        <f t="shared" ca="1" si="36"/>
        <v>0</v>
      </c>
      <c r="S33" s="320">
        <f>IFERROR(VLOOKUP($A33&amp;"_"&amp;S$2,MDB,6,0),0)*Lkg_Scale_VDD_SVT*$G33</f>
        <v>0</v>
      </c>
      <c r="T33" s="320">
        <f t="shared" ca="1" si="37"/>
        <v>0</v>
      </c>
      <c r="U33" s="320">
        <f>IFERROR(VLOOKUP($A33&amp;"_"&amp;U$2,MDB,6,0),0)*Lkg_Scale_VDD_SVT*$G33</f>
        <v>0</v>
      </c>
      <c r="V33" s="320">
        <f t="shared" ca="1" si="38"/>
        <v>0</v>
      </c>
      <c r="W33" s="324" t="s">
        <v>5192</v>
      </c>
      <c r="X33" s="324" t="s">
        <v>40</v>
      </c>
      <c r="Y33" s="324" t="s">
        <v>40</v>
      </c>
      <c r="Z33" s="324" t="s">
        <v>6546</v>
      </c>
      <c r="AA33" s="324" t="s">
        <v>6546</v>
      </c>
      <c r="AB33" s="324" t="s">
        <v>6546</v>
      </c>
      <c r="AC33" s="319"/>
      <c r="AD33" s="319"/>
      <c r="AE33" s="319"/>
      <c r="AF33" s="319"/>
      <c r="AG33" s="319"/>
      <c r="AH33" s="319"/>
      <c r="AI33" s="319"/>
      <c r="AJ33" s="319"/>
      <c r="AK33" s="319"/>
      <c r="AL33" s="319"/>
      <c r="AM33" s="137" t="str">
        <f t="shared" si="6"/>
        <v>adpllj_dsp</v>
      </c>
    </row>
    <row r="34" spans="1:39" ht="12.6" customHeight="1" x14ac:dyDescent="0.2">
      <c r="A34" s="207" t="s">
        <v>5448</v>
      </c>
      <c r="B34" s="207" t="s">
        <v>5469</v>
      </c>
      <c r="C34" s="209" t="str">
        <f t="shared" si="28"/>
        <v>adc - 12bit - 4 msps 3.3v</v>
      </c>
      <c r="D34" s="227" t="str">
        <f t="shared" si="28"/>
        <v>rev_0p8p2</v>
      </c>
      <c r="E34" s="207" t="str">
        <f t="shared" si="28"/>
        <v>5 analog</v>
      </c>
      <c r="F34" s="207" t="str">
        <f t="shared" si="28"/>
        <v>clocking</v>
      </c>
      <c r="G34" s="209">
        <v>1</v>
      </c>
      <c r="H34" s="216">
        <f t="shared" si="7"/>
        <v>8.3169988439559965</v>
      </c>
      <c r="I34" s="228" t="s">
        <v>4872</v>
      </c>
      <c r="J34" s="229"/>
      <c r="K34" s="230">
        <v>1000</v>
      </c>
      <c r="L34" s="224">
        <v>1</v>
      </c>
      <c r="M34" s="229"/>
      <c r="N34" s="320">
        <f>IFERROR(VLOOKUP($A34&amp;"_"&amp;N$2,MDB,6,0),0)*Lkg_Scale_VDD_SVT*$G34</f>
        <v>1.4799537582398943E-2</v>
      </c>
      <c r="O34" s="320">
        <f t="shared" si="35"/>
        <v>0.18</v>
      </c>
      <c r="P34" s="319"/>
      <c r="Q34" s="320">
        <f>IFERROR(VLOOKUP($A34&amp;"_"&amp;Q$2,MDB,6,0),0)*Lkg_Scale_VDD_SVT*$G34</f>
        <v>2.2199306373598418E-2</v>
      </c>
      <c r="R34" s="320">
        <f t="shared" si="36"/>
        <v>8.1</v>
      </c>
      <c r="S34" s="320">
        <f>IFERROR(VLOOKUP($A34&amp;"_"&amp;S$2,MDB,6,0),0)*Lkg_Scale_VDD_SVT*$G34</f>
        <v>0</v>
      </c>
      <c r="T34" s="320">
        <f t="shared" si="37"/>
        <v>0</v>
      </c>
      <c r="U34" s="320">
        <f>IFERROR(VLOOKUP($A34&amp;"_"&amp;U$2,MDB,6,0),0)*Lkg_Scale_VDD_SVT*$G34</f>
        <v>0</v>
      </c>
      <c r="V34" s="320">
        <f t="shared" si="38"/>
        <v>0</v>
      </c>
      <c r="W34" s="324" t="s">
        <v>5192</v>
      </c>
      <c r="X34" s="324" t="s">
        <v>8</v>
      </c>
      <c r="Y34" s="324" t="s">
        <v>61</v>
      </c>
      <c r="Z34" s="324" t="s">
        <v>6547</v>
      </c>
      <c r="AA34" s="324" t="s">
        <v>6546</v>
      </c>
      <c r="AB34" s="324" t="s">
        <v>6546</v>
      </c>
      <c r="AC34" s="319"/>
      <c r="AD34" s="319"/>
      <c r="AE34" s="319"/>
      <c r="AF34" s="319"/>
      <c r="AG34" s="319"/>
      <c r="AH34" s="319"/>
      <c r="AI34" s="319"/>
      <c r="AJ34" s="319"/>
      <c r="AK34" s="319"/>
      <c r="AL34" s="319"/>
      <c r="AM34" s="137" t="str">
        <f t="shared" si="6"/>
        <v>adpllj_per</v>
      </c>
    </row>
    <row r="35" spans="1:39" ht="12.6" customHeight="1" x14ac:dyDescent="0.2">
      <c r="A35" s="207" t="s">
        <v>5448</v>
      </c>
      <c r="B35" s="259" t="s">
        <v>6493</v>
      </c>
      <c r="C35" s="209" t="str">
        <f t="shared" si="28"/>
        <v>adc - 12bit - 4 msps 3.3v</v>
      </c>
      <c r="D35" s="227" t="str">
        <f t="shared" si="28"/>
        <v>rev_0p8p2</v>
      </c>
      <c r="E35" s="207" t="str">
        <f t="shared" si="28"/>
        <v>5 analog</v>
      </c>
      <c r="F35" s="207" t="str">
        <f t="shared" si="28"/>
        <v>clocking</v>
      </c>
      <c r="G35" s="209">
        <v>0</v>
      </c>
      <c r="H35" s="216">
        <f t="shared" ca="1" si="7"/>
        <v>0</v>
      </c>
      <c r="I35" s="228" t="s">
        <v>4872</v>
      </c>
      <c r="J35" s="229"/>
      <c r="K35" s="230" t="str">
        <f ca="1">IFERROR(INDEX(INDIRECT(uc_sheet&amp;"!$A$1"):INDIRECT(uc_sheet&amp;"!$CZ$1000"),MATCH($A35&amp;$B35,INDIRECT(uc_sheet&amp;"!$a$1"):INDIRECT(uc_sheet&amp;"!$a$1000"),0),MATCH(use_case,INDIRECT(uc_sheet&amp;"!$A$1"):INDIRECT(uc_sheet&amp;"!$CZ$1"),0)+1),"")</f>
        <v/>
      </c>
      <c r="L35" s="224">
        <f ca="1">IFERROR(INDEX(INDIRECT(uc_sheet&amp;"!$A$1"):INDIRECT(uc_sheet&amp;"!$CZ$1000"),MATCH($A35&amp;$B35,INDIRECT(uc_sheet&amp;"!$a$1"):INDIRECT(uc_sheet&amp;"!$a$1000"),0),MATCH(use_case,INDIRECT(uc_sheet&amp;"!$A$1"):INDIRECT(uc_sheet&amp;"!$CZ$1"),0)),0)</f>
        <v>0</v>
      </c>
      <c r="M35" s="229"/>
      <c r="N35" s="320">
        <f>IFERROR(VLOOKUP($A35&amp;"_"&amp;N$2,MDB,6,0),0)*Lkg_Scale_VDD_SVT*$G35</f>
        <v>0</v>
      </c>
      <c r="O35" s="320">
        <f t="shared" ca="1" si="35"/>
        <v>0</v>
      </c>
      <c r="P35" s="319"/>
      <c r="Q35" s="320">
        <f>IFERROR(VLOOKUP($A35&amp;"_"&amp;Q$2,MDB,6,0),0)*Lkg_Scale_VDD_SVT*$G35</f>
        <v>0</v>
      </c>
      <c r="R35" s="320">
        <f t="shared" ca="1" si="36"/>
        <v>0</v>
      </c>
      <c r="S35" s="320">
        <f>IFERROR(VLOOKUP($A35&amp;"_"&amp;S$2,MDB,6,0),0)*Lkg_Scale_VDD_SVT*$G35</f>
        <v>0</v>
      </c>
      <c r="T35" s="320">
        <f t="shared" ca="1" si="37"/>
        <v>0</v>
      </c>
      <c r="U35" s="320">
        <f>IFERROR(VLOOKUP($A35&amp;"_"&amp;U$2,MDB,6,0),0)*Lkg_Scale_VDD_SVT*$G35</f>
        <v>0</v>
      </c>
      <c r="V35" s="320">
        <f t="shared" ca="1" si="38"/>
        <v>0</v>
      </c>
      <c r="W35" s="324" t="s">
        <v>5192</v>
      </c>
      <c r="X35" s="324" t="s">
        <v>8</v>
      </c>
      <c r="Y35" s="324" t="s">
        <v>61</v>
      </c>
      <c r="Z35" s="324" t="s">
        <v>6547</v>
      </c>
      <c r="AA35" s="324" t="s">
        <v>6546</v>
      </c>
      <c r="AB35" s="324" t="s">
        <v>6546</v>
      </c>
      <c r="AC35" s="319"/>
      <c r="AD35" s="319"/>
      <c r="AE35" s="319"/>
      <c r="AF35" s="319"/>
      <c r="AG35" s="319"/>
      <c r="AH35" s="319"/>
      <c r="AI35" s="319"/>
      <c r="AJ35" s="319"/>
      <c r="AK35" s="319"/>
      <c r="AL35" s="319"/>
      <c r="AM35" s="137" t="str">
        <f t="shared" si="6"/>
        <v>adpllj_eth_per</v>
      </c>
    </row>
    <row r="36" spans="1:39" ht="12.6" customHeight="1" x14ac:dyDescent="0.2">
      <c r="A36" s="207" t="s">
        <v>5451</v>
      </c>
      <c r="B36" s="207" t="s">
        <v>11</v>
      </c>
      <c r="C36" s="209" t="str">
        <f t="shared" si="28"/>
        <v>high speed clock divider</v>
      </c>
      <c r="D36" s="227" t="str">
        <f t="shared" si="28"/>
        <v>ver_1p0</v>
      </c>
      <c r="E36" s="207" t="str">
        <f t="shared" si="28"/>
        <v>5 analog</v>
      </c>
      <c r="F36" s="207" t="str">
        <f t="shared" si="28"/>
        <v>clocking</v>
      </c>
      <c r="G36" s="209">
        <v>2</v>
      </c>
      <c r="H36" s="216">
        <f t="shared" si="7"/>
        <v>8.1541909900916583</v>
      </c>
      <c r="I36" s="228" t="s">
        <v>4872</v>
      </c>
      <c r="J36" s="229"/>
      <c r="K36" s="259" t="s">
        <v>4872</v>
      </c>
      <c r="L36" s="224">
        <v>1</v>
      </c>
      <c r="M36" s="229"/>
      <c r="N36" s="320">
        <f t="shared" ref="N36:N42" si="39">IFERROR(VLOOKUP($A36&amp;"_"&amp;N$2,MDB,6,0),0)*Lkg_Scale_VDD_SVT</f>
        <v>5.9198150329595775E-5</v>
      </c>
      <c r="O36" s="320">
        <f t="shared" si="35"/>
        <v>4.7999999999999996E-3</v>
      </c>
      <c r="P36" s="319"/>
      <c r="Q36" s="320">
        <f t="shared" ref="Q36:Q42" si="40">IFERROR(VLOOKUP($A36&amp;"_"&amp;Q$2,MDB,6,0),0)*Lkg_Scale_VDD_SVT</f>
        <v>4.9331791941329813E-2</v>
      </c>
      <c r="R36" s="320">
        <f t="shared" si="36"/>
        <v>8.1</v>
      </c>
      <c r="S36" s="320">
        <f t="shared" ref="S36:S42" si="41">IFERROR(VLOOKUP($A36&amp;"_"&amp;S$2,MDB,6,0),0)*Lkg_Scale_VDD_SVT</f>
        <v>0</v>
      </c>
      <c r="T36" s="320">
        <f t="shared" si="37"/>
        <v>0</v>
      </c>
      <c r="U36" s="320">
        <f t="shared" ref="U36:U42" si="42">IFERROR(VLOOKUP($A36&amp;"_"&amp;U$2,MDB,6,0),0)*Lkg_Scale_VDD_SVT</f>
        <v>0</v>
      </c>
      <c r="V36" s="320">
        <f t="shared" si="38"/>
        <v>0</v>
      </c>
      <c r="W36" s="324" t="s">
        <v>5192</v>
      </c>
      <c r="X36" s="324" t="s">
        <v>8</v>
      </c>
      <c r="Y36" s="324" t="s">
        <v>61</v>
      </c>
      <c r="Z36" s="324" t="s">
        <v>6547</v>
      </c>
      <c r="AA36" s="324" t="s">
        <v>6546</v>
      </c>
      <c r="AB36" s="324" t="s">
        <v>6546</v>
      </c>
      <c r="AC36" s="319"/>
      <c r="AD36" s="319"/>
      <c r="AE36" s="319"/>
      <c r="AF36" s="319"/>
      <c r="AG36" s="319"/>
      <c r="AH36" s="319"/>
      <c r="AI36" s="319"/>
      <c r="AJ36" s="319"/>
      <c r="AK36" s="319"/>
      <c r="AL36" s="319"/>
      <c r="AM36" s="137" t="str">
        <f t="shared" si="6"/>
        <v>hsdivider_0</v>
      </c>
    </row>
    <row r="37" spans="1:39" ht="12.6" customHeight="1" x14ac:dyDescent="0.2">
      <c r="A37" s="207" t="s">
        <v>5460</v>
      </c>
      <c r="B37" s="207" t="s">
        <v>11</v>
      </c>
      <c r="C37" s="209" t="str">
        <f t="shared" si="28"/>
        <v>clock subchip</v>
      </c>
      <c r="D37" s="227" t="str">
        <f t="shared" si="28"/>
        <v>no datasheet</v>
      </c>
      <c r="E37" s="207" t="str">
        <f t="shared" si="28"/>
        <v>5 analog</v>
      </c>
      <c r="F37" s="207" t="str">
        <f t="shared" si="28"/>
        <v>clocking</v>
      </c>
      <c r="G37" s="209">
        <v>1</v>
      </c>
      <c r="H37" s="216">
        <f t="shared" si="7"/>
        <v>0</v>
      </c>
      <c r="I37" s="228" t="s">
        <v>4872</v>
      </c>
      <c r="J37" s="229"/>
      <c r="K37" s="207" t="s">
        <v>4872</v>
      </c>
      <c r="L37" s="224">
        <f ca="1">IFERROR(INDEX(INDIRECT(uc_sheet&amp;"!$A$1"):INDIRECT(uc_sheet&amp;"!$CZ$1000"),MATCH($A37&amp;$B37,INDIRECT(uc_sheet&amp;"!$a$1"):INDIRECT(uc_sheet&amp;"!$a$1000"),0),MATCH(use_case,INDIRECT(uc_sheet&amp;"!$A$1"):INDIRECT(uc_sheet&amp;"!$CZ$1"),0)),0)</f>
        <v>0</v>
      </c>
      <c r="M37" s="229"/>
      <c r="N37" s="320">
        <f t="shared" si="39"/>
        <v>0</v>
      </c>
      <c r="O37" s="320">
        <f t="shared" si="35"/>
        <v>0</v>
      </c>
      <c r="P37" s="319"/>
      <c r="Q37" s="320">
        <f t="shared" si="40"/>
        <v>0</v>
      </c>
      <c r="R37" s="320">
        <f t="shared" si="36"/>
        <v>0</v>
      </c>
      <c r="S37" s="320">
        <f t="shared" si="41"/>
        <v>0</v>
      </c>
      <c r="T37" s="320">
        <f t="shared" si="37"/>
        <v>0</v>
      </c>
      <c r="U37" s="320">
        <f t="shared" si="42"/>
        <v>0</v>
      </c>
      <c r="V37" s="320">
        <f t="shared" si="38"/>
        <v>0</v>
      </c>
      <c r="W37" s="324" t="s">
        <v>5189</v>
      </c>
      <c r="X37" s="324" t="s">
        <v>8</v>
      </c>
      <c r="Y37" s="324" t="s">
        <v>61</v>
      </c>
      <c r="Z37" s="324" t="s">
        <v>6547</v>
      </c>
      <c r="AA37" s="324" t="s">
        <v>6546</v>
      </c>
      <c r="AB37" s="324" t="s">
        <v>6546</v>
      </c>
      <c r="AC37" s="319"/>
      <c r="AD37" s="319"/>
      <c r="AE37" s="319"/>
      <c r="AF37" s="319"/>
      <c r="AG37" s="319"/>
      <c r="AH37" s="319"/>
      <c r="AI37" s="319"/>
      <c r="AJ37" s="319"/>
      <c r="AK37" s="319"/>
      <c r="AL37" s="319"/>
      <c r="AM37" s="137" t="str">
        <f t="shared" si="6"/>
        <v>pmclkcio_0</v>
      </c>
    </row>
    <row r="38" spans="1:39" ht="12.6" customHeight="1" x14ac:dyDescent="0.2">
      <c r="A38" s="207" t="s">
        <v>5464</v>
      </c>
      <c r="B38" s="207" t="s">
        <v>11</v>
      </c>
      <c r="C38" s="209" t="str">
        <f t="shared" si="28"/>
        <v>rcosc10k</v>
      </c>
      <c r="D38" s="227" t="str">
        <f t="shared" si="28"/>
        <v>ver_1p0</v>
      </c>
      <c r="E38" s="207" t="str">
        <f t="shared" si="28"/>
        <v>5 analog</v>
      </c>
      <c r="F38" s="207" t="str">
        <f t="shared" si="28"/>
        <v>clocking</v>
      </c>
      <c r="G38" s="209">
        <v>1</v>
      </c>
      <c r="H38" s="216">
        <f t="shared" si="7"/>
        <v>4.8591981503295955E-3</v>
      </c>
      <c r="I38" s="228" t="s">
        <v>4872</v>
      </c>
      <c r="J38" s="229"/>
      <c r="K38" s="207" t="s">
        <v>4872</v>
      </c>
      <c r="L38" s="224">
        <f ca="1">IFERROR(INDEX(INDIRECT(uc_sheet&amp;"!$A$1"):INDIRECT(uc_sheet&amp;"!$CZ$1000"),MATCH($A38&amp;$B38,INDIRECT(uc_sheet&amp;"!$a$1"):INDIRECT(uc_sheet&amp;"!$a$1000"),0),MATCH(use_case,INDIRECT(uc_sheet&amp;"!$A$1"):INDIRECT(uc_sheet&amp;"!$CZ$1"),0)),0)</f>
        <v>0</v>
      </c>
      <c r="M38" s="229"/>
      <c r="N38" s="320">
        <f t="shared" si="39"/>
        <v>5.9198150329595775E-5</v>
      </c>
      <c r="O38" s="320">
        <f t="shared" si="35"/>
        <v>4.7999999999999996E-3</v>
      </c>
      <c r="P38" s="319"/>
      <c r="Q38" s="320">
        <f t="shared" si="40"/>
        <v>0</v>
      </c>
      <c r="R38" s="320">
        <f t="shared" si="36"/>
        <v>0</v>
      </c>
      <c r="S38" s="320">
        <f t="shared" si="41"/>
        <v>0</v>
      </c>
      <c r="T38" s="320">
        <f t="shared" si="37"/>
        <v>0</v>
      </c>
      <c r="U38" s="320">
        <f t="shared" si="42"/>
        <v>0</v>
      </c>
      <c r="V38" s="320">
        <f t="shared" si="38"/>
        <v>0</v>
      </c>
      <c r="W38" s="324" t="s">
        <v>5189</v>
      </c>
      <c r="X38" s="324" t="s">
        <v>8</v>
      </c>
      <c r="Y38" s="324" t="s">
        <v>61</v>
      </c>
      <c r="Z38" s="324" t="s">
        <v>6547</v>
      </c>
      <c r="AA38" s="324" t="s">
        <v>6546</v>
      </c>
      <c r="AB38" s="324" t="s">
        <v>6546</v>
      </c>
      <c r="AC38" s="319"/>
      <c r="AD38" s="319"/>
      <c r="AE38" s="319"/>
      <c r="AF38" s="319"/>
      <c r="AG38" s="319"/>
      <c r="AH38" s="319"/>
      <c r="AI38" s="319"/>
      <c r="AJ38" s="319"/>
      <c r="AK38" s="319"/>
      <c r="AL38" s="319"/>
      <c r="AM38" s="137" t="str">
        <f t="shared" si="6"/>
        <v>rcosc10k_0</v>
      </c>
    </row>
    <row r="39" spans="1:39" ht="12.6" customHeight="1" x14ac:dyDescent="0.2">
      <c r="A39" s="207" t="s">
        <v>5465</v>
      </c>
      <c r="B39" s="207" t="s">
        <v>11</v>
      </c>
      <c r="C39" s="209" t="str">
        <f t="shared" si="28"/>
        <v>rcosc32k</v>
      </c>
      <c r="D39" s="227" t="str">
        <f t="shared" si="28"/>
        <v>ver_1p0</v>
      </c>
      <c r="E39" s="207" t="str">
        <f t="shared" si="28"/>
        <v>5 analog</v>
      </c>
      <c r="F39" s="207" t="str">
        <f t="shared" si="28"/>
        <v>clocking</v>
      </c>
      <c r="G39" s="209">
        <v>1</v>
      </c>
      <c r="H39" s="216">
        <f t="shared" si="7"/>
        <v>4.8591981503295955E-3</v>
      </c>
      <c r="I39" s="228" t="s">
        <v>4872</v>
      </c>
      <c r="J39" s="229"/>
      <c r="K39" s="207" t="s">
        <v>4872</v>
      </c>
      <c r="L39" s="224">
        <f ca="1">IFERROR(INDEX(INDIRECT(uc_sheet&amp;"!$A$1"):INDIRECT(uc_sheet&amp;"!$CZ$1000"),MATCH($A39&amp;$B39,INDIRECT(uc_sheet&amp;"!$a$1"):INDIRECT(uc_sheet&amp;"!$a$1000"),0),MATCH(use_case,INDIRECT(uc_sheet&amp;"!$A$1"):INDIRECT(uc_sheet&amp;"!$CZ$1"),0)),0)</f>
        <v>0</v>
      </c>
      <c r="M39" s="229"/>
      <c r="N39" s="320">
        <f t="shared" si="39"/>
        <v>5.9198150329595775E-5</v>
      </c>
      <c r="O39" s="320">
        <f t="shared" si="35"/>
        <v>4.7999999999999996E-3</v>
      </c>
      <c r="P39" s="319"/>
      <c r="Q39" s="320">
        <f t="shared" si="40"/>
        <v>0</v>
      </c>
      <c r="R39" s="320">
        <f t="shared" si="36"/>
        <v>0</v>
      </c>
      <c r="S39" s="320">
        <f t="shared" si="41"/>
        <v>0</v>
      </c>
      <c r="T39" s="320">
        <f t="shared" si="37"/>
        <v>0</v>
      </c>
      <c r="U39" s="320">
        <f t="shared" si="42"/>
        <v>0</v>
      </c>
      <c r="V39" s="320">
        <f t="shared" si="38"/>
        <v>0</v>
      </c>
      <c r="W39" s="324" t="s">
        <v>5189</v>
      </c>
      <c r="X39" s="324" t="s">
        <v>8</v>
      </c>
      <c r="Y39" s="324" t="s">
        <v>61</v>
      </c>
      <c r="Z39" s="324" t="s">
        <v>6547</v>
      </c>
      <c r="AA39" s="324" t="s">
        <v>6546</v>
      </c>
      <c r="AB39" s="324" t="s">
        <v>6546</v>
      </c>
      <c r="AC39" s="319"/>
      <c r="AD39" s="319"/>
      <c r="AE39" s="319"/>
      <c r="AF39" s="319"/>
      <c r="AG39" s="319"/>
      <c r="AH39" s="319"/>
      <c r="AI39" s="319"/>
      <c r="AJ39" s="319"/>
      <c r="AK39" s="319"/>
      <c r="AL39" s="319"/>
      <c r="AM39" s="137" t="str">
        <f t="shared" si="6"/>
        <v>rcosc32k_0</v>
      </c>
    </row>
    <row r="40" spans="1:39" ht="12.6" customHeight="1" x14ac:dyDescent="0.2">
      <c r="A40" s="207" t="s">
        <v>5390</v>
      </c>
      <c r="B40" s="207" t="s">
        <v>20</v>
      </c>
      <c r="C40" s="209" t="str">
        <f t="shared" si="28"/>
        <v>efuse block</v>
      </c>
      <c r="D40" s="227" t="str">
        <f t="shared" si="28"/>
        <v>rev 1p0p2</v>
      </c>
      <c r="E40" s="207" t="str">
        <f t="shared" si="28"/>
        <v>5 analog</v>
      </c>
      <c r="F40" s="207" t="str">
        <f t="shared" si="28"/>
        <v>efuse</v>
      </c>
      <c r="G40" s="209">
        <v>8</v>
      </c>
      <c r="H40" s="216">
        <f t="shared" si="7"/>
        <v>2.5493683439440418E-2</v>
      </c>
      <c r="I40" s="228" t="s">
        <v>4872</v>
      </c>
      <c r="J40" s="229"/>
      <c r="K40" s="207" t="s">
        <v>4872</v>
      </c>
      <c r="L40" s="224">
        <f ca="1">IFERROR(INDEX(INDIRECT(uc_sheet&amp;"!$A$1"):INDIRECT(uc_sheet&amp;"!$CZ$1000"),MATCH($A40&amp;$B40,INDIRECT(uc_sheet&amp;"!$a$1"):INDIRECT(uc_sheet&amp;"!$a$1000"),0),MATCH(use_case,INDIRECT(uc_sheet&amp;"!$A$1"):INDIRECT(uc_sheet&amp;"!$CZ$1"),0)),0)</f>
        <v>0</v>
      </c>
      <c r="M40" s="229"/>
      <c r="N40" s="320">
        <f t="shared" si="39"/>
        <v>2.5493683439440418E-2</v>
      </c>
      <c r="O40" s="320">
        <f t="shared" si="35"/>
        <v>0</v>
      </c>
      <c r="P40" s="319"/>
      <c r="Q40" s="320">
        <f t="shared" si="40"/>
        <v>0</v>
      </c>
      <c r="R40" s="320">
        <f t="shared" si="36"/>
        <v>0</v>
      </c>
      <c r="S40" s="320">
        <f t="shared" si="41"/>
        <v>0</v>
      </c>
      <c r="T40" s="320">
        <f t="shared" si="37"/>
        <v>0</v>
      </c>
      <c r="U40" s="320">
        <f t="shared" si="42"/>
        <v>0</v>
      </c>
      <c r="V40" s="320">
        <f t="shared" si="38"/>
        <v>0</v>
      </c>
      <c r="W40" s="324" t="s">
        <v>5189</v>
      </c>
      <c r="X40" s="324" t="s">
        <v>8</v>
      </c>
      <c r="Y40" s="324" t="s">
        <v>61</v>
      </c>
      <c r="Z40" s="324" t="s">
        <v>6546</v>
      </c>
      <c r="AA40" s="324" t="s">
        <v>6546</v>
      </c>
      <c r="AB40" s="324" t="s">
        <v>6548</v>
      </c>
      <c r="AC40" s="319"/>
      <c r="AD40" s="319"/>
      <c r="AE40" s="319"/>
      <c r="AF40" s="319"/>
      <c r="AG40" s="319"/>
      <c r="AH40" s="319"/>
      <c r="AI40" s="319"/>
      <c r="AJ40" s="319"/>
      <c r="AK40" s="319"/>
      <c r="AL40" s="319"/>
      <c r="AM40" s="137" t="str">
        <f t="shared" si="6"/>
        <v>fuserom_multiple</v>
      </c>
    </row>
    <row r="41" spans="1:39" ht="12.6" customHeight="1" x14ac:dyDescent="0.2">
      <c r="A41" s="207" t="s">
        <v>5466</v>
      </c>
      <c r="B41" s="207" t="s">
        <v>11</v>
      </c>
      <c r="C41" s="209" t="str">
        <f t="shared" si="28"/>
        <v>voltage monitor</v>
      </c>
      <c r="D41" s="227" t="str">
        <f t="shared" si="28"/>
        <v>no datasheet</v>
      </c>
      <c r="E41" s="207" t="str">
        <f t="shared" si="28"/>
        <v>5 analog</v>
      </c>
      <c r="F41" s="207" t="str">
        <f t="shared" si="28"/>
        <v>power</v>
      </c>
      <c r="G41" s="209">
        <v>2</v>
      </c>
      <c r="H41" s="216">
        <f t="shared" si="7"/>
        <v>0</v>
      </c>
      <c r="I41" s="228" t="s">
        <v>4872</v>
      </c>
      <c r="J41" s="229"/>
      <c r="K41" s="207" t="s">
        <v>4872</v>
      </c>
      <c r="L41" s="224">
        <f ca="1">IFERROR(INDEX(INDIRECT(uc_sheet&amp;"!$A$1"):INDIRECT(uc_sheet&amp;"!$CZ$1000"),MATCH($A41&amp;$B41,INDIRECT(uc_sheet&amp;"!$a$1"):INDIRECT(uc_sheet&amp;"!$a$1000"),0),MATCH(use_case,INDIRECT(uc_sheet&amp;"!$A$1"):INDIRECT(uc_sheet&amp;"!$CZ$1"),0)),0)</f>
        <v>0</v>
      </c>
      <c r="M41" s="229"/>
      <c r="N41" s="320">
        <f t="shared" si="39"/>
        <v>0</v>
      </c>
      <c r="O41" s="323">
        <f>IFERROR(VLOOKUP($A41&amp;"_"&amp;O$2&amp;"_"&amp;$K41&amp;"",MDB,6,0)*$G41*Dyn_Int_Scale_SVT,0)</f>
        <v>0</v>
      </c>
      <c r="P41" s="319"/>
      <c r="Q41" s="320">
        <f t="shared" si="40"/>
        <v>0</v>
      </c>
      <c r="R41" s="320">
        <f t="shared" si="36"/>
        <v>0</v>
      </c>
      <c r="S41" s="320">
        <f t="shared" si="41"/>
        <v>0</v>
      </c>
      <c r="T41" s="320">
        <f t="shared" si="37"/>
        <v>0</v>
      </c>
      <c r="U41" s="320">
        <f t="shared" si="42"/>
        <v>0</v>
      </c>
      <c r="V41" s="320">
        <f t="shared" si="38"/>
        <v>0</v>
      </c>
      <c r="W41" s="324" t="s">
        <v>5189</v>
      </c>
      <c r="X41" s="324" t="s">
        <v>8</v>
      </c>
      <c r="Y41" s="324" t="s">
        <v>61</v>
      </c>
      <c r="Z41" s="324" t="s">
        <v>6549</v>
      </c>
      <c r="AA41" s="324" t="s">
        <v>6546</v>
      </c>
      <c r="AB41" s="324" t="s">
        <v>6546</v>
      </c>
      <c r="AC41" s="319"/>
      <c r="AD41" s="319"/>
      <c r="AE41" s="319"/>
      <c r="AF41" s="319"/>
      <c r="AG41" s="319"/>
      <c r="AH41" s="319"/>
      <c r="AI41" s="319"/>
      <c r="AJ41" s="319"/>
      <c r="AK41" s="319"/>
      <c r="AL41" s="319"/>
      <c r="AM41" s="137" t="str">
        <f t="shared" si="6"/>
        <v>vmon_0</v>
      </c>
    </row>
    <row r="42" spans="1:39" ht="12.6" customHeight="1" x14ac:dyDescent="0.2">
      <c r="A42" s="207" t="s">
        <v>5467</v>
      </c>
      <c r="B42" s="207" t="s">
        <v>11</v>
      </c>
      <c r="C42" s="209" t="str">
        <f t="shared" si="28"/>
        <v>3.3v to 1.8v ldo</v>
      </c>
      <c r="D42" s="227" t="str">
        <f t="shared" si="28"/>
        <v>no datasheet</v>
      </c>
      <c r="E42" s="207" t="str">
        <f t="shared" si="28"/>
        <v>5 analog</v>
      </c>
      <c r="F42" s="207" t="str">
        <f t="shared" si="28"/>
        <v>power</v>
      </c>
      <c r="G42" s="209">
        <v>1</v>
      </c>
      <c r="H42" s="216">
        <f t="shared" si="7"/>
        <v>0</v>
      </c>
      <c r="I42" s="228" t="s">
        <v>4872</v>
      </c>
      <c r="J42" s="229"/>
      <c r="K42" s="207" t="s">
        <v>4872</v>
      </c>
      <c r="L42" s="224">
        <f ca="1">IFERROR(INDEX(INDIRECT(uc_sheet&amp;"!$A$1"):INDIRECT(uc_sheet&amp;"!$CZ$1000"),MATCH($A42&amp;$B42,INDIRECT(uc_sheet&amp;"!$a$1"):INDIRECT(uc_sheet&amp;"!$a$1000"),0),MATCH(use_case,INDIRECT(uc_sheet&amp;"!$A$1"):INDIRECT(uc_sheet&amp;"!$CZ$1"),0)),0)</f>
        <v>0</v>
      </c>
      <c r="M42" s="229"/>
      <c r="N42" s="320">
        <f t="shared" si="39"/>
        <v>0</v>
      </c>
      <c r="O42" s="320">
        <f t="shared" ref="O42:O73" si="43">IFERROR(VLOOKUP($A42&amp;"_"&amp;O$2&amp;"_"&amp;$K42,MDB,6,0),0)</f>
        <v>0</v>
      </c>
      <c r="P42" s="319"/>
      <c r="Q42" s="320">
        <f t="shared" si="40"/>
        <v>0</v>
      </c>
      <c r="R42" s="320">
        <f t="shared" si="36"/>
        <v>0</v>
      </c>
      <c r="S42" s="320">
        <f t="shared" si="41"/>
        <v>0</v>
      </c>
      <c r="T42" s="320">
        <f t="shared" si="37"/>
        <v>0</v>
      </c>
      <c r="U42" s="320">
        <f t="shared" si="42"/>
        <v>0</v>
      </c>
      <c r="V42" s="320">
        <f t="shared" si="38"/>
        <v>0</v>
      </c>
      <c r="W42" s="324" t="s">
        <v>5189</v>
      </c>
      <c r="X42" s="324" t="s">
        <v>8</v>
      </c>
      <c r="Y42" s="324" t="s">
        <v>61</v>
      </c>
      <c r="Z42" s="324" t="s">
        <v>6550</v>
      </c>
      <c r="AA42" s="324" t="s">
        <v>6546</v>
      </c>
      <c r="AB42" s="324" t="s">
        <v>6546</v>
      </c>
      <c r="AC42" s="319"/>
      <c r="AD42" s="319"/>
      <c r="AE42" s="319"/>
      <c r="AF42" s="319"/>
      <c r="AG42" s="319"/>
      <c r="AH42" s="319"/>
      <c r="AI42" s="319"/>
      <c r="AJ42" s="319"/>
      <c r="AK42" s="319"/>
      <c r="AL42" s="319"/>
      <c r="AM42" s="137" t="str">
        <f t="shared" si="6"/>
        <v>vsldo_0</v>
      </c>
    </row>
    <row r="43" spans="1:39" ht="12.6" customHeight="1" x14ac:dyDescent="0.2">
      <c r="A43" s="207" t="s">
        <v>5447</v>
      </c>
      <c r="B43" s="207" t="s">
        <v>11</v>
      </c>
      <c r="C43" s="209" t="str">
        <f t="shared" si="28"/>
        <v>adc 12b 3.3v</v>
      </c>
      <c r="D43" s="227">
        <f t="shared" si="28"/>
        <v>44501</v>
      </c>
      <c r="E43" s="207" t="str">
        <f t="shared" si="28"/>
        <v>6 io</v>
      </c>
      <c r="F43" s="207" t="str">
        <f t="shared" si="28"/>
        <v>analog</v>
      </c>
      <c r="G43" s="209">
        <v>1</v>
      </c>
      <c r="H43" s="216">
        <f t="shared" si="7"/>
        <v>3.5704933179194129</v>
      </c>
      <c r="I43" s="228" t="s">
        <v>4872</v>
      </c>
      <c r="J43" s="229"/>
      <c r="K43" s="207" t="str">
        <f>ADC</f>
        <v>on_3p3v</v>
      </c>
      <c r="L43" s="224">
        <f>ADC_Util</f>
        <v>1</v>
      </c>
      <c r="M43" s="229"/>
      <c r="N43" s="320">
        <f t="shared" ref="N43:N74" si="44">IFERROR(VLOOKUP($A43&amp;"_"&amp;N$2,MDB,6,0),0)*Lkg_Scale_VDD_SVT*$G43</f>
        <v>2.4665895970664908E-4</v>
      </c>
      <c r="O43" s="320">
        <f t="shared" si="43"/>
        <v>0.6</v>
      </c>
      <c r="P43" s="319"/>
      <c r="Q43" s="320">
        <f t="shared" ref="Q43:Q74" si="45">IFERROR(VLOOKUP($A43&amp;"_"&amp;Q$2,MDB,6,0),0)*Lkg_Scale_VDD_SVT*$G43</f>
        <v>2.4665895970664908E-4</v>
      </c>
      <c r="R43" s="320">
        <f t="shared" si="36"/>
        <v>2.9699999999999998</v>
      </c>
      <c r="S43" s="320">
        <f t="shared" ref="S43:S74" si="46">IFERROR(VLOOKUP($A43&amp;"_"&amp;S$2,MDB,6,0),0)*Lkg_Scale_VDD_SVT*$G43</f>
        <v>0</v>
      </c>
      <c r="T43" s="320">
        <f t="shared" si="37"/>
        <v>0</v>
      </c>
      <c r="U43" s="320">
        <f t="shared" ref="U43:U74" si="47">IFERROR(VLOOKUP($A43&amp;"_"&amp;U$2,MDB,6,0),0)*Lkg_Scale_VDD_SVT*$G43</f>
        <v>0</v>
      </c>
      <c r="V43" s="320">
        <f t="shared" si="38"/>
        <v>0</v>
      </c>
      <c r="W43" s="324" t="s">
        <v>5192</v>
      </c>
      <c r="X43" s="324" t="s">
        <v>8</v>
      </c>
      <c r="Y43" s="324" t="s">
        <v>61</v>
      </c>
      <c r="Z43" s="324" t="s">
        <v>6550</v>
      </c>
      <c r="AA43" s="324" t="s">
        <v>6546</v>
      </c>
      <c r="AB43" s="324" t="s">
        <v>6546</v>
      </c>
      <c r="AC43" s="319"/>
      <c r="AD43" s="319"/>
      <c r="AE43" s="319"/>
      <c r="AF43" s="319"/>
      <c r="AG43" s="319"/>
      <c r="AH43" s="319"/>
      <c r="AI43" s="319"/>
      <c r="AJ43" s="319"/>
      <c r="AK43" s="319"/>
      <c r="AL43" s="319"/>
      <c r="AM43" s="137" t="str">
        <f t="shared" si="6"/>
        <v>adc12b_0</v>
      </c>
    </row>
    <row r="44" spans="1:39" ht="12.6" customHeight="1" x14ac:dyDescent="0.2">
      <c r="A44" s="207" t="s">
        <v>5447</v>
      </c>
      <c r="B44" s="207" t="s">
        <v>12</v>
      </c>
      <c r="C44" s="209" t="str">
        <f t="shared" si="28"/>
        <v>adc 12b 3.3v</v>
      </c>
      <c r="D44" s="227">
        <f t="shared" si="28"/>
        <v>44501</v>
      </c>
      <c r="E44" s="207" t="str">
        <f t="shared" si="28"/>
        <v>6 io</v>
      </c>
      <c r="F44" s="207" t="str">
        <f t="shared" si="28"/>
        <v>analog</v>
      </c>
      <c r="G44" s="209">
        <v>1</v>
      </c>
      <c r="H44" s="216">
        <f t="shared" si="7"/>
        <v>3.5704933179194129</v>
      </c>
      <c r="I44" s="228" t="s">
        <v>4872</v>
      </c>
      <c r="J44" s="229"/>
      <c r="K44" s="207" t="str">
        <f>ADC</f>
        <v>on_3p3v</v>
      </c>
      <c r="L44" s="224">
        <f>ADC_Util</f>
        <v>1</v>
      </c>
      <c r="M44" s="229"/>
      <c r="N44" s="320">
        <f t="shared" si="44"/>
        <v>2.4665895970664908E-4</v>
      </c>
      <c r="O44" s="320">
        <f t="shared" si="43"/>
        <v>0.6</v>
      </c>
      <c r="P44" s="319"/>
      <c r="Q44" s="320">
        <f t="shared" si="45"/>
        <v>2.4665895970664908E-4</v>
      </c>
      <c r="R44" s="320">
        <f t="shared" si="36"/>
        <v>2.9699999999999998</v>
      </c>
      <c r="S44" s="320">
        <f t="shared" si="46"/>
        <v>0</v>
      </c>
      <c r="T44" s="320">
        <f t="shared" si="37"/>
        <v>0</v>
      </c>
      <c r="U44" s="320">
        <f t="shared" si="47"/>
        <v>0</v>
      </c>
      <c r="V44" s="320">
        <f t="shared" si="38"/>
        <v>0</v>
      </c>
      <c r="W44" s="324" t="s">
        <v>5192</v>
      </c>
      <c r="X44" s="324" t="s">
        <v>8</v>
      </c>
      <c r="Y44" s="324" t="s">
        <v>61</v>
      </c>
      <c r="Z44" s="324" t="s">
        <v>6550</v>
      </c>
      <c r="AA44" s="324" t="s">
        <v>6546</v>
      </c>
      <c r="AB44" s="324" t="s">
        <v>6546</v>
      </c>
      <c r="AC44" s="319"/>
      <c r="AD44" s="319"/>
      <c r="AE44" s="319"/>
      <c r="AF44" s="319"/>
      <c r="AG44" s="319"/>
      <c r="AH44" s="319"/>
      <c r="AI44" s="319"/>
      <c r="AJ44" s="319"/>
      <c r="AK44" s="319"/>
      <c r="AL44" s="319"/>
      <c r="AM44" s="137" t="str">
        <f t="shared" si="6"/>
        <v>adc12b_1</v>
      </c>
    </row>
    <row r="45" spans="1:39" ht="12.6" customHeight="1" x14ac:dyDescent="0.2">
      <c r="A45" s="207" t="s">
        <v>5447</v>
      </c>
      <c r="B45" s="207" t="s">
        <v>13</v>
      </c>
      <c r="C45" s="209" t="str">
        <f t="shared" si="28"/>
        <v>adc 12b 3.3v</v>
      </c>
      <c r="D45" s="227">
        <f t="shared" si="28"/>
        <v>44501</v>
      </c>
      <c r="E45" s="207" t="str">
        <f t="shared" si="28"/>
        <v>6 io</v>
      </c>
      <c r="F45" s="207" t="str">
        <f t="shared" si="28"/>
        <v>analog</v>
      </c>
      <c r="G45" s="209">
        <v>1</v>
      </c>
      <c r="H45" s="216">
        <f t="shared" si="7"/>
        <v>3.5704933179194129</v>
      </c>
      <c r="I45" s="228" t="s">
        <v>4872</v>
      </c>
      <c r="J45" s="229"/>
      <c r="K45" s="207" t="str">
        <f>ADC</f>
        <v>on_3p3v</v>
      </c>
      <c r="L45" s="224">
        <f>ADC_Util</f>
        <v>1</v>
      </c>
      <c r="M45" s="229"/>
      <c r="N45" s="320">
        <f t="shared" si="44"/>
        <v>2.4665895970664908E-4</v>
      </c>
      <c r="O45" s="320">
        <f t="shared" si="43"/>
        <v>0.6</v>
      </c>
      <c r="P45" s="319"/>
      <c r="Q45" s="320">
        <f t="shared" si="45"/>
        <v>2.4665895970664908E-4</v>
      </c>
      <c r="R45" s="320">
        <f t="shared" si="36"/>
        <v>2.9699999999999998</v>
      </c>
      <c r="S45" s="320">
        <f t="shared" si="46"/>
        <v>0</v>
      </c>
      <c r="T45" s="320">
        <f t="shared" si="37"/>
        <v>0</v>
      </c>
      <c r="U45" s="320">
        <f t="shared" si="47"/>
        <v>0</v>
      </c>
      <c r="V45" s="320">
        <f t="shared" si="38"/>
        <v>0</v>
      </c>
      <c r="W45" s="324" t="s">
        <v>5192</v>
      </c>
      <c r="X45" s="324" t="s">
        <v>8</v>
      </c>
      <c r="Y45" s="324" t="s">
        <v>61</v>
      </c>
      <c r="Z45" s="324" t="s">
        <v>6550</v>
      </c>
      <c r="AA45" s="324" t="s">
        <v>6546</v>
      </c>
      <c r="AB45" s="324" t="s">
        <v>6546</v>
      </c>
      <c r="AC45" s="319"/>
      <c r="AD45" s="319"/>
      <c r="AE45" s="319"/>
      <c r="AF45" s="319"/>
      <c r="AG45" s="319"/>
      <c r="AH45" s="319"/>
      <c r="AI45" s="319"/>
      <c r="AJ45" s="319"/>
      <c r="AK45" s="319"/>
      <c r="AL45" s="319"/>
      <c r="AM45" s="137" t="str">
        <f t="shared" si="6"/>
        <v>adc12b_2</v>
      </c>
    </row>
    <row r="46" spans="1:39" ht="12.6" customHeight="1" x14ac:dyDescent="0.2">
      <c r="A46" s="207" t="s">
        <v>5447</v>
      </c>
      <c r="B46" s="207" t="s">
        <v>14</v>
      </c>
      <c r="C46" s="209" t="str">
        <f t="shared" si="28"/>
        <v>adc 12b 3.3v</v>
      </c>
      <c r="D46" s="227">
        <f t="shared" si="28"/>
        <v>44501</v>
      </c>
      <c r="E46" s="207" t="str">
        <f t="shared" si="28"/>
        <v>6 io</v>
      </c>
      <c r="F46" s="207" t="str">
        <f t="shared" si="28"/>
        <v>analog</v>
      </c>
      <c r="G46" s="209">
        <v>1</v>
      </c>
      <c r="H46" s="216">
        <f t="shared" si="7"/>
        <v>3.5704933179194129</v>
      </c>
      <c r="I46" s="228" t="s">
        <v>4872</v>
      </c>
      <c r="J46" s="229"/>
      <c r="K46" s="207" t="str">
        <f>ADC</f>
        <v>on_3p3v</v>
      </c>
      <c r="L46" s="224">
        <f>ADC_Util</f>
        <v>1</v>
      </c>
      <c r="M46" s="229"/>
      <c r="N46" s="320">
        <f t="shared" si="44"/>
        <v>2.4665895970664908E-4</v>
      </c>
      <c r="O46" s="320">
        <f t="shared" si="43"/>
        <v>0.6</v>
      </c>
      <c r="P46" s="319"/>
      <c r="Q46" s="320">
        <f t="shared" si="45"/>
        <v>2.4665895970664908E-4</v>
      </c>
      <c r="R46" s="320">
        <f t="shared" si="36"/>
        <v>2.9699999999999998</v>
      </c>
      <c r="S46" s="320">
        <f t="shared" si="46"/>
        <v>0</v>
      </c>
      <c r="T46" s="320">
        <f t="shared" si="37"/>
        <v>0</v>
      </c>
      <c r="U46" s="320">
        <f t="shared" si="47"/>
        <v>0</v>
      </c>
      <c r="V46" s="320">
        <f t="shared" si="38"/>
        <v>0</v>
      </c>
      <c r="W46" s="324" t="s">
        <v>5192</v>
      </c>
      <c r="X46" s="324" t="s">
        <v>8</v>
      </c>
      <c r="Y46" s="324" t="s">
        <v>61</v>
      </c>
      <c r="Z46" s="324" t="s">
        <v>6550</v>
      </c>
      <c r="AA46" s="324" t="s">
        <v>6546</v>
      </c>
      <c r="AB46" s="324" t="s">
        <v>6546</v>
      </c>
      <c r="AC46" s="319"/>
      <c r="AD46" s="319"/>
      <c r="AE46" s="319"/>
      <c r="AF46" s="319"/>
      <c r="AG46" s="319"/>
      <c r="AH46" s="319"/>
      <c r="AI46" s="319"/>
      <c r="AJ46" s="319"/>
      <c r="AK46" s="319"/>
      <c r="AL46" s="319"/>
      <c r="AM46" s="137" t="str">
        <f t="shared" si="6"/>
        <v>adc12b_3</v>
      </c>
    </row>
    <row r="47" spans="1:39" ht="11.25" x14ac:dyDescent="0.2">
      <c r="A47" s="207" t="s">
        <v>5447</v>
      </c>
      <c r="B47" s="207" t="s">
        <v>15</v>
      </c>
      <c r="C47" s="209" t="str">
        <f t="shared" si="28"/>
        <v>adc 12b 3.3v</v>
      </c>
      <c r="D47" s="227">
        <f t="shared" si="28"/>
        <v>44501</v>
      </c>
      <c r="E47" s="207" t="str">
        <f t="shared" si="28"/>
        <v>6 io</v>
      </c>
      <c r="F47" s="207" t="str">
        <f t="shared" si="28"/>
        <v>analog</v>
      </c>
      <c r="G47" s="209">
        <v>1</v>
      </c>
      <c r="H47" s="216">
        <f t="shared" si="7"/>
        <v>3.5704933179194129</v>
      </c>
      <c r="I47" s="228" t="s">
        <v>4872</v>
      </c>
      <c r="J47" s="229"/>
      <c r="K47" s="207" t="str">
        <f>ADC</f>
        <v>on_3p3v</v>
      </c>
      <c r="L47" s="224">
        <f>ADC_Util</f>
        <v>1</v>
      </c>
      <c r="M47" s="229"/>
      <c r="N47" s="320">
        <f t="shared" si="44"/>
        <v>2.4665895970664908E-4</v>
      </c>
      <c r="O47" s="320">
        <f t="shared" si="43"/>
        <v>0.6</v>
      </c>
      <c r="P47" s="319"/>
      <c r="Q47" s="320">
        <f t="shared" si="45"/>
        <v>2.4665895970664908E-4</v>
      </c>
      <c r="R47" s="320">
        <f t="shared" si="36"/>
        <v>2.9699999999999998</v>
      </c>
      <c r="S47" s="320">
        <f t="shared" si="46"/>
        <v>0</v>
      </c>
      <c r="T47" s="320">
        <f t="shared" si="37"/>
        <v>0</v>
      </c>
      <c r="U47" s="320">
        <f t="shared" si="47"/>
        <v>0</v>
      </c>
      <c r="V47" s="320">
        <f t="shared" si="38"/>
        <v>0</v>
      </c>
      <c r="W47" s="324" t="s">
        <v>5192</v>
      </c>
      <c r="X47" s="324" t="s">
        <v>8</v>
      </c>
      <c r="Y47" s="324" t="s">
        <v>61</v>
      </c>
      <c r="Z47" s="324" t="s">
        <v>6550</v>
      </c>
      <c r="AA47" s="324" t="s">
        <v>6546</v>
      </c>
      <c r="AB47" s="324" t="s">
        <v>6546</v>
      </c>
      <c r="AC47" s="319"/>
      <c r="AD47" s="319"/>
      <c r="AE47" s="319"/>
      <c r="AF47" s="319"/>
      <c r="AG47" s="319"/>
      <c r="AH47" s="319"/>
      <c r="AI47" s="319"/>
      <c r="AJ47" s="319"/>
      <c r="AK47" s="319"/>
      <c r="AL47" s="319"/>
      <c r="AM47" s="137" t="str">
        <f t="shared" si="6"/>
        <v>adc12b_4</v>
      </c>
    </row>
    <row r="48" spans="1:39" ht="11.25" x14ac:dyDescent="0.2">
      <c r="A48" s="207" t="s">
        <v>6202</v>
      </c>
      <c r="B48" s="207" t="s">
        <v>11</v>
      </c>
      <c r="C48" s="209" t="str">
        <f t="shared" si="28"/>
        <v>adc 12b sigma delta 3.3v</v>
      </c>
      <c r="D48" s="227">
        <f t="shared" si="28"/>
        <v>44797</v>
      </c>
      <c r="E48" s="207" t="str">
        <f t="shared" si="28"/>
        <v>6 io</v>
      </c>
      <c r="F48" s="207" t="str">
        <f t="shared" si="28"/>
        <v>analog</v>
      </c>
      <c r="G48" s="209">
        <v>1</v>
      </c>
      <c r="H48" s="216">
        <f t="shared" si="7"/>
        <v>3.5704933179194129</v>
      </c>
      <c r="I48" s="228" t="s">
        <v>4872</v>
      </c>
      <c r="J48" s="229"/>
      <c r="K48" s="207" t="str">
        <f>Resolver</f>
        <v>on_3p3v</v>
      </c>
      <c r="L48" s="224">
        <f>Resolver_util</f>
        <v>0.1</v>
      </c>
      <c r="M48" s="229"/>
      <c r="N48" s="320">
        <f t="shared" si="44"/>
        <v>2.4665895970664908E-4</v>
      </c>
      <c r="O48" s="320">
        <f t="shared" si="43"/>
        <v>0.6</v>
      </c>
      <c r="P48" s="319"/>
      <c r="Q48" s="320">
        <f t="shared" si="45"/>
        <v>2.4665895970664908E-4</v>
      </c>
      <c r="R48" s="320">
        <f t="shared" si="36"/>
        <v>2.9699999999999998</v>
      </c>
      <c r="S48" s="320">
        <f t="shared" si="46"/>
        <v>0</v>
      </c>
      <c r="T48" s="320">
        <f t="shared" si="37"/>
        <v>0</v>
      </c>
      <c r="U48" s="320">
        <f t="shared" si="47"/>
        <v>0</v>
      </c>
      <c r="V48" s="320">
        <f t="shared" si="38"/>
        <v>0</v>
      </c>
      <c r="W48" s="324" t="s">
        <v>5192</v>
      </c>
      <c r="X48" s="324" t="s">
        <v>8</v>
      </c>
      <c r="Y48" s="324" t="s">
        <v>61</v>
      </c>
      <c r="Z48" s="324" t="s">
        <v>6550</v>
      </c>
      <c r="AA48" s="324" t="s">
        <v>6546</v>
      </c>
      <c r="AB48" s="324" t="s">
        <v>6546</v>
      </c>
      <c r="AC48" s="319"/>
      <c r="AD48" s="319"/>
      <c r="AE48" s="319"/>
      <c r="AF48" s="319"/>
      <c r="AG48" s="319"/>
      <c r="AH48" s="319"/>
      <c r="AI48" s="319"/>
      <c r="AJ48" s="319"/>
      <c r="AK48" s="319"/>
      <c r="AL48" s="319"/>
      <c r="AM48" s="137" t="str">
        <f t="shared" si="6"/>
        <v>adc12b_sigdel_0</v>
      </c>
    </row>
    <row r="49" spans="1:39" ht="11.25" x14ac:dyDescent="0.2">
      <c r="A49" s="207" t="s">
        <v>6202</v>
      </c>
      <c r="B49" s="207" t="s">
        <v>12</v>
      </c>
      <c r="C49" s="209" t="str">
        <f t="shared" si="28"/>
        <v>adc 12b sigma delta 3.3v</v>
      </c>
      <c r="D49" s="227">
        <f t="shared" si="28"/>
        <v>44797</v>
      </c>
      <c r="E49" s="207" t="str">
        <f t="shared" si="28"/>
        <v>6 io</v>
      </c>
      <c r="F49" s="207" t="str">
        <f t="shared" si="28"/>
        <v>analog</v>
      </c>
      <c r="G49" s="209">
        <v>1</v>
      </c>
      <c r="H49" s="216">
        <f t="shared" si="7"/>
        <v>3.5704933179194129</v>
      </c>
      <c r="I49" s="228" t="s">
        <v>4872</v>
      </c>
      <c r="J49" s="229"/>
      <c r="K49" s="207" t="str">
        <f>Resolver</f>
        <v>on_3p3v</v>
      </c>
      <c r="L49" s="224">
        <f>Resolver_util</f>
        <v>0.1</v>
      </c>
      <c r="M49" s="229"/>
      <c r="N49" s="320">
        <f t="shared" si="44"/>
        <v>2.4665895970664908E-4</v>
      </c>
      <c r="O49" s="320">
        <f t="shared" si="43"/>
        <v>0.6</v>
      </c>
      <c r="P49" s="319"/>
      <c r="Q49" s="320">
        <f t="shared" si="45"/>
        <v>2.4665895970664908E-4</v>
      </c>
      <c r="R49" s="320">
        <f t="shared" si="36"/>
        <v>2.9699999999999998</v>
      </c>
      <c r="S49" s="320">
        <f t="shared" si="46"/>
        <v>0</v>
      </c>
      <c r="T49" s="320">
        <f t="shared" si="37"/>
        <v>0</v>
      </c>
      <c r="U49" s="320">
        <f t="shared" si="47"/>
        <v>0</v>
      </c>
      <c r="V49" s="320">
        <f t="shared" si="38"/>
        <v>0</v>
      </c>
      <c r="W49" s="324" t="s">
        <v>5192</v>
      </c>
      <c r="X49" s="324" t="s">
        <v>8</v>
      </c>
      <c r="Y49" s="324" t="s">
        <v>61</v>
      </c>
      <c r="Z49" s="324" t="s">
        <v>6550</v>
      </c>
      <c r="AA49" s="324" t="s">
        <v>6546</v>
      </c>
      <c r="AB49" s="324" t="s">
        <v>6546</v>
      </c>
      <c r="AC49" s="319"/>
      <c r="AD49" s="319"/>
      <c r="AE49" s="319"/>
      <c r="AF49" s="319"/>
      <c r="AG49" s="319"/>
      <c r="AH49" s="319"/>
      <c r="AI49" s="319"/>
      <c r="AJ49" s="319"/>
      <c r="AK49" s="319"/>
      <c r="AL49" s="319"/>
      <c r="AM49" s="137" t="str">
        <f t="shared" si="6"/>
        <v>adc12b_sigdel_1</v>
      </c>
    </row>
    <row r="50" spans="1:39" ht="11.25" x14ac:dyDescent="0.2">
      <c r="A50" s="207" t="s">
        <v>6202</v>
      </c>
      <c r="B50" s="207" t="s">
        <v>13</v>
      </c>
      <c r="C50" s="209" t="str">
        <f t="shared" si="28"/>
        <v>adc 12b sigma delta 3.3v</v>
      </c>
      <c r="D50" s="227">
        <f t="shared" si="28"/>
        <v>44797</v>
      </c>
      <c r="E50" s="207" t="str">
        <f t="shared" si="28"/>
        <v>6 io</v>
      </c>
      <c r="F50" s="207" t="str">
        <f t="shared" si="28"/>
        <v>analog</v>
      </c>
      <c r="G50" s="209">
        <v>1</v>
      </c>
      <c r="H50" s="216">
        <f t="shared" ca="1" si="7"/>
        <v>4.9331791941329816E-4</v>
      </c>
      <c r="I50" s="228" t="s">
        <v>4872</v>
      </c>
      <c r="J50" s="229"/>
      <c r="K50" s="207" t="str">
        <f ca="1">IFERROR(INDEX(INDIRECT(uc_sheet&amp;"!$A$1"):INDIRECT(uc_sheet&amp;"!$CZ$1000"),MATCH($A50&amp;$B50,INDIRECT(uc_sheet&amp;"!$a$1"):INDIRECT(uc_sheet&amp;"!$a$1000"),0),MATCH(use_case,INDIRECT(uc_sheet&amp;"!$A$1"):INDIRECT(uc_sheet&amp;"!$CZ$1"),0)+1),"")</f>
        <v/>
      </c>
      <c r="L50" s="224">
        <f ca="1">IFERROR(INDEX(INDIRECT(uc_sheet&amp;"!$A$1"):INDIRECT(uc_sheet&amp;"!$CZ$1000"),MATCH($A50&amp;$B50,INDIRECT(uc_sheet&amp;"!$a$1"):INDIRECT(uc_sheet&amp;"!$a$1000"),0),MATCH(use_case,INDIRECT(uc_sheet&amp;"!$A$1"):INDIRECT(uc_sheet&amp;"!$CZ$1"),0)),0)</f>
        <v>0</v>
      </c>
      <c r="M50" s="229"/>
      <c r="N50" s="320">
        <f t="shared" si="44"/>
        <v>2.4665895970664908E-4</v>
      </c>
      <c r="O50" s="320">
        <f t="shared" ca="1" si="43"/>
        <v>0</v>
      </c>
      <c r="P50" s="319"/>
      <c r="Q50" s="320">
        <f t="shared" si="45"/>
        <v>2.4665895970664908E-4</v>
      </c>
      <c r="R50" s="320">
        <f t="shared" ca="1" si="36"/>
        <v>0</v>
      </c>
      <c r="S50" s="320">
        <f t="shared" si="46"/>
        <v>0</v>
      </c>
      <c r="T50" s="320">
        <f t="shared" ca="1" si="37"/>
        <v>0</v>
      </c>
      <c r="U50" s="320">
        <f t="shared" si="47"/>
        <v>0</v>
      </c>
      <c r="V50" s="320">
        <f t="shared" ca="1" si="38"/>
        <v>0</v>
      </c>
      <c r="W50" s="324" t="s">
        <v>5192</v>
      </c>
      <c r="X50" s="324" t="s">
        <v>8</v>
      </c>
      <c r="Y50" s="324" t="s">
        <v>61</v>
      </c>
      <c r="Z50" s="324" t="s">
        <v>6550</v>
      </c>
      <c r="AA50" s="324" t="s">
        <v>6546</v>
      </c>
      <c r="AB50" s="324" t="s">
        <v>6546</v>
      </c>
      <c r="AC50" s="319"/>
      <c r="AD50" s="319"/>
      <c r="AE50" s="319"/>
      <c r="AF50" s="319"/>
      <c r="AG50" s="319"/>
      <c r="AH50" s="319"/>
      <c r="AI50" s="319"/>
      <c r="AJ50" s="319"/>
      <c r="AK50" s="319"/>
      <c r="AL50" s="319"/>
      <c r="AM50" s="137" t="str">
        <f t="shared" si="6"/>
        <v>adc12b_sigdel_2</v>
      </c>
    </row>
    <row r="51" spans="1:39" ht="11.25" x14ac:dyDescent="0.2">
      <c r="A51" s="207" t="s">
        <v>6202</v>
      </c>
      <c r="B51" s="207" t="s">
        <v>14</v>
      </c>
      <c r="C51" s="209" t="str">
        <f t="shared" ref="C51:F70" si="48">VLOOKUP($A51&amp;"_"&amp;C$2,MDB,6,0)</f>
        <v>adc 12b sigma delta 3.3v</v>
      </c>
      <c r="D51" s="227">
        <f t="shared" si="48"/>
        <v>44797</v>
      </c>
      <c r="E51" s="207" t="str">
        <f t="shared" si="48"/>
        <v>6 io</v>
      </c>
      <c r="F51" s="207" t="str">
        <f t="shared" si="48"/>
        <v>analog</v>
      </c>
      <c r="G51" s="209">
        <v>1</v>
      </c>
      <c r="H51" s="216">
        <f t="shared" ca="1" si="7"/>
        <v>4.9331791941329816E-4</v>
      </c>
      <c r="I51" s="228" t="s">
        <v>4872</v>
      </c>
      <c r="J51" s="229"/>
      <c r="K51" s="207" t="str">
        <f ca="1">IFERROR(INDEX(INDIRECT(uc_sheet&amp;"!$A$1"):INDIRECT(uc_sheet&amp;"!$CZ$1000"),MATCH($A51&amp;$B51,INDIRECT(uc_sheet&amp;"!$a$1"):INDIRECT(uc_sheet&amp;"!$a$1000"),0),MATCH(use_case,INDIRECT(uc_sheet&amp;"!$A$1"):INDIRECT(uc_sheet&amp;"!$CZ$1"),0)+1),"")</f>
        <v/>
      </c>
      <c r="L51" s="224">
        <f ca="1">IFERROR(INDEX(INDIRECT(uc_sheet&amp;"!$A$1"):INDIRECT(uc_sheet&amp;"!$CZ$1000"),MATCH($A51&amp;$B51,INDIRECT(uc_sheet&amp;"!$a$1"):INDIRECT(uc_sheet&amp;"!$a$1000"),0),MATCH(use_case,INDIRECT(uc_sheet&amp;"!$A$1"):INDIRECT(uc_sheet&amp;"!$CZ$1"),0)),0)</f>
        <v>0</v>
      </c>
      <c r="M51" s="229"/>
      <c r="N51" s="320">
        <f t="shared" si="44"/>
        <v>2.4665895970664908E-4</v>
      </c>
      <c r="O51" s="320">
        <f t="shared" ca="1" si="43"/>
        <v>0</v>
      </c>
      <c r="P51" s="319"/>
      <c r="Q51" s="320">
        <f t="shared" si="45"/>
        <v>2.4665895970664908E-4</v>
      </c>
      <c r="R51" s="320">
        <f t="shared" ca="1" si="36"/>
        <v>0</v>
      </c>
      <c r="S51" s="320">
        <f t="shared" si="46"/>
        <v>0</v>
      </c>
      <c r="T51" s="320">
        <f t="shared" ca="1" si="37"/>
        <v>0</v>
      </c>
      <c r="U51" s="320">
        <f t="shared" si="47"/>
        <v>0</v>
      </c>
      <c r="V51" s="320">
        <f t="shared" ca="1" si="38"/>
        <v>0</v>
      </c>
      <c r="W51" s="324" t="s">
        <v>5192</v>
      </c>
      <c r="X51" s="324" t="s">
        <v>8</v>
      </c>
      <c r="Y51" s="324" t="s">
        <v>61</v>
      </c>
      <c r="Z51" s="324" t="s">
        <v>6550</v>
      </c>
      <c r="AA51" s="324" t="s">
        <v>6546</v>
      </c>
      <c r="AB51" s="324" t="s">
        <v>6546</v>
      </c>
      <c r="AC51" s="319"/>
      <c r="AD51" s="319"/>
      <c r="AE51" s="319"/>
      <c r="AF51" s="319"/>
      <c r="AG51" s="319"/>
      <c r="AH51" s="319"/>
      <c r="AI51" s="319"/>
      <c r="AJ51" s="319"/>
      <c r="AK51" s="319"/>
      <c r="AL51" s="319"/>
      <c r="AM51" s="137" t="str">
        <f t="shared" si="6"/>
        <v>adc12b_sigdel_3</v>
      </c>
    </row>
    <row r="52" spans="1:39" ht="11.25" x14ac:dyDescent="0.2">
      <c r="A52" s="207" t="s">
        <v>5449</v>
      </c>
      <c r="B52" s="207" t="s">
        <v>11</v>
      </c>
      <c r="C52" s="209" t="str">
        <f t="shared" si="48"/>
        <v>dual comparator ss</v>
      </c>
      <c r="D52" s="227">
        <f t="shared" si="48"/>
        <v>44501</v>
      </c>
      <c r="E52" s="207" t="str">
        <f t="shared" si="48"/>
        <v>6 io</v>
      </c>
      <c r="F52" s="207" t="str">
        <f t="shared" si="48"/>
        <v>analog</v>
      </c>
      <c r="G52" s="209">
        <v>1</v>
      </c>
      <c r="H52" s="216">
        <f t="shared" si="7"/>
        <v>5.5498265933996045E-3</v>
      </c>
      <c r="I52" s="228" t="s">
        <v>4872</v>
      </c>
      <c r="J52" s="229"/>
      <c r="K52" s="207" t="str">
        <f t="shared" ref="K52:K71" si="49">CMPSS</f>
        <v>off</v>
      </c>
      <c r="L52" s="224">
        <f t="shared" ref="L52:L71" si="50">CMPSS_Util</f>
        <v>1</v>
      </c>
      <c r="M52" s="229"/>
      <c r="N52" s="320">
        <f t="shared" si="44"/>
        <v>1.4799537582398943E-3</v>
      </c>
      <c r="O52" s="320">
        <f t="shared" si="43"/>
        <v>0</v>
      </c>
      <c r="P52" s="319"/>
      <c r="Q52" s="320">
        <f t="shared" si="45"/>
        <v>4.06987283515971E-3</v>
      </c>
      <c r="R52" s="320">
        <f t="shared" si="36"/>
        <v>0</v>
      </c>
      <c r="S52" s="320">
        <f t="shared" si="46"/>
        <v>0</v>
      </c>
      <c r="T52" s="320">
        <f t="shared" si="37"/>
        <v>0</v>
      </c>
      <c r="U52" s="320">
        <f t="shared" si="47"/>
        <v>0</v>
      </c>
      <c r="V52" s="320">
        <f t="shared" si="38"/>
        <v>0</v>
      </c>
      <c r="W52" s="324" t="s">
        <v>5192</v>
      </c>
      <c r="X52" s="324" t="s">
        <v>8</v>
      </c>
      <c r="Y52" s="324" t="s">
        <v>61</v>
      </c>
      <c r="Z52" s="324" t="s">
        <v>6550</v>
      </c>
      <c r="AA52" s="324" t="s">
        <v>6546</v>
      </c>
      <c r="AB52" s="324" t="s">
        <v>6546</v>
      </c>
      <c r="AC52" s="319"/>
      <c r="AD52" s="319"/>
      <c r="AE52" s="319"/>
      <c r="AF52" s="319"/>
      <c r="AG52" s="319"/>
      <c r="AH52" s="319"/>
      <c r="AI52" s="319"/>
      <c r="AJ52" s="319"/>
      <c r="AK52" s="319"/>
      <c r="AL52" s="319"/>
      <c r="AM52" s="137" t="str">
        <f t="shared" si="6"/>
        <v>cmpss_0</v>
      </c>
    </row>
    <row r="53" spans="1:39" ht="11.25" x14ac:dyDescent="0.2">
      <c r="A53" s="207" t="s">
        <v>5449</v>
      </c>
      <c r="B53" s="207" t="s">
        <v>12</v>
      </c>
      <c r="C53" s="209" t="str">
        <f t="shared" si="48"/>
        <v>dual comparator ss</v>
      </c>
      <c r="D53" s="227">
        <f t="shared" si="48"/>
        <v>44501</v>
      </c>
      <c r="E53" s="207" t="str">
        <f t="shared" si="48"/>
        <v>6 io</v>
      </c>
      <c r="F53" s="207" t="str">
        <f t="shared" si="48"/>
        <v>analog</v>
      </c>
      <c r="G53" s="209">
        <v>1</v>
      </c>
      <c r="H53" s="216">
        <f t="shared" si="7"/>
        <v>5.5498265933996045E-3</v>
      </c>
      <c r="I53" s="228" t="s">
        <v>4872</v>
      </c>
      <c r="J53" s="229"/>
      <c r="K53" s="207" t="str">
        <f t="shared" si="49"/>
        <v>off</v>
      </c>
      <c r="L53" s="224">
        <f t="shared" si="50"/>
        <v>1</v>
      </c>
      <c r="M53" s="229"/>
      <c r="N53" s="320">
        <f t="shared" si="44"/>
        <v>1.4799537582398943E-3</v>
      </c>
      <c r="O53" s="320">
        <f t="shared" si="43"/>
        <v>0</v>
      </c>
      <c r="P53" s="319"/>
      <c r="Q53" s="320">
        <f t="shared" si="45"/>
        <v>4.06987283515971E-3</v>
      </c>
      <c r="R53" s="320">
        <f t="shared" si="36"/>
        <v>0</v>
      </c>
      <c r="S53" s="320">
        <f t="shared" si="46"/>
        <v>0</v>
      </c>
      <c r="T53" s="320">
        <f t="shared" si="37"/>
        <v>0</v>
      </c>
      <c r="U53" s="320">
        <f t="shared" si="47"/>
        <v>0</v>
      </c>
      <c r="V53" s="320">
        <f t="shared" si="38"/>
        <v>0</v>
      </c>
      <c r="W53" s="324" t="s">
        <v>5192</v>
      </c>
      <c r="X53" s="324" t="s">
        <v>8</v>
      </c>
      <c r="Y53" s="324" t="s">
        <v>61</v>
      </c>
      <c r="Z53" s="324" t="s">
        <v>6550</v>
      </c>
      <c r="AA53" s="324" t="s">
        <v>6546</v>
      </c>
      <c r="AB53" s="324" t="s">
        <v>6546</v>
      </c>
      <c r="AC53" s="319"/>
      <c r="AD53" s="319"/>
      <c r="AE53" s="319"/>
      <c r="AF53" s="319"/>
      <c r="AG53" s="319"/>
      <c r="AH53" s="319"/>
      <c r="AI53" s="319"/>
      <c r="AJ53" s="319"/>
      <c r="AK53" s="319"/>
      <c r="AL53" s="319"/>
      <c r="AM53" s="137" t="str">
        <f t="shared" si="6"/>
        <v>cmpss_1</v>
      </c>
    </row>
    <row r="54" spans="1:39" ht="11.25" x14ac:dyDescent="0.2">
      <c r="A54" s="207" t="s">
        <v>5449</v>
      </c>
      <c r="B54" s="207" t="s">
        <v>23</v>
      </c>
      <c r="C54" s="209" t="str">
        <f t="shared" si="48"/>
        <v>dual comparator ss</v>
      </c>
      <c r="D54" s="227">
        <f t="shared" si="48"/>
        <v>44501</v>
      </c>
      <c r="E54" s="207" t="str">
        <f t="shared" si="48"/>
        <v>6 io</v>
      </c>
      <c r="F54" s="207" t="str">
        <f t="shared" si="48"/>
        <v>analog</v>
      </c>
      <c r="G54" s="209">
        <v>1</v>
      </c>
      <c r="H54" s="216">
        <f t="shared" si="7"/>
        <v>5.5498265933996045E-3</v>
      </c>
      <c r="I54" s="228" t="s">
        <v>4872</v>
      </c>
      <c r="J54" s="229"/>
      <c r="K54" s="207" t="str">
        <f t="shared" si="49"/>
        <v>off</v>
      </c>
      <c r="L54" s="224">
        <f t="shared" si="50"/>
        <v>1</v>
      </c>
      <c r="M54" s="229"/>
      <c r="N54" s="320">
        <f t="shared" si="44"/>
        <v>1.4799537582398943E-3</v>
      </c>
      <c r="O54" s="320">
        <f t="shared" si="43"/>
        <v>0</v>
      </c>
      <c r="P54" s="319"/>
      <c r="Q54" s="320">
        <f t="shared" si="45"/>
        <v>4.06987283515971E-3</v>
      </c>
      <c r="R54" s="320">
        <f t="shared" si="36"/>
        <v>0</v>
      </c>
      <c r="S54" s="320">
        <f t="shared" si="46"/>
        <v>0</v>
      </c>
      <c r="T54" s="320">
        <f t="shared" si="37"/>
        <v>0</v>
      </c>
      <c r="U54" s="320">
        <f t="shared" si="47"/>
        <v>0</v>
      </c>
      <c r="V54" s="320">
        <f t="shared" si="38"/>
        <v>0</v>
      </c>
      <c r="W54" s="324" t="s">
        <v>5192</v>
      </c>
      <c r="X54" s="324" t="s">
        <v>8</v>
      </c>
      <c r="Y54" s="324" t="s">
        <v>61</v>
      </c>
      <c r="Z54" s="324" t="s">
        <v>6550</v>
      </c>
      <c r="AA54" s="324" t="s">
        <v>6546</v>
      </c>
      <c r="AB54" s="324" t="s">
        <v>6546</v>
      </c>
      <c r="AC54" s="319"/>
      <c r="AD54" s="319"/>
      <c r="AE54" s="319"/>
      <c r="AF54" s="319"/>
      <c r="AG54" s="319"/>
      <c r="AH54" s="319"/>
      <c r="AI54" s="319"/>
      <c r="AJ54" s="319"/>
      <c r="AK54" s="319"/>
      <c r="AL54" s="319"/>
      <c r="AM54" s="137" t="str">
        <f t="shared" si="6"/>
        <v>cmpss_10</v>
      </c>
    </row>
    <row r="55" spans="1:39" ht="11.25" x14ac:dyDescent="0.2">
      <c r="A55" s="207" t="s">
        <v>5449</v>
      </c>
      <c r="B55" s="207" t="s">
        <v>24</v>
      </c>
      <c r="C55" s="209" t="str">
        <f t="shared" si="48"/>
        <v>dual comparator ss</v>
      </c>
      <c r="D55" s="227">
        <f t="shared" si="48"/>
        <v>44501</v>
      </c>
      <c r="E55" s="207" t="str">
        <f t="shared" si="48"/>
        <v>6 io</v>
      </c>
      <c r="F55" s="207" t="str">
        <f t="shared" si="48"/>
        <v>analog</v>
      </c>
      <c r="G55" s="209">
        <v>1</v>
      </c>
      <c r="H55" s="216">
        <f t="shared" si="7"/>
        <v>5.5498265933996045E-3</v>
      </c>
      <c r="I55" s="228" t="s">
        <v>4872</v>
      </c>
      <c r="J55" s="229"/>
      <c r="K55" s="207" t="str">
        <f t="shared" si="49"/>
        <v>off</v>
      </c>
      <c r="L55" s="224">
        <f t="shared" si="50"/>
        <v>1</v>
      </c>
      <c r="M55" s="229"/>
      <c r="N55" s="320">
        <f t="shared" si="44"/>
        <v>1.4799537582398943E-3</v>
      </c>
      <c r="O55" s="320">
        <f t="shared" si="43"/>
        <v>0</v>
      </c>
      <c r="P55" s="319"/>
      <c r="Q55" s="320">
        <f t="shared" si="45"/>
        <v>4.06987283515971E-3</v>
      </c>
      <c r="R55" s="320">
        <f t="shared" si="36"/>
        <v>0</v>
      </c>
      <c r="S55" s="320">
        <f t="shared" si="46"/>
        <v>0</v>
      </c>
      <c r="T55" s="320">
        <f t="shared" si="37"/>
        <v>0</v>
      </c>
      <c r="U55" s="320">
        <f t="shared" si="47"/>
        <v>0</v>
      </c>
      <c r="V55" s="320">
        <f t="shared" si="38"/>
        <v>0</v>
      </c>
      <c r="W55" s="324" t="s">
        <v>5192</v>
      </c>
      <c r="X55" s="324" t="s">
        <v>8</v>
      </c>
      <c r="Y55" s="324" t="s">
        <v>61</v>
      </c>
      <c r="Z55" s="324" t="s">
        <v>6550</v>
      </c>
      <c r="AA55" s="324" t="s">
        <v>6546</v>
      </c>
      <c r="AB55" s="324" t="s">
        <v>6546</v>
      </c>
      <c r="AC55" s="319"/>
      <c r="AD55" s="319"/>
      <c r="AE55" s="319"/>
      <c r="AF55" s="319"/>
      <c r="AG55" s="319"/>
      <c r="AH55" s="319"/>
      <c r="AI55" s="319"/>
      <c r="AJ55" s="319"/>
      <c r="AK55" s="319"/>
      <c r="AL55" s="319"/>
      <c r="AM55" s="137" t="str">
        <f t="shared" si="6"/>
        <v>cmpss_11</v>
      </c>
    </row>
    <row r="56" spans="1:39" ht="11.25" x14ac:dyDescent="0.2">
      <c r="A56" s="207" t="s">
        <v>5449</v>
      </c>
      <c r="B56" s="207" t="s">
        <v>71</v>
      </c>
      <c r="C56" s="209" t="str">
        <f t="shared" si="48"/>
        <v>dual comparator ss</v>
      </c>
      <c r="D56" s="227">
        <f t="shared" si="48"/>
        <v>44501</v>
      </c>
      <c r="E56" s="207" t="str">
        <f t="shared" si="48"/>
        <v>6 io</v>
      </c>
      <c r="F56" s="207" t="str">
        <f t="shared" si="48"/>
        <v>analog</v>
      </c>
      <c r="G56" s="209">
        <v>1</v>
      </c>
      <c r="H56" s="216">
        <f t="shared" si="7"/>
        <v>5.5498265933996045E-3</v>
      </c>
      <c r="I56" s="228" t="s">
        <v>4872</v>
      </c>
      <c r="J56" s="229"/>
      <c r="K56" s="207" t="str">
        <f t="shared" si="49"/>
        <v>off</v>
      </c>
      <c r="L56" s="224">
        <f t="shared" si="50"/>
        <v>1</v>
      </c>
      <c r="M56" s="229"/>
      <c r="N56" s="320">
        <f t="shared" si="44"/>
        <v>1.4799537582398943E-3</v>
      </c>
      <c r="O56" s="320">
        <f t="shared" si="43"/>
        <v>0</v>
      </c>
      <c r="P56" s="319"/>
      <c r="Q56" s="320">
        <f t="shared" si="45"/>
        <v>4.06987283515971E-3</v>
      </c>
      <c r="R56" s="320">
        <f t="shared" si="36"/>
        <v>0</v>
      </c>
      <c r="S56" s="320">
        <f t="shared" si="46"/>
        <v>0</v>
      </c>
      <c r="T56" s="320">
        <f t="shared" si="37"/>
        <v>0</v>
      </c>
      <c r="U56" s="320">
        <f t="shared" si="47"/>
        <v>0</v>
      </c>
      <c r="V56" s="320">
        <f t="shared" si="38"/>
        <v>0</v>
      </c>
      <c r="W56" s="324" t="s">
        <v>5192</v>
      </c>
      <c r="X56" s="324" t="s">
        <v>8</v>
      </c>
      <c r="Y56" s="324" t="s">
        <v>61</v>
      </c>
      <c r="Z56" s="324" t="s">
        <v>6550</v>
      </c>
      <c r="AA56" s="324" t="s">
        <v>6546</v>
      </c>
      <c r="AB56" s="324" t="s">
        <v>6546</v>
      </c>
      <c r="AC56" s="319"/>
      <c r="AD56" s="319"/>
      <c r="AE56" s="319"/>
      <c r="AF56" s="319"/>
      <c r="AG56" s="319"/>
      <c r="AH56" s="319"/>
      <c r="AI56" s="319"/>
      <c r="AJ56" s="319"/>
      <c r="AK56" s="319"/>
      <c r="AL56" s="319"/>
      <c r="AM56" s="137" t="str">
        <f t="shared" si="6"/>
        <v>cmpss_12</v>
      </c>
    </row>
    <row r="57" spans="1:39" ht="11.25" x14ac:dyDescent="0.2">
      <c r="A57" s="207" t="s">
        <v>5449</v>
      </c>
      <c r="B57" s="207" t="s">
        <v>72</v>
      </c>
      <c r="C57" s="209" t="str">
        <f t="shared" si="48"/>
        <v>dual comparator ss</v>
      </c>
      <c r="D57" s="227">
        <f t="shared" si="48"/>
        <v>44501</v>
      </c>
      <c r="E57" s="207" t="str">
        <f t="shared" si="48"/>
        <v>6 io</v>
      </c>
      <c r="F57" s="207" t="str">
        <f t="shared" si="48"/>
        <v>analog</v>
      </c>
      <c r="G57" s="209">
        <v>1</v>
      </c>
      <c r="H57" s="216">
        <f t="shared" si="7"/>
        <v>5.5498265933996045E-3</v>
      </c>
      <c r="I57" s="228" t="s">
        <v>4872</v>
      </c>
      <c r="J57" s="229"/>
      <c r="K57" s="207" t="str">
        <f t="shared" si="49"/>
        <v>off</v>
      </c>
      <c r="L57" s="224">
        <f t="shared" si="50"/>
        <v>1</v>
      </c>
      <c r="M57" s="229"/>
      <c r="N57" s="320">
        <f t="shared" si="44"/>
        <v>1.4799537582398943E-3</v>
      </c>
      <c r="O57" s="320">
        <f t="shared" si="43"/>
        <v>0</v>
      </c>
      <c r="P57" s="319"/>
      <c r="Q57" s="320">
        <f t="shared" si="45"/>
        <v>4.06987283515971E-3</v>
      </c>
      <c r="R57" s="320">
        <f t="shared" si="36"/>
        <v>0</v>
      </c>
      <c r="S57" s="320">
        <f t="shared" si="46"/>
        <v>0</v>
      </c>
      <c r="T57" s="320">
        <f t="shared" si="37"/>
        <v>0</v>
      </c>
      <c r="U57" s="320">
        <f t="shared" si="47"/>
        <v>0</v>
      </c>
      <c r="V57" s="320">
        <f t="shared" si="38"/>
        <v>0</v>
      </c>
      <c r="W57" s="324" t="s">
        <v>5192</v>
      </c>
      <c r="X57" s="324" t="s">
        <v>8</v>
      </c>
      <c r="Y57" s="324" t="s">
        <v>61</v>
      </c>
      <c r="Z57" s="324" t="s">
        <v>6550</v>
      </c>
      <c r="AA57" s="324" t="s">
        <v>6546</v>
      </c>
      <c r="AB57" s="324" t="s">
        <v>6546</v>
      </c>
      <c r="AC57" s="319"/>
      <c r="AD57" s="319"/>
      <c r="AE57" s="319"/>
      <c r="AF57" s="319"/>
      <c r="AG57" s="319"/>
      <c r="AH57" s="319"/>
      <c r="AI57" s="319"/>
      <c r="AJ57" s="319"/>
      <c r="AK57" s="319"/>
      <c r="AL57" s="319"/>
      <c r="AM57" s="137" t="str">
        <f t="shared" si="6"/>
        <v>cmpss_13</v>
      </c>
    </row>
    <row r="58" spans="1:39" ht="11.25" x14ac:dyDescent="0.2">
      <c r="A58" s="207" t="s">
        <v>5449</v>
      </c>
      <c r="B58" s="207" t="s">
        <v>73</v>
      </c>
      <c r="C58" s="209" t="str">
        <f t="shared" si="48"/>
        <v>dual comparator ss</v>
      </c>
      <c r="D58" s="227">
        <f t="shared" si="48"/>
        <v>44501</v>
      </c>
      <c r="E58" s="207" t="str">
        <f t="shared" si="48"/>
        <v>6 io</v>
      </c>
      <c r="F58" s="207" t="str">
        <f t="shared" si="48"/>
        <v>analog</v>
      </c>
      <c r="G58" s="209">
        <v>1</v>
      </c>
      <c r="H58" s="216">
        <f t="shared" si="7"/>
        <v>5.5498265933996045E-3</v>
      </c>
      <c r="I58" s="228" t="s">
        <v>4872</v>
      </c>
      <c r="J58" s="229"/>
      <c r="K58" s="207" t="str">
        <f t="shared" si="49"/>
        <v>off</v>
      </c>
      <c r="L58" s="224">
        <f t="shared" si="50"/>
        <v>1</v>
      </c>
      <c r="M58" s="229"/>
      <c r="N58" s="320">
        <f t="shared" si="44"/>
        <v>1.4799537582398943E-3</v>
      </c>
      <c r="O58" s="320">
        <f t="shared" si="43"/>
        <v>0</v>
      </c>
      <c r="P58" s="319"/>
      <c r="Q58" s="320">
        <f t="shared" si="45"/>
        <v>4.06987283515971E-3</v>
      </c>
      <c r="R58" s="320">
        <f t="shared" si="36"/>
        <v>0</v>
      </c>
      <c r="S58" s="320">
        <f t="shared" si="46"/>
        <v>0</v>
      </c>
      <c r="T58" s="320">
        <f t="shared" si="37"/>
        <v>0</v>
      </c>
      <c r="U58" s="320">
        <f t="shared" si="47"/>
        <v>0</v>
      </c>
      <c r="V58" s="320">
        <f t="shared" si="38"/>
        <v>0</v>
      </c>
      <c r="W58" s="324" t="s">
        <v>5192</v>
      </c>
      <c r="X58" s="324" t="s">
        <v>8</v>
      </c>
      <c r="Y58" s="324" t="s">
        <v>61</v>
      </c>
      <c r="Z58" s="324" t="s">
        <v>6550</v>
      </c>
      <c r="AA58" s="324" t="s">
        <v>6546</v>
      </c>
      <c r="AB58" s="324" t="s">
        <v>6546</v>
      </c>
      <c r="AC58" s="319"/>
      <c r="AD58" s="319"/>
      <c r="AE58" s="319"/>
      <c r="AF58" s="319"/>
      <c r="AG58" s="319"/>
      <c r="AH58" s="319"/>
      <c r="AI58" s="319"/>
      <c r="AJ58" s="319"/>
      <c r="AK58" s="319"/>
      <c r="AL58" s="319"/>
      <c r="AM58" s="137" t="str">
        <f t="shared" si="6"/>
        <v>cmpss_14</v>
      </c>
    </row>
    <row r="59" spans="1:39" ht="11.25" x14ac:dyDescent="0.2">
      <c r="A59" s="207" t="s">
        <v>5449</v>
      </c>
      <c r="B59" s="207" t="s">
        <v>74</v>
      </c>
      <c r="C59" s="209" t="str">
        <f t="shared" si="48"/>
        <v>dual comparator ss</v>
      </c>
      <c r="D59" s="227">
        <f t="shared" si="48"/>
        <v>44501</v>
      </c>
      <c r="E59" s="207" t="str">
        <f t="shared" si="48"/>
        <v>6 io</v>
      </c>
      <c r="F59" s="207" t="str">
        <f t="shared" si="48"/>
        <v>analog</v>
      </c>
      <c r="G59" s="209">
        <v>1</v>
      </c>
      <c r="H59" s="216">
        <f t="shared" si="7"/>
        <v>5.5498265933996045E-3</v>
      </c>
      <c r="I59" s="228" t="s">
        <v>4872</v>
      </c>
      <c r="J59" s="229"/>
      <c r="K59" s="207" t="str">
        <f t="shared" si="49"/>
        <v>off</v>
      </c>
      <c r="L59" s="224">
        <f t="shared" si="50"/>
        <v>1</v>
      </c>
      <c r="M59" s="229"/>
      <c r="N59" s="320">
        <f t="shared" si="44"/>
        <v>1.4799537582398943E-3</v>
      </c>
      <c r="O59" s="320">
        <f t="shared" si="43"/>
        <v>0</v>
      </c>
      <c r="P59" s="319"/>
      <c r="Q59" s="320">
        <f t="shared" si="45"/>
        <v>4.06987283515971E-3</v>
      </c>
      <c r="R59" s="320">
        <f t="shared" si="36"/>
        <v>0</v>
      </c>
      <c r="S59" s="320">
        <f t="shared" si="46"/>
        <v>0</v>
      </c>
      <c r="T59" s="320">
        <f t="shared" si="37"/>
        <v>0</v>
      </c>
      <c r="U59" s="320">
        <f t="shared" si="47"/>
        <v>0</v>
      </c>
      <c r="V59" s="320">
        <f t="shared" si="38"/>
        <v>0</v>
      </c>
      <c r="W59" s="324" t="s">
        <v>5192</v>
      </c>
      <c r="X59" s="324" t="s">
        <v>8</v>
      </c>
      <c r="Y59" s="324" t="s">
        <v>61</v>
      </c>
      <c r="Z59" s="324" t="s">
        <v>6550</v>
      </c>
      <c r="AA59" s="324" t="s">
        <v>6546</v>
      </c>
      <c r="AB59" s="324" t="s">
        <v>6546</v>
      </c>
      <c r="AC59" s="319"/>
      <c r="AD59" s="319"/>
      <c r="AE59" s="319"/>
      <c r="AF59" s="319"/>
      <c r="AG59" s="319"/>
      <c r="AH59" s="319"/>
      <c r="AI59" s="319"/>
      <c r="AJ59" s="319"/>
      <c r="AK59" s="319"/>
      <c r="AL59" s="319"/>
      <c r="AM59" s="137" t="str">
        <f t="shared" si="6"/>
        <v>cmpss_15</v>
      </c>
    </row>
    <row r="60" spans="1:39" ht="11.25" x14ac:dyDescent="0.2">
      <c r="A60" s="207" t="s">
        <v>5449</v>
      </c>
      <c r="B60" s="207" t="s">
        <v>75</v>
      </c>
      <c r="C60" s="209" t="str">
        <f t="shared" si="48"/>
        <v>dual comparator ss</v>
      </c>
      <c r="D60" s="227">
        <f t="shared" si="48"/>
        <v>44501</v>
      </c>
      <c r="E60" s="207" t="str">
        <f t="shared" si="48"/>
        <v>6 io</v>
      </c>
      <c r="F60" s="207" t="str">
        <f t="shared" si="48"/>
        <v>analog</v>
      </c>
      <c r="G60" s="209">
        <v>1</v>
      </c>
      <c r="H60" s="216">
        <f t="shared" si="7"/>
        <v>5.5498265933996045E-3</v>
      </c>
      <c r="I60" s="228" t="s">
        <v>4872</v>
      </c>
      <c r="J60" s="229"/>
      <c r="K60" s="207" t="str">
        <f t="shared" si="49"/>
        <v>off</v>
      </c>
      <c r="L60" s="224">
        <f t="shared" si="50"/>
        <v>1</v>
      </c>
      <c r="M60" s="229"/>
      <c r="N60" s="320">
        <f t="shared" si="44"/>
        <v>1.4799537582398943E-3</v>
      </c>
      <c r="O60" s="320">
        <f t="shared" si="43"/>
        <v>0</v>
      </c>
      <c r="P60" s="319"/>
      <c r="Q60" s="320">
        <f t="shared" si="45"/>
        <v>4.06987283515971E-3</v>
      </c>
      <c r="R60" s="320">
        <f t="shared" si="36"/>
        <v>0</v>
      </c>
      <c r="S60" s="320">
        <f t="shared" si="46"/>
        <v>0</v>
      </c>
      <c r="T60" s="320">
        <f t="shared" si="37"/>
        <v>0</v>
      </c>
      <c r="U60" s="320">
        <f t="shared" si="47"/>
        <v>0</v>
      </c>
      <c r="V60" s="320">
        <f t="shared" si="38"/>
        <v>0</v>
      </c>
      <c r="W60" s="324" t="s">
        <v>5192</v>
      </c>
      <c r="X60" s="324" t="s">
        <v>8</v>
      </c>
      <c r="Y60" s="324" t="s">
        <v>61</v>
      </c>
      <c r="Z60" s="324" t="s">
        <v>6550</v>
      </c>
      <c r="AA60" s="324" t="s">
        <v>6546</v>
      </c>
      <c r="AB60" s="324" t="s">
        <v>6546</v>
      </c>
      <c r="AC60" s="319"/>
      <c r="AD60" s="319"/>
      <c r="AE60" s="319"/>
      <c r="AF60" s="319"/>
      <c r="AG60" s="319"/>
      <c r="AH60" s="319"/>
      <c r="AI60" s="319"/>
      <c r="AJ60" s="319"/>
      <c r="AK60" s="319"/>
      <c r="AL60" s="319"/>
      <c r="AM60" s="137" t="str">
        <f t="shared" si="6"/>
        <v>cmpss_16</v>
      </c>
    </row>
    <row r="61" spans="1:39" ht="11.25" x14ac:dyDescent="0.2">
      <c r="A61" s="207" t="s">
        <v>5449</v>
      </c>
      <c r="B61" s="207" t="s">
        <v>76</v>
      </c>
      <c r="C61" s="209" t="str">
        <f t="shared" si="48"/>
        <v>dual comparator ss</v>
      </c>
      <c r="D61" s="227">
        <f t="shared" si="48"/>
        <v>44501</v>
      </c>
      <c r="E61" s="207" t="str">
        <f t="shared" si="48"/>
        <v>6 io</v>
      </c>
      <c r="F61" s="207" t="str">
        <f t="shared" si="48"/>
        <v>analog</v>
      </c>
      <c r="G61" s="209">
        <v>1</v>
      </c>
      <c r="H61" s="216">
        <f t="shared" si="7"/>
        <v>5.5498265933996045E-3</v>
      </c>
      <c r="I61" s="228" t="s">
        <v>4872</v>
      </c>
      <c r="J61" s="229"/>
      <c r="K61" s="207" t="str">
        <f t="shared" si="49"/>
        <v>off</v>
      </c>
      <c r="L61" s="224">
        <f t="shared" si="50"/>
        <v>1</v>
      </c>
      <c r="M61" s="229"/>
      <c r="N61" s="320">
        <f t="shared" si="44"/>
        <v>1.4799537582398943E-3</v>
      </c>
      <c r="O61" s="320">
        <f t="shared" si="43"/>
        <v>0</v>
      </c>
      <c r="P61" s="319"/>
      <c r="Q61" s="320">
        <f t="shared" si="45"/>
        <v>4.06987283515971E-3</v>
      </c>
      <c r="R61" s="320">
        <f t="shared" si="36"/>
        <v>0</v>
      </c>
      <c r="S61" s="320">
        <f t="shared" si="46"/>
        <v>0</v>
      </c>
      <c r="T61" s="320">
        <f t="shared" si="37"/>
        <v>0</v>
      </c>
      <c r="U61" s="320">
        <f t="shared" si="47"/>
        <v>0</v>
      </c>
      <c r="V61" s="320">
        <f t="shared" si="38"/>
        <v>0</v>
      </c>
      <c r="W61" s="324" t="s">
        <v>5192</v>
      </c>
      <c r="X61" s="324" t="s">
        <v>8</v>
      </c>
      <c r="Y61" s="324" t="s">
        <v>61</v>
      </c>
      <c r="Z61" s="324" t="s">
        <v>6550</v>
      </c>
      <c r="AA61" s="324" t="s">
        <v>6546</v>
      </c>
      <c r="AB61" s="324" t="s">
        <v>6546</v>
      </c>
      <c r="AC61" s="319"/>
      <c r="AD61" s="319"/>
      <c r="AE61" s="319"/>
      <c r="AF61" s="319"/>
      <c r="AG61" s="319"/>
      <c r="AH61" s="319"/>
      <c r="AI61" s="319"/>
      <c r="AJ61" s="319"/>
      <c r="AK61" s="319"/>
      <c r="AL61" s="319"/>
      <c r="AM61" s="137" t="str">
        <f t="shared" si="6"/>
        <v>cmpss_17</v>
      </c>
    </row>
    <row r="62" spans="1:39" ht="11.25" x14ac:dyDescent="0.2">
      <c r="A62" s="207" t="s">
        <v>5449</v>
      </c>
      <c r="B62" s="207" t="s">
        <v>77</v>
      </c>
      <c r="C62" s="209" t="str">
        <f t="shared" si="48"/>
        <v>dual comparator ss</v>
      </c>
      <c r="D62" s="227">
        <f t="shared" si="48"/>
        <v>44501</v>
      </c>
      <c r="E62" s="207" t="str">
        <f t="shared" si="48"/>
        <v>6 io</v>
      </c>
      <c r="F62" s="207" t="str">
        <f t="shared" si="48"/>
        <v>analog</v>
      </c>
      <c r="G62" s="209">
        <v>1</v>
      </c>
      <c r="H62" s="216">
        <f t="shared" si="7"/>
        <v>5.5498265933996045E-3</v>
      </c>
      <c r="I62" s="228" t="s">
        <v>4872</v>
      </c>
      <c r="J62" s="229"/>
      <c r="K62" s="207" t="str">
        <f t="shared" si="49"/>
        <v>off</v>
      </c>
      <c r="L62" s="224">
        <f t="shared" si="50"/>
        <v>1</v>
      </c>
      <c r="M62" s="229"/>
      <c r="N62" s="320">
        <f t="shared" si="44"/>
        <v>1.4799537582398943E-3</v>
      </c>
      <c r="O62" s="320">
        <f t="shared" si="43"/>
        <v>0</v>
      </c>
      <c r="P62" s="319"/>
      <c r="Q62" s="320">
        <f t="shared" si="45"/>
        <v>4.06987283515971E-3</v>
      </c>
      <c r="R62" s="320">
        <f t="shared" si="36"/>
        <v>0</v>
      </c>
      <c r="S62" s="320">
        <f t="shared" si="46"/>
        <v>0</v>
      </c>
      <c r="T62" s="320">
        <f t="shared" si="37"/>
        <v>0</v>
      </c>
      <c r="U62" s="320">
        <f t="shared" si="47"/>
        <v>0</v>
      </c>
      <c r="V62" s="320">
        <f t="shared" si="38"/>
        <v>0</v>
      </c>
      <c r="W62" s="324" t="s">
        <v>5192</v>
      </c>
      <c r="X62" s="324" t="s">
        <v>8</v>
      </c>
      <c r="Y62" s="324" t="s">
        <v>61</v>
      </c>
      <c r="Z62" s="324" t="s">
        <v>6550</v>
      </c>
      <c r="AA62" s="324" t="s">
        <v>6546</v>
      </c>
      <c r="AB62" s="324" t="s">
        <v>6546</v>
      </c>
      <c r="AC62" s="319"/>
      <c r="AD62" s="319"/>
      <c r="AE62" s="319"/>
      <c r="AF62" s="319"/>
      <c r="AG62" s="319"/>
      <c r="AH62" s="319"/>
      <c r="AI62" s="319"/>
      <c r="AJ62" s="319"/>
      <c r="AK62" s="319"/>
      <c r="AL62" s="319"/>
      <c r="AM62" s="137" t="str">
        <f t="shared" si="6"/>
        <v>cmpss_18</v>
      </c>
    </row>
    <row r="63" spans="1:39" ht="11.25" x14ac:dyDescent="0.2">
      <c r="A63" s="207" t="s">
        <v>5449</v>
      </c>
      <c r="B63" s="207" t="s">
        <v>78</v>
      </c>
      <c r="C63" s="209" t="str">
        <f t="shared" si="48"/>
        <v>dual comparator ss</v>
      </c>
      <c r="D63" s="227">
        <f t="shared" si="48"/>
        <v>44501</v>
      </c>
      <c r="E63" s="207" t="str">
        <f t="shared" si="48"/>
        <v>6 io</v>
      </c>
      <c r="F63" s="207" t="str">
        <f t="shared" si="48"/>
        <v>analog</v>
      </c>
      <c r="G63" s="209">
        <v>1</v>
      </c>
      <c r="H63" s="216">
        <f t="shared" si="7"/>
        <v>5.5498265933996045E-3</v>
      </c>
      <c r="I63" s="228" t="s">
        <v>4872</v>
      </c>
      <c r="J63" s="229"/>
      <c r="K63" s="207" t="str">
        <f t="shared" si="49"/>
        <v>off</v>
      </c>
      <c r="L63" s="224">
        <f t="shared" si="50"/>
        <v>1</v>
      </c>
      <c r="M63" s="229"/>
      <c r="N63" s="320">
        <f t="shared" si="44"/>
        <v>1.4799537582398943E-3</v>
      </c>
      <c r="O63" s="320">
        <f t="shared" si="43"/>
        <v>0</v>
      </c>
      <c r="P63" s="319"/>
      <c r="Q63" s="320">
        <f t="shared" si="45"/>
        <v>4.06987283515971E-3</v>
      </c>
      <c r="R63" s="320">
        <f t="shared" si="36"/>
        <v>0</v>
      </c>
      <c r="S63" s="320">
        <f t="shared" si="46"/>
        <v>0</v>
      </c>
      <c r="T63" s="320">
        <f t="shared" si="37"/>
        <v>0</v>
      </c>
      <c r="U63" s="320">
        <f t="shared" si="47"/>
        <v>0</v>
      </c>
      <c r="V63" s="320">
        <f t="shared" si="38"/>
        <v>0</v>
      </c>
      <c r="W63" s="324" t="s">
        <v>5192</v>
      </c>
      <c r="X63" s="324" t="s">
        <v>8</v>
      </c>
      <c r="Y63" s="324" t="s">
        <v>61</v>
      </c>
      <c r="Z63" s="324" t="s">
        <v>6550</v>
      </c>
      <c r="AA63" s="324" t="s">
        <v>6546</v>
      </c>
      <c r="AB63" s="324" t="s">
        <v>6546</v>
      </c>
      <c r="AC63" s="319"/>
      <c r="AD63" s="319"/>
      <c r="AE63" s="319"/>
      <c r="AF63" s="319"/>
      <c r="AG63" s="319"/>
      <c r="AH63" s="319"/>
      <c r="AI63" s="319"/>
      <c r="AJ63" s="319"/>
      <c r="AK63" s="319"/>
      <c r="AL63" s="319"/>
      <c r="AM63" s="137" t="str">
        <f t="shared" si="6"/>
        <v>cmpss_19</v>
      </c>
    </row>
    <row r="64" spans="1:39" ht="11.25" x14ac:dyDescent="0.2">
      <c r="A64" s="207" t="s">
        <v>5449</v>
      </c>
      <c r="B64" s="207" t="s">
        <v>13</v>
      </c>
      <c r="C64" s="209" t="str">
        <f t="shared" si="48"/>
        <v>dual comparator ss</v>
      </c>
      <c r="D64" s="227">
        <f t="shared" si="48"/>
        <v>44501</v>
      </c>
      <c r="E64" s="207" t="str">
        <f t="shared" si="48"/>
        <v>6 io</v>
      </c>
      <c r="F64" s="207" t="str">
        <f t="shared" si="48"/>
        <v>analog</v>
      </c>
      <c r="G64" s="209">
        <v>1</v>
      </c>
      <c r="H64" s="216">
        <f t="shared" si="7"/>
        <v>5.5498265933996045E-3</v>
      </c>
      <c r="I64" s="228" t="s">
        <v>4872</v>
      </c>
      <c r="J64" s="229"/>
      <c r="K64" s="207" t="str">
        <f t="shared" si="49"/>
        <v>off</v>
      </c>
      <c r="L64" s="224">
        <f t="shared" si="50"/>
        <v>1</v>
      </c>
      <c r="M64" s="229"/>
      <c r="N64" s="320">
        <f t="shared" si="44"/>
        <v>1.4799537582398943E-3</v>
      </c>
      <c r="O64" s="320">
        <f t="shared" si="43"/>
        <v>0</v>
      </c>
      <c r="P64" s="319"/>
      <c r="Q64" s="320">
        <f t="shared" si="45"/>
        <v>4.06987283515971E-3</v>
      </c>
      <c r="R64" s="320">
        <f t="shared" si="36"/>
        <v>0</v>
      </c>
      <c r="S64" s="320">
        <f t="shared" si="46"/>
        <v>0</v>
      </c>
      <c r="T64" s="320">
        <f t="shared" si="37"/>
        <v>0</v>
      </c>
      <c r="U64" s="320">
        <f t="shared" si="47"/>
        <v>0</v>
      </c>
      <c r="V64" s="320">
        <f t="shared" si="38"/>
        <v>0</v>
      </c>
      <c r="W64" s="324" t="s">
        <v>5192</v>
      </c>
      <c r="X64" s="324" t="s">
        <v>8</v>
      </c>
      <c r="Y64" s="324" t="s">
        <v>61</v>
      </c>
      <c r="Z64" s="324" t="s">
        <v>6550</v>
      </c>
      <c r="AA64" s="324" t="s">
        <v>6546</v>
      </c>
      <c r="AB64" s="324" t="s">
        <v>6546</v>
      </c>
      <c r="AC64" s="319"/>
      <c r="AD64" s="319"/>
      <c r="AE64" s="319"/>
      <c r="AF64" s="319"/>
      <c r="AG64" s="319"/>
      <c r="AH64" s="319"/>
      <c r="AI64" s="319"/>
      <c r="AJ64" s="319"/>
      <c r="AK64" s="319"/>
      <c r="AL64" s="319"/>
      <c r="AM64" s="137" t="str">
        <f t="shared" si="6"/>
        <v>cmpss_2</v>
      </c>
    </row>
    <row r="65" spans="1:39" ht="11.25" x14ac:dyDescent="0.2">
      <c r="A65" s="207" t="s">
        <v>5449</v>
      </c>
      <c r="B65" s="207" t="s">
        <v>14</v>
      </c>
      <c r="C65" s="209" t="str">
        <f t="shared" si="48"/>
        <v>dual comparator ss</v>
      </c>
      <c r="D65" s="227">
        <f t="shared" si="48"/>
        <v>44501</v>
      </c>
      <c r="E65" s="207" t="str">
        <f t="shared" si="48"/>
        <v>6 io</v>
      </c>
      <c r="F65" s="207" t="str">
        <f t="shared" si="48"/>
        <v>analog</v>
      </c>
      <c r="G65" s="209">
        <v>1</v>
      </c>
      <c r="H65" s="216">
        <f t="shared" si="7"/>
        <v>5.5498265933996045E-3</v>
      </c>
      <c r="I65" s="228" t="s">
        <v>4872</v>
      </c>
      <c r="J65" s="229"/>
      <c r="K65" s="207" t="str">
        <f t="shared" si="49"/>
        <v>off</v>
      </c>
      <c r="L65" s="224">
        <f t="shared" si="50"/>
        <v>1</v>
      </c>
      <c r="M65" s="229"/>
      <c r="N65" s="320">
        <f t="shared" si="44"/>
        <v>1.4799537582398943E-3</v>
      </c>
      <c r="O65" s="320">
        <f t="shared" si="43"/>
        <v>0</v>
      </c>
      <c r="P65" s="319"/>
      <c r="Q65" s="320">
        <f t="shared" si="45"/>
        <v>4.06987283515971E-3</v>
      </c>
      <c r="R65" s="320">
        <f t="shared" ref="R65:R93" si="51">IFERROR(VLOOKUP($A65&amp;"_"&amp;R$2&amp;"_"&amp;$K65,MDB,6,0),0)</f>
        <v>0</v>
      </c>
      <c r="S65" s="320">
        <f t="shared" si="46"/>
        <v>0</v>
      </c>
      <c r="T65" s="320">
        <f t="shared" ref="T65:T93" si="52">IFERROR(VLOOKUP($A65&amp;"_"&amp;T$2&amp;"_"&amp;$K65,MDB,6,0),0)</f>
        <v>0</v>
      </c>
      <c r="U65" s="320">
        <f t="shared" si="47"/>
        <v>0</v>
      </c>
      <c r="V65" s="320">
        <f t="shared" ref="V65:V93" si="53">IFERROR(VLOOKUP($A65&amp;"_"&amp;V$2&amp;"_"&amp;$K65,MDB,6,0),0)</f>
        <v>0</v>
      </c>
      <c r="W65" s="324" t="s">
        <v>5192</v>
      </c>
      <c r="X65" s="324" t="s">
        <v>8</v>
      </c>
      <c r="Y65" s="324" t="s">
        <v>61</v>
      </c>
      <c r="Z65" s="324" t="s">
        <v>6550</v>
      </c>
      <c r="AA65" s="324" t="s">
        <v>6546</v>
      </c>
      <c r="AB65" s="324" t="s">
        <v>6546</v>
      </c>
      <c r="AC65" s="319"/>
      <c r="AD65" s="319"/>
      <c r="AE65" s="319"/>
      <c r="AF65" s="319"/>
      <c r="AG65" s="319"/>
      <c r="AH65" s="319"/>
      <c r="AI65" s="319"/>
      <c r="AJ65" s="319"/>
      <c r="AK65" s="319"/>
      <c r="AL65" s="319"/>
      <c r="AM65" s="137" t="str">
        <f t="shared" si="6"/>
        <v>cmpss_3</v>
      </c>
    </row>
    <row r="66" spans="1:39" ht="11.25" x14ac:dyDescent="0.2">
      <c r="A66" s="207" t="s">
        <v>5449</v>
      </c>
      <c r="B66" s="207" t="s">
        <v>15</v>
      </c>
      <c r="C66" s="209" t="str">
        <f t="shared" si="48"/>
        <v>dual comparator ss</v>
      </c>
      <c r="D66" s="227">
        <f t="shared" si="48"/>
        <v>44501</v>
      </c>
      <c r="E66" s="207" t="str">
        <f t="shared" si="48"/>
        <v>6 io</v>
      </c>
      <c r="F66" s="207" t="str">
        <f t="shared" si="48"/>
        <v>analog</v>
      </c>
      <c r="G66" s="209">
        <v>1</v>
      </c>
      <c r="H66" s="216">
        <f t="shared" si="7"/>
        <v>5.5498265933996045E-3</v>
      </c>
      <c r="I66" s="228" t="s">
        <v>4872</v>
      </c>
      <c r="J66" s="229"/>
      <c r="K66" s="207" t="str">
        <f t="shared" si="49"/>
        <v>off</v>
      </c>
      <c r="L66" s="224">
        <f t="shared" si="50"/>
        <v>1</v>
      </c>
      <c r="M66" s="229"/>
      <c r="N66" s="320">
        <f t="shared" si="44"/>
        <v>1.4799537582398943E-3</v>
      </c>
      <c r="O66" s="320">
        <f t="shared" si="43"/>
        <v>0</v>
      </c>
      <c r="P66" s="319"/>
      <c r="Q66" s="320">
        <f t="shared" si="45"/>
        <v>4.06987283515971E-3</v>
      </c>
      <c r="R66" s="320">
        <f t="shared" si="51"/>
        <v>0</v>
      </c>
      <c r="S66" s="320">
        <f t="shared" si="46"/>
        <v>0</v>
      </c>
      <c r="T66" s="320">
        <f t="shared" si="52"/>
        <v>0</v>
      </c>
      <c r="U66" s="320">
        <f t="shared" si="47"/>
        <v>0</v>
      </c>
      <c r="V66" s="320">
        <f t="shared" si="53"/>
        <v>0</v>
      </c>
      <c r="W66" s="324" t="s">
        <v>5192</v>
      </c>
      <c r="X66" s="324" t="s">
        <v>8</v>
      </c>
      <c r="Y66" s="324" t="s">
        <v>61</v>
      </c>
      <c r="Z66" s="324" t="s">
        <v>6550</v>
      </c>
      <c r="AA66" s="324" t="s">
        <v>6546</v>
      </c>
      <c r="AB66" s="324" t="s">
        <v>6546</v>
      </c>
      <c r="AC66" s="319"/>
      <c r="AD66" s="319"/>
      <c r="AE66" s="319"/>
      <c r="AF66" s="319"/>
      <c r="AG66" s="319"/>
      <c r="AH66" s="319"/>
      <c r="AI66" s="319"/>
      <c r="AJ66" s="319"/>
      <c r="AK66" s="319"/>
      <c r="AL66" s="319"/>
      <c r="AM66" s="137" t="str">
        <f t="shared" si="6"/>
        <v>cmpss_4</v>
      </c>
    </row>
    <row r="67" spans="1:39" ht="11.25" x14ac:dyDescent="0.2">
      <c r="A67" s="207" t="s">
        <v>5449</v>
      </c>
      <c r="B67" s="207" t="s">
        <v>16</v>
      </c>
      <c r="C67" s="209" t="str">
        <f t="shared" si="48"/>
        <v>dual comparator ss</v>
      </c>
      <c r="D67" s="227">
        <f t="shared" si="48"/>
        <v>44501</v>
      </c>
      <c r="E67" s="207" t="str">
        <f t="shared" si="48"/>
        <v>6 io</v>
      </c>
      <c r="F67" s="207" t="str">
        <f t="shared" si="48"/>
        <v>analog</v>
      </c>
      <c r="G67" s="209">
        <v>1</v>
      </c>
      <c r="H67" s="216">
        <f t="shared" si="7"/>
        <v>5.5498265933996045E-3</v>
      </c>
      <c r="I67" s="228" t="s">
        <v>4872</v>
      </c>
      <c r="J67" s="229"/>
      <c r="K67" s="207" t="str">
        <f t="shared" si="49"/>
        <v>off</v>
      </c>
      <c r="L67" s="224">
        <f t="shared" si="50"/>
        <v>1</v>
      </c>
      <c r="M67" s="229"/>
      <c r="N67" s="320">
        <f t="shared" si="44"/>
        <v>1.4799537582398943E-3</v>
      </c>
      <c r="O67" s="320">
        <f t="shared" si="43"/>
        <v>0</v>
      </c>
      <c r="P67" s="319"/>
      <c r="Q67" s="320">
        <f t="shared" si="45"/>
        <v>4.06987283515971E-3</v>
      </c>
      <c r="R67" s="320">
        <f t="shared" si="51"/>
        <v>0</v>
      </c>
      <c r="S67" s="320">
        <f t="shared" si="46"/>
        <v>0</v>
      </c>
      <c r="T67" s="320">
        <f t="shared" si="52"/>
        <v>0</v>
      </c>
      <c r="U67" s="320">
        <f t="shared" si="47"/>
        <v>0</v>
      </c>
      <c r="V67" s="320">
        <f t="shared" si="53"/>
        <v>0</v>
      </c>
      <c r="W67" s="324" t="s">
        <v>5192</v>
      </c>
      <c r="X67" s="324" t="s">
        <v>8</v>
      </c>
      <c r="Y67" s="324" t="s">
        <v>61</v>
      </c>
      <c r="Z67" s="324" t="s">
        <v>6550</v>
      </c>
      <c r="AA67" s="324" t="s">
        <v>6546</v>
      </c>
      <c r="AB67" s="324" t="s">
        <v>6546</v>
      </c>
      <c r="AC67" s="319"/>
      <c r="AD67" s="319"/>
      <c r="AE67" s="319"/>
      <c r="AF67" s="319"/>
      <c r="AG67" s="319"/>
      <c r="AH67" s="319"/>
      <c r="AI67" s="319"/>
      <c r="AJ67" s="319"/>
      <c r="AK67" s="319"/>
      <c r="AL67" s="319"/>
      <c r="AM67" s="137" t="str">
        <f t="shared" si="6"/>
        <v>cmpss_5</v>
      </c>
    </row>
    <row r="68" spans="1:39" ht="11.25" x14ac:dyDescent="0.2">
      <c r="A68" s="207" t="s">
        <v>5449</v>
      </c>
      <c r="B68" s="207" t="s">
        <v>17</v>
      </c>
      <c r="C68" s="209" t="str">
        <f t="shared" si="48"/>
        <v>dual comparator ss</v>
      </c>
      <c r="D68" s="227">
        <f t="shared" si="48"/>
        <v>44501</v>
      </c>
      <c r="E68" s="207" t="str">
        <f t="shared" si="48"/>
        <v>6 io</v>
      </c>
      <c r="F68" s="207" t="str">
        <f t="shared" si="48"/>
        <v>analog</v>
      </c>
      <c r="G68" s="209">
        <v>1</v>
      </c>
      <c r="H68" s="216">
        <f t="shared" ref="H68:H131" si="54">SUM(N68:V68)</f>
        <v>5.5498265933996045E-3</v>
      </c>
      <c r="I68" s="228" t="s">
        <v>4872</v>
      </c>
      <c r="J68" s="229"/>
      <c r="K68" s="207" t="str">
        <f t="shared" si="49"/>
        <v>off</v>
      </c>
      <c r="L68" s="224">
        <f t="shared" si="50"/>
        <v>1</v>
      </c>
      <c r="M68" s="229"/>
      <c r="N68" s="320">
        <f t="shared" si="44"/>
        <v>1.4799537582398943E-3</v>
      </c>
      <c r="O68" s="320">
        <f t="shared" si="43"/>
        <v>0</v>
      </c>
      <c r="P68" s="319"/>
      <c r="Q68" s="320">
        <f t="shared" si="45"/>
        <v>4.06987283515971E-3</v>
      </c>
      <c r="R68" s="320">
        <f t="shared" si="51"/>
        <v>0</v>
      </c>
      <c r="S68" s="320">
        <f t="shared" si="46"/>
        <v>0</v>
      </c>
      <c r="T68" s="320">
        <f t="shared" si="52"/>
        <v>0</v>
      </c>
      <c r="U68" s="320">
        <f t="shared" si="47"/>
        <v>0</v>
      </c>
      <c r="V68" s="320">
        <f t="shared" si="53"/>
        <v>0</v>
      </c>
      <c r="W68" s="324" t="s">
        <v>5192</v>
      </c>
      <c r="X68" s="324" t="s">
        <v>8</v>
      </c>
      <c r="Y68" s="324" t="s">
        <v>61</v>
      </c>
      <c r="Z68" s="324" t="s">
        <v>6550</v>
      </c>
      <c r="AA68" s="324" t="s">
        <v>6546</v>
      </c>
      <c r="AB68" s="324" t="s">
        <v>6546</v>
      </c>
      <c r="AC68" s="319"/>
      <c r="AD68" s="319"/>
      <c r="AE68" s="319"/>
      <c r="AF68" s="319"/>
      <c r="AG68" s="319"/>
      <c r="AH68" s="319"/>
      <c r="AI68" s="319"/>
      <c r="AJ68" s="319"/>
      <c r="AK68" s="319"/>
      <c r="AL68" s="319"/>
      <c r="AM68" s="137" t="str">
        <f t="shared" si="6"/>
        <v>cmpss_6</v>
      </c>
    </row>
    <row r="69" spans="1:39" ht="11.25" x14ac:dyDescent="0.2">
      <c r="A69" s="207" t="s">
        <v>5449</v>
      </c>
      <c r="B69" s="207" t="s">
        <v>18</v>
      </c>
      <c r="C69" s="209" t="str">
        <f t="shared" si="48"/>
        <v>dual comparator ss</v>
      </c>
      <c r="D69" s="227">
        <f t="shared" si="48"/>
        <v>44501</v>
      </c>
      <c r="E69" s="207" t="str">
        <f t="shared" si="48"/>
        <v>6 io</v>
      </c>
      <c r="F69" s="207" t="str">
        <f t="shared" si="48"/>
        <v>analog</v>
      </c>
      <c r="G69" s="209">
        <v>1</v>
      </c>
      <c r="H69" s="216">
        <f t="shared" si="54"/>
        <v>5.5498265933996045E-3</v>
      </c>
      <c r="I69" s="228" t="s">
        <v>4872</v>
      </c>
      <c r="J69" s="229"/>
      <c r="K69" s="207" t="str">
        <f t="shared" si="49"/>
        <v>off</v>
      </c>
      <c r="L69" s="224">
        <f t="shared" si="50"/>
        <v>1</v>
      </c>
      <c r="M69" s="229"/>
      <c r="N69" s="320">
        <f t="shared" si="44"/>
        <v>1.4799537582398943E-3</v>
      </c>
      <c r="O69" s="320">
        <f t="shared" si="43"/>
        <v>0</v>
      </c>
      <c r="P69" s="319"/>
      <c r="Q69" s="320">
        <f t="shared" si="45"/>
        <v>4.06987283515971E-3</v>
      </c>
      <c r="R69" s="320">
        <f t="shared" si="51"/>
        <v>0</v>
      </c>
      <c r="S69" s="320">
        <f t="shared" si="46"/>
        <v>0</v>
      </c>
      <c r="T69" s="320">
        <f t="shared" si="52"/>
        <v>0</v>
      </c>
      <c r="U69" s="320">
        <f t="shared" si="47"/>
        <v>0</v>
      </c>
      <c r="V69" s="320">
        <f t="shared" si="53"/>
        <v>0</v>
      </c>
      <c r="W69" s="324" t="s">
        <v>5192</v>
      </c>
      <c r="X69" s="324" t="s">
        <v>8</v>
      </c>
      <c r="Y69" s="324" t="s">
        <v>61</v>
      </c>
      <c r="Z69" s="324" t="s">
        <v>6550</v>
      </c>
      <c r="AA69" s="324" t="s">
        <v>6546</v>
      </c>
      <c r="AB69" s="324" t="s">
        <v>6546</v>
      </c>
      <c r="AC69" s="319"/>
      <c r="AD69" s="319"/>
      <c r="AE69" s="319"/>
      <c r="AF69" s="319"/>
      <c r="AG69" s="319"/>
      <c r="AH69" s="319"/>
      <c r="AI69" s="319"/>
      <c r="AJ69" s="319"/>
      <c r="AK69" s="319"/>
      <c r="AL69" s="319"/>
      <c r="AM69" s="137" t="str">
        <f t="shared" si="6"/>
        <v>cmpss_7</v>
      </c>
    </row>
    <row r="70" spans="1:39" ht="11.25" x14ac:dyDescent="0.2">
      <c r="A70" s="207" t="s">
        <v>5449</v>
      </c>
      <c r="B70" s="207" t="s">
        <v>19</v>
      </c>
      <c r="C70" s="209" t="str">
        <f t="shared" si="48"/>
        <v>dual comparator ss</v>
      </c>
      <c r="D70" s="227">
        <f t="shared" si="48"/>
        <v>44501</v>
      </c>
      <c r="E70" s="207" t="str">
        <f t="shared" si="48"/>
        <v>6 io</v>
      </c>
      <c r="F70" s="207" t="str">
        <f t="shared" si="48"/>
        <v>analog</v>
      </c>
      <c r="G70" s="209">
        <v>1</v>
      </c>
      <c r="H70" s="216">
        <f t="shared" si="54"/>
        <v>5.5498265933996045E-3</v>
      </c>
      <c r="I70" s="228" t="s">
        <v>4872</v>
      </c>
      <c r="J70" s="229"/>
      <c r="K70" s="207" t="str">
        <f t="shared" si="49"/>
        <v>off</v>
      </c>
      <c r="L70" s="224">
        <f t="shared" si="50"/>
        <v>1</v>
      </c>
      <c r="M70" s="229"/>
      <c r="N70" s="320">
        <f t="shared" si="44"/>
        <v>1.4799537582398943E-3</v>
      </c>
      <c r="O70" s="320">
        <f t="shared" si="43"/>
        <v>0</v>
      </c>
      <c r="P70" s="319"/>
      <c r="Q70" s="320">
        <f t="shared" si="45"/>
        <v>4.06987283515971E-3</v>
      </c>
      <c r="R70" s="320">
        <f t="shared" si="51"/>
        <v>0</v>
      </c>
      <c r="S70" s="320">
        <f t="shared" si="46"/>
        <v>0</v>
      </c>
      <c r="T70" s="320">
        <f t="shared" si="52"/>
        <v>0</v>
      </c>
      <c r="U70" s="320">
        <f t="shared" si="47"/>
        <v>0</v>
      </c>
      <c r="V70" s="320">
        <f t="shared" si="53"/>
        <v>0</v>
      </c>
      <c r="W70" s="324" t="s">
        <v>5192</v>
      </c>
      <c r="X70" s="324" t="s">
        <v>8</v>
      </c>
      <c r="Y70" s="324" t="s">
        <v>61</v>
      </c>
      <c r="Z70" s="324" t="s">
        <v>6550</v>
      </c>
      <c r="AA70" s="324" t="s">
        <v>6546</v>
      </c>
      <c r="AB70" s="324" t="s">
        <v>6546</v>
      </c>
      <c r="AC70" s="319"/>
      <c r="AD70" s="319"/>
      <c r="AE70" s="319"/>
      <c r="AF70" s="319"/>
      <c r="AG70" s="319"/>
      <c r="AH70" s="319"/>
      <c r="AI70" s="319"/>
      <c r="AJ70" s="319"/>
      <c r="AK70" s="319"/>
      <c r="AL70" s="319"/>
      <c r="AM70" s="137" t="str">
        <f t="shared" si="6"/>
        <v>cmpss_8</v>
      </c>
    </row>
    <row r="71" spans="1:39" ht="11.25" x14ac:dyDescent="0.2">
      <c r="A71" s="207" t="s">
        <v>5449</v>
      </c>
      <c r="B71" s="207" t="s">
        <v>22</v>
      </c>
      <c r="C71" s="209" t="str">
        <f t="shared" ref="C71:F90" si="55">VLOOKUP($A71&amp;"_"&amp;C$2,MDB,6,0)</f>
        <v>dual comparator ss</v>
      </c>
      <c r="D71" s="227">
        <f t="shared" si="55"/>
        <v>44501</v>
      </c>
      <c r="E71" s="207" t="str">
        <f t="shared" si="55"/>
        <v>6 io</v>
      </c>
      <c r="F71" s="207" t="str">
        <f t="shared" si="55"/>
        <v>analog</v>
      </c>
      <c r="G71" s="209">
        <v>1</v>
      </c>
      <c r="H71" s="216">
        <f t="shared" si="54"/>
        <v>5.5498265933996045E-3</v>
      </c>
      <c r="I71" s="228" t="s">
        <v>4872</v>
      </c>
      <c r="J71" s="229"/>
      <c r="K71" s="207" t="str">
        <f t="shared" si="49"/>
        <v>off</v>
      </c>
      <c r="L71" s="224">
        <f t="shared" si="50"/>
        <v>1</v>
      </c>
      <c r="M71" s="229"/>
      <c r="N71" s="320">
        <f t="shared" si="44"/>
        <v>1.4799537582398943E-3</v>
      </c>
      <c r="O71" s="320">
        <f t="shared" si="43"/>
        <v>0</v>
      </c>
      <c r="P71" s="319"/>
      <c r="Q71" s="320">
        <f t="shared" si="45"/>
        <v>4.06987283515971E-3</v>
      </c>
      <c r="R71" s="320">
        <f t="shared" si="51"/>
        <v>0</v>
      </c>
      <c r="S71" s="320">
        <f t="shared" si="46"/>
        <v>0</v>
      </c>
      <c r="T71" s="320">
        <f t="shared" si="52"/>
        <v>0</v>
      </c>
      <c r="U71" s="320">
        <f t="shared" si="47"/>
        <v>0</v>
      </c>
      <c r="V71" s="320">
        <f t="shared" si="53"/>
        <v>0</v>
      </c>
      <c r="W71" s="324" t="s">
        <v>5192</v>
      </c>
      <c r="X71" s="324" t="s">
        <v>8</v>
      </c>
      <c r="Y71" s="324" t="s">
        <v>61</v>
      </c>
      <c r="Z71" s="324" t="s">
        <v>6550</v>
      </c>
      <c r="AA71" s="324" t="s">
        <v>6546</v>
      </c>
      <c r="AB71" s="324" t="s">
        <v>6546</v>
      </c>
      <c r="AC71" s="319"/>
      <c r="AD71" s="319"/>
      <c r="AE71" s="319"/>
      <c r="AF71" s="319"/>
      <c r="AG71" s="319"/>
      <c r="AH71" s="319"/>
      <c r="AI71" s="319"/>
      <c r="AJ71" s="319"/>
      <c r="AK71" s="319"/>
      <c r="AL71" s="319"/>
      <c r="AM71" s="137" t="str">
        <f t="shared" si="6"/>
        <v>cmpss_9</v>
      </c>
    </row>
    <row r="72" spans="1:39" ht="11.25" x14ac:dyDescent="0.2">
      <c r="A72" s="207" t="s">
        <v>5450</v>
      </c>
      <c r="B72" s="207" t="s">
        <v>11</v>
      </c>
      <c r="C72" s="209" t="str">
        <f t="shared" si="55"/>
        <v>dac 12b 3.3v</v>
      </c>
      <c r="D72" s="227">
        <f t="shared" si="55"/>
        <v>44501</v>
      </c>
      <c r="E72" s="207" t="str">
        <f t="shared" si="55"/>
        <v>6 io</v>
      </c>
      <c r="F72" s="207" t="str">
        <f t="shared" si="55"/>
        <v>analog</v>
      </c>
      <c r="G72" s="209">
        <v>1</v>
      </c>
      <c r="H72" s="216">
        <f t="shared" si="54"/>
        <v>4.5055498265933993</v>
      </c>
      <c r="I72" s="228" t="s">
        <v>4872</v>
      </c>
      <c r="J72" s="229"/>
      <c r="K72" s="207" t="str">
        <f>DAC</f>
        <v>on_3p3v</v>
      </c>
      <c r="L72" s="224">
        <f>DAC_Util</f>
        <v>1</v>
      </c>
      <c r="M72" s="229"/>
      <c r="N72" s="320">
        <f t="shared" si="44"/>
        <v>1.4799537582398943E-3</v>
      </c>
      <c r="O72" s="320">
        <f t="shared" si="43"/>
        <v>0</v>
      </c>
      <c r="P72" s="319"/>
      <c r="Q72" s="320">
        <f t="shared" si="45"/>
        <v>4.06987283515971E-3</v>
      </c>
      <c r="R72" s="320">
        <f t="shared" si="51"/>
        <v>4.5</v>
      </c>
      <c r="S72" s="320">
        <f t="shared" si="46"/>
        <v>0</v>
      </c>
      <c r="T72" s="320">
        <f t="shared" si="52"/>
        <v>0</v>
      </c>
      <c r="U72" s="320">
        <f t="shared" si="47"/>
        <v>0</v>
      </c>
      <c r="V72" s="320">
        <f t="shared" si="53"/>
        <v>0</v>
      </c>
      <c r="W72" s="324" t="s">
        <v>5192</v>
      </c>
      <c r="X72" s="324" t="s">
        <v>8</v>
      </c>
      <c r="Y72" s="324" t="s">
        <v>61</v>
      </c>
      <c r="Z72" s="324" t="s">
        <v>6550</v>
      </c>
      <c r="AA72" s="324" t="s">
        <v>6546</v>
      </c>
      <c r="AB72" s="324" t="s">
        <v>6546</v>
      </c>
      <c r="AC72" s="319"/>
      <c r="AD72" s="319"/>
      <c r="AE72" s="319"/>
      <c r="AF72" s="319"/>
      <c r="AG72" s="319"/>
      <c r="AH72" s="319"/>
      <c r="AI72" s="319"/>
      <c r="AJ72" s="319"/>
      <c r="AK72" s="319"/>
      <c r="AL72" s="319"/>
      <c r="AM72" s="137" t="str">
        <f t="shared" si="6"/>
        <v>dac12b_0</v>
      </c>
    </row>
    <row r="73" spans="1:39" ht="11.25" x14ac:dyDescent="0.2">
      <c r="A73" s="207" t="s">
        <v>4792</v>
      </c>
      <c r="B73" s="207" t="s">
        <v>20</v>
      </c>
      <c r="C73" s="209" t="str">
        <f t="shared" si="55"/>
        <v>lvcmos io</v>
      </c>
      <c r="D73" s="227" t="str">
        <f t="shared" si="55"/>
        <v>2012 aegis datasheet</v>
      </c>
      <c r="E73" s="207" t="str">
        <f t="shared" si="55"/>
        <v>6 io</v>
      </c>
      <c r="F73" s="207" t="str">
        <f t="shared" si="55"/>
        <v>lvcmos</v>
      </c>
      <c r="G73" s="209">
        <v>141</v>
      </c>
      <c r="H73" s="216">
        <f t="shared" si="54"/>
        <v>4.2185430698974562</v>
      </c>
      <c r="I73" s="228" t="s">
        <v>4872</v>
      </c>
      <c r="J73" s="229"/>
      <c r="K73" s="207" t="s">
        <v>4872</v>
      </c>
      <c r="L73" s="224">
        <f ca="1">IFERROR(INDEX(INDIRECT(uc_sheet&amp;"!$A$1"):INDIRECT(uc_sheet&amp;"!$CZ$1000"),MATCH($A73&amp;$B73,INDIRECT(uc_sheet&amp;"!$a$1"):INDIRECT(uc_sheet&amp;"!$a$1000"),0),MATCH(use_case,INDIRECT(uc_sheet&amp;"!$A$1"):INDIRECT(uc_sheet&amp;"!$CZ$1"),0)),0)</f>
        <v>0</v>
      </c>
      <c r="M73" s="229"/>
      <c r="N73" s="320">
        <f t="shared" si="44"/>
        <v>0.41734695982365017</v>
      </c>
      <c r="O73" s="320">
        <f t="shared" si="43"/>
        <v>0</v>
      </c>
      <c r="P73" s="319"/>
      <c r="Q73" s="320">
        <f t="shared" si="45"/>
        <v>0</v>
      </c>
      <c r="R73" s="320">
        <f t="shared" si="51"/>
        <v>0</v>
      </c>
      <c r="S73" s="320">
        <f t="shared" si="46"/>
        <v>0.77125718175410563</v>
      </c>
      <c r="T73" s="320">
        <f t="shared" si="52"/>
        <v>0</v>
      </c>
      <c r="U73" s="320">
        <f t="shared" si="47"/>
        <v>3.0299389283197007</v>
      </c>
      <c r="V73" s="320">
        <f t="shared" si="53"/>
        <v>0</v>
      </c>
      <c r="W73" s="324" t="s">
        <v>5189</v>
      </c>
      <c r="X73" s="324" t="s">
        <v>8</v>
      </c>
      <c r="Y73" s="324" t="s">
        <v>61</v>
      </c>
      <c r="Z73" s="324" t="s">
        <v>40</v>
      </c>
      <c r="AA73" s="324" t="s">
        <v>4696</v>
      </c>
      <c r="AB73" s="324" t="s">
        <v>4697</v>
      </c>
      <c r="AC73" s="319"/>
      <c r="AD73" s="319"/>
      <c r="AE73" s="319"/>
      <c r="AF73" s="319"/>
      <c r="AG73" s="319"/>
      <c r="AH73" s="319"/>
      <c r="AI73" s="319"/>
      <c r="AJ73" s="319"/>
      <c r="AK73" s="319"/>
      <c r="AL73" s="319"/>
      <c r="AM73" s="137" t="str">
        <f t="shared" si="6"/>
        <v>bc1833dv40dcpbfbp18ll_ssdlh_multiple</v>
      </c>
    </row>
    <row r="74" spans="1:39" ht="11.25" x14ac:dyDescent="0.2">
      <c r="A74" s="207" t="s">
        <v>4795</v>
      </c>
      <c r="B74" s="207" t="s">
        <v>11</v>
      </c>
      <c r="C74" s="209" t="str">
        <f t="shared" si="55"/>
        <v>lvcmos voltage detect</v>
      </c>
      <c r="D74" s="227" t="str">
        <f t="shared" si="55"/>
        <v>2012 aegis datasheet</v>
      </c>
      <c r="E74" s="207" t="str">
        <f t="shared" si="55"/>
        <v>6 io</v>
      </c>
      <c r="F74" s="207" t="str">
        <f t="shared" si="55"/>
        <v>lvcmos</v>
      </c>
      <c r="G74" s="209">
        <v>1</v>
      </c>
      <c r="H74" s="216">
        <f t="shared" si="54"/>
        <v>7.2853190338955848E-2</v>
      </c>
      <c r="I74" s="228" t="s">
        <v>4872</v>
      </c>
      <c r="J74" s="229"/>
      <c r="K74" s="207" t="s">
        <v>4872</v>
      </c>
      <c r="L74" s="224">
        <f ca="1">IFERROR(INDEX(INDIRECT(uc_sheet&amp;"!$A$1"):INDIRECT(uc_sheet&amp;"!$CZ$1000"),MATCH($A74&amp;$B74,INDIRECT(uc_sheet&amp;"!$a$1"):INDIRECT(uc_sheet&amp;"!$a$1000"),0),MATCH(use_case,INDIRECT(uc_sheet&amp;"!$A$1"):INDIRECT(uc_sheet&amp;"!$CZ$1"),0)),0)</f>
        <v>0</v>
      </c>
      <c r="M74" s="229"/>
      <c r="N74" s="320">
        <f t="shared" si="44"/>
        <v>2.4665895970664908E-4</v>
      </c>
      <c r="O74" s="320">
        <f t="shared" ref="O74:O93" si="56">IFERROR(VLOOKUP($A74&amp;"_"&amp;O$2&amp;"_"&amp;$K74,MDB,6,0),0)</f>
        <v>0</v>
      </c>
      <c r="P74" s="319"/>
      <c r="Q74" s="320">
        <f t="shared" si="45"/>
        <v>0</v>
      </c>
      <c r="R74" s="320">
        <f t="shared" si="51"/>
        <v>0</v>
      </c>
      <c r="S74" s="320">
        <f t="shared" si="46"/>
        <v>9.7676948043833034E-4</v>
      </c>
      <c r="T74" s="320">
        <f t="shared" si="52"/>
        <v>0</v>
      </c>
      <c r="U74" s="320">
        <f t="shared" si="47"/>
        <v>7.1629761898810873E-2</v>
      </c>
      <c r="V74" s="320">
        <f t="shared" si="53"/>
        <v>0</v>
      </c>
      <c r="W74" s="324" t="s">
        <v>5189</v>
      </c>
      <c r="X74" s="324" t="s">
        <v>8</v>
      </c>
      <c r="Y74" s="324" t="s">
        <v>61</v>
      </c>
      <c r="Z74" s="324" t="s">
        <v>40</v>
      </c>
      <c r="AA74" s="324" t="s">
        <v>4696</v>
      </c>
      <c r="AB74" s="324" t="s">
        <v>4697</v>
      </c>
      <c r="AC74" s="319"/>
      <c r="AD74" s="319"/>
      <c r="AE74" s="319"/>
      <c r="AF74" s="319"/>
      <c r="AG74" s="319"/>
      <c r="AH74" s="319"/>
      <c r="AI74" s="319"/>
      <c r="AJ74" s="319"/>
      <c r="AK74" s="319"/>
      <c r="AL74" s="319"/>
      <c r="AM74" s="137" t="str">
        <f t="shared" si="6"/>
        <v>cq1833dvdetect_ssdlv_0</v>
      </c>
    </row>
    <row r="75" spans="1:39" ht="11.25" x14ac:dyDescent="0.2">
      <c r="A75" s="207" t="s">
        <v>4796</v>
      </c>
      <c r="B75" s="207" t="s">
        <v>11</v>
      </c>
      <c r="C75" s="209" t="str">
        <f t="shared" si="55"/>
        <v>lvcmos hhv</v>
      </c>
      <c r="D75" s="227" t="str">
        <f t="shared" si="55"/>
        <v>2012 aegis datasheet</v>
      </c>
      <c r="E75" s="207" t="str">
        <f t="shared" si="55"/>
        <v>6 io</v>
      </c>
      <c r="F75" s="207" t="str">
        <f t="shared" si="55"/>
        <v>lvcmos</v>
      </c>
      <c r="G75" s="209">
        <v>1</v>
      </c>
      <c r="H75" s="216">
        <f t="shared" si="54"/>
        <v>7.2853190338955848E-2</v>
      </c>
      <c r="I75" s="228" t="s">
        <v>4872</v>
      </c>
      <c r="J75" s="229"/>
      <c r="K75" s="207" t="s">
        <v>4872</v>
      </c>
      <c r="L75" s="224">
        <f ca="1">IFERROR(INDEX(INDIRECT(uc_sheet&amp;"!$A$1"):INDIRECT(uc_sheet&amp;"!$CZ$1000"),MATCH($A75&amp;$B75,INDIRECT(uc_sheet&amp;"!$a$1"):INDIRECT(uc_sheet&amp;"!$a$1000"),0),MATCH(use_case,INDIRECT(uc_sheet&amp;"!$A$1"):INDIRECT(uc_sheet&amp;"!$CZ$1"),0)),0)</f>
        <v>0</v>
      </c>
      <c r="M75" s="229"/>
      <c r="N75" s="320">
        <f t="shared" ref="N75:N93" si="57">IFERROR(VLOOKUP($A75&amp;"_"&amp;N$2,MDB,6,0),0)*Lkg_Scale_VDD_SVT*$G75</f>
        <v>2.4665895970664908E-4</v>
      </c>
      <c r="O75" s="320">
        <f t="shared" si="56"/>
        <v>0</v>
      </c>
      <c r="P75" s="319"/>
      <c r="Q75" s="320">
        <f t="shared" ref="Q75:Q93" si="58">IFERROR(VLOOKUP($A75&amp;"_"&amp;Q$2,MDB,6,0),0)*Lkg_Scale_VDD_SVT*$G75</f>
        <v>0</v>
      </c>
      <c r="R75" s="320">
        <f t="shared" si="51"/>
        <v>0</v>
      </c>
      <c r="S75" s="320">
        <f t="shared" ref="S75:S93" si="59">IFERROR(VLOOKUP($A75&amp;"_"&amp;S$2,MDB,6,0),0)*Lkg_Scale_VDD_SVT*$G75</f>
        <v>9.7676948043833034E-4</v>
      </c>
      <c r="T75" s="320">
        <f t="shared" si="52"/>
        <v>0</v>
      </c>
      <c r="U75" s="320">
        <f t="shared" ref="U75:U93" si="60">IFERROR(VLOOKUP($A75&amp;"_"&amp;U$2,MDB,6,0),0)*Lkg_Scale_VDD_SVT*$G75</f>
        <v>7.1629761898810873E-2</v>
      </c>
      <c r="V75" s="320">
        <f t="shared" si="53"/>
        <v>0</v>
      </c>
      <c r="W75" s="324" t="s">
        <v>5189</v>
      </c>
      <c r="X75" s="324" t="s">
        <v>8</v>
      </c>
      <c r="Y75" s="324" t="s">
        <v>61</v>
      </c>
      <c r="Z75" s="324" t="s">
        <v>40</v>
      </c>
      <c r="AA75" s="324" t="s">
        <v>4696</v>
      </c>
      <c r="AB75" s="324" t="s">
        <v>4697</v>
      </c>
      <c r="AC75" s="319"/>
      <c r="AD75" s="319"/>
      <c r="AE75" s="319"/>
      <c r="AF75" s="319"/>
      <c r="AG75" s="319"/>
      <c r="AH75" s="319"/>
      <c r="AI75" s="319"/>
      <c r="AJ75" s="319"/>
      <c r="AK75" s="319"/>
      <c r="AL75" s="319"/>
      <c r="AM75" s="137" t="str">
        <f t="shared" ref="AM75:AM138" si="61">A75&amp;B75</f>
        <v>ihhv1833dvhyp18ll_ssdhv_0</v>
      </c>
    </row>
    <row r="76" spans="1:39" ht="11.25" x14ac:dyDescent="0.2">
      <c r="A76" s="207" t="s">
        <v>5176</v>
      </c>
      <c r="B76" s="207" t="s">
        <v>5472</v>
      </c>
      <c r="C76" s="209" t="str">
        <f t="shared" si="55"/>
        <v xml:space="preserve">csi reciever 1 lane add on </v>
      </c>
      <c r="D76" s="227" t="str">
        <f t="shared" si="55"/>
        <v>ver 1p0</v>
      </c>
      <c r="E76" s="207" t="str">
        <f t="shared" si="55"/>
        <v>6 io</v>
      </c>
      <c r="F76" s="207" t="str">
        <f t="shared" si="55"/>
        <v>serdes</v>
      </c>
      <c r="G76" s="209">
        <v>0</v>
      </c>
      <c r="H76" s="216">
        <f t="shared" ca="1" si="54"/>
        <v>0</v>
      </c>
      <c r="I76" s="228" t="s">
        <v>4798</v>
      </c>
      <c r="J76" s="229"/>
      <c r="K76" s="207" t="str">
        <f ca="1">IFERROR(INDEX(INDIRECT(uc_sheet&amp;"!$A$1"):INDIRECT(uc_sheet&amp;"!$CZ$1000"),MATCH($A76&amp;$B76,INDIRECT(uc_sheet&amp;"!$a$1"):INDIRECT(uc_sheet&amp;"!$a$1000"),0),MATCH(use_case,INDIRECT(uc_sheet&amp;"!$A$1"):INDIRECT(uc_sheet&amp;"!$CZ$1"),0)+1),"")</f>
        <v/>
      </c>
      <c r="L76" s="224">
        <f ca="1">IFERROR(INDEX(INDIRECT(uc_sheet&amp;"!$A$1"):INDIRECT(uc_sheet&amp;"!$CZ$1000"),MATCH($A76&amp;$B76,INDIRECT(uc_sheet&amp;"!$a$1"):INDIRECT(uc_sheet&amp;"!$a$1000"),0),MATCH(use_case,INDIRECT(uc_sheet&amp;"!$A$1"):INDIRECT(uc_sheet&amp;"!$CZ$1"),0)),0)</f>
        <v>0</v>
      </c>
      <c r="M76" s="229"/>
      <c r="N76" s="320">
        <f t="shared" si="57"/>
        <v>0</v>
      </c>
      <c r="O76" s="320">
        <f t="shared" ca="1" si="56"/>
        <v>0</v>
      </c>
      <c r="P76" s="319"/>
      <c r="Q76" s="320">
        <f t="shared" si="58"/>
        <v>0</v>
      </c>
      <c r="R76" s="320">
        <f t="shared" ca="1" si="51"/>
        <v>0</v>
      </c>
      <c r="S76" s="320">
        <f t="shared" si="59"/>
        <v>0</v>
      </c>
      <c r="T76" s="320">
        <f t="shared" ca="1" si="52"/>
        <v>0</v>
      </c>
      <c r="U76" s="320">
        <f t="shared" si="60"/>
        <v>0</v>
      </c>
      <c r="V76" s="320">
        <f t="shared" ca="1" si="53"/>
        <v>0</v>
      </c>
      <c r="W76" s="324" t="s">
        <v>5192</v>
      </c>
      <c r="X76" s="324" t="s">
        <v>40</v>
      </c>
      <c r="Y76" s="324" t="s">
        <v>40</v>
      </c>
      <c r="Z76" s="324" t="s">
        <v>40</v>
      </c>
      <c r="AA76" s="324" t="s">
        <v>6546</v>
      </c>
      <c r="AB76" s="324" t="s">
        <v>6546</v>
      </c>
      <c r="AC76" s="319"/>
      <c r="AD76" s="319"/>
      <c r="AE76" s="319"/>
      <c r="AF76" s="319"/>
      <c r="AG76" s="319"/>
      <c r="AH76" s="319"/>
      <c r="AI76" s="319"/>
      <c r="AJ76" s="319"/>
      <c r="AK76" s="319"/>
      <c r="AL76" s="319"/>
      <c r="AM76" s="137" t="str">
        <f t="shared" si="61"/>
        <v>camerarx_addon_a_0</v>
      </c>
    </row>
    <row r="77" spans="1:39" ht="11.25" x14ac:dyDescent="0.2">
      <c r="A77" s="207" t="s">
        <v>5176</v>
      </c>
      <c r="B77" s="207" t="s">
        <v>5473</v>
      </c>
      <c r="C77" s="209" t="str">
        <f t="shared" si="55"/>
        <v xml:space="preserve">csi reciever 1 lane add on </v>
      </c>
      <c r="D77" s="227" t="str">
        <f t="shared" si="55"/>
        <v>ver 1p0</v>
      </c>
      <c r="E77" s="207" t="str">
        <f t="shared" si="55"/>
        <v>6 io</v>
      </c>
      <c r="F77" s="207" t="str">
        <f t="shared" si="55"/>
        <v>serdes</v>
      </c>
      <c r="G77" s="209">
        <v>0</v>
      </c>
      <c r="H77" s="216">
        <f t="shared" ca="1" si="54"/>
        <v>0</v>
      </c>
      <c r="I77" s="228" t="s">
        <v>4798</v>
      </c>
      <c r="J77" s="229"/>
      <c r="K77" s="207" t="str">
        <f ca="1">IFERROR(INDEX(INDIRECT(uc_sheet&amp;"!$A$1"):INDIRECT(uc_sheet&amp;"!$CZ$1000"),MATCH($A77&amp;$B77,INDIRECT(uc_sheet&amp;"!$a$1"):INDIRECT(uc_sheet&amp;"!$a$1000"),0),MATCH(use_case,INDIRECT(uc_sheet&amp;"!$A$1"):INDIRECT(uc_sheet&amp;"!$CZ$1"),0)+1),"")</f>
        <v/>
      </c>
      <c r="L77" s="224">
        <f ca="1">IFERROR(INDEX(INDIRECT(uc_sheet&amp;"!$A$1"):INDIRECT(uc_sheet&amp;"!$CZ$1000"),MATCH($A77&amp;$B77,INDIRECT(uc_sheet&amp;"!$a$1"):INDIRECT(uc_sheet&amp;"!$a$1000"),0),MATCH(use_case,INDIRECT(uc_sheet&amp;"!$A$1"):INDIRECT(uc_sheet&amp;"!$CZ$1"),0)),0)</f>
        <v>0</v>
      </c>
      <c r="M77" s="229"/>
      <c r="N77" s="320">
        <f t="shared" si="57"/>
        <v>0</v>
      </c>
      <c r="O77" s="320">
        <f t="shared" ca="1" si="56"/>
        <v>0</v>
      </c>
      <c r="P77" s="319"/>
      <c r="Q77" s="320">
        <f t="shared" si="58"/>
        <v>0</v>
      </c>
      <c r="R77" s="320">
        <f t="shared" ca="1" si="51"/>
        <v>0</v>
      </c>
      <c r="S77" s="320">
        <f t="shared" si="59"/>
        <v>0</v>
      </c>
      <c r="T77" s="320">
        <f t="shared" ca="1" si="52"/>
        <v>0</v>
      </c>
      <c r="U77" s="320">
        <f t="shared" si="60"/>
        <v>0</v>
      </c>
      <c r="V77" s="320">
        <f t="shared" ca="1" si="53"/>
        <v>0</v>
      </c>
      <c r="W77" s="324" t="s">
        <v>5192</v>
      </c>
      <c r="X77" s="324" t="s">
        <v>40</v>
      </c>
      <c r="Y77" s="324" t="s">
        <v>40</v>
      </c>
      <c r="Z77" s="324" t="s">
        <v>40</v>
      </c>
      <c r="AA77" s="324" t="s">
        <v>6546</v>
      </c>
      <c r="AB77" s="324" t="s">
        <v>6546</v>
      </c>
      <c r="AC77" s="319"/>
      <c r="AD77" s="319"/>
      <c r="AE77" s="319"/>
      <c r="AF77" s="319"/>
      <c r="AG77" s="319"/>
      <c r="AH77" s="319"/>
      <c r="AI77" s="319"/>
      <c r="AJ77" s="319"/>
      <c r="AK77" s="319"/>
      <c r="AL77" s="319"/>
      <c r="AM77" s="137" t="str">
        <f t="shared" si="61"/>
        <v>camerarx_addon_a_1</v>
      </c>
    </row>
    <row r="78" spans="1:39" ht="11.25" x14ac:dyDescent="0.2">
      <c r="A78" s="207" t="s">
        <v>5176</v>
      </c>
      <c r="B78" s="207" t="s">
        <v>5474</v>
      </c>
      <c r="C78" s="209" t="str">
        <f t="shared" si="55"/>
        <v xml:space="preserve">csi reciever 1 lane add on </v>
      </c>
      <c r="D78" s="227" t="str">
        <f t="shared" si="55"/>
        <v>ver 1p0</v>
      </c>
      <c r="E78" s="207" t="str">
        <f t="shared" si="55"/>
        <v>6 io</v>
      </c>
      <c r="F78" s="207" t="str">
        <f t="shared" si="55"/>
        <v>serdes</v>
      </c>
      <c r="G78" s="209">
        <v>0</v>
      </c>
      <c r="H78" s="216">
        <f t="shared" ca="1" si="54"/>
        <v>0</v>
      </c>
      <c r="I78" s="228" t="s">
        <v>4798</v>
      </c>
      <c r="J78" s="229"/>
      <c r="K78" s="207" t="str">
        <f ca="1">IFERROR(INDEX(INDIRECT(uc_sheet&amp;"!$A$1"):INDIRECT(uc_sheet&amp;"!$CZ$1000"),MATCH($A78&amp;$B78,INDIRECT(uc_sheet&amp;"!$a$1"):INDIRECT(uc_sheet&amp;"!$a$1000"),0),MATCH(use_case,INDIRECT(uc_sheet&amp;"!$A$1"):INDIRECT(uc_sheet&amp;"!$CZ$1"),0)+1),"")</f>
        <v/>
      </c>
      <c r="L78" s="224">
        <f ca="1">IFERROR(INDEX(INDIRECT(uc_sheet&amp;"!$A$1"):INDIRECT(uc_sheet&amp;"!$CZ$1000"),MATCH($A78&amp;$B78,INDIRECT(uc_sheet&amp;"!$a$1"):INDIRECT(uc_sheet&amp;"!$a$1000"),0),MATCH(use_case,INDIRECT(uc_sheet&amp;"!$A$1"):INDIRECT(uc_sheet&amp;"!$CZ$1"),0)),0)</f>
        <v>0</v>
      </c>
      <c r="M78" s="229"/>
      <c r="N78" s="320">
        <f t="shared" si="57"/>
        <v>0</v>
      </c>
      <c r="O78" s="320">
        <f t="shared" ca="1" si="56"/>
        <v>0</v>
      </c>
      <c r="P78" s="319"/>
      <c r="Q78" s="320">
        <f t="shared" si="58"/>
        <v>0</v>
      </c>
      <c r="R78" s="320">
        <f t="shared" ca="1" si="51"/>
        <v>0</v>
      </c>
      <c r="S78" s="320">
        <f t="shared" si="59"/>
        <v>0</v>
      </c>
      <c r="T78" s="320">
        <f t="shared" ca="1" si="52"/>
        <v>0</v>
      </c>
      <c r="U78" s="320">
        <f t="shared" si="60"/>
        <v>0</v>
      </c>
      <c r="V78" s="320">
        <f t="shared" ca="1" si="53"/>
        <v>0</v>
      </c>
      <c r="W78" s="324" t="s">
        <v>5192</v>
      </c>
      <c r="X78" s="324" t="s">
        <v>40</v>
      </c>
      <c r="Y78" s="324" t="s">
        <v>40</v>
      </c>
      <c r="Z78" s="324" t="s">
        <v>40</v>
      </c>
      <c r="AA78" s="324" t="s">
        <v>6546</v>
      </c>
      <c r="AB78" s="324" t="s">
        <v>6546</v>
      </c>
      <c r="AC78" s="319"/>
      <c r="AD78" s="319"/>
      <c r="AE78" s="319"/>
      <c r="AF78" s="319"/>
      <c r="AG78" s="319"/>
      <c r="AH78" s="319"/>
      <c r="AI78" s="319"/>
      <c r="AJ78" s="319"/>
      <c r="AK78" s="319"/>
      <c r="AL78" s="319"/>
      <c r="AM78" s="137" t="str">
        <f t="shared" si="61"/>
        <v>camerarx_addon_a_2</v>
      </c>
    </row>
    <row r="79" spans="1:39" ht="11.25" x14ac:dyDescent="0.2">
      <c r="A79" s="207" t="s">
        <v>5176</v>
      </c>
      <c r="B79" s="207" t="s">
        <v>5906</v>
      </c>
      <c r="C79" s="209" t="str">
        <f t="shared" si="55"/>
        <v xml:space="preserve">csi reciever 1 lane add on </v>
      </c>
      <c r="D79" s="227" t="str">
        <f t="shared" si="55"/>
        <v>ver 1p0</v>
      </c>
      <c r="E79" s="207" t="str">
        <f t="shared" si="55"/>
        <v>6 io</v>
      </c>
      <c r="F79" s="207" t="str">
        <f t="shared" si="55"/>
        <v>serdes</v>
      </c>
      <c r="G79" s="209">
        <v>0</v>
      </c>
      <c r="H79" s="216">
        <f t="shared" ca="1" si="54"/>
        <v>0</v>
      </c>
      <c r="I79" s="228" t="s">
        <v>4798</v>
      </c>
      <c r="J79" s="229"/>
      <c r="K79" s="207" t="str">
        <f ca="1">IFERROR(INDEX(INDIRECT(uc_sheet&amp;"!$A$1"):INDIRECT(uc_sheet&amp;"!$CZ$1000"),MATCH($A79&amp;$B79,INDIRECT(uc_sheet&amp;"!$a$1"):INDIRECT(uc_sheet&amp;"!$a$1000"),0),MATCH(use_case,INDIRECT(uc_sheet&amp;"!$A$1"):INDIRECT(uc_sheet&amp;"!$CZ$1"),0)+1),"")</f>
        <v/>
      </c>
      <c r="L79" s="224">
        <f ca="1">IFERROR(INDEX(INDIRECT(uc_sheet&amp;"!$A$1"):INDIRECT(uc_sheet&amp;"!$CZ$1000"),MATCH($A79&amp;$B79,INDIRECT(uc_sheet&amp;"!$a$1"):INDIRECT(uc_sheet&amp;"!$a$1000"),0),MATCH(use_case,INDIRECT(uc_sheet&amp;"!$A$1"):INDIRECT(uc_sheet&amp;"!$CZ$1"),0)),0)</f>
        <v>0</v>
      </c>
      <c r="M79" s="229"/>
      <c r="N79" s="320">
        <f t="shared" si="57"/>
        <v>0</v>
      </c>
      <c r="O79" s="320">
        <f t="shared" ca="1" si="56"/>
        <v>0</v>
      </c>
      <c r="P79" s="319"/>
      <c r="Q79" s="320">
        <f t="shared" si="58"/>
        <v>0</v>
      </c>
      <c r="R79" s="320">
        <f t="shared" ca="1" si="51"/>
        <v>0</v>
      </c>
      <c r="S79" s="320">
        <f t="shared" si="59"/>
        <v>0</v>
      </c>
      <c r="T79" s="320">
        <f t="shared" ca="1" si="52"/>
        <v>0</v>
      </c>
      <c r="U79" s="320">
        <f t="shared" si="60"/>
        <v>0</v>
      </c>
      <c r="V79" s="320">
        <f t="shared" ca="1" si="53"/>
        <v>0</v>
      </c>
      <c r="W79" s="324" t="s">
        <v>5192</v>
      </c>
      <c r="X79" s="324" t="s">
        <v>40</v>
      </c>
      <c r="Y79" s="324" t="s">
        <v>40</v>
      </c>
      <c r="Z79" s="324" t="s">
        <v>40</v>
      </c>
      <c r="AA79" s="324" t="s">
        <v>6546</v>
      </c>
      <c r="AB79" s="324" t="s">
        <v>6546</v>
      </c>
      <c r="AC79" s="319"/>
      <c r="AD79" s="319"/>
      <c r="AE79" s="319"/>
      <c r="AF79" s="319"/>
      <c r="AG79" s="319"/>
      <c r="AH79" s="319"/>
      <c r="AI79" s="319"/>
      <c r="AJ79" s="319"/>
      <c r="AK79" s="319"/>
      <c r="AL79" s="319"/>
      <c r="AM79" s="137" t="str">
        <f t="shared" si="61"/>
        <v>camerarx_addon_b_0</v>
      </c>
    </row>
    <row r="80" spans="1:39" ht="12.6" customHeight="1" x14ac:dyDescent="0.2">
      <c r="A80" s="207" t="s">
        <v>5176</v>
      </c>
      <c r="B80" s="207" t="s">
        <v>5904</v>
      </c>
      <c r="C80" s="209" t="str">
        <f t="shared" si="55"/>
        <v xml:space="preserve">csi reciever 1 lane add on </v>
      </c>
      <c r="D80" s="227" t="str">
        <f t="shared" si="55"/>
        <v>ver 1p0</v>
      </c>
      <c r="E80" s="207" t="str">
        <f t="shared" si="55"/>
        <v>6 io</v>
      </c>
      <c r="F80" s="207" t="str">
        <f t="shared" si="55"/>
        <v>serdes</v>
      </c>
      <c r="G80" s="209">
        <v>0</v>
      </c>
      <c r="H80" s="216">
        <f t="shared" ca="1" si="54"/>
        <v>0</v>
      </c>
      <c r="I80" s="228" t="s">
        <v>4798</v>
      </c>
      <c r="J80" s="229"/>
      <c r="K80" s="207" t="str">
        <f ca="1">IFERROR(INDEX(INDIRECT(uc_sheet&amp;"!$A$1"):INDIRECT(uc_sheet&amp;"!$CZ$1000"),MATCH($A80&amp;$B80,INDIRECT(uc_sheet&amp;"!$a$1"):INDIRECT(uc_sheet&amp;"!$a$1000"),0),MATCH(use_case,INDIRECT(uc_sheet&amp;"!$A$1"):INDIRECT(uc_sheet&amp;"!$CZ$1"),0)+1),"")</f>
        <v/>
      </c>
      <c r="L80" s="224">
        <f ca="1">IFERROR(INDEX(INDIRECT(uc_sheet&amp;"!$A$1"):INDIRECT(uc_sheet&amp;"!$CZ$1000"),MATCH($A80&amp;$B80,INDIRECT(uc_sheet&amp;"!$a$1"):INDIRECT(uc_sheet&amp;"!$a$1000"),0),MATCH(use_case,INDIRECT(uc_sheet&amp;"!$A$1"):INDIRECT(uc_sheet&amp;"!$CZ$1"),0)),0)</f>
        <v>0</v>
      </c>
      <c r="M80" s="229"/>
      <c r="N80" s="320">
        <f t="shared" si="57"/>
        <v>0</v>
      </c>
      <c r="O80" s="320">
        <f t="shared" ca="1" si="56"/>
        <v>0</v>
      </c>
      <c r="P80" s="319"/>
      <c r="Q80" s="320">
        <f t="shared" si="58"/>
        <v>0</v>
      </c>
      <c r="R80" s="320">
        <f t="shared" ca="1" si="51"/>
        <v>0</v>
      </c>
      <c r="S80" s="320">
        <f t="shared" si="59"/>
        <v>0</v>
      </c>
      <c r="T80" s="320">
        <f t="shared" ca="1" si="52"/>
        <v>0</v>
      </c>
      <c r="U80" s="320">
        <f t="shared" si="60"/>
        <v>0</v>
      </c>
      <c r="V80" s="320">
        <f t="shared" ca="1" si="53"/>
        <v>0</v>
      </c>
      <c r="W80" s="324" t="s">
        <v>5192</v>
      </c>
      <c r="X80" s="324" t="s">
        <v>40</v>
      </c>
      <c r="Y80" s="324" t="s">
        <v>40</v>
      </c>
      <c r="Z80" s="324" t="s">
        <v>40</v>
      </c>
      <c r="AA80" s="324" t="s">
        <v>6546</v>
      </c>
      <c r="AB80" s="324" t="s">
        <v>6546</v>
      </c>
      <c r="AC80" s="319"/>
      <c r="AD80" s="319"/>
      <c r="AE80" s="319"/>
      <c r="AF80" s="319"/>
      <c r="AG80" s="319"/>
      <c r="AH80" s="319"/>
      <c r="AI80" s="319"/>
      <c r="AJ80" s="319"/>
      <c r="AK80" s="319"/>
      <c r="AL80" s="319"/>
      <c r="AM80" s="137" t="str">
        <f t="shared" si="61"/>
        <v>camerarx_addon_b_1</v>
      </c>
    </row>
    <row r="81" spans="1:39" ht="11.25" x14ac:dyDescent="0.2">
      <c r="A81" s="207" t="s">
        <v>5176</v>
      </c>
      <c r="B81" s="207" t="s">
        <v>5905</v>
      </c>
      <c r="C81" s="209" t="str">
        <f t="shared" si="55"/>
        <v xml:space="preserve">csi reciever 1 lane add on </v>
      </c>
      <c r="D81" s="227" t="str">
        <f t="shared" si="55"/>
        <v>ver 1p0</v>
      </c>
      <c r="E81" s="207" t="str">
        <f t="shared" si="55"/>
        <v>6 io</v>
      </c>
      <c r="F81" s="207" t="str">
        <f t="shared" si="55"/>
        <v>serdes</v>
      </c>
      <c r="G81" s="209">
        <v>0</v>
      </c>
      <c r="H81" s="216">
        <f t="shared" ca="1" si="54"/>
        <v>0</v>
      </c>
      <c r="I81" s="228" t="s">
        <v>4798</v>
      </c>
      <c r="J81" s="229"/>
      <c r="K81" s="207" t="str">
        <f ca="1">IFERROR(INDEX(INDIRECT(uc_sheet&amp;"!$A$1"):INDIRECT(uc_sheet&amp;"!$CZ$1000"),MATCH($A81&amp;$B81,INDIRECT(uc_sheet&amp;"!$a$1"):INDIRECT(uc_sheet&amp;"!$a$1000"),0),MATCH(use_case,INDIRECT(uc_sheet&amp;"!$A$1"):INDIRECT(uc_sheet&amp;"!$CZ$1"),0)+1),"")</f>
        <v/>
      </c>
      <c r="L81" s="224">
        <f ca="1">IFERROR(INDEX(INDIRECT(uc_sheet&amp;"!$A$1"):INDIRECT(uc_sheet&amp;"!$CZ$1000"),MATCH($A81&amp;$B81,INDIRECT(uc_sheet&amp;"!$a$1"):INDIRECT(uc_sheet&amp;"!$a$1000"),0),MATCH(use_case,INDIRECT(uc_sheet&amp;"!$A$1"):INDIRECT(uc_sheet&amp;"!$CZ$1"),0)),0)</f>
        <v>0</v>
      </c>
      <c r="M81" s="229"/>
      <c r="N81" s="320">
        <f t="shared" si="57"/>
        <v>0</v>
      </c>
      <c r="O81" s="320">
        <f t="shared" ca="1" si="56"/>
        <v>0</v>
      </c>
      <c r="P81" s="319"/>
      <c r="Q81" s="320">
        <f t="shared" si="58"/>
        <v>0</v>
      </c>
      <c r="R81" s="320">
        <f t="shared" ca="1" si="51"/>
        <v>0</v>
      </c>
      <c r="S81" s="320">
        <f t="shared" si="59"/>
        <v>0</v>
      </c>
      <c r="T81" s="320">
        <f t="shared" ca="1" si="52"/>
        <v>0</v>
      </c>
      <c r="U81" s="320">
        <f t="shared" si="60"/>
        <v>0</v>
      </c>
      <c r="V81" s="320">
        <f t="shared" ca="1" si="53"/>
        <v>0</v>
      </c>
      <c r="W81" s="324" t="s">
        <v>5192</v>
      </c>
      <c r="X81" s="324" t="s">
        <v>40</v>
      </c>
      <c r="Y81" s="324" t="s">
        <v>40</v>
      </c>
      <c r="Z81" s="324" t="s">
        <v>40</v>
      </c>
      <c r="AA81" s="324" t="s">
        <v>6546</v>
      </c>
      <c r="AB81" s="324" t="s">
        <v>6546</v>
      </c>
      <c r="AC81" s="319"/>
      <c r="AD81" s="319"/>
      <c r="AE81" s="319"/>
      <c r="AF81" s="319"/>
      <c r="AG81" s="319"/>
      <c r="AH81" s="319"/>
      <c r="AI81" s="319"/>
      <c r="AJ81" s="319"/>
      <c r="AK81" s="319"/>
      <c r="AL81" s="319"/>
      <c r="AM81" s="137" t="str">
        <f t="shared" si="61"/>
        <v>camerarx_addon_b_2</v>
      </c>
    </row>
    <row r="82" spans="1:39" ht="11.25" x14ac:dyDescent="0.2">
      <c r="A82" s="207" t="s">
        <v>5175</v>
      </c>
      <c r="B82" s="207" t="s">
        <v>5471</v>
      </c>
      <c r="C82" s="209" t="str">
        <f t="shared" si="55"/>
        <v>csi reciever clock + 1 lane</v>
      </c>
      <c r="D82" s="227" t="str">
        <f t="shared" si="55"/>
        <v>ver 1p0</v>
      </c>
      <c r="E82" s="207" t="str">
        <f t="shared" si="55"/>
        <v>6 io</v>
      </c>
      <c r="F82" s="207" t="str">
        <f t="shared" si="55"/>
        <v>serdes</v>
      </c>
      <c r="G82" s="209">
        <v>0</v>
      </c>
      <c r="H82" s="216">
        <f t="shared" ca="1" si="54"/>
        <v>0</v>
      </c>
      <c r="I82" s="228" t="s">
        <v>4798</v>
      </c>
      <c r="J82" s="229"/>
      <c r="K82" s="207" t="str">
        <f ca="1">IFERROR(INDEX(INDIRECT(uc_sheet&amp;"!$A$1"):INDIRECT(uc_sheet&amp;"!$CZ$1000"),MATCH($A82&amp;$B82,INDIRECT(uc_sheet&amp;"!$a$1"):INDIRECT(uc_sheet&amp;"!$a$1000"),0),MATCH(use_case,INDIRECT(uc_sheet&amp;"!$A$1"):INDIRECT(uc_sheet&amp;"!$CZ$1"),0)+1),"")</f>
        <v/>
      </c>
      <c r="L82" s="224">
        <f ca="1">IFERROR(INDEX(INDIRECT(uc_sheet&amp;"!$A$1"):INDIRECT(uc_sheet&amp;"!$CZ$1000"),MATCH($A82&amp;$B82,INDIRECT(uc_sheet&amp;"!$a$1"):INDIRECT(uc_sheet&amp;"!$a$1000"),0),MATCH(use_case,INDIRECT(uc_sheet&amp;"!$A$1"):INDIRECT(uc_sheet&amp;"!$CZ$1"),0)),0)</f>
        <v>0</v>
      </c>
      <c r="M82" s="229"/>
      <c r="N82" s="320">
        <f t="shared" si="57"/>
        <v>0</v>
      </c>
      <c r="O82" s="320">
        <f t="shared" ca="1" si="56"/>
        <v>0</v>
      </c>
      <c r="P82" s="319"/>
      <c r="Q82" s="320">
        <f t="shared" si="58"/>
        <v>0</v>
      </c>
      <c r="R82" s="320">
        <f t="shared" ca="1" si="51"/>
        <v>0</v>
      </c>
      <c r="S82" s="320">
        <f t="shared" si="59"/>
        <v>0</v>
      </c>
      <c r="T82" s="320">
        <f t="shared" ca="1" si="52"/>
        <v>0</v>
      </c>
      <c r="U82" s="320">
        <f t="shared" si="60"/>
        <v>0</v>
      </c>
      <c r="V82" s="320">
        <f t="shared" ca="1" si="53"/>
        <v>0</v>
      </c>
      <c r="W82" s="324" t="s">
        <v>5192</v>
      </c>
      <c r="X82" s="324" t="s">
        <v>40</v>
      </c>
      <c r="Y82" s="324" t="s">
        <v>40</v>
      </c>
      <c r="Z82" s="324" t="s">
        <v>40</v>
      </c>
      <c r="AA82" s="324" t="s">
        <v>6546</v>
      </c>
      <c r="AB82" s="324" t="s">
        <v>6546</v>
      </c>
      <c r="AC82" s="319"/>
      <c r="AD82" s="319"/>
      <c r="AE82" s="319"/>
      <c r="AF82" s="319"/>
      <c r="AG82" s="319"/>
      <c r="AH82" s="319"/>
      <c r="AI82" s="319"/>
      <c r="AJ82" s="319"/>
      <c r="AK82" s="319"/>
      <c r="AL82" s="319"/>
      <c r="AM82" s="137" t="str">
        <f t="shared" si="61"/>
        <v>camerarx_core_a</v>
      </c>
    </row>
    <row r="83" spans="1:39" ht="11.25" x14ac:dyDescent="0.2">
      <c r="A83" s="207" t="s">
        <v>5175</v>
      </c>
      <c r="B83" s="207" t="s">
        <v>5907</v>
      </c>
      <c r="C83" s="209" t="str">
        <f t="shared" si="55"/>
        <v>csi reciever clock + 1 lane</v>
      </c>
      <c r="D83" s="227" t="str">
        <f t="shared" si="55"/>
        <v>ver 1p0</v>
      </c>
      <c r="E83" s="207" t="str">
        <f t="shared" si="55"/>
        <v>6 io</v>
      </c>
      <c r="F83" s="207" t="str">
        <f t="shared" si="55"/>
        <v>serdes</v>
      </c>
      <c r="G83" s="209">
        <v>0</v>
      </c>
      <c r="H83" s="216">
        <f t="shared" ca="1" si="54"/>
        <v>0</v>
      </c>
      <c r="I83" s="228" t="s">
        <v>4798</v>
      </c>
      <c r="J83" s="229"/>
      <c r="K83" s="207" t="str">
        <f ca="1">IFERROR(INDEX(INDIRECT(uc_sheet&amp;"!$A$1"):INDIRECT(uc_sheet&amp;"!$CZ$1000"),MATCH($A83&amp;$B83,INDIRECT(uc_sheet&amp;"!$a$1"):INDIRECT(uc_sheet&amp;"!$a$1000"),0),MATCH(use_case,INDIRECT(uc_sheet&amp;"!$A$1"):INDIRECT(uc_sheet&amp;"!$CZ$1"),0)+1),"")</f>
        <v/>
      </c>
      <c r="L83" s="224">
        <f ca="1">IFERROR(INDEX(INDIRECT(uc_sheet&amp;"!$A$1"):INDIRECT(uc_sheet&amp;"!$CZ$1000"),MATCH($A83&amp;$B83,INDIRECT(uc_sheet&amp;"!$a$1"):INDIRECT(uc_sheet&amp;"!$a$1000"),0),MATCH(use_case,INDIRECT(uc_sheet&amp;"!$A$1"):INDIRECT(uc_sheet&amp;"!$CZ$1"),0)),0)</f>
        <v>0</v>
      </c>
      <c r="M83" s="229"/>
      <c r="N83" s="320">
        <f t="shared" si="57"/>
        <v>0</v>
      </c>
      <c r="O83" s="320">
        <f t="shared" ca="1" si="56"/>
        <v>0</v>
      </c>
      <c r="P83" s="319"/>
      <c r="Q83" s="320">
        <f t="shared" si="58"/>
        <v>0</v>
      </c>
      <c r="R83" s="320">
        <f t="shared" ca="1" si="51"/>
        <v>0</v>
      </c>
      <c r="S83" s="320">
        <f t="shared" si="59"/>
        <v>0</v>
      </c>
      <c r="T83" s="320">
        <f t="shared" ca="1" si="52"/>
        <v>0</v>
      </c>
      <c r="U83" s="320">
        <f t="shared" si="60"/>
        <v>0</v>
      </c>
      <c r="V83" s="320">
        <f t="shared" ca="1" si="53"/>
        <v>0</v>
      </c>
      <c r="W83" s="324" t="s">
        <v>5192</v>
      </c>
      <c r="X83" s="324" t="s">
        <v>40</v>
      </c>
      <c r="Y83" s="324" t="s">
        <v>40</v>
      </c>
      <c r="Z83" s="324" t="s">
        <v>40</v>
      </c>
      <c r="AA83" s="324" t="s">
        <v>6546</v>
      </c>
      <c r="AB83" s="324" t="s">
        <v>6546</v>
      </c>
      <c r="AC83" s="319"/>
      <c r="AD83" s="319"/>
      <c r="AE83" s="319"/>
      <c r="AF83" s="319"/>
      <c r="AG83" s="319"/>
      <c r="AH83" s="319"/>
      <c r="AI83" s="319"/>
      <c r="AJ83" s="319"/>
      <c r="AK83" s="319"/>
      <c r="AL83" s="319"/>
      <c r="AM83" s="137" t="str">
        <f t="shared" si="61"/>
        <v>camerarx_core_b</v>
      </c>
    </row>
    <row r="84" spans="1:39" ht="11.25" x14ac:dyDescent="0.2">
      <c r="A84" s="207" t="s">
        <v>4794</v>
      </c>
      <c r="B84" s="207" t="s">
        <v>11</v>
      </c>
      <c r="C84" s="209" t="str">
        <f t="shared" si="55"/>
        <v>lvds bias cell</v>
      </c>
      <c r="D84" s="227" t="str">
        <f t="shared" si="55"/>
        <v>2012 datasheets</v>
      </c>
      <c r="E84" s="207" t="str">
        <f t="shared" si="55"/>
        <v>6 io</v>
      </c>
      <c r="F84" s="207" t="str">
        <f t="shared" si="55"/>
        <v>special</v>
      </c>
      <c r="G84" s="209">
        <v>0</v>
      </c>
      <c r="H84" s="216">
        <f t="shared" ca="1" si="54"/>
        <v>0</v>
      </c>
      <c r="I84" s="228" t="s">
        <v>4798</v>
      </c>
      <c r="J84" s="229"/>
      <c r="K84" s="207" t="str">
        <f ca="1">IFERROR(INDEX(INDIRECT(uc_sheet&amp;"!$A$1"):INDIRECT(uc_sheet&amp;"!$CZ$1000"),MATCH($A84&amp;$B84,INDIRECT(uc_sheet&amp;"!$a$1"):INDIRECT(uc_sheet&amp;"!$a$1000"),0),MATCH(use_case,INDIRECT(uc_sheet&amp;"!$A$1"):INDIRECT(uc_sheet&amp;"!$CZ$1"),0)+1),"")</f>
        <v/>
      </c>
      <c r="L84" s="224">
        <f ca="1">IFERROR(INDEX(INDIRECT(uc_sheet&amp;"!$A$1"):INDIRECT(uc_sheet&amp;"!$CZ$1000"),MATCH($A84&amp;$B84,INDIRECT(uc_sheet&amp;"!$a$1"):INDIRECT(uc_sheet&amp;"!$a$1000"),0),MATCH(use_case,INDIRECT(uc_sheet&amp;"!$A$1"):INDIRECT(uc_sheet&amp;"!$CZ$1"),0)),0)</f>
        <v>0</v>
      </c>
      <c r="M84" s="229"/>
      <c r="N84" s="320">
        <f t="shared" si="57"/>
        <v>0</v>
      </c>
      <c r="O84" s="320">
        <f t="shared" ca="1" si="56"/>
        <v>0</v>
      </c>
      <c r="P84" s="319"/>
      <c r="Q84" s="320">
        <f t="shared" si="58"/>
        <v>0</v>
      </c>
      <c r="R84" s="320">
        <f t="shared" ca="1" si="51"/>
        <v>0</v>
      </c>
      <c r="S84" s="320">
        <f t="shared" si="59"/>
        <v>0</v>
      </c>
      <c r="T84" s="320">
        <f t="shared" ca="1" si="52"/>
        <v>0</v>
      </c>
      <c r="U84" s="320">
        <f t="shared" si="60"/>
        <v>0</v>
      </c>
      <c r="V84" s="320">
        <f t="shared" ca="1" si="53"/>
        <v>0</v>
      </c>
      <c r="W84" s="324" t="s">
        <v>5192</v>
      </c>
      <c r="X84" s="324" t="s">
        <v>40</v>
      </c>
      <c r="Y84" s="324" t="s">
        <v>40</v>
      </c>
      <c r="Z84" s="324" t="s">
        <v>40</v>
      </c>
      <c r="AA84" s="324" t="s">
        <v>6546</v>
      </c>
      <c r="AB84" s="324" t="s">
        <v>6546</v>
      </c>
      <c r="AC84" s="319"/>
      <c r="AD84" s="319"/>
      <c r="AE84" s="319"/>
      <c r="AF84" s="319"/>
      <c r="AG84" s="319"/>
      <c r="AH84" s="319"/>
      <c r="AI84" s="319"/>
      <c r="AJ84" s="319"/>
      <c r="AK84" s="319"/>
      <c r="AL84" s="319"/>
      <c r="AM84" s="137" t="str">
        <f t="shared" si="61"/>
        <v>bbiaslvds18hp_ssdhh_0</v>
      </c>
    </row>
    <row r="85" spans="1:39" ht="11.25" x14ac:dyDescent="0.2">
      <c r="A85" s="207" t="s">
        <v>5398</v>
      </c>
      <c r="B85" s="207" t="s">
        <v>11</v>
      </c>
      <c r="C85" s="209" t="str">
        <f t="shared" si="55"/>
        <v>temperature sensing diode</v>
      </c>
      <c r="D85" s="227" t="str">
        <f t="shared" si="55"/>
        <v>ver 0p1</v>
      </c>
      <c r="E85" s="207" t="str">
        <f t="shared" si="55"/>
        <v>6 io</v>
      </c>
      <c r="F85" s="207" t="str">
        <f t="shared" si="55"/>
        <v>special</v>
      </c>
      <c r="G85" s="209">
        <v>1</v>
      </c>
      <c r="H85" s="216">
        <f t="shared" si="54"/>
        <v>1.08</v>
      </c>
      <c r="I85" s="228" t="s">
        <v>4872</v>
      </c>
      <c r="J85" s="229"/>
      <c r="K85" s="207" t="s">
        <v>4872</v>
      </c>
      <c r="L85" s="224">
        <f ca="1">IFERROR(INDEX(INDIRECT(uc_sheet&amp;"!$A$1"):INDIRECT(uc_sheet&amp;"!$CZ$1000"),MATCH($A85&amp;$B85,INDIRECT(uc_sheet&amp;"!$a$1"):INDIRECT(uc_sheet&amp;"!$a$1000"),0),MATCH(use_case,INDIRECT(uc_sheet&amp;"!$A$1"):INDIRECT(uc_sheet&amp;"!$CZ$1"),0)),0)</f>
        <v>0</v>
      </c>
      <c r="M85" s="229"/>
      <c r="N85" s="320">
        <f t="shared" si="57"/>
        <v>0</v>
      </c>
      <c r="O85" s="320">
        <f t="shared" si="56"/>
        <v>0</v>
      </c>
      <c r="P85" s="319"/>
      <c r="Q85" s="320">
        <f t="shared" si="58"/>
        <v>0</v>
      </c>
      <c r="R85" s="320">
        <f t="shared" si="51"/>
        <v>1.08</v>
      </c>
      <c r="S85" s="320">
        <f t="shared" si="59"/>
        <v>0</v>
      </c>
      <c r="T85" s="320">
        <f t="shared" si="52"/>
        <v>0</v>
      </c>
      <c r="U85" s="320">
        <f t="shared" si="60"/>
        <v>0</v>
      </c>
      <c r="V85" s="320">
        <f t="shared" si="53"/>
        <v>0</v>
      </c>
      <c r="W85" s="324" t="s">
        <v>5189</v>
      </c>
      <c r="X85" s="324" t="s">
        <v>8</v>
      </c>
      <c r="Y85" s="324" t="s">
        <v>61</v>
      </c>
      <c r="Z85" s="324" t="s">
        <v>6551</v>
      </c>
      <c r="AA85" s="324" t="s">
        <v>6546</v>
      </c>
      <c r="AB85" s="324" t="s">
        <v>6546</v>
      </c>
      <c r="AC85" s="319"/>
      <c r="AD85" s="319"/>
      <c r="AE85" s="319"/>
      <c r="AF85" s="319"/>
      <c r="AG85" s="319"/>
      <c r="AH85" s="319"/>
      <c r="AI85" s="319"/>
      <c r="AJ85" s="319"/>
      <c r="AK85" s="319"/>
      <c r="AL85" s="319"/>
      <c r="AM85" s="137" t="str">
        <f t="shared" si="61"/>
        <v>btmonitor_ssdhb_0</v>
      </c>
    </row>
    <row r="86" spans="1:39" ht="11.25" x14ac:dyDescent="0.2">
      <c r="A86" s="207" t="s">
        <v>5398</v>
      </c>
      <c r="B86" s="207" t="s">
        <v>11</v>
      </c>
      <c r="C86" s="209" t="str">
        <f t="shared" si="55"/>
        <v>temperature sensing diode</v>
      </c>
      <c r="D86" s="227" t="str">
        <f t="shared" si="55"/>
        <v>ver 0p1</v>
      </c>
      <c r="E86" s="207" t="str">
        <f t="shared" si="55"/>
        <v>6 io</v>
      </c>
      <c r="F86" s="207" t="str">
        <f t="shared" si="55"/>
        <v>special</v>
      </c>
      <c r="G86" s="209">
        <v>1</v>
      </c>
      <c r="H86" s="216">
        <f t="shared" si="54"/>
        <v>1.08</v>
      </c>
      <c r="I86" s="228" t="s">
        <v>4872</v>
      </c>
      <c r="J86" s="229"/>
      <c r="K86" s="207" t="s">
        <v>4872</v>
      </c>
      <c r="L86" s="224">
        <f ca="1">IFERROR(INDEX(INDIRECT(uc_sheet&amp;"!$A$1"):INDIRECT(uc_sheet&amp;"!$CZ$1000"),MATCH($A86&amp;$B86,INDIRECT(uc_sheet&amp;"!$a$1"):INDIRECT(uc_sheet&amp;"!$a$1000"),0),MATCH(use_case,INDIRECT(uc_sheet&amp;"!$A$1"):INDIRECT(uc_sheet&amp;"!$CZ$1"),0)),0)</f>
        <v>0</v>
      </c>
      <c r="M86" s="229"/>
      <c r="N86" s="320">
        <f t="shared" si="57"/>
        <v>0</v>
      </c>
      <c r="O86" s="320">
        <f t="shared" si="56"/>
        <v>0</v>
      </c>
      <c r="P86" s="319"/>
      <c r="Q86" s="320">
        <f t="shared" si="58"/>
        <v>0</v>
      </c>
      <c r="R86" s="320">
        <f t="shared" si="51"/>
        <v>1.08</v>
      </c>
      <c r="S86" s="320">
        <f t="shared" si="59"/>
        <v>0</v>
      </c>
      <c r="T86" s="320">
        <f t="shared" si="52"/>
        <v>0</v>
      </c>
      <c r="U86" s="320">
        <f t="shared" si="60"/>
        <v>0</v>
      </c>
      <c r="V86" s="320">
        <f t="shared" si="53"/>
        <v>0</v>
      </c>
      <c r="W86" s="324" t="s">
        <v>5189</v>
      </c>
      <c r="X86" s="324" t="s">
        <v>8</v>
      </c>
      <c r="Y86" s="324" t="s">
        <v>61</v>
      </c>
      <c r="Z86" s="324" t="s">
        <v>6551</v>
      </c>
      <c r="AA86" s="324" t="s">
        <v>6546</v>
      </c>
      <c r="AB86" s="324" t="s">
        <v>6546</v>
      </c>
      <c r="AC86" s="319"/>
      <c r="AD86" s="319"/>
      <c r="AE86" s="319"/>
      <c r="AF86" s="319"/>
      <c r="AG86" s="319"/>
      <c r="AH86" s="319"/>
      <c r="AI86" s="319"/>
      <c r="AJ86" s="319"/>
      <c r="AK86" s="319"/>
      <c r="AL86" s="319"/>
      <c r="AM86" s="137" t="str">
        <f t="shared" si="61"/>
        <v>btmonitor_ssdhb_0</v>
      </c>
    </row>
    <row r="87" spans="1:39" ht="11.25" x14ac:dyDescent="0.2">
      <c r="A87" s="207" t="s">
        <v>4797</v>
      </c>
      <c r="B87" s="207" t="s">
        <v>11</v>
      </c>
      <c r="C87" s="209" t="str">
        <f t="shared" si="55"/>
        <v>lvds transmitter</v>
      </c>
      <c r="D87" s="227" t="str">
        <f t="shared" si="55"/>
        <v>ver 0p7</v>
      </c>
      <c r="E87" s="207" t="str">
        <f t="shared" si="55"/>
        <v>6 io</v>
      </c>
      <c r="F87" s="207" t="str">
        <f t="shared" si="55"/>
        <v>special</v>
      </c>
      <c r="G87" s="209">
        <v>0</v>
      </c>
      <c r="H87" s="216">
        <f t="shared" ca="1" si="54"/>
        <v>0</v>
      </c>
      <c r="I87" s="228" t="s">
        <v>4798</v>
      </c>
      <c r="J87" s="229"/>
      <c r="K87" s="207" t="str">
        <f ca="1">IFERROR(INDEX(INDIRECT(uc_sheet&amp;"!$A$1"):INDIRECT(uc_sheet&amp;"!$CZ$1000"),MATCH($A87&amp;$B87,INDIRECT(uc_sheet&amp;"!$a$1"):INDIRECT(uc_sheet&amp;"!$a$1000"),0),MATCH(use_case,INDIRECT(uc_sheet&amp;"!$A$1"):INDIRECT(uc_sheet&amp;"!$CZ$1"),0)+1),"")</f>
        <v/>
      </c>
      <c r="L87" s="224">
        <f ca="1">IFERROR(INDEX(INDIRECT(uc_sheet&amp;"!$A$1"):INDIRECT(uc_sheet&amp;"!$CZ$1000"),MATCH($A87&amp;$B87,INDIRECT(uc_sheet&amp;"!$a$1"):INDIRECT(uc_sheet&amp;"!$a$1000"),0),MATCH(use_case,INDIRECT(uc_sheet&amp;"!$A$1"):INDIRECT(uc_sheet&amp;"!$CZ$1"),0)),0)</f>
        <v>0</v>
      </c>
      <c r="M87" s="229"/>
      <c r="N87" s="320">
        <f t="shared" si="57"/>
        <v>0</v>
      </c>
      <c r="O87" s="320">
        <f t="shared" ca="1" si="56"/>
        <v>0</v>
      </c>
      <c r="P87" s="319"/>
      <c r="Q87" s="320">
        <f t="shared" si="58"/>
        <v>0</v>
      </c>
      <c r="R87" s="320">
        <f t="shared" ca="1" si="51"/>
        <v>0</v>
      </c>
      <c r="S87" s="320">
        <f t="shared" si="59"/>
        <v>0</v>
      </c>
      <c r="T87" s="320">
        <f t="shared" ca="1" si="52"/>
        <v>0</v>
      </c>
      <c r="U87" s="320">
        <f t="shared" si="60"/>
        <v>0</v>
      </c>
      <c r="V87" s="320">
        <f t="shared" ca="1" si="53"/>
        <v>0</v>
      </c>
      <c r="W87" s="324" t="s">
        <v>5192</v>
      </c>
      <c r="X87" s="324" t="s">
        <v>40</v>
      </c>
      <c r="Y87" s="324" t="s">
        <v>40</v>
      </c>
      <c r="Z87" s="324" t="s">
        <v>40</v>
      </c>
      <c r="AA87" s="324" t="s">
        <v>6546</v>
      </c>
      <c r="AB87" s="324" t="s">
        <v>6546</v>
      </c>
      <c r="AC87" s="319"/>
      <c r="AD87" s="319"/>
      <c r="AE87" s="319"/>
      <c r="AF87" s="319"/>
      <c r="AG87" s="319"/>
      <c r="AH87" s="319"/>
      <c r="AI87" s="319"/>
      <c r="AJ87" s="319"/>
      <c r="AK87" s="319"/>
      <c r="AL87" s="319"/>
      <c r="AM87" s="137" t="str">
        <f t="shared" si="61"/>
        <v>olvds18_ssdhh_0</v>
      </c>
    </row>
    <row r="88" spans="1:39" ht="11.25" x14ac:dyDescent="0.2">
      <c r="A88" s="207" t="s">
        <v>4797</v>
      </c>
      <c r="B88" s="207" t="s">
        <v>12</v>
      </c>
      <c r="C88" s="209" t="str">
        <f t="shared" si="55"/>
        <v>lvds transmitter</v>
      </c>
      <c r="D88" s="227" t="str">
        <f t="shared" si="55"/>
        <v>ver 0p7</v>
      </c>
      <c r="E88" s="207" t="str">
        <f t="shared" si="55"/>
        <v>6 io</v>
      </c>
      <c r="F88" s="207" t="str">
        <f t="shared" si="55"/>
        <v>special</v>
      </c>
      <c r="G88" s="209">
        <v>0</v>
      </c>
      <c r="H88" s="216">
        <f t="shared" ca="1" si="54"/>
        <v>0</v>
      </c>
      <c r="I88" s="228" t="s">
        <v>4798</v>
      </c>
      <c r="J88" s="229"/>
      <c r="K88" s="207" t="str">
        <f ca="1">IFERROR(INDEX(INDIRECT(uc_sheet&amp;"!$A$1"):INDIRECT(uc_sheet&amp;"!$CZ$1000"),MATCH($A88&amp;$B88,INDIRECT(uc_sheet&amp;"!$a$1"):INDIRECT(uc_sheet&amp;"!$a$1000"),0),MATCH(use_case,INDIRECT(uc_sheet&amp;"!$A$1"):INDIRECT(uc_sheet&amp;"!$CZ$1"),0)+1),"")</f>
        <v/>
      </c>
      <c r="L88" s="224">
        <f ca="1">IFERROR(INDEX(INDIRECT(uc_sheet&amp;"!$A$1"):INDIRECT(uc_sheet&amp;"!$CZ$1000"),MATCH($A88&amp;$B88,INDIRECT(uc_sheet&amp;"!$a$1"):INDIRECT(uc_sheet&amp;"!$a$1000"),0),MATCH(use_case,INDIRECT(uc_sheet&amp;"!$A$1"):INDIRECT(uc_sheet&amp;"!$CZ$1"),0)),0)</f>
        <v>0</v>
      </c>
      <c r="M88" s="229"/>
      <c r="N88" s="320">
        <f t="shared" si="57"/>
        <v>0</v>
      </c>
      <c r="O88" s="320">
        <f t="shared" ca="1" si="56"/>
        <v>0</v>
      </c>
      <c r="P88" s="319"/>
      <c r="Q88" s="320">
        <f t="shared" si="58"/>
        <v>0</v>
      </c>
      <c r="R88" s="320">
        <f t="shared" ca="1" si="51"/>
        <v>0</v>
      </c>
      <c r="S88" s="320">
        <f t="shared" si="59"/>
        <v>0</v>
      </c>
      <c r="T88" s="320">
        <f t="shared" ca="1" si="52"/>
        <v>0</v>
      </c>
      <c r="U88" s="320">
        <f t="shared" si="60"/>
        <v>0</v>
      </c>
      <c r="V88" s="320">
        <f t="shared" ca="1" si="53"/>
        <v>0</v>
      </c>
      <c r="W88" s="324" t="s">
        <v>5192</v>
      </c>
      <c r="X88" s="324" t="s">
        <v>40</v>
      </c>
      <c r="Y88" s="324" t="s">
        <v>40</v>
      </c>
      <c r="Z88" s="324" t="s">
        <v>40</v>
      </c>
      <c r="AA88" s="324" t="s">
        <v>6546</v>
      </c>
      <c r="AB88" s="324" t="s">
        <v>6546</v>
      </c>
      <c r="AC88" s="319"/>
      <c r="AD88" s="319"/>
      <c r="AE88" s="319"/>
      <c r="AF88" s="319"/>
      <c r="AG88" s="319"/>
      <c r="AH88" s="319"/>
      <c r="AI88" s="319"/>
      <c r="AJ88" s="319"/>
      <c r="AK88" s="319"/>
      <c r="AL88" s="319"/>
      <c r="AM88" s="137" t="str">
        <f t="shared" si="61"/>
        <v>olvds18_ssdhh_1</v>
      </c>
    </row>
    <row r="89" spans="1:39" ht="11.25" x14ac:dyDescent="0.2">
      <c r="A89" s="207" t="s">
        <v>4797</v>
      </c>
      <c r="B89" s="207" t="s">
        <v>13</v>
      </c>
      <c r="C89" s="209" t="str">
        <f t="shared" si="55"/>
        <v>lvds transmitter</v>
      </c>
      <c r="D89" s="227" t="str">
        <f t="shared" si="55"/>
        <v>ver 0p7</v>
      </c>
      <c r="E89" s="207" t="str">
        <f t="shared" si="55"/>
        <v>6 io</v>
      </c>
      <c r="F89" s="207" t="str">
        <f t="shared" si="55"/>
        <v>special</v>
      </c>
      <c r="G89" s="209">
        <v>0</v>
      </c>
      <c r="H89" s="216">
        <f t="shared" ca="1" si="54"/>
        <v>0</v>
      </c>
      <c r="I89" s="228" t="s">
        <v>4798</v>
      </c>
      <c r="J89" s="229"/>
      <c r="K89" s="207" t="str">
        <f ca="1">IFERROR(INDEX(INDIRECT(uc_sheet&amp;"!$A$1"):INDIRECT(uc_sheet&amp;"!$CZ$1000"),MATCH($A89&amp;$B89,INDIRECT(uc_sheet&amp;"!$a$1"):INDIRECT(uc_sheet&amp;"!$a$1000"),0),MATCH(use_case,INDIRECT(uc_sheet&amp;"!$A$1"):INDIRECT(uc_sheet&amp;"!$CZ$1"),0)+1),"")</f>
        <v/>
      </c>
      <c r="L89" s="224">
        <f ca="1">IFERROR(INDEX(INDIRECT(uc_sheet&amp;"!$A$1"):INDIRECT(uc_sheet&amp;"!$CZ$1000"),MATCH($A89&amp;$B89,INDIRECT(uc_sheet&amp;"!$a$1"):INDIRECT(uc_sheet&amp;"!$a$1000"),0),MATCH(use_case,INDIRECT(uc_sheet&amp;"!$A$1"):INDIRECT(uc_sheet&amp;"!$CZ$1"),0)),0)</f>
        <v>0</v>
      </c>
      <c r="M89" s="229"/>
      <c r="N89" s="320">
        <f t="shared" si="57"/>
        <v>0</v>
      </c>
      <c r="O89" s="320">
        <f t="shared" ca="1" si="56"/>
        <v>0</v>
      </c>
      <c r="P89" s="319"/>
      <c r="Q89" s="320">
        <f t="shared" si="58"/>
        <v>0</v>
      </c>
      <c r="R89" s="320">
        <f t="shared" ca="1" si="51"/>
        <v>0</v>
      </c>
      <c r="S89" s="320">
        <f t="shared" si="59"/>
        <v>0</v>
      </c>
      <c r="T89" s="320">
        <f t="shared" ca="1" si="52"/>
        <v>0</v>
      </c>
      <c r="U89" s="320">
        <f t="shared" si="60"/>
        <v>0</v>
      </c>
      <c r="V89" s="320">
        <f t="shared" ca="1" si="53"/>
        <v>0</v>
      </c>
      <c r="W89" s="324" t="s">
        <v>5192</v>
      </c>
      <c r="X89" s="324" t="s">
        <v>40</v>
      </c>
      <c r="Y89" s="324" t="s">
        <v>40</v>
      </c>
      <c r="Z89" s="324" t="s">
        <v>40</v>
      </c>
      <c r="AA89" s="324" t="s">
        <v>6546</v>
      </c>
      <c r="AB89" s="324" t="s">
        <v>6546</v>
      </c>
      <c r="AC89" s="319"/>
      <c r="AD89" s="319"/>
      <c r="AE89" s="319"/>
      <c r="AF89" s="319"/>
      <c r="AG89" s="319"/>
      <c r="AH89" s="319"/>
      <c r="AI89" s="319"/>
      <c r="AJ89" s="319"/>
      <c r="AK89" s="319"/>
      <c r="AL89" s="319"/>
      <c r="AM89" s="137" t="str">
        <f t="shared" si="61"/>
        <v>olvds18_ssdhh_2</v>
      </c>
    </row>
    <row r="90" spans="1:39" ht="11.25" x14ac:dyDescent="0.2">
      <c r="A90" s="207" t="s">
        <v>4797</v>
      </c>
      <c r="B90" s="207" t="s">
        <v>14</v>
      </c>
      <c r="C90" s="209" t="str">
        <f t="shared" si="55"/>
        <v>lvds transmitter</v>
      </c>
      <c r="D90" s="227" t="str">
        <f t="shared" si="55"/>
        <v>ver 0p7</v>
      </c>
      <c r="E90" s="207" t="str">
        <f t="shared" si="55"/>
        <v>6 io</v>
      </c>
      <c r="F90" s="207" t="str">
        <f t="shared" si="55"/>
        <v>special</v>
      </c>
      <c r="G90" s="209">
        <v>0</v>
      </c>
      <c r="H90" s="216">
        <f t="shared" ca="1" si="54"/>
        <v>0</v>
      </c>
      <c r="I90" s="228" t="s">
        <v>4798</v>
      </c>
      <c r="J90" s="229"/>
      <c r="K90" s="207" t="str">
        <f ca="1">IFERROR(INDEX(INDIRECT(uc_sheet&amp;"!$A$1"):INDIRECT(uc_sheet&amp;"!$CZ$1000"),MATCH($A90&amp;$B90,INDIRECT(uc_sheet&amp;"!$a$1"):INDIRECT(uc_sheet&amp;"!$a$1000"),0),MATCH(use_case,INDIRECT(uc_sheet&amp;"!$A$1"):INDIRECT(uc_sheet&amp;"!$CZ$1"),0)+1),"")</f>
        <v/>
      </c>
      <c r="L90" s="224">
        <f ca="1">IFERROR(INDEX(INDIRECT(uc_sheet&amp;"!$A$1"):INDIRECT(uc_sheet&amp;"!$CZ$1000"),MATCH($A90&amp;$B90,INDIRECT(uc_sheet&amp;"!$a$1"):INDIRECT(uc_sheet&amp;"!$a$1000"),0),MATCH(use_case,INDIRECT(uc_sheet&amp;"!$A$1"):INDIRECT(uc_sheet&amp;"!$CZ$1"),0)),0)</f>
        <v>0</v>
      </c>
      <c r="M90" s="229"/>
      <c r="N90" s="320">
        <f t="shared" si="57"/>
        <v>0</v>
      </c>
      <c r="O90" s="320">
        <f t="shared" ca="1" si="56"/>
        <v>0</v>
      </c>
      <c r="P90" s="319"/>
      <c r="Q90" s="320">
        <f t="shared" si="58"/>
        <v>0</v>
      </c>
      <c r="R90" s="320">
        <f t="shared" ca="1" si="51"/>
        <v>0</v>
      </c>
      <c r="S90" s="320">
        <f t="shared" si="59"/>
        <v>0</v>
      </c>
      <c r="T90" s="320">
        <f t="shared" ca="1" si="52"/>
        <v>0</v>
      </c>
      <c r="U90" s="320">
        <f t="shared" si="60"/>
        <v>0</v>
      </c>
      <c r="V90" s="320">
        <f t="shared" ca="1" si="53"/>
        <v>0</v>
      </c>
      <c r="W90" s="324" t="s">
        <v>5192</v>
      </c>
      <c r="X90" s="324" t="s">
        <v>40</v>
      </c>
      <c r="Y90" s="324" t="s">
        <v>40</v>
      </c>
      <c r="Z90" s="324" t="s">
        <v>40</v>
      </c>
      <c r="AA90" s="324" t="s">
        <v>6546</v>
      </c>
      <c r="AB90" s="324" t="s">
        <v>6546</v>
      </c>
      <c r="AC90" s="319"/>
      <c r="AD90" s="319"/>
      <c r="AE90" s="319"/>
      <c r="AF90" s="319"/>
      <c r="AG90" s="319"/>
      <c r="AH90" s="319"/>
      <c r="AI90" s="319"/>
      <c r="AJ90" s="319"/>
      <c r="AK90" s="319"/>
      <c r="AL90" s="319"/>
      <c r="AM90" s="137" t="str">
        <f t="shared" si="61"/>
        <v>olvds18_ssdhh_3</v>
      </c>
    </row>
    <row r="91" spans="1:39" ht="11.25" x14ac:dyDescent="0.2">
      <c r="A91" s="207" t="s">
        <v>4797</v>
      </c>
      <c r="B91" s="207" t="s">
        <v>15</v>
      </c>
      <c r="C91" s="209" t="str">
        <f t="shared" ref="C91:F110" si="62">VLOOKUP($A91&amp;"_"&amp;C$2,MDB,6,0)</f>
        <v>lvds transmitter</v>
      </c>
      <c r="D91" s="227" t="str">
        <f t="shared" si="62"/>
        <v>ver 0p7</v>
      </c>
      <c r="E91" s="207" t="str">
        <f t="shared" si="62"/>
        <v>6 io</v>
      </c>
      <c r="F91" s="207" t="str">
        <f t="shared" si="62"/>
        <v>special</v>
      </c>
      <c r="G91" s="209">
        <v>0</v>
      </c>
      <c r="H91" s="216">
        <f t="shared" ca="1" si="54"/>
        <v>0</v>
      </c>
      <c r="I91" s="228" t="s">
        <v>4798</v>
      </c>
      <c r="J91" s="229"/>
      <c r="K91" s="207" t="str">
        <f ca="1">IFERROR(INDEX(INDIRECT(uc_sheet&amp;"!$A$1"):INDIRECT(uc_sheet&amp;"!$CZ$1000"),MATCH($A91&amp;$B91,INDIRECT(uc_sheet&amp;"!$a$1"):INDIRECT(uc_sheet&amp;"!$a$1000"),0),MATCH(use_case,INDIRECT(uc_sheet&amp;"!$A$1"):INDIRECT(uc_sheet&amp;"!$CZ$1"),0)+1),"")</f>
        <v/>
      </c>
      <c r="L91" s="224">
        <f ca="1">IFERROR(INDEX(INDIRECT(uc_sheet&amp;"!$A$1"):INDIRECT(uc_sheet&amp;"!$CZ$1000"),MATCH($A91&amp;$B91,INDIRECT(uc_sheet&amp;"!$a$1"):INDIRECT(uc_sheet&amp;"!$a$1000"),0),MATCH(use_case,INDIRECT(uc_sheet&amp;"!$A$1"):INDIRECT(uc_sheet&amp;"!$CZ$1"),0)),0)</f>
        <v>0</v>
      </c>
      <c r="M91" s="229"/>
      <c r="N91" s="320">
        <f t="shared" si="57"/>
        <v>0</v>
      </c>
      <c r="O91" s="320">
        <f t="shared" ca="1" si="56"/>
        <v>0</v>
      </c>
      <c r="P91" s="319"/>
      <c r="Q91" s="320">
        <f t="shared" si="58"/>
        <v>0</v>
      </c>
      <c r="R91" s="320">
        <f t="shared" ca="1" si="51"/>
        <v>0</v>
      </c>
      <c r="S91" s="320">
        <f t="shared" si="59"/>
        <v>0</v>
      </c>
      <c r="T91" s="320">
        <f t="shared" ca="1" si="52"/>
        <v>0</v>
      </c>
      <c r="U91" s="320">
        <f t="shared" si="60"/>
        <v>0</v>
      </c>
      <c r="V91" s="320">
        <f t="shared" ca="1" si="53"/>
        <v>0</v>
      </c>
      <c r="W91" s="324" t="s">
        <v>5192</v>
      </c>
      <c r="X91" s="324" t="s">
        <v>40</v>
      </c>
      <c r="Y91" s="324" t="s">
        <v>40</v>
      </c>
      <c r="Z91" s="324" t="s">
        <v>40</v>
      </c>
      <c r="AA91" s="324" t="s">
        <v>6546</v>
      </c>
      <c r="AB91" s="324" t="s">
        <v>6546</v>
      </c>
      <c r="AC91" s="319"/>
      <c r="AD91" s="319"/>
      <c r="AE91" s="319"/>
      <c r="AF91" s="319"/>
      <c r="AG91" s="319"/>
      <c r="AH91" s="319"/>
      <c r="AI91" s="319"/>
      <c r="AJ91" s="319"/>
      <c r="AK91" s="319"/>
      <c r="AL91" s="319"/>
      <c r="AM91" s="137" t="str">
        <f t="shared" si="61"/>
        <v>olvds18_ssdhh_4</v>
      </c>
    </row>
    <row r="92" spans="1:39" ht="11.25" x14ac:dyDescent="0.2">
      <c r="A92" s="207" t="s">
        <v>4797</v>
      </c>
      <c r="B92" s="207" t="s">
        <v>16</v>
      </c>
      <c r="C92" s="209" t="str">
        <f t="shared" si="62"/>
        <v>lvds transmitter</v>
      </c>
      <c r="D92" s="227" t="str">
        <f t="shared" si="62"/>
        <v>ver 0p7</v>
      </c>
      <c r="E92" s="207" t="str">
        <f t="shared" si="62"/>
        <v>6 io</v>
      </c>
      <c r="F92" s="207" t="str">
        <f t="shared" si="62"/>
        <v>special</v>
      </c>
      <c r="G92" s="209">
        <v>0</v>
      </c>
      <c r="H92" s="216">
        <f t="shared" ca="1" si="54"/>
        <v>0</v>
      </c>
      <c r="I92" s="228" t="s">
        <v>4798</v>
      </c>
      <c r="J92" s="229"/>
      <c r="K92" s="207" t="str">
        <f ca="1">IFERROR(INDEX(INDIRECT(uc_sheet&amp;"!$A$1"):INDIRECT(uc_sheet&amp;"!$CZ$1000"),MATCH($A92&amp;$B92,INDIRECT(uc_sheet&amp;"!$a$1"):INDIRECT(uc_sheet&amp;"!$a$1000"),0),MATCH(use_case,INDIRECT(uc_sheet&amp;"!$A$1"):INDIRECT(uc_sheet&amp;"!$CZ$1"),0)+1),"")</f>
        <v/>
      </c>
      <c r="L92" s="224">
        <f ca="1">IFERROR(INDEX(INDIRECT(uc_sheet&amp;"!$A$1"):INDIRECT(uc_sheet&amp;"!$CZ$1000"),MATCH($A92&amp;$B92,INDIRECT(uc_sheet&amp;"!$a$1"):INDIRECT(uc_sheet&amp;"!$a$1000"),0),MATCH(use_case,INDIRECT(uc_sheet&amp;"!$A$1"):INDIRECT(uc_sheet&amp;"!$CZ$1"),0)),0)</f>
        <v>0</v>
      </c>
      <c r="M92" s="229"/>
      <c r="N92" s="320">
        <f t="shared" si="57"/>
        <v>0</v>
      </c>
      <c r="O92" s="320">
        <f t="shared" ca="1" si="56"/>
        <v>0</v>
      </c>
      <c r="P92" s="319"/>
      <c r="Q92" s="320">
        <f t="shared" si="58"/>
        <v>0</v>
      </c>
      <c r="R92" s="320">
        <f t="shared" ca="1" si="51"/>
        <v>0</v>
      </c>
      <c r="S92" s="320">
        <f t="shared" si="59"/>
        <v>0</v>
      </c>
      <c r="T92" s="320">
        <f t="shared" ca="1" si="52"/>
        <v>0</v>
      </c>
      <c r="U92" s="320">
        <f t="shared" si="60"/>
        <v>0</v>
      </c>
      <c r="V92" s="320">
        <f t="shared" ca="1" si="53"/>
        <v>0</v>
      </c>
      <c r="W92" s="324" t="s">
        <v>5192</v>
      </c>
      <c r="X92" s="324" t="s">
        <v>40</v>
      </c>
      <c r="Y92" s="324" t="s">
        <v>40</v>
      </c>
      <c r="Z92" s="324" t="s">
        <v>40</v>
      </c>
      <c r="AA92" s="324" t="s">
        <v>6546</v>
      </c>
      <c r="AB92" s="324" t="s">
        <v>6546</v>
      </c>
      <c r="AC92" s="319"/>
      <c r="AD92" s="319"/>
      <c r="AE92" s="319"/>
      <c r="AF92" s="319"/>
      <c r="AG92" s="319"/>
      <c r="AH92" s="319"/>
      <c r="AI92" s="319"/>
      <c r="AJ92" s="319"/>
      <c r="AK92" s="319"/>
      <c r="AL92" s="319"/>
      <c r="AM92" s="137" t="str">
        <f t="shared" si="61"/>
        <v>olvds18_ssdhh_5</v>
      </c>
    </row>
    <row r="93" spans="1:39" ht="11.25" x14ac:dyDescent="0.2">
      <c r="A93" s="207" t="s">
        <v>6159</v>
      </c>
      <c r="B93" s="207" t="s">
        <v>11</v>
      </c>
      <c r="C93" s="209" t="str">
        <f t="shared" si="62"/>
        <v>usb2 - phy</v>
      </c>
      <c r="D93" s="227">
        <f t="shared" si="62"/>
        <v>44499</v>
      </c>
      <c r="E93" s="207" t="str">
        <f t="shared" si="62"/>
        <v>6 io</v>
      </c>
      <c r="F93" s="207" t="str">
        <f t="shared" si="62"/>
        <v>special</v>
      </c>
      <c r="G93" s="209">
        <v>0</v>
      </c>
      <c r="H93" s="216">
        <f t="shared" ca="1" si="54"/>
        <v>0</v>
      </c>
      <c r="I93" s="228" t="s">
        <v>4798</v>
      </c>
      <c r="J93" s="229"/>
      <c r="K93" s="207" t="str">
        <f ca="1">IFERROR(INDEX(INDIRECT(uc_sheet&amp;"!$A$1"):INDIRECT(uc_sheet&amp;"!$CZ$1000"),MATCH($A93&amp;$B93,INDIRECT(uc_sheet&amp;"!$a$1"):INDIRECT(uc_sheet&amp;"!$a$1000"),0),MATCH(use_case,INDIRECT(uc_sheet&amp;"!$A$1"):INDIRECT(uc_sheet&amp;"!$CZ$1"),0)+1),"")</f>
        <v/>
      </c>
      <c r="L93" s="224">
        <f ca="1">IFERROR(INDEX(INDIRECT(uc_sheet&amp;"!$A$1"):INDIRECT(uc_sheet&amp;"!$CZ$1000"),MATCH($A93&amp;$B93,INDIRECT(uc_sheet&amp;"!$a$1"):INDIRECT(uc_sheet&amp;"!$a$1000"),0),MATCH(use_case,INDIRECT(uc_sheet&amp;"!$A$1"):INDIRECT(uc_sheet&amp;"!$CZ$1"),0)),0)</f>
        <v>0</v>
      </c>
      <c r="M93" s="229"/>
      <c r="N93" s="320">
        <f t="shared" si="57"/>
        <v>0</v>
      </c>
      <c r="O93" s="320">
        <f t="shared" ca="1" si="56"/>
        <v>0</v>
      </c>
      <c r="P93" s="319"/>
      <c r="Q93" s="320">
        <f t="shared" si="58"/>
        <v>0</v>
      </c>
      <c r="R93" s="320">
        <f t="shared" ca="1" si="51"/>
        <v>0</v>
      </c>
      <c r="S93" s="320">
        <f t="shared" si="59"/>
        <v>0</v>
      </c>
      <c r="T93" s="320">
        <f t="shared" ca="1" si="52"/>
        <v>0</v>
      </c>
      <c r="U93" s="320">
        <f t="shared" si="60"/>
        <v>0</v>
      </c>
      <c r="V93" s="320">
        <f t="shared" ca="1" si="53"/>
        <v>0</v>
      </c>
      <c r="W93" s="324" t="s">
        <v>5192</v>
      </c>
      <c r="X93" s="324" t="s">
        <v>40</v>
      </c>
      <c r="Y93" s="324" t="s">
        <v>40</v>
      </c>
      <c r="Z93" s="324" t="s">
        <v>40</v>
      </c>
      <c r="AA93" s="324" t="s">
        <v>6546</v>
      </c>
      <c r="AB93" s="324" t="s">
        <v>6546</v>
      </c>
      <c r="AC93" s="319"/>
      <c r="AD93" s="319"/>
      <c r="AE93" s="319"/>
      <c r="AF93" s="319"/>
      <c r="AG93" s="319"/>
      <c r="AH93" s="319"/>
      <c r="AI93" s="319"/>
      <c r="AJ93" s="319"/>
      <c r="AK93" s="319"/>
      <c r="AL93" s="319"/>
      <c r="AM93" s="137" t="str">
        <f t="shared" si="61"/>
        <v>usb2_phy_0</v>
      </c>
    </row>
    <row r="94" spans="1:39" ht="11.25" x14ac:dyDescent="0.2">
      <c r="A94" s="207" t="s">
        <v>5292</v>
      </c>
      <c r="B94" s="207" t="s">
        <v>11</v>
      </c>
      <c r="C94" s="209" t="str">
        <f t="shared" si="62"/>
        <v>fan lvcmos io</v>
      </c>
      <c r="D94" s="227">
        <f t="shared" si="62"/>
        <v>44499</v>
      </c>
      <c r="E94" s="207" t="str">
        <f t="shared" si="62"/>
        <v>7 lvcmos io</v>
      </c>
      <c r="F94" s="207" t="str">
        <f t="shared" si="62"/>
        <v>bmc</v>
      </c>
      <c r="G94" s="209">
        <v>0</v>
      </c>
      <c r="H94" s="216">
        <f t="shared" ca="1" si="54"/>
        <v>0</v>
      </c>
      <c r="I94" s="228" t="s">
        <v>4872</v>
      </c>
      <c r="J94" s="229"/>
      <c r="K94" s="259" t="s">
        <v>6528</v>
      </c>
      <c r="L94" s="224">
        <f ca="1">IFERROR(INDEX(INDIRECT(uc_sheet&amp;"!$A$1"):INDIRECT(uc_sheet&amp;"!$CZ$1000"),MATCH($A94&amp;$B94,INDIRECT(uc_sheet&amp;"!$a$1"):INDIRECT(uc_sheet&amp;"!$a$1000"),0),MATCH(use_case,INDIRECT(uc_sheet&amp;"!$A$1"):INDIRECT(uc_sheet&amp;"!$CZ$1"),0)),0)</f>
        <v>0</v>
      </c>
      <c r="M94" s="209">
        <f t="shared" ref="M94:M125" si="63">IFERROR(VLOOKUP($A94&amp;"_"&amp;M$2,MDB,6,0),0)*G94</f>
        <v>0</v>
      </c>
      <c r="N94" s="319"/>
      <c r="O94" s="323">
        <f t="shared" ref="O94:O125" ca="1" si="64">IFERROR(VLOOKUP($A94&amp;"_"&amp;O$2&amp;"_"&amp;$K94&amp;"",MDB,6,0)*$L94*$G94*Dyn_Int_Scale_SVT,0)</f>
        <v>0</v>
      </c>
      <c r="P94" s="319"/>
      <c r="Q94" s="319"/>
      <c r="R94" s="319"/>
      <c r="S94" s="319"/>
      <c r="T94" s="323">
        <f t="shared" ref="T94:T125" ca="1" si="65">IFERROR(VLOOKUP($A94&amp;"_"&amp;T$2&amp;"_"&amp;$K94&amp;"",MDB,6,0)*$L94*$G94*Dyn_Int_Scale_SVT,0)</f>
        <v>0</v>
      </c>
      <c r="U94" s="319"/>
      <c r="V94" s="323">
        <f t="shared" ref="V94:V125" ca="1" si="66">IFERROR(VLOOKUP($A94&amp;"_"&amp;V$2&amp;"_"&amp;$K94&amp;"",MDB,6,0)*$L94*$G94*Dyn_Int_Scale_SVT,0)</f>
        <v>0</v>
      </c>
      <c r="W94" s="324" t="s">
        <v>5195</v>
      </c>
      <c r="X94" s="324" t="s">
        <v>8</v>
      </c>
      <c r="Y94" s="324" t="s">
        <v>61</v>
      </c>
      <c r="Z94" s="319"/>
      <c r="AA94" s="324" t="s">
        <v>4696</v>
      </c>
      <c r="AB94" s="324" t="s">
        <v>4697</v>
      </c>
      <c r="AC94" s="319"/>
      <c r="AD94" s="319"/>
      <c r="AE94" s="319"/>
      <c r="AF94" s="319"/>
      <c r="AG94" s="319"/>
      <c r="AH94" s="319"/>
      <c r="AI94" s="319"/>
      <c r="AJ94" s="319"/>
      <c r="AK94" s="319"/>
      <c r="AL94" s="319"/>
      <c r="AM94" s="137" t="str">
        <f t="shared" si="61"/>
        <v>fan_0</v>
      </c>
    </row>
    <row r="95" spans="1:39" ht="11.25" x14ac:dyDescent="0.2">
      <c r="A95" s="207" t="s">
        <v>5325</v>
      </c>
      <c r="B95" s="207" t="s">
        <v>11</v>
      </c>
      <c r="C95" s="209" t="str">
        <f t="shared" si="62"/>
        <v>lpc lvcmos io</v>
      </c>
      <c r="D95" s="227">
        <f t="shared" si="62"/>
        <v>44499</v>
      </c>
      <c r="E95" s="207" t="str">
        <f t="shared" si="62"/>
        <v>7 lvcmos io</v>
      </c>
      <c r="F95" s="207" t="str">
        <f t="shared" si="62"/>
        <v>bmc</v>
      </c>
      <c r="G95" s="209">
        <v>0</v>
      </c>
      <c r="H95" s="216">
        <f t="shared" ca="1" si="54"/>
        <v>0</v>
      </c>
      <c r="I95" s="228" t="s">
        <v>4872</v>
      </c>
      <c r="J95" s="229"/>
      <c r="K95" s="259" t="s">
        <v>6528</v>
      </c>
      <c r="L95" s="224">
        <f ca="1">IFERROR(INDEX(INDIRECT(uc_sheet&amp;"!$A$1"):INDIRECT(uc_sheet&amp;"!$CZ$1000"),MATCH($A95&amp;$B95,INDIRECT(uc_sheet&amp;"!$a$1"):INDIRECT(uc_sheet&amp;"!$a$1000"),0),MATCH(use_case,INDIRECT(uc_sheet&amp;"!$A$1"):INDIRECT(uc_sheet&amp;"!$CZ$1"),0)),0)</f>
        <v>0</v>
      </c>
      <c r="M95" s="209">
        <f t="shared" si="63"/>
        <v>0</v>
      </c>
      <c r="N95" s="319"/>
      <c r="O95" s="323">
        <f t="shared" ca="1" si="64"/>
        <v>0</v>
      </c>
      <c r="P95" s="319"/>
      <c r="Q95" s="319"/>
      <c r="R95" s="319"/>
      <c r="S95" s="319"/>
      <c r="T95" s="323">
        <f t="shared" ca="1" si="65"/>
        <v>0</v>
      </c>
      <c r="U95" s="319"/>
      <c r="V95" s="323">
        <f t="shared" ca="1" si="66"/>
        <v>0</v>
      </c>
      <c r="W95" s="324" t="s">
        <v>5195</v>
      </c>
      <c r="X95" s="324" t="s">
        <v>8</v>
      </c>
      <c r="Y95" s="324" t="s">
        <v>61</v>
      </c>
      <c r="Z95" s="319"/>
      <c r="AA95" s="324" t="s">
        <v>4696</v>
      </c>
      <c r="AB95" s="324" t="s">
        <v>4697</v>
      </c>
      <c r="AC95" s="319"/>
      <c r="AD95" s="319"/>
      <c r="AE95" s="319"/>
      <c r="AF95" s="319"/>
      <c r="AG95" s="319"/>
      <c r="AH95" s="319"/>
      <c r="AI95" s="319"/>
      <c r="AJ95" s="319"/>
      <c r="AK95" s="319"/>
      <c r="AL95" s="319"/>
      <c r="AM95" s="137" t="str">
        <f t="shared" si="61"/>
        <v>lpc_0</v>
      </c>
    </row>
    <row r="96" spans="1:39" ht="11.25" x14ac:dyDescent="0.2">
      <c r="A96" s="207" t="s">
        <v>5332</v>
      </c>
      <c r="B96" s="207" t="s">
        <v>11</v>
      </c>
      <c r="C96" s="209" t="str">
        <f t="shared" si="62"/>
        <v>peci lvcmos io</v>
      </c>
      <c r="D96" s="227">
        <f t="shared" si="62"/>
        <v>44499</v>
      </c>
      <c r="E96" s="207" t="str">
        <f t="shared" si="62"/>
        <v>7 lvcmos io</v>
      </c>
      <c r="F96" s="207" t="str">
        <f t="shared" si="62"/>
        <v>bmc</v>
      </c>
      <c r="G96" s="209">
        <v>0</v>
      </c>
      <c r="H96" s="216">
        <f t="shared" ca="1" si="54"/>
        <v>0</v>
      </c>
      <c r="I96" s="228" t="s">
        <v>4872</v>
      </c>
      <c r="J96" s="229"/>
      <c r="K96" s="259" t="s">
        <v>6528</v>
      </c>
      <c r="L96" s="224">
        <f ca="1">IFERROR(INDEX(INDIRECT(uc_sheet&amp;"!$A$1"):INDIRECT(uc_sheet&amp;"!$CZ$1000"),MATCH($A96&amp;$B96,INDIRECT(uc_sheet&amp;"!$a$1"):INDIRECT(uc_sheet&amp;"!$a$1000"),0),MATCH(use_case,INDIRECT(uc_sheet&amp;"!$A$1"):INDIRECT(uc_sheet&amp;"!$CZ$1"),0)),0)</f>
        <v>0</v>
      </c>
      <c r="M96" s="209">
        <f t="shared" si="63"/>
        <v>0</v>
      </c>
      <c r="N96" s="319"/>
      <c r="O96" s="323">
        <f t="shared" ca="1" si="64"/>
        <v>0</v>
      </c>
      <c r="P96" s="319"/>
      <c r="Q96" s="319"/>
      <c r="R96" s="319"/>
      <c r="S96" s="319"/>
      <c r="T96" s="323">
        <f t="shared" ca="1" si="65"/>
        <v>0</v>
      </c>
      <c r="U96" s="319"/>
      <c r="V96" s="323">
        <f t="shared" ca="1" si="66"/>
        <v>0</v>
      </c>
      <c r="W96" s="324" t="s">
        <v>5195</v>
      </c>
      <c r="X96" s="324" t="s">
        <v>8</v>
      </c>
      <c r="Y96" s="324" t="s">
        <v>61</v>
      </c>
      <c r="Z96" s="319"/>
      <c r="AA96" s="324" t="s">
        <v>4696</v>
      </c>
      <c r="AB96" s="324" t="s">
        <v>4697</v>
      </c>
      <c r="AC96" s="319"/>
      <c r="AD96" s="319"/>
      <c r="AE96" s="319"/>
      <c r="AF96" s="319"/>
      <c r="AG96" s="319"/>
      <c r="AH96" s="319"/>
      <c r="AI96" s="319"/>
      <c r="AJ96" s="319"/>
      <c r="AK96" s="319"/>
      <c r="AL96" s="319"/>
      <c r="AM96" s="137" t="str">
        <f t="shared" si="61"/>
        <v>peci_0</v>
      </c>
    </row>
    <row r="97" spans="1:39" ht="11.25" x14ac:dyDescent="0.2">
      <c r="A97" s="207" t="s">
        <v>5258</v>
      </c>
      <c r="B97" s="207" t="s">
        <v>11</v>
      </c>
      <c r="C97" s="209" t="str">
        <f t="shared" si="62"/>
        <v>canfd lvcmos io</v>
      </c>
      <c r="D97" s="227">
        <f t="shared" si="62"/>
        <v>44499</v>
      </c>
      <c r="E97" s="207" t="str">
        <f t="shared" si="62"/>
        <v>7 lvcmos io</v>
      </c>
      <c r="F97" s="207" t="str">
        <f t="shared" si="62"/>
        <v>canfd</v>
      </c>
      <c r="G97" s="209">
        <v>1</v>
      </c>
      <c r="H97" s="216">
        <f t="shared" si="54"/>
        <v>0.1219118906742542</v>
      </c>
      <c r="I97" s="228" t="s">
        <v>4872</v>
      </c>
      <c r="J97" s="229"/>
      <c r="K97" s="207" t="str">
        <f t="shared" ref="K97:K104" si="67">MCAN</f>
        <v>8mbs_3p3v</v>
      </c>
      <c r="L97" s="224">
        <f t="shared" ref="L97:L104" si="68">MCAN_Util</f>
        <v>0.25</v>
      </c>
      <c r="M97" s="209">
        <f t="shared" si="63"/>
        <v>2</v>
      </c>
      <c r="N97" s="319"/>
      <c r="O97" s="323">
        <f t="shared" si="64"/>
        <v>1.0116954523786738E-7</v>
      </c>
      <c r="P97" s="319"/>
      <c r="Q97" s="319"/>
      <c r="R97" s="319"/>
      <c r="S97" s="319"/>
      <c r="T97" s="323">
        <f t="shared" si="65"/>
        <v>0</v>
      </c>
      <c r="U97" s="319"/>
      <c r="V97" s="323">
        <f t="shared" si="66"/>
        <v>0.12191178950470896</v>
      </c>
      <c r="W97" s="324" t="s">
        <v>5195</v>
      </c>
      <c r="X97" s="324" t="s">
        <v>8</v>
      </c>
      <c r="Y97" s="324" t="s">
        <v>61</v>
      </c>
      <c r="Z97" s="319"/>
      <c r="AA97" s="324" t="s">
        <v>4696</v>
      </c>
      <c r="AB97" s="324" t="s">
        <v>4697</v>
      </c>
      <c r="AC97" s="319"/>
      <c r="AD97" s="319"/>
      <c r="AE97" s="319"/>
      <c r="AF97" s="319"/>
      <c r="AG97" s="319"/>
      <c r="AH97" s="319"/>
      <c r="AI97" s="319"/>
      <c r="AJ97" s="319"/>
      <c r="AK97" s="319"/>
      <c r="AL97" s="319"/>
      <c r="AM97" s="137" t="str">
        <f t="shared" si="61"/>
        <v>canfd_0</v>
      </c>
    </row>
    <row r="98" spans="1:39" ht="11.25" x14ac:dyDescent="0.2">
      <c r="A98" s="207" t="s">
        <v>5258</v>
      </c>
      <c r="B98" s="207" t="s">
        <v>12</v>
      </c>
      <c r="C98" s="209" t="str">
        <f t="shared" si="62"/>
        <v>canfd lvcmos io</v>
      </c>
      <c r="D98" s="227">
        <f t="shared" si="62"/>
        <v>44499</v>
      </c>
      <c r="E98" s="207" t="str">
        <f t="shared" si="62"/>
        <v>7 lvcmos io</v>
      </c>
      <c r="F98" s="207" t="str">
        <f t="shared" si="62"/>
        <v>canfd</v>
      </c>
      <c r="G98" s="209">
        <v>1</v>
      </c>
      <c r="H98" s="216">
        <f t="shared" si="54"/>
        <v>0.1219118906742542</v>
      </c>
      <c r="I98" s="228" t="s">
        <v>4872</v>
      </c>
      <c r="J98" s="229"/>
      <c r="K98" s="207" t="str">
        <f t="shared" si="67"/>
        <v>8mbs_3p3v</v>
      </c>
      <c r="L98" s="224">
        <f t="shared" si="68"/>
        <v>0.25</v>
      </c>
      <c r="M98" s="209">
        <f t="shared" si="63"/>
        <v>2</v>
      </c>
      <c r="N98" s="319"/>
      <c r="O98" s="323">
        <f t="shared" si="64"/>
        <v>1.0116954523786738E-7</v>
      </c>
      <c r="P98" s="319"/>
      <c r="Q98" s="319"/>
      <c r="R98" s="319"/>
      <c r="S98" s="319"/>
      <c r="T98" s="323">
        <f t="shared" si="65"/>
        <v>0</v>
      </c>
      <c r="U98" s="319"/>
      <c r="V98" s="323">
        <f t="shared" si="66"/>
        <v>0.12191178950470896</v>
      </c>
      <c r="W98" s="324" t="s">
        <v>5195</v>
      </c>
      <c r="X98" s="324" t="s">
        <v>8</v>
      </c>
      <c r="Y98" s="324" t="s">
        <v>61</v>
      </c>
      <c r="Z98" s="319"/>
      <c r="AA98" s="324" t="s">
        <v>4696</v>
      </c>
      <c r="AB98" s="324" t="s">
        <v>4697</v>
      </c>
      <c r="AC98" s="319"/>
      <c r="AD98" s="319"/>
      <c r="AE98" s="319"/>
      <c r="AF98" s="319"/>
      <c r="AG98" s="319"/>
      <c r="AH98" s="319"/>
      <c r="AI98" s="319"/>
      <c r="AJ98" s="319"/>
      <c r="AK98" s="319"/>
      <c r="AL98" s="319"/>
      <c r="AM98" s="137" t="str">
        <f t="shared" si="61"/>
        <v>canfd_1</v>
      </c>
    </row>
    <row r="99" spans="1:39" ht="11.25" x14ac:dyDescent="0.2">
      <c r="A99" s="207" t="s">
        <v>5258</v>
      </c>
      <c r="B99" s="207" t="s">
        <v>13</v>
      </c>
      <c r="C99" s="209" t="str">
        <f t="shared" si="62"/>
        <v>canfd lvcmos io</v>
      </c>
      <c r="D99" s="227">
        <f t="shared" si="62"/>
        <v>44499</v>
      </c>
      <c r="E99" s="207" t="str">
        <f t="shared" si="62"/>
        <v>7 lvcmos io</v>
      </c>
      <c r="F99" s="207" t="str">
        <f t="shared" si="62"/>
        <v>canfd</v>
      </c>
      <c r="G99" s="209">
        <v>1</v>
      </c>
      <c r="H99" s="216">
        <f t="shared" si="54"/>
        <v>0.1219118906742542</v>
      </c>
      <c r="I99" s="228" t="s">
        <v>4872</v>
      </c>
      <c r="J99" s="229"/>
      <c r="K99" s="207" t="str">
        <f t="shared" si="67"/>
        <v>8mbs_3p3v</v>
      </c>
      <c r="L99" s="224">
        <f t="shared" si="68"/>
        <v>0.25</v>
      </c>
      <c r="M99" s="209">
        <f t="shared" si="63"/>
        <v>2</v>
      </c>
      <c r="N99" s="319"/>
      <c r="O99" s="323">
        <f t="shared" si="64"/>
        <v>1.0116954523786738E-7</v>
      </c>
      <c r="P99" s="319"/>
      <c r="Q99" s="319"/>
      <c r="R99" s="319"/>
      <c r="S99" s="319"/>
      <c r="T99" s="323">
        <f t="shared" si="65"/>
        <v>0</v>
      </c>
      <c r="U99" s="319"/>
      <c r="V99" s="323">
        <f t="shared" si="66"/>
        <v>0.12191178950470896</v>
      </c>
      <c r="W99" s="324" t="s">
        <v>5195</v>
      </c>
      <c r="X99" s="324" t="s">
        <v>8</v>
      </c>
      <c r="Y99" s="324" t="s">
        <v>61</v>
      </c>
      <c r="Z99" s="319"/>
      <c r="AA99" s="324" t="s">
        <v>4696</v>
      </c>
      <c r="AB99" s="324" t="s">
        <v>4697</v>
      </c>
      <c r="AC99" s="319"/>
      <c r="AD99" s="319"/>
      <c r="AE99" s="319"/>
      <c r="AF99" s="319"/>
      <c r="AG99" s="319"/>
      <c r="AH99" s="319"/>
      <c r="AI99" s="319"/>
      <c r="AJ99" s="319"/>
      <c r="AK99" s="319"/>
      <c r="AL99" s="319"/>
      <c r="AM99" s="137" t="str">
        <f t="shared" si="61"/>
        <v>canfd_2</v>
      </c>
    </row>
    <row r="100" spans="1:39" ht="11.25" x14ac:dyDescent="0.2">
      <c r="A100" s="207" t="s">
        <v>5258</v>
      </c>
      <c r="B100" s="207" t="s">
        <v>14</v>
      </c>
      <c r="C100" s="209" t="str">
        <f t="shared" si="62"/>
        <v>canfd lvcmos io</v>
      </c>
      <c r="D100" s="227">
        <f t="shared" si="62"/>
        <v>44499</v>
      </c>
      <c r="E100" s="207" t="str">
        <f t="shared" si="62"/>
        <v>7 lvcmos io</v>
      </c>
      <c r="F100" s="207" t="str">
        <f t="shared" si="62"/>
        <v>canfd</v>
      </c>
      <c r="G100" s="209">
        <v>1</v>
      </c>
      <c r="H100" s="216">
        <f t="shared" si="54"/>
        <v>0.1219118906742542</v>
      </c>
      <c r="I100" s="228" t="s">
        <v>4872</v>
      </c>
      <c r="J100" s="229"/>
      <c r="K100" s="207" t="str">
        <f t="shared" si="67"/>
        <v>8mbs_3p3v</v>
      </c>
      <c r="L100" s="224">
        <f t="shared" si="68"/>
        <v>0.25</v>
      </c>
      <c r="M100" s="209">
        <f t="shared" si="63"/>
        <v>2</v>
      </c>
      <c r="N100" s="319"/>
      <c r="O100" s="323">
        <f t="shared" si="64"/>
        <v>1.0116954523786738E-7</v>
      </c>
      <c r="P100" s="319"/>
      <c r="Q100" s="319"/>
      <c r="R100" s="319"/>
      <c r="S100" s="319"/>
      <c r="T100" s="323">
        <f t="shared" si="65"/>
        <v>0</v>
      </c>
      <c r="U100" s="319"/>
      <c r="V100" s="323">
        <f t="shared" si="66"/>
        <v>0.12191178950470896</v>
      </c>
      <c r="W100" s="324" t="s">
        <v>5195</v>
      </c>
      <c r="X100" s="324" t="s">
        <v>8</v>
      </c>
      <c r="Y100" s="324" t="s">
        <v>61</v>
      </c>
      <c r="Z100" s="319"/>
      <c r="AA100" s="324" t="s">
        <v>4696</v>
      </c>
      <c r="AB100" s="324" t="s">
        <v>4697</v>
      </c>
      <c r="AC100" s="319"/>
      <c r="AD100" s="319"/>
      <c r="AE100" s="319"/>
      <c r="AF100" s="319"/>
      <c r="AG100" s="319"/>
      <c r="AH100" s="319"/>
      <c r="AI100" s="319"/>
      <c r="AJ100" s="319"/>
      <c r="AK100" s="319"/>
      <c r="AL100" s="319"/>
      <c r="AM100" s="137" t="str">
        <f t="shared" si="61"/>
        <v>canfd_3</v>
      </c>
    </row>
    <row r="101" spans="1:39" ht="11.25" x14ac:dyDescent="0.2">
      <c r="A101" s="207" t="s">
        <v>5258</v>
      </c>
      <c r="B101" s="207" t="s">
        <v>15</v>
      </c>
      <c r="C101" s="209" t="str">
        <f t="shared" si="62"/>
        <v>canfd lvcmos io</v>
      </c>
      <c r="D101" s="227">
        <f t="shared" si="62"/>
        <v>44499</v>
      </c>
      <c r="E101" s="207" t="str">
        <f t="shared" si="62"/>
        <v>7 lvcmos io</v>
      </c>
      <c r="F101" s="207" t="str">
        <f t="shared" si="62"/>
        <v>canfd</v>
      </c>
      <c r="G101" s="209">
        <v>1</v>
      </c>
      <c r="H101" s="216">
        <f t="shared" si="54"/>
        <v>0.1219118906742542</v>
      </c>
      <c r="I101" s="228" t="s">
        <v>4872</v>
      </c>
      <c r="J101" s="229"/>
      <c r="K101" s="207" t="str">
        <f t="shared" si="67"/>
        <v>8mbs_3p3v</v>
      </c>
      <c r="L101" s="224">
        <f t="shared" si="68"/>
        <v>0.25</v>
      </c>
      <c r="M101" s="209">
        <f t="shared" si="63"/>
        <v>2</v>
      </c>
      <c r="N101" s="319"/>
      <c r="O101" s="323">
        <f t="shared" si="64"/>
        <v>1.0116954523786738E-7</v>
      </c>
      <c r="P101" s="319"/>
      <c r="Q101" s="319"/>
      <c r="R101" s="319"/>
      <c r="S101" s="319"/>
      <c r="T101" s="323">
        <f t="shared" si="65"/>
        <v>0</v>
      </c>
      <c r="U101" s="319"/>
      <c r="V101" s="323">
        <f t="shared" si="66"/>
        <v>0.12191178950470896</v>
      </c>
      <c r="W101" s="324" t="s">
        <v>5195</v>
      </c>
      <c r="X101" s="324" t="s">
        <v>8</v>
      </c>
      <c r="Y101" s="324" t="s">
        <v>61</v>
      </c>
      <c r="Z101" s="319"/>
      <c r="AA101" s="324" t="s">
        <v>4696</v>
      </c>
      <c r="AB101" s="324" t="s">
        <v>4697</v>
      </c>
      <c r="AC101" s="319"/>
      <c r="AD101" s="319"/>
      <c r="AE101" s="319"/>
      <c r="AF101" s="319"/>
      <c r="AG101" s="319"/>
      <c r="AH101" s="319"/>
      <c r="AI101" s="319"/>
      <c r="AJ101" s="319"/>
      <c r="AK101" s="319"/>
      <c r="AL101" s="319"/>
      <c r="AM101" s="137" t="str">
        <f t="shared" si="61"/>
        <v>canfd_4</v>
      </c>
    </row>
    <row r="102" spans="1:39" ht="11.25" x14ac:dyDescent="0.2">
      <c r="A102" s="207" t="s">
        <v>5258</v>
      </c>
      <c r="B102" s="207" t="s">
        <v>16</v>
      </c>
      <c r="C102" s="209" t="str">
        <f t="shared" si="62"/>
        <v>canfd lvcmos io</v>
      </c>
      <c r="D102" s="227">
        <f t="shared" si="62"/>
        <v>44499</v>
      </c>
      <c r="E102" s="207" t="str">
        <f t="shared" si="62"/>
        <v>7 lvcmos io</v>
      </c>
      <c r="F102" s="207" t="str">
        <f t="shared" si="62"/>
        <v>canfd</v>
      </c>
      <c r="G102" s="209">
        <v>1</v>
      </c>
      <c r="H102" s="216">
        <f t="shared" si="54"/>
        <v>0.1219118906742542</v>
      </c>
      <c r="I102" s="228" t="s">
        <v>4872</v>
      </c>
      <c r="J102" s="229"/>
      <c r="K102" s="207" t="str">
        <f t="shared" si="67"/>
        <v>8mbs_3p3v</v>
      </c>
      <c r="L102" s="224">
        <f t="shared" si="68"/>
        <v>0.25</v>
      </c>
      <c r="M102" s="209">
        <f t="shared" si="63"/>
        <v>2</v>
      </c>
      <c r="N102" s="319"/>
      <c r="O102" s="323">
        <f t="shared" si="64"/>
        <v>1.0116954523786738E-7</v>
      </c>
      <c r="P102" s="319"/>
      <c r="Q102" s="319"/>
      <c r="R102" s="319"/>
      <c r="S102" s="319"/>
      <c r="T102" s="323">
        <f t="shared" si="65"/>
        <v>0</v>
      </c>
      <c r="U102" s="319"/>
      <c r="V102" s="323">
        <f t="shared" si="66"/>
        <v>0.12191178950470896</v>
      </c>
      <c r="W102" s="324" t="s">
        <v>5195</v>
      </c>
      <c r="X102" s="324" t="s">
        <v>8</v>
      </c>
      <c r="Y102" s="324" t="s">
        <v>61</v>
      </c>
      <c r="Z102" s="319"/>
      <c r="AA102" s="324" t="s">
        <v>4696</v>
      </c>
      <c r="AB102" s="324" t="s">
        <v>4697</v>
      </c>
      <c r="AC102" s="319"/>
      <c r="AD102" s="319"/>
      <c r="AE102" s="319"/>
      <c r="AF102" s="319"/>
      <c r="AG102" s="319"/>
      <c r="AH102" s="319"/>
      <c r="AI102" s="319"/>
      <c r="AJ102" s="319"/>
      <c r="AK102" s="319"/>
      <c r="AL102" s="319"/>
      <c r="AM102" s="137" t="str">
        <f t="shared" si="61"/>
        <v>canfd_5</v>
      </c>
    </row>
    <row r="103" spans="1:39" ht="11.25" x14ac:dyDescent="0.2">
      <c r="A103" s="207" t="s">
        <v>5258</v>
      </c>
      <c r="B103" s="207" t="s">
        <v>17</v>
      </c>
      <c r="C103" s="209" t="str">
        <f t="shared" si="62"/>
        <v>canfd lvcmos io</v>
      </c>
      <c r="D103" s="227">
        <f t="shared" si="62"/>
        <v>44499</v>
      </c>
      <c r="E103" s="207" t="str">
        <f t="shared" si="62"/>
        <v>7 lvcmos io</v>
      </c>
      <c r="F103" s="207" t="str">
        <f t="shared" si="62"/>
        <v>canfd</v>
      </c>
      <c r="G103" s="209">
        <v>1</v>
      </c>
      <c r="H103" s="216">
        <f t="shared" si="54"/>
        <v>0.1219118906742542</v>
      </c>
      <c r="I103" s="228" t="s">
        <v>4872</v>
      </c>
      <c r="J103" s="229"/>
      <c r="K103" s="207" t="str">
        <f t="shared" si="67"/>
        <v>8mbs_3p3v</v>
      </c>
      <c r="L103" s="224">
        <f t="shared" si="68"/>
        <v>0.25</v>
      </c>
      <c r="M103" s="209">
        <f t="shared" si="63"/>
        <v>2</v>
      </c>
      <c r="N103" s="319"/>
      <c r="O103" s="323">
        <f t="shared" si="64"/>
        <v>1.0116954523786738E-7</v>
      </c>
      <c r="P103" s="319"/>
      <c r="Q103" s="319"/>
      <c r="R103" s="319"/>
      <c r="S103" s="319"/>
      <c r="T103" s="323">
        <f t="shared" si="65"/>
        <v>0</v>
      </c>
      <c r="U103" s="319"/>
      <c r="V103" s="323">
        <f t="shared" si="66"/>
        <v>0.12191178950470896</v>
      </c>
      <c r="W103" s="324" t="s">
        <v>5195</v>
      </c>
      <c r="X103" s="324" t="s">
        <v>8</v>
      </c>
      <c r="Y103" s="324" t="s">
        <v>61</v>
      </c>
      <c r="Z103" s="319"/>
      <c r="AA103" s="324" t="s">
        <v>4696</v>
      </c>
      <c r="AB103" s="324" t="s">
        <v>4697</v>
      </c>
      <c r="AC103" s="319"/>
      <c r="AD103" s="319"/>
      <c r="AE103" s="319"/>
      <c r="AF103" s="319"/>
      <c r="AG103" s="319"/>
      <c r="AH103" s="319"/>
      <c r="AI103" s="319"/>
      <c r="AJ103" s="319"/>
      <c r="AK103" s="319"/>
      <c r="AL103" s="319"/>
      <c r="AM103" s="137" t="str">
        <f t="shared" si="61"/>
        <v>canfd_6</v>
      </c>
    </row>
    <row r="104" spans="1:39" ht="11.25" x14ac:dyDescent="0.2">
      <c r="A104" s="207" t="s">
        <v>5258</v>
      </c>
      <c r="B104" s="207" t="s">
        <v>18</v>
      </c>
      <c r="C104" s="209" t="str">
        <f t="shared" si="62"/>
        <v>canfd lvcmos io</v>
      </c>
      <c r="D104" s="227">
        <f t="shared" si="62"/>
        <v>44499</v>
      </c>
      <c r="E104" s="207" t="str">
        <f t="shared" si="62"/>
        <v>7 lvcmos io</v>
      </c>
      <c r="F104" s="207" t="str">
        <f t="shared" si="62"/>
        <v>canfd</v>
      </c>
      <c r="G104" s="209">
        <v>1</v>
      </c>
      <c r="H104" s="216">
        <f t="shared" si="54"/>
        <v>0.1219118906742542</v>
      </c>
      <c r="I104" s="228" t="s">
        <v>4872</v>
      </c>
      <c r="J104" s="229"/>
      <c r="K104" s="207" t="str">
        <f t="shared" si="67"/>
        <v>8mbs_3p3v</v>
      </c>
      <c r="L104" s="224">
        <f t="shared" si="68"/>
        <v>0.25</v>
      </c>
      <c r="M104" s="209">
        <f t="shared" si="63"/>
        <v>2</v>
      </c>
      <c r="N104" s="319"/>
      <c r="O104" s="323">
        <f t="shared" si="64"/>
        <v>1.0116954523786738E-7</v>
      </c>
      <c r="P104" s="319"/>
      <c r="Q104" s="319"/>
      <c r="R104" s="319"/>
      <c r="S104" s="319"/>
      <c r="T104" s="323">
        <f t="shared" si="65"/>
        <v>0</v>
      </c>
      <c r="U104" s="319"/>
      <c r="V104" s="323">
        <f t="shared" si="66"/>
        <v>0.12191178950470896</v>
      </c>
      <c r="W104" s="324" t="s">
        <v>5195</v>
      </c>
      <c r="X104" s="324" t="s">
        <v>8</v>
      </c>
      <c r="Y104" s="324" t="s">
        <v>61</v>
      </c>
      <c r="Z104" s="319"/>
      <c r="AA104" s="324" t="s">
        <v>4696</v>
      </c>
      <c r="AB104" s="324" t="s">
        <v>4697</v>
      </c>
      <c r="AC104" s="319"/>
      <c r="AD104" s="319"/>
      <c r="AE104" s="319"/>
      <c r="AF104" s="319"/>
      <c r="AG104" s="319"/>
      <c r="AH104" s="319"/>
      <c r="AI104" s="319"/>
      <c r="AJ104" s="319"/>
      <c r="AK104" s="319"/>
      <c r="AL104" s="319"/>
      <c r="AM104" s="137" t="str">
        <f t="shared" si="61"/>
        <v>canfd_7</v>
      </c>
    </row>
    <row r="105" spans="1:39" ht="11.25" x14ac:dyDescent="0.2">
      <c r="A105" s="207" t="s">
        <v>5264</v>
      </c>
      <c r="B105" s="207" t="s">
        <v>11</v>
      </c>
      <c r="C105" s="209" t="str">
        <f t="shared" si="62"/>
        <v>dpi lvcmos io</v>
      </c>
      <c r="D105" s="227">
        <f t="shared" si="62"/>
        <v>44499</v>
      </c>
      <c r="E105" s="207" t="str">
        <f t="shared" si="62"/>
        <v>7 lvcmos io</v>
      </c>
      <c r="F105" s="207" t="str">
        <f t="shared" si="62"/>
        <v>dpi display</v>
      </c>
      <c r="G105" s="209">
        <v>0</v>
      </c>
      <c r="H105" s="216">
        <f t="shared" ca="1" si="54"/>
        <v>0</v>
      </c>
      <c r="I105" s="228" t="s">
        <v>4872</v>
      </c>
      <c r="J105" s="229"/>
      <c r="K105" s="207" t="str">
        <f ca="1">IFERROR(INDEX(INDIRECT(uc_sheet&amp;"!$A$1"):INDIRECT(uc_sheet&amp;"!$CZ$1000"),MATCH($A105&amp;$B105,INDIRECT(uc_sheet&amp;"!$a$1"):INDIRECT(uc_sheet&amp;"!$a$1000"),0),MATCH(use_case,INDIRECT(uc_sheet&amp;"!$A$1"):INDIRECT(uc_sheet&amp;"!$CZ$1"),0)+1),"absent")</f>
        <v>absent</v>
      </c>
      <c r="L105" s="224">
        <f ca="1">IFERROR(INDEX(INDIRECT(uc_sheet&amp;"!$A$1"):INDIRECT(uc_sheet&amp;"!$CZ$1000"),MATCH($A105&amp;$B105,INDIRECT(uc_sheet&amp;"!$a$1"):INDIRECT(uc_sheet&amp;"!$a$1000"),0),MATCH(use_case,INDIRECT(uc_sheet&amp;"!$A$1"):INDIRECT(uc_sheet&amp;"!$CZ$1"),0)),0)</f>
        <v>0</v>
      </c>
      <c r="M105" s="209">
        <f t="shared" si="63"/>
        <v>0</v>
      </c>
      <c r="N105" s="319"/>
      <c r="O105" s="323">
        <f t="shared" ca="1" si="64"/>
        <v>0</v>
      </c>
      <c r="P105" s="319"/>
      <c r="Q105" s="319"/>
      <c r="R105" s="319"/>
      <c r="S105" s="319"/>
      <c r="T105" s="323">
        <f t="shared" ca="1" si="65"/>
        <v>0</v>
      </c>
      <c r="U105" s="319"/>
      <c r="V105" s="323">
        <f t="shared" ca="1" si="66"/>
        <v>0</v>
      </c>
      <c r="W105" s="324" t="s">
        <v>5195</v>
      </c>
      <c r="X105" s="324" t="s">
        <v>8</v>
      </c>
      <c r="Y105" s="324" t="s">
        <v>61</v>
      </c>
      <c r="Z105" s="319"/>
      <c r="AA105" s="324" t="s">
        <v>4696</v>
      </c>
      <c r="AB105" s="324" t="s">
        <v>4697</v>
      </c>
      <c r="AC105" s="319"/>
      <c r="AD105" s="319"/>
      <c r="AE105" s="319"/>
      <c r="AF105" s="319"/>
      <c r="AG105" s="319"/>
      <c r="AH105" s="319"/>
      <c r="AI105" s="319"/>
      <c r="AJ105" s="319"/>
      <c r="AK105" s="319"/>
      <c r="AL105" s="319"/>
      <c r="AM105" s="137" t="str">
        <f t="shared" si="61"/>
        <v>dpi_0</v>
      </c>
    </row>
    <row r="106" spans="1:39" ht="11.25" x14ac:dyDescent="0.2">
      <c r="A106" s="207" t="s">
        <v>5267</v>
      </c>
      <c r="B106" s="207" t="s">
        <v>11</v>
      </c>
      <c r="C106" s="209" t="str">
        <f t="shared" si="62"/>
        <v>ecap lvcmos io</v>
      </c>
      <c r="D106" s="227">
        <f t="shared" si="62"/>
        <v>44499</v>
      </c>
      <c r="E106" s="207" t="str">
        <f t="shared" si="62"/>
        <v>7 lvcmos io</v>
      </c>
      <c r="F106" s="207" t="str">
        <f t="shared" si="62"/>
        <v>ecap</v>
      </c>
      <c r="G106" s="209">
        <v>1</v>
      </c>
      <c r="H106" s="216">
        <f t="shared" ca="1" si="54"/>
        <v>0</v>
      </c>
      <c r="I106" s="228" t="s">
        <v>4872</v>
      </c>
      <c r="J106" s="229"/>
      <c r="K106" s="207" t="str">
        <f ca="1">IFERROR(INDEX(INDIRECT(uc_sheet&amp;"!$A$1"):INDIRECT(uc_sheet&amp;"!$CZ$1000"),MATCH($A106&amp;$B106,INDIRECT(uc_sheet&amp;"!$a$1"):INDIRECT(uc_sheet&amp;"!$a$1000"),0),MATCH(use_case,INDIRECT(uc_sheet&amp;"!$A$1"):INDIRECT(uc_sheet&amp;"!$CZ$1"),0)+1),"absent")</f>
        <v>absent</v>
      </c>
      <c r="L106" s="224">
        <f ca="1">IFERROR(INDEX(INDIRECT(uc_sheet&amp;"!$A$1"):INDIRECT(uc_sheet&amp;"!$CZ$1000"),MATCH($A106&amp;$B106,INDIRECT(uc_sheet&amp;"!$a$1"):INDIRECT(uc_sheet&amp;"!$a$1000"),0),MATCH(use_case,INDIRECT(uc_sheet&amp;"!$A$1"):INDIRECT(uc_sheet&amp;"!$CZ$1"),0)),0)</f>
        <v>0</v>
      </c>
      <c r="M106" s="209">
        <f t="shared" si="63"/>
        <v>1</v>
      </c>
      <c r="N106" s="319"/>
      <c r="O106" s="323">
        <f t="shared" ca="1" si="64"/>
        <v>0</v>
      </c>
      <c r="P106" s="319"/>
      <c r="Q106" s="319"/>
      <c r="R106" s="319"/>
      <c r="S106" s="319"/>
      <c r="T106" s="323">
        <f t="shared" ca="1" si="65"/>
        <v>0</v>
      </c>
      <c r="U106" s="319"/>
      <c r="V106" s="323">
        <f t="shared" ca="1" si="66"/>
        <v>0</v>
      </c>
      <c r="W106" s="324" t="s">
        <v>5195</v>
      </c>
      <c r="X106" s="324" t="s">
        <v>8</v>
      </c>
      <c r="Y106" s="324" t="s">
        <v>61</v>
      </c>
      <c r="Z106" s="319"/>
      <c r="AA106" s="324" t="s">
        <v>4696</v>
      </c>
      <c r="AB106" s="324" t="s">
        <v>4697</v>
      </c>
      <c r="AC106" s="319"/>
      <c r="AD106" s="319"/>
      <c r="AE106" s="319"/>
      <c r="AF106" s="319"/>
      <c r="AG106" s="319"/>
      <c r="AH106" s="319"/>
      <c r="AI106" s="319"/>
      <c r="AJ106" s="319"/>
      <c r="AK106" s="319"/>
      <c r="AL106" s="319"/>
      <c r="AM106" s="137" t="str">
        <f t="shared" si="61"/>
        <v>ecap_0</v>
      </c>
    </row>
    <row r="107" spans="1:39" ht="11.25" x14ac:dyDescent="0.2">
      <c r="A107" s="207" t="s">
        <v>5267</v>
      </c>
      <c r="B107" s="207" t="s">
        <v>12</v>
      </c>
      <c r="C107" s="209" t="str">
        <f t="shared" si="62"/>
        <v>ecap lvcmos io</v>
      </c>
      <c r="D107" s="227">
        <f t="shared" si="62"/>
        <v>44499</v>
      </c>
      <c r="E107" s="207" t="str">
        <f t="shared" si="62"/>
        <v>7 lvcmos io</v>
      </c>
      <c r="F107" s="207" t="str">
        <f t="shared" si="62"/>
        <v>ecap</v>
      </c>
      <c r="G107" s="209">
        <v>1</v>
      </c>
      <c r="H107" s="216">
        <f t="shared" ca="1" si="54"/>
        <v>0</v>
      </c>
      <c r="I107" s="228" t="s">
        <v>4872</v>
      </c>
      <c r="J107" s="229"/>
      <c r="K107" s="207" t="str">
        <f ca="1">IFERROR(INDEX(INDIRECT(uc_sheet&amp;"!$A$1"):INDIRECT(uc_sheet&amp;"!$CZ$1000"),MATCH($A107&amp;$B107,INDIRECT(uc_sheet&amp;"!$a$1"):INDIRECT(uc_sheet&amp;"!$a$1000"),0),MATCH(use_case,INDIRECT(uc_sheet&amp;"!$A$1"):INDIRECT(uc_sheet&amp;"!$CZ$1"),0)+1),"absent")</f>
        <v>absent</v>
      </c>
      <c r="L107" s="224">
        <f ca="1">IFERROR(INDEX(INDIRECT(uc_sheet&amp;"!$A$1"):INDIRECT(uc_sheet&amp;"!$CZ$1000"),MATCH($A107&amp;$B107,INDIRECT(uc_sheet&amp;"!$a$1"):INDIRECT(uc_sheet&amp;"!$a$1000"),0),MATCH(use_case,INDIRECT(uc_sheet&amp;"!$A$1"):INDIRECT(uc_sheet&amp;"!$CZ$1"),0)),0)</f>
        <v>0</v>
      </c>
      <c r="M107" s="209">
        <f t="shared" si="63"/>
        <v>1</v>
      </c>
      <c r="N107" s="319"/>
      <c r="O107" s="323">
        <f t="shared" ca="1" si="64"/>
        <v>0</v>
      </c>
      <c r="P107" s="319"/>
      <c r="Q107" s="319"/>
      <c r="R107" s="319"/>
      <c r="S107" s="319"/>
      <c r="T107" s="323">
        <f t="shared" ca="1" si="65"/>
        <v>0</v>
      </c>
      <c r="U107" s="319"/>
      <c r="V107" s="323">
        <f t="shared" ca="1" si="66"/>
        <v>0</v>
      </c>
      <c r="W107" s="324" t="s">
        <v>5195</v>
      </c>
      <c r="X107" s="324" t="s">
        <v>8</v>
      </c>
      <c r="Y107" s="324" t="s">
        <v>61</v>
      </c>
      <c r="Z107" s="319"/>
      <c r="AA107" s="324" t="s">
        <v>4696</v>
      </c>
      <c r="AB107" s="324" t="s">
        <v>4697</v>
      </c>
      <c r="AC107" s="319"/>
      <c r="AD107" s="319"/>
      <c r="AE107" s="319"/>
      <c r="AF107" s="319"/>
      <c r="AG107" s="319"/>
      <c r="AH107" s="319"/>
      <c r="AI107" s="319"/>
      <c r="AJ107" s="319"/>
      <c r="AK107" s="319"/>
      <c r="AL107" s="319"/>
      <c r="AM107" s="137" t="str">
        <f t="shared" si="61"/>
        <v>ecap_1</v>
      </c>
    </row>
    <row r="108" spans="1:39" ht="11.25" x14ac:dyDescent="0.2">
      <c r="A108" s="207" t="s">
        <v>5267</v>
      </c>
      <c r="B108" s="207" t="s">
        <v>23</v>
      </c>
      <c r="C108" s="209" t="str">
        <f t="shared" si="62"/>
        <v>ecap lvcmos io</v>
      </c>
      <c r="D108" s="227">
        <f t="shared" si="62"/>
        <v>44499</v>
      </c>
      <c r="E108" s="207" t="str">
        <f t="shared" si="62"/>
        <v>7 lvcmos io</v>
      </c>
      <c r="F108" s="207" t="str">
        <f t="shared" si="62"/>
        <v>ecap</v>
      </c>
      <c r="G108" s="209">
        <v>1</v>
      </c>
      <c r="H108" s="216">
        <f t="shared" ca="1" si="54"/>
        <v>0</v>
      </c>
      <c r="I108" s="228" t="s">
        <v>4872</v>
      </c>
      <c r="J108" s="229"/>
      <c r="K108" s="207" t="str">
        <f ca="1">IFERROR(INDEX(INDIRECT(uc_sheet&amp;"!$A$1"):INDIRECT(uc_sheet&amp;"!$CZ$1000"),MATCH($A108&amp;$B108,INDIRECT(uc_sheet&amp;"!$a$1"):INDIRECT(uc_sheet&amp;"!$a$1000"),0),MATCH(use_case,INDIRECT(uc_sheet&amp;"!$A$1"):INDIRECT(uc_sheet&amp;"!$CZ$1"),0)+1),"absent")</f>
        <v>absent</v>
      </c>
      <c r="L108" s="224">
        <f ca="1">IFERROR(INDEX(INDIRECT(uc_sheet&amp;"!$A$1"):INDIRECT(uc_sheet&amp;"!$CZ$1000"),MATCH($A108&amp;$B108,INDIRECT(uc_sheet&amp;"!$a$1"):INDIRECT(uc_sheet&amp;"!$a$1000"),0),MATCH(use_case,INDIRECT(uc_sheet&amp;"!$A$1"):INDIRECT(uc_sheet&amp;"!$CZ$1"),0)),0)</f>
        <v>0</v>
      </c>
      <c r="M108" s="209">
        <f t="shared" si="63"/>
        <v>1</v>
      </c>
      <c r="N108" s="319"/>
      <c r="O108" s="323">
        <f t="shared" ca="1" si="64"/>
        <v>0</v>
      </c>
      <c r="P108" s="319"/>
      <c r="Q108" s="319"/>
      <c r="R108" s="319"/>
      <c r="S108" s="319"/>
      <c r="T108" s="323">
        <f t="shared" ca="1" si="65"/>
        <v>0</v>
      </c>
      <c r="U108" s="319"/>
      <c r="V108" s="323">
        <f t="shared" ca="1" si="66"/>
        <v>0</v>
      </c>
      <c r="W108" s="324" t="s">
        <v>5195</v>
      </c>
      <c r="X108" s="324" t="s">
        <v>8</v>
      </c>
      <c r="Y108" s="324" t="s">
        <v>61</v>
      </c>
      <c r="Z108" s="319"/>
      <c r="AA108" s="324" t="s">
        <v>4696</v>
      </c>
      <c r="AB108" s="324" t="s">
        <v>4697</v>
      </c>
      <c r="AC108" s="319"/>
      <c r="AD108" s="319"/>
      <c r="AE108" s="319"/>
      <c r="AF108" s="319"/>
      <c r="AG108" s="319"/>
      <c r="AH108" s="319"/>
      <c r="AI108" s="319"/>
      <c r="AJ108" s="319"/>
      <c r="AK108" s="319"/>
      <c r="AL108" s="319"/>
      <c r="AM108" s="137" t="str">
        <f t="shared" si="61"/>
        <v>ecap_10</v>
      </c>
    </row>
    <row r="109" spans="1:39" ht="11.25" x14ac:dyDescent="0.2">
      <c r="A109" s="207" t="s">
        <v>5267</v>
      </c>
      <c r="B109" s="207" t="s">
        <v>24</v>
      </c>
      <c r="C109" s="209" t="str">
        <f t="shared" si="62"/>
        <v>ecap lvcmos io</v>
      </c>
      <c r="D109" s="227">
        <f t="shared" si="62"/>
        <v>44499</v>
      </c>
      <c r="E109" s="207" t="str">
        <f t="shared" si="62"/>
        <v>7 lvcmos io</v>
      </c>
      <c r="F109" s="207" t="str">
        <f t="shared" si="62"/>
        <v>ecap</v>
      </c>
      <c r="G109" s="209">
        <v>1</v>
      </c>
      <c r="H109" s="216">
        <f t="shared" ca="1" si="54"/>
        <v>0</v>
      </c>
      <c r="I109" s="228" t="s">
        <v>4872</v>
      </c>
      <c r="J109" s="229"/>
      <c r="K109" s="207" t="str">
        <f ca="1">IFERROR(INDEX(INDIRECT(uc_sheet&amp;"!$A$1"):INDIRECT(uc_sheet&amp;"!$CZ$1000"),MATCH($A109&amp;$B109,INDIRECT(uc_sheet&amp;"!$a$1"):INDIRECT(uc_sheet&amp;"!$a$1000"),0),MATCH(use_case,INDIRECT(uc_sheet&amp;"!$A$1"):INDIRECT(uc_sheet&amp;"!$CZ$1"),0)+1),"absent")</f>
        <v>absent</v>
      </c>
      <c r="L109" s="224">
        <f ca="1">IFERROR(INDEX(INDIRECT(uc_sheet&amp;"!$A$1"):INDIRECT(uc_sheet&amp;"!$CZ$1000"),MATCH($A109&amp;$B109,INDIRECT(uc_sheet&amp;"!$a$1"):INDIRECT(uc_sheet&amp;"!$a$1000"),0),MATCH(use_case,INDIRECT(uc_sheet&amp;"!$A$1"):INDIRECT(uc_sheet&amp;"!$CZ$1"),0)),0)</f>
        <v>0</v>
      </c>
      <c r="M109" s="209">
        <f t="shared" si="63"/>
        <v>1</v>
      </c>
      <c r="N109" s="319"/>
      <c r="O109" s="323">
        <f t="shared" ca="1" si="64"/>
        <v>0</v>
      </c>
      <c r="P109" s="319"/>
      <c r="Q109" s="319"/>
      <c r="R109" s="319"/>
      <c r="S109" s="319"/>
      <c r="T109" s="323">
        <f t="shared" ca="1" si="65"/>
        <v>0</v>
      </c>
      <c r="U109" s="319"/>
      <c r="V109" s="323">
        <f t="shared" ca="1" si="66"/>
        <v>0</v>
      </c>
      <c r="W109" s="324" t="s">
        <v>5195</v>
      </c>
      <c r="X109" s="324" t="s">
        <v>8</v>
      </c>
      <c r="Y109" s="324" t="s">
        <v>61</v>
      </c>
      <c r="Z109" s="319"/>
      <c r="AA109" s="324" t="s">
        <v>4696</v>
      </c>
      <c r="AB109" s="324" t="s">
        <v>4697</v>
      </c>
      <c r="AC109" s="319"/>
      <c r="AD109" s="319"/>
      <c r="AE109" s="319"/>
      <c r="AF109" s="319"/>
      <c r="AG109" s="319"/>
      <c r="AH109" s="319"/>
      <c r="AI109" s="319"/>
      <c r="AJ109" s="319"/>
      <c r="AK109" s="319"/>
      <c r="AL109" s="319"/>
      <c r="AM109" s="137" t="str">
        <f t="shared" si="61"/>
        <v>ecap_11</v>
      </c>
    </row>
    <row r="110" spans="1:39" ht="11.25" x14ac:dyDescent="0.2">
      <c r="A110" s="207" t="s">
        <v>5267</v>
      </c>
      <c r="B110" s="207" t="s">
        <v>71</v>
      </c>
      <c r="C110" s="209" t="str">
        <f t="shared" si="62"/>
        <v>ecap lvcmos io</v>
      </c>
      <c r="D110" s="227">
        <f t="shared" si="62"/>
        <v>44499</v>
      </c>
      <c r="E110" s="207" t="str">
        <f t="shared" si="62"/>
        <v>7 lvcmos io</v>
      </c>
      <c r="F110" s="207" t="str">
        <f t="shared" si="62"/>
        <v>ecap</v>
      </c>
      <c r="G110" s="209">
        <v>1</v>
      </c>
      <c r="H110" s="216">
        <f t="shared" ca="1" si="54"/>
        <v>0</v>
      </c>
      <c r="I110" s="228" t="s">
        <v>4872</v>
      </c>
      <c r="J110" s="229"/>
      <c r="K110" s="207" t="str">
        <f ca="1">IFERROR(INDEX(INDIRECT(uc_sheet&amp;"!$A$1"):INDIRECT(uc_sheet&amp;"!$CZ$1000"),MATCH($A110&amp;$B110,INDIRECT(uc_sheet&amp;"!$a$1"):INDIRECT(uc_sheet&amp;"!$a$1000"),0),MATCH(use_case,INDIRECT(uc_sheet&amp;"!$A$1"):INDIRECT(uc_sheet&amp;"!$CZ$1"),0)+1),"absent")</f>
        <v>absent</v>
      </c>
      <c r="L110" s="224">
        <f ca="1">IFERROR(INDEX(INDIRECT(uc_sheet&amp;"!$A$1"):INDIRECT(uc_sheet&amp;"!$CZ$1000"),MATCH($A110&amp;$B110,INDIRECT(uc_sheet&amp;"!$a$1"):INDIRECT(uc_sheet&amp;"!$a$1000"),0),MATCH(use_case,INDIRECT(uc_sheet&amp;"!$A$1"):INDIRECT(uc_sheet&amp;"!$CZ$1"),0)),0)</f>
        <v>0</v>
      </c>
      <c r="M110" s="209">
        <f t="shared" si="63"/>
        <v>1</v>
      </c>
      <c r="N110" s="319"/>
      <c r="O110" s="323">
        <f t="shared" ca="1" si="64"/>
        <v>0</v>
      </c>
      <c r="P110" s="319"/>
      <c r="Q110" s="319"/>
      <c r="R110" s="319"/>
      <c r="S110" s="319"/>
      <c r="T110" s="323">
        <f t="shared" ca="1" si="65"/>
        <v>0</v>
      </c>
      <c r="U110" s="319"/>
      <c r="V110" s="323">
        <f t="shared" ca="1" si="66"/>
        <v>0</v>
      </c>
      <c r="W110" s="324" t="s">
        <v>5195</v>
      </c>
      <c r="X110" s="324" t="s">
        <v>8</v>
      </c>
      <c r="Y110" s="324" t="s">
        <v>61</v>
      </c>
      <c r="Z110" s="319"/>
      <c r="AA110" s="324" t="s">
        <v>4696</v>
      </c>
      <c r="AB110" s="324" t="s">
        <v>4697</v>
      </c>
      <c r="AC110" s="319"/>
      <c r="AD110" s="319"/>
      <c r="AE110" s="319"/>
      <c r="AF110" s="319"/>
      <c r="AG110" s="319"/>
      <c r="AH110" s="319"/>
      <c r="AI110" s="319"/>
      <c r="AJ110" s="319"/>
      <c r="AK110" s="319"/>
      <c r="AL110" s="319"/>
      <c r="AM110" s="137" t="str">
        <f t="shared" si="61"/>
        <v>ecap_12</v>
      </c>
    </row>
    <row r="111" spans="1:39" ht="11.25" x14ac:dyDescent="0.2">
      <c r="A111" s="207" t="s">
        <v>5267</v>
      </c>
      <c r="B111" s="207" t="s">
        <v>72</v>
      </c>
      <c r="C111" s="209" t="str">
        <f t="shared" ref="C111:F130" si="69">VLOOKUP($A111&amp;"_"&amp;C$2,MDB,6,0)</f>
        <v>ecap lvcmos io</v>
      </c>
      <c r="D111" s="227">
        <f t="shared" si="69"/>
        <v>44499</v>
      </c>
      <c r="E111" s="207" t="str">
        <f t="shared" si="69"/>
        <v>7 lvcmos io</v>
      </c>
      <c r="F111" s="207" t="str">
        <f t="shared" si="69"/>
        <v>ecap</v>
      </c>
      <c r="G111" s="209">
        <v>1</v>
      </c>
      <c r="H111" s="216">
        <f t="shared" ca="1" si="54"/>
        <v>0</v>
      </c>
      <c r="I111" s="228" t="s">
        <v>4872</v>
      </c>
      <c r="J111" s="229"/>
      <c r="K111" s="207" t="str">
        <f ca="1">IFERROR(INDEX(INDIRECT(uc_sheet&amp;"!$A$1"):INDIRECT(uc_sheet&amp;"!$CZ$1000"),MATCH($A111&amp;$B111,INDIRECT(uc_sheet&amp;"!$a$1"):INDIRECT(uc_sheet&amp;"!$a$1000"),0),MATCH(use_case,INDIRECT(uc_sheet&amp;"!$A$1"):INDIRECT(uc_sheet&amp;"!$CZ$1"),0)+1),"absent")</f>
        <v>absent</v>
      </c>
      <c r="L111" s="224">
        <f ca="1">IFERROR(INDEX(INDIRECT(uc_sheet&amp;"!$A$1"):INDIRECT(uc_sheet&amp;"!$CZ$1000"),MATCH($A111&amp;$B111,INDIRECT(uc_sheet&amp;"!$a$1"):INDIRECT(uc_sheet&amp;"!$a$1000"),0),MATCH(use_case,INDIRECT(uc_sheet&amp;"!$A$1"):INDIRECT(uc_sheet&amp;"!$CZ$1"),0)),0)</f>
        <v>0</v>
      </c>
      <c r="M111" s="209">
        <f t="shared" si="63"/>
        <v>1</v>
      </c>
      <c r="N111" s="319"/>
      <c r="O111" s="323">
        <f t="shared" ca="1" si="64"/>
        <v>0</v>
      </c>
      <c r="P111" s="319"/>
      <c r="Q111" s="319"/>
      <c r="R111" s="319"/>
      <c r="S111" s="319"/>
      <c r="T111" s="323">
        <f t="shared" ca="1" si="65"/>
        <v>0</v>
      </c>
      <c r="U111" s="319"/>
      <c r="V111" s="323">
        <f t="shared" ca="1" si="66"/>
        <v>0</v>
      </c>
      <c r="W111" s="324" t="s">
        <v>5195</v>
      </c>
      <c r="X111" s="324" t="s">
        <v>8</v>
      </c>
      <c r="Y111" s="324" t="s">
        <v>61</v>
      </c>
      <c r="Z111" s="319"/>
      <c r="AA111" s="324" t="s">
        <v>4696</v>
      </c>
      <c r="AB111" s="324" t="s">
        <v>4697</v>
      </c>
      <c r="AC111" s="319"/>
      <c r="AD111" s="319"/>
      <c r="AE111" s="319"/>
      <c r="AF111" s="319"/>
      <c r="AG111" s="319"/>
      <c r="AH111" s="319"/>
      <c r="AI111" s="319"/>
      <c r="AJ111" s="319"/>
      <c r="AK111" s="319"/>
      <c r="AL111" s="319"/>
      <c r="AM111" s="137" t="str">
        <f t="shared" si="61"/>
        <v>ecap_13</v>
      </c>
    </row>
    <row r="112" spans="1:39" ht="11.25" x14ac:dyDescent="0.2">
      <c r="A112" s="207" t="s">
        <v>5267</v>
      </c>
      <c r="B112" s="207" t="s">
        <v>73</v>
      </c>
      <c r="C112" s="209" t="str">
        <f t="shared" si="69"/>
        <v>ecap lvcmos io</v>
      </c>
      <c r="D112" s="227">
        <f t="shared" si="69"/>
        <v>44499</v>
      </c>
      <c r="E112" s="207" t="str">
        <f t="shared" si="69"/>
        <v>7 lvcmos io</v>
      </c>
      <c r="F112" s="207" t="str">
        <f t="shared" si="69"/>
        <v>ecap</v>
      </c>
      <c r="G112" s="209">
        <v>1</v>
      </c>
      <c r="H112" s="216">
        <f t="shared" ca="1" si="54"/>
        <v>0</v>
      </c>
      <c r="I112" s="228" t="s">
        <v>4872</v>
      </c>
      <c r="J112" s="229"/>
      <c r="K112" s="207" t="str">
        <f ca="1">IFERROR(INDEX(INDIRECT(uc_sheet&amp;"!$A$1"):INDIRECT(uc_sheet&amp;"!$CZ$1000"),MATCH($A112&amp;$B112,INDIRECT(uc_sheet&amp;"!$a$1"):INDIRECT(uc_sheet&amp;"!$a$1000"),0),MATCH(use_case,INDIRECT(uc_sheet&amp;"!$A$1"):INDIRECT(uc_sheet&amp;"!$CZ$1"),0)+1),"absent")</f>
        <v>absent</v>
      </c>
      <c r="L112" s="224">
        <f ca="1">IFERROR(INDEX(INDIRECT(uc_sheet&amp;"!$A$1"):INDIRECT(uc_sheet&amp;"!$CZ$1000"),MATCH($A112&amp;$B112,INDIRECT(uc_sheet&amp;"!$a$1"):INDIRECT(uc_sheet&amp;"!$a$1000"),0),MATCH(use_case,INDIRECT(uc_sheet&amp;"!$A$1"):INDIRECT(uc_sheet&amp;"!$CZ$1"),0)),0)</f>
        <v>0</v>
      </c>
      <c r="M112" s="209">
        <f t="shared" si="63"/>
        <v>1</v>
      </c>
      <c r="N112" s="319"/>
      <c r="O112" s="323">
        <f t="shared" ca="1" si="64"/>
        <v>0</v>
      </c>
      <c r="P112" s="319"/>
      <c r="Q112" s="319"/>
      <c r="R112" s="319"/>
      <c r="S112" s="319"/>
      <c r="T112" s="323">
        <f t="shared" ca="1" si="65"/>
        <v>0</v>
      </c>
      <c r="U112" s="319"/>
      <c r="V112" s="323">
        <f t="shared" ca="1" si="66"/>
        <v>0</v>
      </c>
      <c r="W112" s="324" t="s">
        <v>5195</v>
      </c>
      <c r="X112" s="324" t="s">
        <v>8</v>
      </c>
      <c r="Y112" s="324" t="s">
        <v>61</v>
      </c>
      <c r="Z112" s="319"/>
      <c r="AA112" s="324" t="s">
        <v>4696</v>
      </c>
      <c r="AB112" s="324" t="s">
        <v>4697</v>
      </c>
      <c r="AC112" s="319"/>
      <c r="AD112" s="319"/>
      <c r="AE112" s="319"/>
      <c r="AF112" s="319"/>
      <c r="AG112" s="319"/>
      <c r="AH112" s="319"/>
      <c r="AI112" s="319"/>
      <c r="AJ112" s="319"/>
      <c r="AK112" s="319"/>
      <c r="AL112" s="319"/>
      <c r="AM112" s="137" t="str">
        <f t="shared" si="61"/>
        <v>ecap_14</v>
      </c>
    </row>
    <row r="113" spans="1:39" ht="11.25" x14ac:dyDescent="0.2">
      <c r="A113" s="207" t="s">
        <v>5267</v>
      </c>
      <c r="B113" s="207" t="s">
        <v>74</v>
      </c>
      <c r="C113" s="209" t="str">
        <f t="shared" si="69"/>
        <v>ecap lvcmos io</v>
      </c>
      <c r="D113" s="227">
        <f t="shared" si="69"/>
        <v>44499</v>
      </c>
      <c r="E113" s="207" t="str">
        <f t="shared" si="69"/>
        <v>7 lvcmos io</v>
      </c>
      <c r="F113" s="207" t="str">
        <f t="shared" si="69"/>
        <v>ecap</v>
      </c>
      <c r="G113" s="209">
        <v>1</v>
      </c>
      <c r="H113" s="216">
        <f t="shared" ca="1" si="54"/>
        <v>0</v>
      </c>
      <c r="I113" s="228" t="s">
        <v>4872</v>
      </c>
      <c r="J113" s="229"/>
      <c r="K113" s="207" t="str">
        <f ca="1">IFERROR(INDEX(INDIRECT(uc_sheet&amp;"!$A$1"):INDIRECT(uc_sheet&amp;"!$CZ$1000"),MATCH($A113&amp;$B113,INDIRECT(uc_sheet&amp;"!$a$1"):INDIRECT(uc_sheet&amp;"!$a$1000"),0),MATCH(use_case,INDIRECT(uc_sheet&amp;"!$A$1"):INDIRECT(uc_sheet&amp;"!$CZ$1"),0)+1),"absent")</f>
        <v>absent</v>
      </c>
      <c r="L113" s="224">
        <f ca="1">IFERROR(INDEX(INDIRECT(uc_sheet&amp;"!$A$1"):INDIRECT(uc_sheet&amp;"!$CZ$1000"),MATCH($A113&amp;$B113,INDIRECT(uc_sheet&amp;"!$a$1"):INDIRECT(uc_sheet&amp;"!$a$1000"),0),MATCH(use_case,INDIRECT(uc_sheet&amp;"!$A$1"):INDIRECT(uc_sheet&amp;"!$CZ$1"),0)),0)</f>
        <v>0</v>
      </c>
      <c r="M113" s="209">
        <f t="shared" si="63"/>
        <v>1</v>
      </c>
      <c r="N113" s="319"/>
      <c r="O113" s="323">
        <f t="shared" ca="1" si="64"/>
        <v>0</v>
      </c>
      <c r="P113" s="319"/>
      <c r="Q113" s="319"/>
      <c r="R113" s="319"/>
      <c r="S113" s="319"/>
      <c r="T113" s="323">
        <f t="shared" ca="1" si="65"/>
        <v>0</v>
      </c>
      <c r="U113" s="319"/>
      <c r="V113" s="323">
        <f t="shared" ca="1" si="66"/>
        <v>0</v>
      </c>
      <c r="W113" s="324" t="s">
        <v>5195</v>
      </c>
      <c r="X113" s="324" t="s">
        <v>8</v>
      </c>
      <c r="Y113" s="324" t="s">
        <v>61</v>
      </c>
      <c r="Z113" s="319"/>
      <c r="AA113" s="324" t="s">
        <v>4696</v>
      </c>
      <c r="AB113" s="324" t="s">
        <v>4697</v>
      </c>
      <c r="AC113" s="319"/>
      <c r="AD113" s="319"/>
      <c r="AE113" s="319"/>
      <c r="AF113" s="319"/>
      <c r="AG113" s="319"/>
      <c r="AH113" s="319"/>
      <c r="AI113" s="319"/>
      <c r="AJ113" s="319"/>
      <c r="AK113" s="319"/>
      <c r="AL113" s="319"/>
      <c r="AM113" s="137" t="str">
        <f t="shared" si="61"/>
        <v>ecap_15</v>
      </c>
    </row>
    <row r="114" spans="1:39" ht="11.25" x14ac:dyDescent="0.2">
      <c r="A114" s="207" t="s">
        <v>5267</v>
      </c>
      <c r="B114" s="207" t="s">
        <v>13</v>
      </c>
      <c r="C114" s="209" t="str">
        <f t="shared" si="69"/>
        <v>ecap lvcmos io</v>
      </c>
      <c r="D114" s="227">
        <f t="shared" si="69"/>
        <v>44499</v>
      </c>
      <c r="E114" s="207" t="str">
        <f t="shared" si="69"/>
        <v>7 lvcmos io</v>
      </c>
      <c r="F114" s="207" t="str">
        <f t="shared" si="69"/>
        <v>ecap</v>
      </c>
      <c r="G114" s="209">
        <v>1</v>
      </c>
      <c r="H114" s="216">
        <f t="shared" ca="1" si="54"/>
        <v>0</v>
      </c>
      <c r="I114" s="228" t="s">
        <v>4872</v>
      </c>
      <c r="J114" s="229"/>
      <c r="K114" s="207" t="str">
        <f ca="1">IFERROR(INDEX(INDIRECT(uc_sheet&amp;"!$A$1"):INDIRECT(uc_sheet&amp;"!$CZ$1000"),MATCH($A114&amp;$B114,INDIRECT(uc_sheet&amp;"!$a$1"):INDIRECT(uc_sheet&amp;"!$a$1000"),0),MATCH(use_case,INDIRECT(uc_sheet&amp;"!$A$1"):INDIRECT(uc_sheet&amp;"!$CZ$1"),0)+1),"absent")</f>
        <v>absent</v>
      </c>
      <c r="L114" s="224">
        <f ca="1">IFERROR(INDEX(INDIRECT(uc_sheet&amp;"!$A$1"):INDIRECT(uc_sheet&amp;"!$CZ$1000"),MATCH($A114&amp;$B114,INDIRECT(uc_sheet&amp;"!$a$1"):INDIRECT(uc_sheet&amp;"!$a$1000"),0),MATCH(use_case,INDIRECT(uc_sheet&amp;"!$A$1"):INDIRECT(uc_sheet&amp;"!$CZ$1"),0)),0)</f>
        <v>0</v>
      </c>
      <c r="M114" s="209">
        <f t="shared" si="63"/>
        <v>1</v>
      </c>
      <c r="N114" s="319"/>
      <c r="O114" s="323">
        <f t="shared" ca="1" si="64"/>
        <v>0</v>
      </c>
      <c r="P114" s="319"/>
      <c r="Q114" s="319"/>
      <c r="R114" s="319"/>
      <c r="S114" s="319"/>
      <c r="T114" s="323">
        <f t="shared" ca="1" si="65"/>
        <v>0</v>
      </c>
      <c r="U114" s="319"/>
      <c r="V114" s="323">
        <f t="shared" ca="1" si="66"/>
        <v>0</v>
      </c>
      <c r="W114" s="324" t="s">
        <v>5195</v>
      </c>
      <c r="X114" s="324" t="s">
        <v>8</v>
      </c>
      <c r="Y114" s="324" t="s">
        <v>61</v>
      </c>
      <c r="Z114" s="319"/>
      <c r="AA114" s="324" t="s">
        <v>4696</v>
      </c>
      <c r="AB114" s="324" t="s">
        <v>4697</v>
      </c>
      <c r="AC114" s="319"/>
      <c r="AD114" s="319"/>
      <c r="AE114" s="319"/>
      <c r="AF114" s="319"/>
      <c r="AG114" s="319"/>
      <c r="AH114" s="319"/>
      <c r="AI114" s="319"/>
      <c r="AJ114" s="319"/>
      <c r="AK114" s="319"/>
      <c r="AL114" s="319"/>
      <c r="AM114" s="137" t="str">
        <f t="shared" si="61"/>
        <v>ecap_2</v>
      </c>
    </row>
    <row r="115" spans="1:39" ht="11.25" x14ac:dyDescent="0.2">
      <c r="A115" s="207" t="s">
        <v>5267</v>
      </c>
      <c r="B115" s="207" t="s">
        <v>14</v>
      </c>
      <c r="C115" s="209" t="str">
        <f t="shared" si="69"/>
        <v>ecap lvcmos io</v>
      </c>
      <c r="D115" s="227">
        <f t="shared" si="69"/>
        <v>44499</v>
      </c>
      <c r="E115" s="207" t="str">
        <f t="shared" si="69"/>
        <v>7 lvcmos io</v>
      </c>
      <c r="F115" s="207" t="str">
        <f t="shared" si="69"/>
        <v>ecap</v>
      </c>
      <c r="G115" s="209">
        <v>1</v>
      </c>
      <c r="H115" s="216">
        <f t="shared" ca="1" si="54"/>
        <v>0</v>
      </c>
      <c r="I115" s="228" t="s">
        <v>4872</v>
      </c>
      <c r="J115" s="229"/>
      <c r="K115" s="207" t="str">
        <f ca="1">IFERROR(INDEX(INDIRECT(uc_sheet&amp;"!$A$1"):INDIRECT(uc_sheet&amp;"!$CZ$1000"),MATCH($A115&amp;$B115,INDIRECT(uc_sheet&amp;"!$a$1"):INDIRECT(uc_sheet&amp;"!$a$1000"),0),MATCH(use_case,INDIRECT(uc_sheet&amp;"!$A$1"):INDIRECT(uc_sheet&amp;"!$CZ$1"),0)+1),"absent")</f>
        <v>absent</v>
      </c>
      <c r="L115" s="224">
        <f ca="1">IFERROR(INDEX(INDIRECT(uc_sheet&amp;"!$A$1"):INDIRECT(uc_sheet&amp;"!$CZ$1000"),MATCH($A115&amp;$B115,INDIRECT(uc_sheet&amp;"!$a$1"):INDIRECT(uc_sheet&amp;"!$a$1000"),0),MATCH(use_case,INDIRECT(uc_sheet&amp;"!$A$1"):INDIRECT(uc_sheet&amp;"!$CZ$1"),0)),0)</f>
        <v>0</v>
      </c>
      <c r="M115" s="209">
        <f t="shared" si="63"/>
        <v>1</v>
      </c>
      <c r="N115" s="319"/>
      <c r="O115" s="323">
        <f t="shared" ca="1" si="64"/>
        <v>0</v>
      </c>
      <c r="P115" s="319"/>
      <c r="Q115" s="319"/>
      <c r="R115" s="319"/>
      <c r="S115" s="319"/>
      <c r="T115" s="323">
        <f t="shared" ca="1" si="65"/>
        <v>0</v>
      </c>
      <c r="U115" s="319"/>
      <c r="V115" s="323">
        <f t="shared" ca="1" si="66"/>
        <v>0</v>
      </c>
      <c r="W115" s="324" t="s">
        <v>5195</v>
      </c>
      <c r="X115" s="324" t="s">
        <v>8</v>
      </c>
      <c r="Y115" s="324" t="s">
        <v>61</v>
      </c>
      <c r="Z115" s="319"/>
      <c r="AA115" s="324" t="s">
        <v>4696</v>
      </c>
      <c r="AB115" s="324" t="s">
        <v>4697</v>
      </c>
      <c r="AC115" s="319"/>
      <c r="AD115" s="319"/>
      <c r="AE115" s="319"/>
      <c r="AF115" s="319"/>
      <c r="AG115" s="319"/>
      <c r="AH115" s="319"/>
      <c r="AI115" s="319"/>
      <c r="AJ115" s="319"/>
      <c r="AK115" s="319"/>
      <c r="AL115" s="319"/>
      <c r="AM115" s="137" t="str">
        <f t="shared" si="61"/>
        <v>ecap_3</v>
      </c>
    </row>
    <row r="116" spans="1:39" ht="11.25" x14ac:dyDescent="0.2">
      <c r="A116" s="207" t="s">
        <v>5267</v>
      </c>
      <c r="B116" s="207" t="s">
        <v>15</v>
      </c>
      <c r="C116" s="209" t="str">
        <f t="shared" si="69"/>
        <v>ecap lvcmos io</v>
      </c>
      <c r="D116" s="227">
        <f t="shared" si="69"/>
        <v>44499</v>
      </c>
      <c r="E116" s="207" t="str">
        <f t="shared" si="69"/>
        <v>7 lvcmos io</v>
      </c>
      <c r="F116" s="207" t="str">
        <f t="shared" si="69"/>
        <v>ecap</v>
      </c>
      <c r="G116" s="209">
        <v>1</v>
      </c>
      <c r="H116" s="216">
        <f t="shared" ca="1" si="54"/>
        <v>0</v>
      </c>
      <c r="I116" s="228" t="s">
        <v>4872</v>
      </c>
      <c r="J116" s="229"/>
      <c r="K116" s="207" t="str">
        <f ca="1">IFERROR(INDEX(INDIRECT(uc_sheet&amp;"!$A$1"):INDIRECT(uc_sheet&amp;"!$CZ$1000"),MATCH($A116&amp;$B116,INDIRECT(uc_sheet&amp;"!$a$1"):INDIRECT(uc_sheet&amp;"!$a$1000"),0),MATCH(use_case,INDIRECT(uc_sheet&amp;"!$A$1"):INDIRECT(uc_sheet&amp;"!$CZ$1"),0)+1),"absent")</f>
        <v>absent</v>
      </c>
      <c r="L116" s="224">
        <f ca="1">IFERROR(INDEX(INDIRECT(uc_sheet&amp;"!$A$1"):INDIRECT(uc_sheet&amp;"!$CZ$1000"),MATCH($A116&amp;$B116,INDIRECT(uc_sheet&amp;"!$a$1"):INDIRECT(uc_sheet&amp;"!$a$1000"),0),MATCH(use_case,INDIRECT(uc_sheet&amp;"!$A$1"):INDIRECT(uc_sheet&amp;"!$CZ$1"),0)),0)</f>
        <v>0</v>
      </c>
      <c r="M116" s="209">
        <f t="shared" si="63"/>
        <v>1</v>
      </c>
      <c r="N116" s="319"/>
      <c r="O116" s="323">
        <f t="shared" ca="1" si="64"/>
        <v>0</v>
      </c>
      <c r="P116" s="319"/>
      <c r="Q116" s="319"/>
      <c r="R116" s="319"/>
      <c r="S116" s="319"/>
      <c r="T116" s="323">
        <f t="shared" ca="1" si="65"/>
        <v>0</v>
      </c>
      <c r="U116" s="319"/>
      <c r="V116" s="323">
        <f t="shared" ca="1" si="66"/>
        <v>0</v>
      </c>
      <c r="W116" s="324" t="s">
        <v>5195</v>
      </c>
      <c r="X116" s="324" t="s">
        <v>8</v>
      </c>
      <c r="Y116" s="324" t="s">
        <v>61</v>
      </c>
      <c r="Z116" s="319"/>
      <c r="AA116" s="324" t="s">
        <v>4696</v>
      </c>
      <c r="AB116" s="324" t="s">
        <v>4697</v>
      </c>
      <c r="AC116" s="319"/>
      <c r="AD116" s="319"/>
      <c r="AE116" s="319"/>
      <c r="AF116" s="319"/>
      <c r="AG116" s="319"/>
      <c r="AH116" s="319"/>
      <c r="AI116" s="319"/>
      <c r="AJ116" s="319"/>
      <c r="AK116" s="319"/>
      <c r="AL116" s="319"/>
      <c r="AM116" s="137" t="str">
        <f t="shared" si="61"/>
        <v>ecap_4</v>
      </c>
    </row>
    <row r="117" spans="1:39" ht="11.25" x14ac:dyDescent="0.2">
      <c r="A117" s="207" t="s">
        <v>5267</v>
      </c>
      <c r="B117" s="207" t="s">
        <v>16</v>
      </c>
      <c r="C117" s="209" t="str">
        <f t="shared" si="69"/>
        <v>ecap lvcmos io</v>
      </c>
      <c r="D117" s="227">
        <f t="shared" si="69"/>
        <v>44499</v>
      </c>
      <c r="E117" s="207" t="str">
        <f t="shared" si="69"/>
        <v>7 lvcmos io</v>
      </c>
      <c r="F117" s="207" t="str">
        <f t="shared" si="69"/>
        <v>ecap</v>
      </c>
      <c r="G117" s="209">
        <v>1</v>
      </c>
      <c r="H117" s="216">
        <f t="shared" ca="1" si="54"/>
        <v>0</v>
      </c>
      <c r="I117" s="228" t="s">
        <v>4872</v>
      </c>
      <c r="J117" s="229"/>
      <c r="K117" s="207" t="str">
        <f ca="1">IFERROR(INDEX(INDIRECT(uc_sheet&amp;"!$A$1"):INDIRECT(uc_sheet&amp;"!$CZ$1000"),MATCH($A117&amp;$B117,INDIRECT(uc_sheet&amp;"!$a$1"):INDIRECT(uc_sheet&amp;"!$a$1000"),0),MATCH(use_case,INDIRECT(uc_sheet&amp;"!$A$1"):INDIRECT(uc_sheet&amp;"!$CZ$1"),0)+1),"absent")</f>
        <v>absent</v>
      </c>
      <c r="L117" s="224">
        <f ca="1">IFERROR(INDEX(INDIRECT(uc_sheet&amp;"!$A$1"):INDIRECT(uc_sheet&amp;"!$CZ$1000"),MATCH($A117&amp;$B117,INDIRECT(uc_sheet&amp;"!$a$1"):INDIRECT(uc_sheet&amp;"!$a$1000"),0),MATCH(use_case,INDIRECT(uc_sheet&amp;"!$A$1"):INDIRECT(uc_sheet&amp;"!$CZ$1"),0)),0)</f>
        <v>0</v>
      </c>
      <c r="M117" s="209">
        <f t="shared" si="63"/>
        <v>1</v>
      </c>
      <c r="N117" s="319"/>
      <c r="O117" s="323">
        <f t="shared" ca="1" si="64"/>
        <v>0</v>
      </c>
      <c r="P117" s="319"/>
      <c r="Q117" s="319"/>
      <c r="R117" s="319"/>
      <c r="S117" s="319"/>
      <c r="T117" s="323">
        <f t="shared" ca="1" si="65"/>
        <v>0</v>
      </c>
      <c r="U117" s="319"/>
      <c r="V117" s="323">
        <f t="shared" ca="1" si="66"/>
        <v>0</v>
      </c>
      <c r="W117" s="324" t="s">
        <v>5195</v>
      </c>
      <c r="X117" s="324" t="s">
        <v>8</v>
      </c>
      <c r="Y117" s="324" t="s">
        <v>61</v>
      </c>
      <c r="Z117" s="319"/>
      <c r="AA117" s="324" t="s">
        <v>4696</v>
      </c>
      <c r="AB117" s="324" t="s">
        <v>4697</v>
      </c>
      <c r="AC117" s="319"/>
      <c r="AD117" s="319"/>
      <c r="AE117" s="319"/>
      <c r="AF117" s="319"/>
      <c r="AG117" s="319"/>
      <c r="AH117" s="319"/>
      <c r="AI117" s="319"/>
      <c r="AJ117" s="319"/>
      <c r="AK117" s="319"/>
      <c r="AL117" s="319"/>
      <c r="AM117" s="137" t="str">
        <f t="shared" si="61"/>
        <v>ecap_5</v>
      </c>
    </row>
    <row r="118" spans="1:39" ht="11.25" x14ac:dyDescent="0.2">
      <c r="A118" s="207" t="s">
        <v>5267</v>
      </c>
      <c r="B118" s="207" t="s">
        <v>17</v>
      </c>
      <c r="C118" s="209" t="str">
        <f t="shared" si="69"/>
        <v>ecap lvcmos io</v>
      </c>
      <c r="D118" s="227">
        <f t="shared" si="69"/>
        <v>44499</v>
      </c>
      <c r="E118" s="207" t="str">
        <f t="shared" si="69"/>
        <v>7 lvcmos io</v>
      </c>
      <c r="F118" s="207" t="str">
        <f t="shared" si="69"/>
        <v>ecap</v>
      </c>
      <c r="G118" s="209">
        <v>1</v>
      </c>
      <c r="H118" s="216">
        <f t="shared" ca="1" si="54"/>
        <v>0</v>
      </c>
      <c r="I118" s="228" t="s">
        <v>4872</v>
      </c>
      <c r="J118" s="229"/>
      <c r="K118" s="207" t="str">
        <f ca="1">IFERROR(INDEX(INDIRECT(uc_sheet&amp;"!$A$1"):INDIRECT(uc_sheet&amp;"!$CZ$1000"),MATCH($A118&amp;$B118,INDIRECT(uc_sheet&amp;"!$a$1"):INDIRECT(uc_sheet&amp;"!$a$1000"),0),MATCH(use_case,INDIRECT(uc_sheet&amp;"!$A$1"):INDIRECT(uc_sheet&amp;"!$CZ$1"),0)+1),"absent")</f>
        <v>absent</v>
      </c>
      <c r="L118" s="224">
        <f ca="1">IFERROR(INDEX(INDIRECT(uc_sheet&amp;"!$A$1"):INDIRECT(uc_sheet&amp;"!$CZ$1000"),MATCH($A118&amp;$B118,INDIRECT(uc_sheet&amp;"!$a$1"):INDIRECT(uc_sheet&amp;"!$a$1000"),0),MATCH(use_case,INDIRECT(uc_sheet&amp;"!$A$1"):INDIRECT(uc_sheet&amp;"!$CZ$1"),0)),0)</f>
        <v>0</v>
      </c>
      <c r="M118" s="209">
        <f t="shared" si="63"/>
        <v>1</v>
      </c>
      <c r="N118" s="319"/>
      <c r="O118" s="323">
        <f t="shared" ca="1" si="64"/>
        <v>0</v>
      </c>
      <c r="P118" s="319"/>
      <c r="Q118" s="319"/>
      <c r="R118" s="319"/>
      <c r="S118" s="319"/>
      <c r="T118" s="323">
        <f t="shared" ca="1" si="65"/>
        <v>0</v>
      </c>
      <c r="U118" s="319"/>
      <c r="V118" s="323">
        <f t="shared" ca="1" si="66"/>
        <v>0</v>
      </c>
      <c r="W118" s="324" t="s">
        <v>5195</v>
      </c>
      <c r="X118" s="324" t="s">
        <v>8</v>
      </c>
      <c r="Y118" s="324" t="s">
        <v>61</v>
      </c>
      <c r="Z118" s="319"/>
      <c r="AA118" s="324" t="s">
        <v>4696</v>
      </c>
      <c r="AB118" s="324" t="s">
        <v>4697</v>
      </c>
      <c r="AC118" s="319"/>
      <c r="AD118" s="319"/>
      <c r="AE118" s="319"/>
      <c r="AF118" s="319"/>
      <c r="AG118" s="319"/>
      <c r="AH118" s="319"/>
      <c r="AI118" s="319"/>
      <c r="AJ118" s="319"/>
      <c r="AK118" s="319"/>
      <c r="AL118" s="319"/>
      <c r="AM118" s="137" t="str">
        <f t="shared" si="61"/>
        <v>ecap_6</v>
      </c>
    </row>
    <row r="119" spans="1:39" ht="11.25" x14ac:dyDescent="0.2">
      <c r="A119" s="207" t="s">
        <v>5267</v>
      </c>
      <c r="B119" s="207" t="s">
        <v>18</v>
      </c>
      <c r="C119" s="209" t="str">
        <f t="shared" si="69"/>
        <v>ecap lvcmos io</v>
      </c>
      <c r="D119" s="227">
        <f t="shared" si="69"/>
        <v>44499</v>
      </c>
      <c r="E119" s="207" t="str">
        <f t="shared" si="69"/>
        <v>7 lvcmos io</v>
      </c>
      <c r="F119" s="207" t="str">
        <f t="shared" si="69"/>
        <v>ecap</v>
      </c>
      <c r="G119" s="209">
        <v>1</v>
      </c>
      <c r="H119" s="216">
        <f t="shared" ca="1" si="54"/>
        <v>0</v>
      </c>
      <c r="I119" s="228" t="s">
        <v>4872</v>
      </c>
      <c r="J119" s="229"/>
      <c r="K119" s="207" t="str">
        <f ca="1">IFERROR(INDEX(INDIRECT(uc_sheet&amp;"!$A$1"):INDIRECT(uc_sheet&amp;"!$CZ$1000"),MATCH($A119&amp;$B119,INDIRECT(uc_sheet&amp;"!$a$1"):INDIRECT(uc_sheet&amp;"!$a$1000"),0),MATCH(use_case,INDIRECT(uc_sheet&amp;"!$A$1"):INDIRECT(uc_sheet&amp;"!$CZ$1"),0)+1),"absent")</f>
        <v>absent</v>
      </c>
      <c r="L119" s="224">
        <f ca="1">IFERROR(INDEX(INDIRECT(uc_sheet&amp;"!$A$1"):INDIRECT(uc_sheet&amp;"!$CZ$1000"),MATCH($A119&amp;$B119,INDIRECT(uc_sheet&amp;"!$a$1"):INDIRECT(uc_sheet&amp;"!$a$1000"),0),MATCH(use_case,INDIRECT(uc_sheet&amp;"!$A$1"):INDIRECT(uc_sheet&amp;"!$CZ$1"),0)),0)</f>
        <v>0</v>
      </c>
      <c r="M119" s="209">
        <f t="shared" si="63"/>
        <v>1</v>
      </c>
      <c r="N119" s="319"/>
      <c r="O119" s="323">
        <f t="shared" ca="1" si="64"/>
        <v>0</v>
      </c>
      <c r="P119" s="319"/>
      <c r="Q119" s="319"/>
      <c r="R119" s="319"/>
      <c r="S119" s="319"/>
      <c r="T119" s="323">
        <f t="shared" ca="1" si="65"/>
        <v>0</v>
      </c>
      <c r="U119" s="319"/>
      <c r="V119" s="323">
        <f t="shared" ca="1" si="66"/>
        <v>0</v>
      </c>
      <c r="W119" s="324" t="s">
        <v>5195</v>
      </c>
      <c r="X119" s="324" t="s">
        <v>8</v>
      </c>
      <c r="Y119" s="324" t="s">
        <v>61</v>
      </c>
      <c r="Z119" s="319"/>
      <c r="AA119" s="324" t="s">
        <v>4696</v>
      </c>
      <c r="AB119" s="324" t="s">
        <v>4697</v>
      </c>
      <c r="AC119" s="319"/>
      <c r="AD119" s="319"/>
      <c r="AE119" s="319"/>
      <c r="AF119" s="319"/>
      <c r="AG119" s="319"/>
      <c r="AH119" s="319"/>
      <c r="AI119" s="319"/>
      <c r="AJ119" s="319"/>
      <c r="AK119" s="319"/>
      <c r="AL119" s="319"/>
      <c r="AM119" s="137" t="str">
        <f t="shared" si="61"/>
        <v>ecap_7</v>
      </c>
    </row>
    <row r="120" spans="1:39" ht="11.25" x14ac:dyDescent="0.2">
      <c r="A120" s="207" t="s">
        <v>5267</v>
      </c>
      <c r="B120" s="207" t="s">
        <v>19</v>
      </c>
      <c r="C120" s="209" t="str">
        <f t="shared" si="69"/>
        <v>ecap lvcmos io</v>
      </c>
      <c r="D120" s="227">
        <f t="shared" si="69"/>
        <v>44499</v>
      </c>
      <c r="E120" s="207" t="str">
        <f t="shared" si="69"/>
        <v>7 lvcmos io</v>
      </c>
      <c r="F120" s="207" t="str">
        <f t="shared" si="69"/>
        <v>ecap</v>
      </c>
      <c r="G120" s="209">
        <v>1</v>
      </c>
      <c r="H120" s="216">
        <f t="shared" ca="1" si="54"/>
        <v>0</v>
      </c>
      <c r="I120" s="228" t="s">
        <v>4872</v>
      </c>
      <c r="J120" s="229"/>
      <c r="K120" s="207" t="str">
        <f ca="1">IFERROR(INDEX(INDIRECT(uc_sheet&amp;"!$A$1"):INDIRECT(uc_sheet&amp;"!$CZ$1000"),MATCH($A120&amp;$B120,INDIRECT(uc_sheet&amp;"!$a$1"):INDIRECT(uc_sheet&amp;"!$a$1000"),0),MATCH(use_case,INDIRECT(uc_sheet&amp;"!$A$1"):INDIRECT(uc_sheet&amp;"!$CZ$1"),0)+1),"absent")</f>
        <v>absent</v>
      </c>
      <c r="L120" s="224">
        <f ca="1">IFERROR(INDEX(INDIRECT(uc_sheet&amp;"!$A$1"):INDIRECT(uc_sheet&amp;"!$CZ$1000"),MATCH($A120&amp;$B120,INDIRECT(uc_sheet&amp;"!$a$1"):INDIRECT(uc_sheet&amp;"!$a$1000"),0),MATCH(use_case,INDIRECT(uc_sheet&amp;"!$A$1"):INDIRECT(uc_sheet&amp;"!$CZ$1"),0)),0)</f>
        <v>0</v>
      </c>
      <c r="M120" s="209">
        <f t="shared" si="63"/>
        <v>1</v>
      </c>
      <c r="N120" s="319"/>
      <c r="O120" s="323">
        <f t="shared" ca="1" si="64"/>
        <v>0</v>
      </c>
      <c r="P120" s="319"/>
      <c r="Q120" s="319"/>
      <c r="R120" s="319"/>
      <c r="S120" s="319"/>
      <c r="T120" s="323">
        <f t="shared" ca="1" si="65"/>
        <v>0</v>
      </c>
      <c r="U120" s="319"/>
      <c r="V120" s="323">
        <f t="shared" ca="1" si="66"/>
        <v>0</v>
      </c>
      <c r="W120" s="324" t="s">
        <v>5195</v>
      </c>
      <c r="X120" s="324" t="s">
        <v>8</v>
      </c>
      <c r="Y120" s="324" t="s">
        <v>61</v>
      </c>
      <c r="Z120" s="319"/>
      <c r="AA120" s="324" t="s">
        <v>4696</v>
      </c>
      <c r="AB120" s="324" t="s">
        <v>4697</v>
      </c>
      <c r="AC120" s="319"/>
      <c r="AD120" s="319"/>
      <c r="AE120" s="319"/>
      <c r="AF120" s="319"/>
      <c r="AG120" s="319"/>
      <c r="AH120" s="319"/>
      <c r="AI120" s="319"/>
      <c r="AJ120" s="319"/>
      <c r="AK120" s="319"/>
      <c r="AL120" s="319"/>
      <c r="AM120" s="137" t="str">
        <f t="shared" si="61"/>
        <v>ecap_8</v>
      </c>
    </row>
    <row r="121" spans="1:39" ht="11.25" x14ac:dyDescent="0.2">
      <c r="A121" s="207" t="s">
        <v>5267</v>
      </c>
      <c r="B121" s="207" t="s">
        <v>22</v>
      </c>
      <c r="C121" s="209" t="str">
        <f t="shared" si="69"/>
        <v>ecap lvcmos io</v>
      </c>
      <c r="D121" s="227">
        <f t="shared" si="69"/>
        <v>44499</v>
      </c>
      <c r="E121" s="207" t="str">
        <f t="shared" si="69"/>
        <v>7 lvcmos io</v>
      </c>
      <c r="F121" s="207" t="str">
        <f t="shared" si="69"/>
        <v>ecap</v>
      </c>
      <c r="G121" s="209">
        <v>1</v>
      </c>
      <c r="H121" s="216">
        <f t="shared" ca="1" si="54"/>
        <v>0</v>
      </c>
      <c r="I121" s="228" t="s">
        <v>4872</v>
      </c>
      <c r="J121" s="229"/>
      <c r="K121" s="207" t="str">
        <f ca="1">IFERROR(INDEX(INDIRECT(uc_sheet&amp;"!$A$1"):INDIRECT(uc_sheet&amp;"!$CZ$1000"),MATCH($A121&amp;$B121,INDIRECT(uc_sheet&amp;"!$a$1"):INDIRECT(uc_sheet&amp;"!$a$1000"),0),MATCH(use_case,INDIRECT(uc_sheet&amp;"!$A$1"):INDIRECT(uc_sheet&amp;"!$CZ$1"),0)+1),"absent")</f>
        <v>absent</v>
      </c>
      <c r="L121" s="224">
        <f ca="1">IFERROR(INDEX(INDIRECT(uc_sheet&amp;"!$A$1"):INDIRECT(uc_sheet&amp;"!$CZ$1000"),MATCH($A121&amp;$B121,INDIRECT(uc_sheet&amp;"!$a$1"):INDIRECT(uc_sheet&amp;"!$a$1000"),0),MATCH(use_case,INDIRECT(uc_sheet&amp;"!$A$1"):INDIRECT(uc_sheet&amp;"!$CZ$1"),0)),0)</f>
        <v>0</v>
      </c>
      <c r="M121" s="209">
        <f t="shared" si="63"/>
        <v>1</v>
      </c>
      <c r="N121" s="319"/>
      <c r="O121" s="323">
        <f t="shared" ca="1" si="64"/>
        <v>0</v>
      </c>
      <c r="P121" s="319"/>
      <c r="Q121" s="319"/>
      <c r="R121" s="319"/>
      <c r="S121" s="319"/>
      <c r="T121" s="323">
        <f t="shared" ca="1" si="65"/>
        <v>0</v>
      </c>
      <c r="U121" s="319"/>
      <c r="V121" s="323">
        <f t="shared" ca="1" si="66"/>
        <v>0</v>
      </c>
      <c r="W121" s="324" t="s">
        <v>5195</v>
      </c>
      <c r="X121" s="324" t="s">
        <v>8</v>
      </c>
      <c r="Y121" s="324" t="s">
        <v>61</v>
      </c>
      <c r="Z121" s="319"/>
      <c r="AA121" s="324" t="s">
        <v>4696</v>
      </c>
      <c r="AB121" s="324" t="s">
        <v>4697</v>
      </c>
      <c r="AC121" s="319"/>
      <c r="AD121" s="319"/>
      <c r="AE121" s="319"/>
      <c r="AF121" s="319"/>
      <c r="AG121" s="319"/>
      <c r="AH121" s="319"/>
      <c r="AI121" s="319"/>
      <c r="AJ121" s="319"/>
      <c r="AK121" s="319"/>
      <c r="AL121" s="319"/>
      <c r="AM121" s="137" t="str">
        <f t="shared" si="61"/>
        <v>ecap_9</v>
      </c>
    </row>
    <row r="122" spans="1:39" ht="11.25" x14ac:dyDescent="0.2">
      <c r="A122" s="207" t="s">
        <v>5276</v>
      </c>
      <c r="B122" s="207" t="s">
        <v>11</v>
      </c>
      <c r="C122" s="209" t="str">
        <f t="shared" si="69"/>
        <v>epwm lvcmos io</v>
      </c>
      <c r="D122" s="227">
        <f t="shared" si="69"/>
        <v>44499</v>
      </c>
      <c r="E122" s="207" t="str">
        <f t="shared" si="69"/>
        <v>7 lvcmos io</v>
      </c>
      <c r="F122" s="207" t="str">
        <f t="shared" si="69"/>
        <v>epwm</v>
      </c>
      <c r="G122" s="209">
        <v>1</v>
      </c>
      <c r="H122" s="216">
        <f t="shared" si="54"/>
        <v>1.2191183614986867</v>
      </c>
      <c r="I122" s="228" t="s">
        <v>4872</v>
      </c>
      <c r="J122" s="229"/>
      <c r="K122" s="207" t="str">
        <f t="shared" ref="K122:K153" si="70">EPWM</f>
        <v>on_3p3v</v>
      </c>
      <c r="L122" s="224">
        <f t="shared" ref="L122:L145" si="71">EPWM_Util</f>
        <v>0.5</v>
      </c>
      <c r="M122" s="209">
        <f t="shared" si="63"/>
        <v>3</v>
      </c>
      <c r="N122" s="319"/>
      <c r="O122" s="323">
        <f t="shared" si="64"/>
        <v>4.6645159743154637E-7</v>
      </c>
      <c r="P122" s="319"/>
      <c r="Q122" s="319"/>
      <c r="R122" s="319"/>
      <c r="S122" s="319"/>
      <c r="T122" s="323">
        <f t="shared" si="65"/>
        <v>0</v>
      </c>
      <c r="U122" s="319"/>
      <c r="V122" s="323">
        <f t="shared" si="66"/>
        <v>1.2191178950470893</v>
      </c>
      <c r="W122" s="324" t="s">
        <v>5195</v>
      </c>
      <c r="X122" s="324" t="s">
        <v>8</v>
      </c>
      <c r="Y122" s="324" t="s">
        <v>61</v>
      </c>
      <c r="Z122" s="319"/>
      <c r="AA122" s="324" t="s">
        <v>4696</v>
      </c>
      <c r="AB122" s="324" t="s">
        <v>4697</v>
      </c>
      <c r="AC122" s="319"/>
      <c r="AD122" s="319"/>
      <c r="AE122" s="319"/>
      <c r="AF122" s="319"/>
      <c r="AG122" s="319"/>
      <c r="AH122" s="319"/>
      <c r="AI122" s="319"/>
      <c r="AJ122" s="319"/>
      <c r="AK122" s="319"/>
      <c r="AL122" s="319"/>
      <c r="AM122" s="137" t="str">
        <f t="shared" si="61"/>
        <v>epwm_0</v>
      </c>
    </row>
    <row r="123" spans="1:39" ht="11.25" x14ac:dyDescent="0.2">
      <c r="A123" s="207" t="s">
        <v>5276</v>
      </c>
      <c r="B123" s="207" t="s">
        <v>12</v>
      </c>
      <c r="C123" s="209" t="str">
        <f t="shared" si="69"/>
        <v>epwm lvcmos io</v>
      </c>
      <c r="D123" s="227">
        <f t="shared" si="69"/>
        <v>44499</v>
      </c>
      <c r="E123" s="207" t="str">
        <f t="shared" si="69"/>
        <v>7 lvcmos io</v>
      </c>
      <c r="F123" s="207" t="str">
        <f t="shared" si="69"/>
        <v>epwm</v>
      </c>
      <c r="G123" s="209">
        <v>1</v>
      </c>
      <c r="H123" s="216">
        <f t="shared" si="54"/>
        <v>1.2191183614986867</v>
      </c>
      <c r="I123" s="228" t="s">
        <v>4872</v>
      </c>
      <c r="J123" s="229"/>
      <c r="K123" s="207" t="str">
        <f t="shared" si="70"/>
        <v>on_3p3v</v>
      </c>
      <c r="L123" s="224">
        <f t="shared" si="71"/>
        <v>0.5</v>
      </c>
      <c r="M123" s="209">
        <f t="shared" si="63"/>
        <v>3</v>
      </c>
      <c r="N123" s="319"/>
      <c r="O123" s="323">
        <f t="shared" si="64"/>
        <v>4.6645159743154637E-7</v>
      </c>
      <c r="P123" s="319"/>
      <c r="Q123" s="319"/>
      <c r="R123" s="319"/>
      <c r="S123" s="319"/>
      <c r="T123" s="323">
        <f t="shared" si="65"/>
        <v>0</v>
      </c>
      <c r="U123" s="319"/>
      <c r="V123" s="323">
        <f t="shared" si="66"/>
        <v>1.2191178950470893</v>
      </c>
      <c r="W123" s="324" t="s">
        <v>5195</v>
      </c>
      <c r="X123" s="324" t="s">
        <v>8</v>
      </c>
      <c r="Y123" s="324" t="s">
        <v>61</v>
      </c>
      <c r="Z123" s="319"/>
      <c r="AA123" s="324" t="s">
        <v>4696</v>
      </c>
      <c r="AB123" s="324" t="s">
        <v>4697</v>
      </c>
      <c r="AC123" s="319"/>
      <c r="AD123" s="319"/>
      <c r="AE123" s="319"/>
      <c r="AF123" s="319"/>
      <c r="AG123" s="319"/>
      <c r="AH123" s="319"/>
      <c r="AI123" s="319"/>
      <c r="AJ123" s="319"/>
      <c r="AK123" s="319"/>
      <c r="AL123" s="319"/>
      <c r="AM123" s="137" t="str">
        <f t="shared" si="61"/>
        <v>epwm_1</v>
      </c>
    </row>
    <row r="124" spans="1:39" ht="11.25" x14ac:dyDescent="0.2">
      <c r="A124" s="207" t="s">
        <v>5276</v>
      </c>
      <c r="B124" s="207" t="s">
        <v>23</v>
      </c>
      <c r="C124" s="209" t="str">
        <f t="shared" si="69"/>
        <v>epwm lvcmos io</v>
      </c>
      <c r="D124" s="227">
        <f t="shared" si="69"/>
        <v>44499</v>
      </c>
      <c r="E124" s="207" t="str">
        <f t="shared" si="69"/>
        <v>7 lvcmos io</v>
      </c>
      <c r="F124" s="207" t="str">
        <f t="shared" si="69"/>
        <v>epwm</v>
      </c>
      <c r="G124" s="209">
        <v>1</v>
      </c>
      <c r="H124" s="216">
        <f t="shared" si="54"/>
        <v>1.2191183614986867</v>
      </c>
      <c r="I124" s="228" t="s">
        <v>4872</v>
      </c>
      <c r="J124" s="229"/>
      <c r="K124" s="207" t="str">
        <f t="shared" si="70"/>
        <v>on_3p3v</v>
      </c>
      <c r="L124" s="224">
        <f t="shared" si="71"/>
        <v>0.5</v>
      </c>
      <c r="M124" s="209">
        <f t="shared" si="63"/>
        <v>3</v>
      </c>
      <c r="N124" s="319"/>
      <c r="O124" s="323">
        <f t="shared" si="64"/>
        <v>4.6645159743154637E-7</v>
      </c>
      <c r="P124" s="319"/>
      <c r="Q124" s="319"/>
      <c r="R124" s="319"/>
      <c r="S124" s="319"/>
      <c r="T124" s="323">
        <f t="shared" si="65"/>
        <v>0</v>
      </c>
      <c r="U124" s="319"/>
      <c r="V124" s="323">
        <f t="shared" si="66"/>
        <v>1.2191178950470893</v>
      </c>
      <c r="W124" s="324" t="s">
        <v>5195</v>
      </c>
      <c r="X124" s="324" t="s">
        <v>8</v>
      </c>
      <c r="Y124" s="324" t="s">
        <v>61</v>
      </c>
      <c r="Z124" s="319"/>
      <c r="AA124" s="324" t="s">
        <v>4696</v>
      </c>
      <c r="AB124" s="324" t="s">
        <v>4697</v>
      </c>
      <c r="AC124" s="319"/>
      <c r="AD124" s="319"/>
      <c r="AE124" s="319"/>
      <c r="AF124" s="319"/>
      <c r="AG124" s="319"/>
      <c r="AH124" s="319"/>
      <c r="AI124" s="319"/>
      <c r="AJ124" s="319"/>
      <c r="AK124" s="319"/>
      <c r="AL124" s="319"/>
      <c r="AM124" s="137" t="str">
        <f t="shared" si="61"/>
        <v>epwm_10</v>
      </c>
    </row>
    <row r="125" spans="1:39" ht="11.25" x14ac:dyDescent="0.2">
      <c r="A125" s="207" t="s">
        <v>5276</v>
      </c>
      <c r="B125" s="207" t="s">
        <v>24</v>
      </c>
      <c r="C125" s="209" t="str">
        <f t="shared" si="69"/>
        <v>epwm lvcmos io</v>
      </c>
      <c r="D125" s="227">
        <f t="shared" si="69"/>
        <v>44499</v>
      </c>
      <c r="E125" s="207" t="str">
        <f t="shared" si="69"/>
        <v>7 lvcmos io</v>
      </c>
      <c r="F125" s="207" t="str">
        <f t="shared" si="69"/>
        <v>epwm</v>
      </c>
      <c r="G125" s="209">
        <v>1</v>
      </c>
      <c r="H125" s="216">
        <f t="shared" si="54"/>
        <v>1.2191183614986867</v>
      </c>
      <c r="I125" s="228" t="s">
        <v>4872</v>
      </c>
      <c r="J125" s="229"/>
      <c r="K125" s="207" t="str">
        <f t="shared" si="70"/>
        <v>on_3p3v</v>
      </c>
      <c r="L125" s="224">
        <f t="shared" si="71"/>
        <v>0.5</v>
      </c>
      <c r="M125" s="209">
        <f t="shared" si="63"/>
        <v>3</v>
      </c>
      <c r="N125" s="319"/>
      <c r="O125" s="323">
        <f t="shared" si="64"/>
        <v>4.6645159743154637E-7</v>
      </c>
      <c r="P125" s="319"/>
      <c r="Q125" s="319"/>
      <c r="R125" s="319"/>
      <c r="S125" s="319"/>
      <c r="T125" s="323">
        <f t="shared" si="65"/>
        <v>0</v>
      </c>
      <c r="U125" s="319"/>
      <c r="V125" s="323">
        <f t="shared" si="66"/>
        <v>1.2191178950470893</v>
      </c>
      <c r="W125" s="324" t="s">
        <v>5195</v>
      </c>
      <c r="X125" s="324" t="s">
        <v>8</v>
      </c>
      <c r="Y125" s="324" t="s">
        <v>61</v>
      </c>
      <c r="Z125" s="319"/>
      <c r="AA125" s="324" t="s">
        <v>4696</v>
      </c>
      <c r="AB125" s="324" t="s">
        <v>4697</v>
      </c>
      <c r="AC125" s="319"/>
      <c r="AD125" s="319"/>
      <c r="AE125" s="319"/>
      <c r="AF125" s="319"/>
      <c r="AG125" s="319"/>
      <c r="AH125" s="319"/>
      <c r="AI125" s="319"/>
      <c r="AJ125" s="319"/>
      <c r="AK125" s="319"/>
      <c r="AL125" s="319"/>
      <c r="AM125" s="137" t="str">
        <f t="shared" si="61"/>
        <v>epwm_11</v>
      </c>
    </row>
    <row r="126" spans="1:39" ht="11.25" x14ac:dyDescent="0.2">
      <c r="A126" s="207" t="s">
        <v>5276</v>
      </c>
      <c r="B126" s="207" t="s">
        <v>71</v>
      </c>
      <c r="C126" s="209" t="str">
        <f t="shared" si="69"/>
        <v>epwm lvcmos io</v>
      </c>
      <c r="D126" s="227">
        <f t="shared" si="69"/>
        <v>44499</v>
      </c>
      <c r="E126" s="207" t="str">
        <f t="shared" si="69"/>
        <v>7 lvcmos io</v>
      </c>
      <c r="F126" s="207" t="str">
        <f t="shared" si="69"/>
        <v>epwm</v>
      </c>
      <c r="G126" s="209">
        <v>1</v>
      </c>
      <c r="H126" s="216">
        <f t="shared" si="54"/>
        <v>1.2191183614986867</v>
      </c>
      <c r="I126" s="228" t="s">
        <v>4872</v>
      </c>
      <c r="J126" s="229"/>
      <c r="K126" s="207" t="str">
        <f t="shared" si="70"/>
        <v>on_3p3v</v>
      </c>
      <c r="L126" s="224">
        <f t="shared" si="71"/>
        <v>0.5</v>
      </c>
      <c r="M126" s="209">
        <f t="shared" ref="M126:M157" si="72">IFERROR(VLOOKUP($A126&amp;"_"&amp;M$2,MDB,6,0),0)*G126</f>
        <v>3</v>
      </c>
      <c r="N126" s="319"/>
      <c r="O126" s="323">
        <f t="shared" ref="O126:O157" si="73">IFERROR(VLOOKUP($A126&amp;"_"&amp;O$2&amp;"_"&amp;$K126&amp;"",MDB,6,0)*$L126*$G126*Dyn_Int_Scale_SVT,0)</f>
        <v>4.6645159743154637E-7</v>
      </c>
      <c r="P126" s="319"/>
      <c r="Q126" s="319"/>
      <c r="R126" s="319"/>
      <c r="S126" s="319"/>
      <c r="T126" s="323">
        <f t="shared" ref="T126:T157" si="74">IFERROR(VLOOKUP($A126&amp;"_"&amp;T$2&amp;"_"&amp;$K126&amp;"",MDB,6,0)*$L126*$G126*Dyn_Int_Scale_SVT,0)</f>
        <v>0</v>
      </c>
      <c r="U126" s="319"/>
      <c r="V126" s="323">
        <f t="shared" ref="V126:V157" si="75">IFERROR(VLOOKUP($A126&amp;"_"&amp;V$2&amp;"_"&amp;$K126&amp;"",MDB,6,0)*$L126*$G126*Dyn_Int_Scale_SVT,0)</f>
        <v>1.2191178950470893</v>
      </c>
      <c r="W126" s="324" t="s">
        <v>5195</v>
      </c>
      <c r="X126" s="324" t="s">
        <v>8</v>
      </c>
      <c r="Y126" s="324" t="s">
        <v>61</v>
      </c>
      <c r="Z126" s="319"/>
      <c r="AA126" s="324" t="s">
        <v>4696</v>
      </c>
      <c r="AB126" s="324" t="s">
        <v>4697</v>
      </c>
      <c r="AC126" s="319"/>
      <c r="AD126" s="319"/>
      <c r="AE126" s="319"/>
      <c r="AF126" s="319"/>
      <c r="AG126" s="319"/>
      <c r="AH126" s="319"/>
      <c r="AI126" s="319"/>
      <c r="AJ126" s="319"/>
      <c r="AK126" s="319"/>
      <c r="AL126" s="319"/>
      <c r="AM126" s="137" t="str">
        <f t="shared" si="61"/>
        <v>epwm_12</v>
      </c>
    </row>
    <row r="127" spans="1:39" ht="11.25" x14ac:dyDescent="0.2">
      <c r="A127" s="207" t="s">
        <v>5276</v>
      </c>
      <c r="B127" s="207" t="s">
        <v>72</v>
      </c>
      <c r="C127" s="209" t="str">
        <f t="shared" si="69"/>
        <v>epwm lvcmos io</v>
      </c>
      <c r="D127" s="227">
        <f t="shared" si="69"/>
        <v>44499</v>
      </c>
      <c r="E127" s="207" t="str">
        <f t="shared" si="69"/>
        <v>7 lvcmos io</v>
      </c>
      <c r="F127" s="207" t="str">
        <f t="shared" si="69"/>
        <v>epwm</v>
      </c>
      <c r="G127" s="209">
        <v>1</v>
      </c>
      <c r="H127" s="216">
        <f t="shared" si="54"/>
        <v>1.2191183614986867</v>
      </c>
      <c r="I127" s="228" t="s">
        <v>4872</v>
      </c>
      <c r="J127" s="229"/>
      <c r="K127" s="207" t="str">
        <f t="shared" si="70"/>
        <v>on_3p3v</v>
      </c>
      <c r="L127" s="224">
        <f t="shared" si="71"/>
        <v>0.5</v>
      </c>
      <c r="M127" s="209">
        <f t="shared" si="72"/>
        <v>3</v>
      </c>
      <c r="N127" s="319"/>
      <c r="O127" s="323">
        <f t="shared" si="73"/>
        <v>4.6645159743154637E-7</v>
      </c>
      <c r="P127" s="319"/>
      <c r="Q127" s="319"/>
      <c r="R127" s="319"/>
      <c r="S127" s="319"/>
      <c r="T127" s="323">
        <f t="shared" si="74"/>
        <v>0</v>
      </c>
      <c r="U127" s="319"/>
      <c r="V127" s="323">
        <f t="shared" si="75"/>
        <v>1.2191178950470893</v>
      </c>
      <c r="W127" s="324" t="s">
        <v>5195</v>
      </c>
      <c r="X127" s="324" t="s">
        <v>8</v>
      </c>
      <c r="Y127" s="324" t="s">
        <v>61</v>
      </c>
      <c r="Z127" s="319"/>
      <c r="AA127" s="324" t="s">
        <v>4696</v>
      </c>
      <c r="AB127" s="324" t="s">
        <v>4697</v>
      </c>
      <c r="AC127" s="319"/>
      <c r="AD127" s="319"/>
      <c r="AE127" s="319"/>
      <c r="AF127" s="319"/>
      <c r="AG127" s="319"/>
      <c r="AH127" s="319"/>
      <c r="AI127" s="319"/>
      <c r="AJ127" s="319"/>
      <c r="AK127" s="319"/>
      <c r="AL127" s="319"/>
      <c r="AM127" s="137" t="str">
        <f t="shared" si="61"/>
        <v>epwm_13</v>
      </c>
    </row>
    <row r="128" spans="1:39" ht="11.25" x14ac:dyDescent="0.2">
      <c r="A128" s="207" t="s">
        <v>5276</v>
      </c>
      <c r="B128" s="207" t="s">
        <v>73</v>
      </c>
      <c r="C128" s="209" t="str">
        <f t="shared" si="69"/>
        <v>epwm lvcmos io</v>
      </c>
      <c r="D128" s="227">
        <f t="shared" si="69"/>
        <v>44499</v>
      </c>
      <c r="E128" s="207" t="str">
        <f t="shared" si="69"/>
        <v>7 lvcmos io</v>
      </c>
      <c r="F128" s="207" t="str">
        <f t="shared" si="69"/>
        <v>epwm</v>
      </c>
      <c r="G128" s="209">
        <v>1</v>
      </c>
      <c r="H128" s="216">
        <f t="shared" si="54"/>
        <v>1.2191183614986867</v>
      </c>
      <c r="I128" s="228" t="s">
        <v>4872</v>
      </c>
      <c r="J128" s="229"/>
      <c r="K128" s="207" t="str">
        <f t="shared" si="70"/>
        <v>on_3p3v</v>
      </c>
      <c r="L128" s="224">
        <f t="shared" si="71"/>
        <v>0.5</v>
      </c>
      <c r="M128" s="209">
        <f t="shared" si="72"/>
        <v>3</v>
      </c>
      <c r="N128" s="319"/>
      <c r="O128" s="323">
        <f t="shared" si="73"/>
        <v>4.6645159743154637E-7</v>
      </c>
      <c r="P128" s="319"/>
      <c r="Q128" s="319"/>
      <c r="R128" s="319"/>
      <c r="S128" s="319"/>
      <c r="T128" s="323">
        <f t="shared" si="74"/>
        <v>0</v>
      </c>
      <c r="U128" s="319"/>
      <c r="V128" s="323">
        <f t="shared" si="75"/>
        <v>1.2191178950470893</v>
      </c>
      <c r="W128" s="324" t="s">
        <v>5195</v>
      </c>
      <c r="X128" s="324" t="s">
        <v>8</v>
      </c>
      <c r="Y128" s="324" t="s">
        <v>61</v>
      </c>
      <c r="Z128" s="319"/>
      <c r="AA128" s="324" t="s">
        <v>4696</v>
      </c>
      <c r="AB128" s="324" t="s">
        <v>4697</v>
      </c>
      <c r="AC128" s="319"/>
      <c r="AD128" s="319"/>
      <c r="AE128" s="319"/>
      <c r="AF128" s="319"/>
      <c r="AG128" s="319"/>
      <c r="AH128" s="319"/>
      <c r="AI128" s="319"/>
      <c r="AJ128" s="319"/>
      <c r="AK128" s="319"/>
      <c r="AL128" s="319"/>
      <c r="AM128" s="137" t="str">
        <f t="shared" si="61"/>
        <v>epwm_14</v>
      </c>
    </row>
    <row r="129" spans="1:39" ht="11.25" x14ac:dyDescent="0.2">
      <c r="A129" s="207" t="s">
        <v>5276</v>
      </c>
      <c r="B129" s="207" t="s">
        <v>74</v>
      </c>
      <c r="C129" s="209" t="str">
        <f t="shared" si="69"/>
        <v>epwm lvcmos io</v>
      </c>
      <c r="D129" s="227">
        <f t="shared" si="69"/>
        <v>44499</v>
      </c>
      <c r="E129" s="207" t="str">
        <f t="shared" si="69"/>
        <v>7 lvcmos io</v>
      </c>
      <c r="F129" s="207" t="str">
        <f t="shared" si="69"/>
        <v>epwm</v>
      </c>
      <c r="G129" s="209">
        <v>1</v>
      </c>
      <c r="H129" s="216">
        <f t="shared" si="54"/>
        <v>1.2191183614986867</v>
      </c>
      <c r="I129" s="228" t="s">
        <v>4872</v>
      </c>
      <c r="J129" s="229"/>
      <c r="K129" s="207" t="str">
        <f t="shared" si="70"/>
        <v>on_3p3v</v>
      </c>
      <c r="L129" s="224">
        <f t="shared" si="71"/>
        <v>0.5</v>
      </c>
      <c r="M129" s="209">
        <f t="shared" si="72"/>
        <v>3</v>
      </c>
      <c r="N129" s="319"/>
      <c r="O129" s="323">
        <f t="shared" si="73"/>
        <v>4.6645159743154637E-7</v>
      </c>
      <c r="P129" s="319"/>
      <c r="Q129" s="319"/>
      <c r="R129" s="319"/>
      <c r="S129" s="319"/>
      <c r="T129" s="323">
        <f t="shared" si="74"/>
        <v>0</v>
      </c>
      <c r="U129" s="319"/>
      <c r="V129" s="323">
        <f t="shared" si="75"/>
        <v>1.2191178950470893</v>
      </c>
      <c r="W129" s="324" t="s">
        <v>5195</v>
      </c>
      <c r="X129" s="324" t="s">
        <v>8</v>
      </c>
      <c r="Y129" s="324" t="s">
        <v>61</v>
      </c>
      <c r="Z129" s="319"/>
      <c r="AA129" s="324" t="s">
        <v>4696</v>
      </c>
      <c r="AB129" s="324" t="s">
        <v>4697</v>
      </c>
      <c r="AC129" s="319"/>
      <c r="AD129" s="319"/>
      <c r="AE129" s="319"/>
      <c r="AF129" s="319"/>
      <c r="AG129" s="319"/>
      <c r="AH129" s="319"/>
      <c r="AI129" s="319"/>
      <c r="AJ129" s="319"/>
      <c r="AK129" s="319"/>
      <c r="AL129" s="319"/>
      <c r="AM129" s="137" t="str">
        <f t="shared" si="61"/>
        <v>epwm_15</v>
      </c>
    </row>
    <row r="130" spans="1:39" ht="11.25" x14ac:dyDescent="0.2">
      <c r="A130" s="207" t="s">
        <v>5276</v>
      </c>
      <c r="B130" s="207" t="s">
        <v>75</v>
      </c>
      <c r="C130" s="209" t="str">
        <f t="shared" si="69"/>
        <v>epwm lvcmos io</v>
      </c>
      <c r="D130" s="227">
        <f t="shared" si="69"/>
        <v>44499</v>
      </c>
      <c r="E130" s="207" t="str">
        <f t="shared" si="69"/>
        <v>7 lvcmos io</v>
      </c>
      <c r="F130" s="207" t="str">
        <f t="shared" si="69"/>
        <v>epwm</v>
      </c>
      <c r="G130" s="209">
        <v>1</v>
      </c>
      <c r="H130" s="216">
        <f t="shared" si="54"/>
        <v>1.2191183614986867</v>
      </c>
      <c r="I130" s="228" t="s">
        <v>4872</v>
      </c>
      <c r="J130" s="229"/>
      <c r="K130" s="207" t="str">
        <f t="shared" si="70"/>
        <v>on_3p3v</v>
      </c>
      <c r="L130" s="224">
        <f t="shared" si="71"/>
        <v>0.5</v>
      </c>
      <c r="M130" s="209">
        <f t="shared" si="72"/>
        <v>3</v>
      </c>
      <c r="N130" s="319"/>
      <c r="O130" s="323">
        <f t="shared" si="73"/>
        <v>4.6645159743154637E-7</v>
      </c>
      <c r="P130" s="319"/>
      <c r="Q130" s="319"/>
      <c r="R130" s="319"/>
      <c r="S130" s="319"/>
      <c r="T130" s="323">
        <f t="shared" si="74"/>
        <v>0</v>
      </c>
      <c r="U130" s="319"/>
      <c r="V130" s="323">
        <f t="shared" si="75"/>
        <v>1.2191178950470893</v>
      </c>
      <c r="W130" s="324" t="s">
        <v>5195</v>
      </c>
      <c r="X130" s="324" t="s">
        <v>8</v>
      </c>
      <c r="Y130" s="324" t="s">
        <v>61</v>
      </c>
      <c r="Z130" s="319"/>
      <c r="AA130" s="324" t="s">
        <v>4696</v>
      </c>
      <c r="AB130" s="324" t="s">
        <v>4697</v>
      </c>
      <c r="AC130" s="319"/>
      <c r="AD130" s="319"/>
      <c r="AE130" s="319"/>
      <c r="AF130" s="319"/>
      <c r="AG130" s="319"/>
      <c r="AH130" s="319"/>
      <c r="AI130" s="319"/>
      <c r="AJ130" s="319"/>
      <c r="AK130" s="319"/>
      <c r="AL130" s="319"/>
      <c r="AM130" s="137" t="str">
        <f t="shared" si="61"/>
        <v>epwm_16</v>
      </c>
    </row>
    <row r="131" spans="1:39" ht="11.25" x14ac:dyDescent="0.2">
      <c r="A131" s="207" t="s">
        <v>5276</v>
      </c>
      <c r="B131" s="207" t="s">
        <v>76</v>
      </c>
      <c r="C131" s="209" t="str">
        <f t="shared" ref="C131:F150" si="76">VLOOKUP($A131&amp;"_"&amp;C$2,MDB,6,0)</f>
        <v>epwm lvcmos io</v>
      </c>
      <c r="D131" s="227">
        <f t="shared" si="76"/>
        <v>44499</v>
      </c>
      <c r="E131" s="207" t="str">
        <f t="shared" si="76"/>
        <v>7 lvcmos io</v>
      </c>
      <c r="F131" s="207" t="str">
        <f t="shared" si="76"/>
        <v>epwm</v>
      </c>
      <c r="G131" s="209">
        <v>1</v>
      </c>
      <c r="H131" s="216">
        <f t="shared" si="54"/>
        <v>1.2191183614986867</v>
      </c>
      <c r="I131" s="228" t="s">
        <v>4872</v>
      </c>
      <c r="J131" s="229"/>
      <c r="K131" s="207" t="str">
        <f t="shared" si="70"/>
        <v>on_3p3v</v>
      </c>
      <c r="L131" s="224">
        <f t="shared" si="71"/>
        <v>0.5</v>
      </c>
      <c r="M131" s="209">
        <f t="shared" si="72"/>
        <v>3</v>
      </c>
      <c r="N131" s="319"/>
      <c r="O131" s="323">
        <f t="shared" si="73"/>
        <v>4.6645159743154637E-7</v>
      </c>
      <c r="P131" s="319"/>
      <c r="Q131" s="319"/>
      <c r="R131" s="319"/>
      <c r="S131" s="319"/>
      <c r="T131" s="323">
        <f t="shared" si="74"/>
        <v>0</v>
      </c>
      <c r="U131" s="319"/>
      <c r="V131" s="323">
        <f t="shared" si="75"/>
        <v>1.2191178950470893</v>
      </c>
      <c r="W131" s="324" t="s">
        <v>5195</v>
      </c>
      <c r="X131" s="324" t="s">
        <v>8</v>
      </c>
      <c r="Y131" s="324" t="s">
        <v>61</v>
      </c>
      <c r="Z131" s="319"/>
      <c r="AA131" s="324" t="s">
        <v>4696</v>
      </c>
      <c r="AB131" s="324" t="s">
        <v>4697</v>
      </c>
      <c r="AC131" s="319"/>
      <c r="AD131" s="319"/>
      <c r="AE131" s="319"/>
      <c r="AF131" s="319"/>
      <c r="AG131" s="319"/>
      <c r="AH131" s="319"/>
      <c r="AI131" s="319"/>
      <c r="AJ131" s="319"/>
      <c r="AK131" s="319"/>
      <c r="AL131" s="319"/>
      <c r="AM131" s="137" t="str">
        <f t="shared" si="61"/>
        <v>epwm_17</v>
      </c>
    </row>
    <row r="132" spans="1:39" ht="11.25" x14ac:dyDescent="0.2">
      <c r="A132" s="207" t="s">
        <v>5276</v>
      </c>
      <c r="B132" s="207" t="s">
        <v>77</v>
      </c>
      <c r="C132" s="209" t="str">
        <f t="shared" si="76"/>
        <v>epwm lvcmos io</v>
      </c>
      <c r="D132" s="227">
        <f t="shared" si="76"/>
        <v>44499</v>
      </c>
      <c r="E132" s="207" t="str">
        <f t="shared" si="76"/>
        <v>7 lvcmos io</v>
      </c>
      <c r="F132" s="207" t="str">
        <f t="shared" si="76"/>
        <v>epwm</v>
      </c>
      <c r="G132" s="209">
        <v>1</v>
      </c>
      <c r="H132" s="216">
        <f t="shared" ref="H132:H195" si="77">SUM(N132:V132)</f>
        <v>1.2191183614986867</v>
      </c>
      <c r="I132" s="228" t="s">
        <v>4872</v>
      </c>
      <c r="J132" s="229"/>
      <c r="K132" s="207" t="str">
        <f t="shared" si="70"/>
        <v>on_3p3v</v>
      </c>
      <c r="L132" s="224">
        <f t="shared" si="71"/>
        <v>0.5</v>
      </c>
      <c r="M132" s="209">
        <f t="shared" si="72"/>
        <v>3</v>
      </c>
      <c r="N132" s="319"/>
      <c r="O132" s="323">
        <f t="shared" si="73"/>
        <v>4.6645159743154637E-7</v>
      </c>
      <c r="P132" s="319"/>
      <c r="Q132" s="319"/>
      <c r="R132" s="319"/>
      <c r="S132" s="319"/>
      <c r="T132" s="323">
        <f t="shared" si="74"/>
        <v>0</v>
      </c>
      <c r="U132" s="319"/>
      <c r="V132" s="323">
        <f t="shared" si="75"/>
        <v>1.2191178950470893</v>
      </c>
      <c r="W132" s="324" t="s">
        <v>5195</v>
      </c>
      <c r="X132" s="324" t="s">
        <v>8</v>
      </c>
      <c r="Y132" s="324" t="s">
        <v>61</v>
      </c>
      <c r="Z132" s="319"/>
      <c r="AA132" s="324" t="s">
        <v>4696</v>
      </c>
      <c r="AB132" s="324" t="s">
        <v>4697</v>
      </c>
      <c r="AC132" s="319"/>
      <c r="AD132" s="319"/>
      <c r="AE132" s="319"/>
      <c r="AF132" s="319"/>
      <c r="AG132" s="319"/>
      <c r="AH132" s="319"/>
      <c r="AI132" s="319"/>
      <c r="AJ132" s="319"/>
      <c r="AK132" s="319"/>
      <c r="AL132" s="319"/>
      <c r="AM132" s="137" t="str">
        <f t="shared" si="61"/>
        <v>epwm_18</v>
      </c>
    </row>
    <row r="133" spans="1:39" ht="11.25" x14ac:dyDescent="0.2">
      <c r="A133" s="207" t="s">
        <v>5276</v>
      </c>
      <c r="B133" s="207" t="s">
        <v>78</v>
      </c>
      <c r="C133" s="209" t="str">
        <f t="shared" si="76"/>
        <v>epwm lvcmos io</v>
      </c>
      <c r="D133" s="227">
        <f t="shared" si="76"/>
        <v>44499</v>
      </c>
      <c r="E133" s="207" t="str">
        <f t="shared" si="76"/>
        <v>7 lvcmos io</v>
      </c>
      <c r="F133" s="207" t="str">
        <f t="shared" si="76"/>
        <v>epwm</v>
      </c>
      <c r="G133" s="209">
        <v>1</v>
      </c>
      <c r="H133" s="216">
        <f t="shared" si="77"/>
        <v>1.2191183614986867</v>
      </c>
      <c r="I133" s="228" t="s">
        <v>4872</v>
      </c>
      <c r="J133" s="229"/>
      <c r="K133" s="207" t="str">
        <f t="shared" si="70"/>
        <v>on_3p3v</v>
      </c>
      <c r="L133" s="224">
        <f t="shared" si="71"/>
        <v>0.5</v>
      </c>
      <c r="M133" s="209">
        <f t="shared" si="72"/>
        <v>3</v>
      </c>
      <c r="N133" s="319"/>
      <c r="O133" s="323">
        <f t="shared" si="73"/>
        <v>4.6645159743154637E-7</v>
      </c>
      <c r="P133" s="319"/>
      <c r="Q133" s="319"/>
      <c r="R133" s="319"/>
      <c r="S133" s="319"/>
      <c r="T133" s="323">
        <f t="shared" si="74"/>
        <v>0</v>
      </c>
      <c r="U133" s="319"/>
      <c r="V133" s="323">
        <f t="shared" si="75"/>
        <v>1.2191178950470893</v>
      </c>
      <c r="W133" s="324" t="s">
        <v>5195</v>
      </c>
      <c r="X133" s="324" t="s">
        <v>8</v>
      </c>
      <c r="Y133" s="324" t="s">
        <v>61</v>
      </c>
      <c r="Z133" s="319"/>
      <c r="AA133" s="324" t="s">
        <v>4696</v>
      </c>
      <c r="AB133" s="324" t="s">
        <v>4697</v>
      </c>
      <c r="AC133" s="319"/>
      <c r="AD133" s="319"/>
      <c r="AE133" s="319"/>
      <c r="AF133" s="319"/>
      <c r="AG133" s="319"/>
      <c r="AH133" s="319"/>
      <c r="AI133" s="319"/>
      <c r="AJ133" s="319"/>
      <c r="AK133" s="319"/>
      <c r="AL133" s="319"/>
      <c r="AM133" s="137" t="str">
        <f t="shared" si="61"/>
        <v>epwm_19</v>
      </c>
    </row>
    <row r="134" spans="1:39" ht="11.25" x14ac:dyDescent="0.2">
      <c r="A134" s="207" t="s">
        <v>5276</v>
      </c>
      <c r="B134" s="207" t="s">
        <v>13</v>
      </c>
      <c r="C134" s="209" t="str">
        <f t="shared" si="76"/>
        <v>epwm lvcmos io</v>
      </c>
      <c r="D134" s="227">
        <f t="shared" si="76"/>
        <v>44499</v>
      </c>
      <c r="E134" s="207" t="str">
        <f t="shared" si="76"/>
        <v>7 lvcmos io</v>
      </c>
      <c r="F134" s="207" t="str">
        <f t="shared" si="76"/>
        <v>epwm</v>
      </c>
      <c r="G134" s="209">
        <v>1</v>
      </c>
      <c r="H134" s="216">
        <f t="shared" si="77"/>
        <v>1.2191183614986867</v>
      </c>
      <c r="I134" s="228" t="s">
        <v>4872</v>
      </c>
      <c r="J134" s="229"/>
      <c r="K134" s="207" t="str">
        <f t="shared" si="70"/>
        <v>on_3p3v</v>
      </c>
      <c r="L134" s="224">
        <f t="shared" si="71"/>
        <v>0.5</v>
      </c>
      <c r="M134" s="209">
        <f t="shared" si="72"/>
        <v>3</v>
      </c>
      <c r="N134" s="319"/>
      <c r="O134" s="323">
        <f t="shared" si="73"/>
        <v>4.6645159743154637E-7</v>
      </c>
      <c r="P134" s="319"/>
      <c r="Q134" s="319"/>
      <c r="R134" s="319"/>
      <c r="S134" s="319"/>
      <c r="T134" s="323">
        <f t="shared" si="74"/>
        <v>0</v>
      </c>
      <c r="U134" s="319"/>
      <c r="V134" s="323">
        <f t="shared" si="75"/>
        <v>1.2191178950470893</v>
      </c>
      <c r="W134" s="324" t="s">
        <v>5195</v>
      </c>
      <c r="X134" s="324" t="s">
        <v>8</v>
      </c>
      <c r="Y134" s="324" t="s">
        <v>61</v>
      </c>
      <c r="Z134" s="319"/>
      <c r="AA134" s="324" t="s">
        <v>4696</v>
      </c>
      <c r="AB134" s="324" t="s">
        <v>4697</v>
      </c>
      <c r="AC134" s="319"/>
      <c r="AD134" s="319"/>
      <c r="AE134" s="319"/>
      <c r="AF134" s="319"/>
      <c r="AG134" s="319"/>
      <c r="AH134" s="319"/>
      <c r="AI134" s="319"/>
      <c r="AJ134" s="319"/>
      <c r="AK134" s="319"/>
      <c r="AL134" s="319"/>
      <c r="AM134" s="137" t="str">
        <f t="shared" si="61"/>
        <v>epwm_2</v>
      </c>
    </row>
    <row r="135" spans="1:39" ht="11.25" x14ac:dyDescent="0.2">
      <c r="A135" s="207" t="s">
        <v>5276</v>
      </c>
      <c r="B135" s="207" t="s">
        <v>5476</v>
      </c>
      <c r="C135" s="209" t="str">
        <f t="shared" si="76"/>
        <v>epwm lvcmos io</v>
      </c>
      <c r="D135" s="227">
        <f t="shared" si="76"/>
        <v>44499</v>
      </c>
      <c r="E135" s="207" t="str">
        <f t="shared" si="76"/>
        <v>7 lvcmos io</v>
      </c>
      <c r="F135" s="207" t="str">
        <f t="shared" si="76"/>
        <v>epwm</v>
      </c>
      <c r="G135" s="209">
        <v>1</v>
      </c>
      <c r="H135" s="216">
        <f t="shared" si="77"/>
        <v>1.2191183614986867</v>
      </c>
      <c r="I135" s="228" t="s">
        <v>4872</v>
      </c>
      <c r="J135" s="229"/>
      <c r="K135" s="207" t="str">
        <f t="shared" si="70"/>
        <v>on_3p3v</v>
      </c>
      <c r="L135" s="224">
        <f t="shared" si="71"/>
        <v>0.5</v>
      </c>
      <c r="M135" s="209">
        <f t="shared" si="72"/>
        <v>3</v>
      </c>
      <c r="N135" s="319"/>
      <c r="O135" s="323">
        <f t="shared" si="73"/>
        <v>4.6645159743154637E-7</v>
      </c>
      <c r="P135" s="319"/>
      <c r="Q135" s="319"/>
      <c r="R135" s="319"/>
      <c r="S135" s="319"/>
      <c r="T135" s="323">
        <f t="shared" si="74"/>
        <v>0</v>
      </c>
      <c r="U135" s="319"/>
      <c r="V135" s="323">
        <f t="shared" si="75"/>
        <v>1.2191178950470893</v>
      </c>
      <c r="W135" s="324" t="s">
        <v>5195</v>
      </c>
      <c r="X135" s="324" t="s">
        <v>8</v>
      </c>
      <c r="Y135" s="324" t="s">
        <v>61</v>
      </c>
      <c r="Z135" s="319"/>
      <c r="AA135" s="324" t="s">
        <v>4696</v>
      </c>
      <c r="AB135" s="324" t="s">
        <v>4697</v>
      </c>
      <c r="AC135" s="319"/>
      <c r="AD135" s="319"/>
      <c r="AE135" s="319"/>
      <c r="AF135" s="319"/>
      <c r="AG135" s="319"/>
      <c r="AH135" s="319"/>
      <c r="AI135" s="319"/>
      <c r="AJ135" s="319"/>
      <c r="AK135" s="319"/>
      <c r="AL135" s="319"/>
      <c r="AM135" s="137" t="str">
        <f t="shared" si="61"/>
        <v>epwm_20</v>
      </c>
    </row>
    <row r="136" spans="1:39" ht="11.25" x14ac:dyDescent="0.2">
      <c r="A136" s="207" t="s">
        <v>5276</v>
      </c>
      <c r="B136" s="207" t="s">
        <v>5477</v>
      </c>
      <c r="C136" s="209" t="str">
        <f t="shared" si="76"/>
        <v>epwm lvcmos io</v>
      </c>
      <c r="D136" s="227">
        <f t="shared" si="76"/>
        <v>44499</v>
      </c>
      <c r="E136" s="207" t="str">
        <f t="shared" si="76"/>
        <v>7 lvcmos io</v>
      </c>
      <c r="F136" s="207" t="str">
        <f t="shared" si="76"/>
        <v>epwm</v>
      </c>
      <c r="G136" s="209">
        <v>1</v>
      </c>
      <c r="H136" s="216">
        <f t="shared" si="77"/>
        <v>1.2191183614986867</v>
      </c>
      <c r="I136" s="228" t="s">
        <v>4872</v>
      </c>
      <c r="J136" s="229"/>
      <c r="K136" s="207" t="str">
        <f t="shared" si="70"/>
        <v>on_3p3v</v>
      </c>
      <c r="L136" s="224">
        <f t="shared" si="71"/>
        <v>0.5</v>
      </c>
      <c r="M136" s="209">
        <f t="shared" si="72"/>
        <v>3</v>
      </c>
      <c r="N136" s="319"/>
      <c r="O136" s="323">
        <f t="shared" si="73"/>
        <v>4.6645159743154637E-7</v>
      </c>
      <c r="P136" s="319"/>
      <c r="Q136" s="319"/>
      <c r="R136" s="319"/>
      <c r="S136" s="319"/>
      <c r="T136" s="323">
        <f t="shared" si="74"/>
        <v>0</v>
      </c>
      <c r="U136" s="319"/>
      <c r="V136" s="323">
        <f t="shared" si="75"/>
        <v>1.2191178950470893</v>
      </c>
      <c r="W136" s="324" t="s">
        <v>5195</v>
      </c>
      <c r="X136" s="324" t="s">
        <v>8</v>
      </c>
      <c r="Y136" s="324" t="s">
        <v>61</v>
      </c>
      <c r="Z136" s="319"/>
      <c r="AA136" s="324" t="s">
        <v>4696</v>
      </c>
      <c r="AB136" s="324" t="s">
        <v>4697</v>
      </c>
      <c r="AC136" s="319"/>
      <c r="AD136" s="319"/>
      <c r="AE136" s="319"/>
      <c r="AF136" s="319"/>
      <c r="AG136" s="319"/>
      <c r="AH136" s="319"/>
      <c r="AI136" s="319"/>
      <c r="AJ136" s="319"/>
      <c r="AK136" s="319"/>
      <c r="AL136" s="319"/>
      <c r="AM136" s="137" t="str">
        <f t="shared" si="61"/>
        <v>epwm_21</v>
      </c>
    </row>
    <row r="137" spans="1:39" ht="11.25" x14ac:dyDescent="0.2">
      <c r="A137" s="207" t="s">
        <v>5276</v>
      </c>
      <c r="B137" s="207" t="s">
        <v>5478</v>
      </c>
      <c r="C137" s="209" t="str">
        <f t="shared" si="76"/>
        <v>epwm lvcmos io</v>
      </c>
      <c r="D137" s="227">
        <f t="shared" si="76"/>
        <v>44499</v>
      </c>
      <c r="E137" s="207" t="str">
        <f t="shared" si="76"/>
        <v>7 lvcmos io</v>
      </c>
      <c r="F137" s="207" t="str">
        <f t="shared" si="76"/>
        <v>epwm</v>
      </c>
      <c r="G137" s="209">
        <v>1</v>
      </c>
      <c r="H137" s="216">
        <f t="shared" si="77"/>
        <v>1.2191183614986867</v>
      </c>
      <c r="I137" s="228" t="s">
        <v>4872</v>
      </c>
      <c r="J137" s="229"/>
      <c r="K137" s="207" t="str">
        <f t="shared" si="70"/>
        <v>on_3p3v</v>
      </c>
      <c r="L137" s="224">
        <f t="shared" si="71"/>
        <v>0.5</v>
      </c>
      <c r="M137" s="209">
        <f t="shared" si="72"/>
        <v>3</v>
      </c>
      <c r="N137" s="319"/>
      <c r="O137" s="323">
        <f t="shared" si="73"/>
        <v>4.6645159743154637E-7</v>
      </c>
      <c r="P137" s="319"/>
      <c r="Q137" s="319"/>
      <c r="R137" s="319"/>
      <c r="S137" s="319"/>
      <c r="T137" s="323">
        <f t="shared" si="74"/>
        <v>0</v>
      </c>
      <c r="U137" s="319"/>
      <c r="V137" s="323">
        <f t="shared" si="75"/>
        <v>1.2191178950470893</v>
      </c>
      <c r="W137" s="324" t="s">
        <v>5195</v>
      </c>
      <c r="X137" s="324" t="s">
        <v>8</v>
      </c>
      <c r="Y137" s="324" t="s">
        <v>61</v>
      </c>
      <c r="Z137" s="319"/>
      <c r="AA137" s="324" t="s">
        <v>4696</v>
      </c>
      <c r="AB137" s="324" t="s">
        <v>4697</v>
      </c>
      <c r="AC137" s="319"/>
      <c r="AD137" s="319"/>
      <c r="AE137" s="319"/>
      <c r="AF137" s="319"/>
      <c r="AG137" s="319"/>
      <c r="AH137" s="319"/>
      <c r="AI137" s="319"/>
      <c r="AJ137" s="319"/>
      <c r="AK137" s="319"/>
      <c r="AL137" s="319"/>
      <c r="AM137" s="137" t="str">
        <f t="shared" si="61"/>
        <v>epwm_22</v>
      </c>
    </row>
    <row r="138" spans="1:39" ht="11.25" x14ac:dyDescent="0.2">
      <c r="A138" s="207" t="s">
        <v>5276</v>
      </c>
      <c r="B138" s="207" t="s">
        <v>5479</v>
      </c>
      <c r="C138" s="209" t="str">
        <f t="shared" si="76"/>
        <v>epwm lvcmos io</v>
      </c>
      <c r="D138" s="227">
        <f t="shared" si="76"/>
        <v>44499</v>
      </c>
      <c r="E138" s="207" t="str">
        <f t="shared" si="76"/>
        <v>7 lvcmos io</v>
      </c>
      <c r="F138" s="207" t="str">
        <f t="shared" si="76"/>
        <v>epwm</v>
      </c>
      <c r="G138" s="209">
        <v>1</v>
      </c>
      <c r="H138" s="216">
        <f t="shared" si="77"/>
        <v>1.2191183614986867</v>
      </c>
      <c r="I138" s="228" t="s">
        <v>4872</v>
      </c>
      <c r="J138" s="229"/>
      <c r="K138" s="207" t="str">
        <f t="shared" si="70"/>
        <v>on_3p3v</v>
      </c>
      <c r="L138" s="224">
        <f t="shared" si="71"/>
        <v>0.5</v>
      </c>
      <c r="M138" s="209">
        <f t="shared" si="72"/>
        <v>3</v>
      </c>
      <c r="N138" s="319"/>
      <c r="O138" s="323">
        <f t="shared" si="73"/>
        <v>4.6645159743154637E-7</v>
      </c>
      <c r="P138" s="319"/>
      <c r="Q138" s="319"/>
      <c r="R138" s="319"/>
      <c r="S138" s="319"/>
      <c r="T138" s="323">
        <f t="shared" si="74"/>
        <v>0</v>
      </c>
      <c r="U138" s="319"/>
      <c r="V138" s="323">
        <f t="shared" si="75"/>
        <v>1.2191178950470893</v>
      </c>
      <c r="W138" s="324" t="s">
        <v>5195</v>
      </c>
      <c r="X138" s="324" t="s">
        <v>8</v>
      </c>
      <c r="Y138" s="324" t="s">
        <v>61</v>
      </c>
      <c r="Z138" s="319"/>
      <c r="AA138" s="324" t="s">
        <v>4696</v>
      </c>
      <c r="AB138" s="324" t="s">
        <v>4697</v>
      </c>
      <c r="AC138" s="319"/>
      <c r="AD138" s="319"/>
      <c r="AE138" s="319"/>
      <c r="AF138" s="319"/>
      <c r="AG138" s="319"/>
      <c r="AH138" s="319"/>
      <c r="AI138" s="319"/>
      <c r="AJ138" s="319"/>
      <c r="AK138" s="319"/>
      <c r="AL138" s="319"/>
      <c r="AM138" s="137" t="str">
        <f t="shared" si="61"/>
        <v>epwm_23</v>
      </c>
    </row>
    <row r="139" spans="1:39" ht="11.25" x14ac:dyDescent="0.2">
      <c r="A139" s="207" t="s">
        <v>5276</v>
      </c>
      <c r="B139" s="207" t="s">
        <v>5480</v>
      </c>
      <c r="C139" s="209" t="str">
        <f t="shared" si="76"/>
        <v>epwm lvcmos io</v>
      </c>
      <c r="D139" s="227">
        <f t="shared" si="76"/>
        <v>44499</v>
      </c>
      <c r="E139" s="207" t="str">
        <f t="shared" si="76"/>
        <v>7 lvcmos io</v>
      </c>
      <c r="F139" s="207" t="str">
        <f t="shared" si="76"/>
        <v>epwm</v>
      </c>
      <c r="G139" s="209">
        <v>1</v>
      </c>
      <c r="H139" s="216">
        <f t="shared" si="77"/>
        <v>1.2191183614986867</v>
      </c>
      <c r="I139" s="228" t="s">
        <v>4872</v>
      </c>
      <c r="J139" s="229"/>
      <c r="K139" s="207" t="str">
        <f t="shared" si="70"/>
        <v>on_3p3v</v>
      </c>
      <c r="L139" s="224">
        <f t="shared" si="71"/>
        <v>0.5</v>
      </c>
      <c r="M139" s="209">
        <f t="shared" si="72"/>
        <v>3</v>
      </c>
      <c r="N139" s="319"/>
      <c r="O139" s="323">
        <f t="shared" si="73"/>
        <v>4.6645159743154637E-7</v>
      </c>
      <c r="P139" s="319"/>
      <c r="Q139" s="319"/>
      <c r="R139" s="319"/>
      <c r="S139" s="319"/>
      <c r="T139" s="323">
        <f t="shared" si="74"/>
        <v>0</v>
      </c>
      <c r="U139" s="319"/>
      <c r="V139" s="323">
        <f t="shared" si="75"/>
        <v>1.2191178950470893</v>
      </c>
      <c r="W139" s="324" t="s">
        <v>5195</v>
      </c>
      <c r="X139" s="324" t="s">
        <v>8</v>
      </c>
      <c r="Y139" s="324" t="s">
        <v>61</v>
      </c>
      <c r="Z139" s="319"/>
      <c r="AA139" s="324" t="s">
        <v>4696</v>
      </c>
      <c r="AB139" s="324" t="s">
        <v>4697</v>
      </c>
      <c r="AC139" s="319"/>
      <c r="AD139" s="319"/>
      <c r="AE139" s="319"/>
      <c r="AF139" s="319"/>
      <c r="AG139" s="319"/>
      <c r="AH139" s="319"/>
      <c r="AI139" s="319"/>
      <c r="AJ139" s="319"/>
      <c r="AK139" s="319"/>
      <c r="AL139" s="319"/>
      <c r="AM139" s="137" t="str">
        <f t="shared" ref="AM139:AM202" si="78">A139&amp;B139</f>
        <v>epwm_24</v>
      </c>
    </row>
    <row r="140" spans="1:39" ht="11.25" x14ac:dyDescent="0.2">
      <c r="A140" s="207" t="s">
        <v>5276</v>
      </c>
      <c r="B140" s="207" t="s">
        <v>5481</v>
      </c>
      <c r="C140" s="209" t="str">
        <f t="shared" si="76"/>
        <v>epwm lvcmos io</v>
      </c>
      <c r="D140" s="227">
        <f t="shared" si="76"/>
        <v>44499</v>
      </c>
      <c r="E140" s="207" t="str">
        <f t="shared" si="76"/>
        <v>7 lvcmos io</v>
      </c>
      <c r="F140" s="207" t="str">
        <f t="shared" si="76"/>
        <v>epwm</v>
      </c>
      <c r="G140" s="209">
        <v>1</v>
      </c>
      <c r="H140" s="216">
        <f t="shared" si="77"/>
        <v>1.2191183614986867</v>
      </c>
      <c r="I140" s="228" t="s">
        <v>4872</v>
      </c>
      <c r="J140" s="229"/>
      <c r="K140" s="207" t="str">
        <f t="shared" si="70"/>
        <v>on_3p3v</v>
      </c>
      <c r="L140" s="224">
        <f t="shared" si="71"/>
        <v>0.5</v>
      </c>
      <c r="M140" s="209">
        <f t="shared" si="72"/>
        <v>3</v>
      </c>
      <c r="N140" s="319"/>
      <c r="O140" s="323">
        <f t="shared" si="73"/>
        <v>4.6645159743154637E-7</v>
      </c>
      <c r="P140" s="319"/>
      <c r="Q140" s="319"/>
      <c r="R140" s="319"/>
      <c r="S140" s="319"/>
      <c r="T140" s="323">
        <f t="shared" si="74"/>
        <v>0</v>
      </c>
      <c r="U140" s="319"/>
      <c r="V140" s="323">
        <f t="shared" si="75"/>
        <v>1.2191178950470893</v>
      </c>
      <c r="W140" s="324" t="s">
        <v>5195</v>
      </c>
      <c r="X140" s="324" t="s">
        <v>8</v>
      </c>
      <c r="Y140" s="324" t="s">
        <v>61</v>
      </c>
      <c r="Z140" s="319"/>
      <c r="AA140" s="324" t="s">
        <v>4696</v>
      </c>
      <c r="AB140" s="324" t="s">
        <v>4697</v>
      </c>
      <c r="AC140" s="319"/>
      <c r="AD140" s="319"/>
      <c r="AE140" s="319"/>
      <c r="AF140" s="319"/>
      <c r="AG140" s="319"/>
      <c r="AH140" s="319"/>
      <c r="AI140" s="319"/>
      <c r="AJ140" s="319"/>
      <c r="AK140" s="319"/>
      <c r="AL140" s="319"/>
      <c r="AM140" s="137" t="str">
        <f t="shared" si="78"/>
        <v>epwm_25</v>
      </c>
    </row>
    <row r="141" spans="1:39" ht="11.25" x14ac:dyDescent="0.2">
      <c r="A141" s="207" t="s">
        <v>5276</v>
      </c>
      <c r="B141" s="207" t="s">
        <v>5482</v>
      </c>
      <c r="C141" s="209" t="str">
        <f t="shared" si="76"/>
        <v>epwm lvcmos io</v>
      </c>
      <c r="D141" s="227">
        <f t="shared" si="76"/>
        <v>44499</v>
      </c>
      <c r="E141" s="207" t="str">
        <f t="shared" si="76"/>
        <v>7 lvcmos io</v>
      </c>
      <c r="F141" s="207" t="str">
        <f t="shared" si="76"/>
        <v>epwm</v>
      </c>
      <c r="G141" s="209">
        <v>1</v>
      </c>
      <c r="H141" s="216">
        <f t="shared" si="77"/>
        <v>1.2191183614986867</v>
      </c>
      <c r="I141" s="228" t="s">
        <v>4872</v>
      </c>
      <c r="J141" s="229"/>
      <c r="K141" s="207" t="str">
        <f t="shared" si="70"/>
        <v>on_3p3v</v>
      </c>
      <c r="L141" s="224">
        <f t="shared" si="71"/>
        <v>0.5</v>
      </c>
      <c r="M141" s="209">
        <f t="shared" si="72"/>
        <v>3</v>
      </c>
      <c r="N141" s="319"/>
      <c r="O141" s="323">
        <f t="shared" si="73"/>
        <v>4.6645159743154637E-7</v>
      </c>
      <c r="P141" s="319"/>
      <c r="Q141" s="319"/>
      <c r="R141" s="319"/>
      <c r="S141" s="319"/>
      <c r="T141" s="323">
        <f t="shared" si="74"/>
        <v>0</v>
      </c>
      <c r="U141" s="319"/>
      <c r="V141" s="323">
        <f t="shared" si="75"/>
        <v>1.2191178950470893</v>
      </c>
      <c r="W141" s="324" t="s">
        <v>5195</v>
      </c>
      <c r="X141" s="324" t="s">
        <v>8</v>
      </c>
      <c r="Y141" s="324" t="s">
        <v>61</v>
      </c>
      <c r="Z141" s="319"/>
      <c r="AA141" s="324" t="s">
        <v>4696</v>
      </c>
      <c r="AB141" s="324" t="s">
        <v>4697</v>
      </c>
      <c r="AC141" s="319"/>
      <c r="AD141" s="319"/>
      <c r="AE141" s="319"/>
      <c r="AF141" s="319"/>
      <c r="AG141" s="319"/>
      <c r="AH141" s="319"/>
      <c r="AI141" s="319"/>
      <c r="AJ141" s="319"/>
      <c r="AK141" s="319"/>
      <c r="AL141" s="319"/>
      <c r="AM141" s="137" t="str">
        <f t="shared" si="78"/>
        <v>epwm_26</v>
      </c>
    </row>
    <row r="142" spans="1:39" ht="11.25" x14ac:dyDescent="0.2">
      <c r="A142" s="207" t="s">
        <v>5276</v>
      </c>
      <c r="B142" s="207" t="s">
        <v>5483</v>
      </c>
      <c r="C142" s="209" t="str">
        <f t="shared" si="76"/>
        <v>epwm lvcmos io</v>
      </c>
      <c r="D142" s="227">
        <f t="shared" si="76"/>
        <v>44499</v>
      </c>
      <c r="E142" s="207" t="str">
        <f t="shared" si="76"/>
        <v>7 lvcmos io</v>
      </c>
      <c r="F142" s="207" t="str">
        <f t="shared" si="76"/>
        <v>epwm</v>
      </c>
      <c r="G142" s="209">
        <v>1</v>
      </c>
      <c r="H142" s="216">
        <f t="shared" si="77"/>
        <v>1.2191183614986867</v>
      </c>
      <c r="I142" s="228" t="s">
        <v>4872</v>
      </c>
      <c r="J142" s="229"/>
      <c r="K142" s="207" t="str">
        <f t="shared" si="70"/>
        <v>on_3p3v</v>
      </c>
      <c r="L142" s="224">
        <f t="shared" si="71"/>
        <v>0.5</v>
      </c>
      <c r="M142" s="209">
        <f t="shared" si="72"/>
        <v>3</v>
      </c>
      <c r="N142" s="319"/>
      <c r="O142" s="323">
        <f t="shared" si="73"/>
        <v>4.6645159743154637E-7</v>
      </c>
      <c r="P142" s="319"/>
      <c r="Q142" s="319"/>
      <c r="R142" s="319"/>
      <c r="S142" s="319"/>
      <c r="T142" s="323">
        <f t="shared" si="74"/>
        <v>0</v>
      </c>
      <c r="U142" s="319"/>
      <c r="V142" s="323">
        <f t="shared" si="75"/>
        <v>1.2191178950470893</v>
      </c>
      <c r="W142" s="324" t="s">
        <v>5195</v>
      </c>
      <c r="X142" s="324" t="s">
        <v>8</v>
      </c>
      <c r="Y142" s="324" t="s">
        <v>61</v>
      </c>
      <c r="Z142" s="319"/>
      <c r="AA142" s="324" t="s">
        <v>4696</v>
      </c>
      <c r="AB142" s="324" t="s">
        <v>4697</v>
      </c>
      <c r="AC142" s="319"/>
      <c r="AD142" s="319"/>
      <c r="AE142" s="319"/>
      <c r="AF142" s="319"/>
      <c r="AG142" s="319"/>
      <c r="AH142" s="319"/>
      <c r="AI142" s="319"/>
      <c r="AJ142" s="319"/>
      <c r="AK142" s="319"/>
      <c r="AL142" s="319"/>
      <c r="AM142" s="137" t="str">
        <f t="shared" si="78"/>
        <v>epwm_27</v>
      </c>
    </row>
    <row r="143" spans="1:39" ht="11.25" x14ac:dyDescent="0.2">
      <c r="A143" s="207" t="s">
        <v>5276</v>
      </c>
      <c r="B143" s="207" t="s">
        <v>5484</v>
      </c>
      <c r="C143" s="209" t="str">
        <f t="shared" si="76"/>
        <v>epwm lvcmos io</v>
      </c>
      <c r="D143" s="227">
        <f t="shared" si="76"/>
        <v>44499</v>
      </c>
      <c r="E143" s="207" t="str">
        <f t="shared" si="76"/>
        <v>7 lvcmos io</v>
      </c>
      <c r="F143" s="207" t="str">
        <f t="shared" si="76"/>
        <v>epwm</v>
      </c>
      <c r="G143" s="209">
        <v>1</v>
      </c>
      <c r="H143" s="216">
        <f t="shared" si="77"/>
        <v>1.2191183614986867</v>
      </c>
      <c r="I143" s="228" t="s">
        <v>4872</v>
      </c>
      <c r="J143" s="229"/>
      <c r="K143" s="207" t="str">
        <f t="shared" si="70"/>
        <v>on_3p3v</v>
      </c>
      <c r="L143" s="224">
        <f t="shared" si="71"/>
        <v>0.5</v>
      </c>
      <c r="M143" s="209">
        <f t="shared" si="72"/>
        <v>3</v>
      </c>
      <c r="N143" s="319"/>
      <c r="O143" s="323">
        <f t="shared" si="73"/>
        <v>4.6645159743154637E-7</v>
      </c>
      <c r="P143" s="319"/>
      <c r="Q143" s="319"/>
      <c r="R143" s="319"/>
      <c r="S143" s="319"/>
      <c r="T143" s="323">
        <f t="shared" si="74"/>
        <v>0</v>
      </c>
      <c r="U143" s="319"/>
      <c r="V143" s="323">
        <f t="shared" si="75"/>
        <v>1.2191178950470893</v>
      </c>
      <c r="W143" s="324" t="s">
        <v>5195</v>
      </c>
      <c r="X143" s="324" t="s">
        <v>8</v>
      </c>
      <c r="Y143" s="324" t="s">
        <v>61</v>
      </c>
      <c r="Z143" s="319"/>
      <c r="AA143" s="324" t="s">
        <v>4696</v>
      </c>
      <c r="AB143" s="324" t="s">
        <v>4697</v>
      </c>
      <c r="AC143" s="319"/>
      <c r="AD143" s="319"/>
      <c r="AE143" s="319"/>
      <c r="AF143" s="319"/>
      <c r="AG143" s="319"/>
      <c r="AH143" s="319"/>
      <c r="AI143" s="319"/>
      <c r="AJ143" s="319"/>
      <c r="AK143" s="319"/>
      <c r="AL143" s="319"/>
      <c r="AM143" s="137" t="str">
        <f t="shared" si="78"/>
        <v>epwm_28</v>
      </c>
    </row>
    <row r="144" spans="1:39" ht="11.25" x14ac:dyDescent="0.2">
      <c r="A144" s="207" t="s">
        <v>5276</v>
      </c>
      <c r="B144" s="207" t="s">
        <v>5485</v>
      </c>
      <c r="C144" s="209" t="str">
        <f t="shared" si="76"/>
        <v>epwm lvcmos io</v>
      </c>
      <c r="D144" s="227">
        <f t="shared" si="76"/>
        <v>44499</v>
      </c>
      <c r="E144" s="207" t="str">
        <f t="shared" si="76"/>
        <v>7 lvcmos io</v>
      </c>
      <c r="F144" s="207" t="str">
        <f t="shared" si="76"/>
        <v>epwm</v>
      </c>
      <c r="G144" s="209">
        <v>1</v>
      </c>
      <c r="H144" s="216">
        <f t="shared" si="77"/>
        <v>1.2191183614986867</v>
      </c>
      <c r="I144" s="228" t="s">
        <v>4872</v>
      </c>
      <c r="J144" s="229"/>
      <c r="K144" s="207" t="str">
        <f t="shared" si="70"/>
        <v>on_3p3v</v>
      </c>
      <c r="L144" s="224">
        <f t="shared" si="71"/>
        <v>0.5</v>
      </c>
      <c r="M144" s="209">
        <f t="shared" si="72"/>
        <v>3</v>
      </c>
      <c r="N144" s="319"/>
      <c r="O144" s="323">
        <f t="shared" si="73"/>
        <v>4.6645159743154637E-7</v>
      </c>
      <c r="P144" s="319"/>
      <c r="Q144" s="319"/>
      <c r="R144" s="319"/>
      <c r="S144" s="319"/>
      <c r="T144" s="323">
        <f t="shared" si="74"/>
        <v>0</v>
      </c>
      <c r="U144" s="319"/>
      <c r="V144" s="323">
        <f t="shared" si="75"/>
        <v>1.2191178950470893</v>
      </c>
      <c r="W144" s="324" t="s">
        <v>5195</v>
      </c>
      <c r="X144" s="324" t="s">
        <v>8</v>
      </c>
      <c r="Y144" s="324" t="s">
        <v>61</v>
      </c>
      <c r="Z144" s="319"/>
      <c r="AA144" s="324" t="s">
        <v>4696</v>
      </c>
      <c r="AB144" s="324" t="s">
        <v>4697</v>
      </c>
      <c r="AC144" s="319"/>
      <c r="AD144" s="319"/>
      <c r="AE144" s="319"/>
      <c r="AF144" s="319"/>
      <c r="AG144" s="319"/>
      <c r="AH144" s="319"/>
      <c r="AI144" s="319"/>
      <c r="AJ144" s="319"/>
      <c r="AK144" s="319"/>
      <c r="AL144" s="319"/>
      <c r="AM144" s="137" t="str">
        <f t="shared" si="78"/>
        <v>epwm_29</v>
      </c>
    </row>
    <row r="145" spans="1:39" ht="11.25" x14ac:dyDescent="0.2">
      <c r="A145" s="207" t="s">
        <v>5276</v>
      </c>
      <c r="B145" s="207" t="s">
        <v>14</v>
      </c>
      <c r="C145" s="209" t="str">
        <f t="shared" si="76"/>
        <v>epwm lvcmos io</v>
      </c>
      <c r="D145" s="227">
        <f t="shared" si="76"/>
        <v>44499</v>
      </c>
      <c r="E145" s="207" t="str">
        <f t="shared" si="76"/>
        <v>7 lvcmos io</v>
      </c>
      <c r="F145" s="207" t="str">
        <f t="shared" si="76"/>
        <v>epwm</v>
      </c>
      <c r="G145" s="209">
        <v>1</v>
      </c>
      <c r="H145" s="216">
        <f t="shared" si="77"/>
        <v>1.2191183614986867</v>
      </c>
      <c r="I145" s="228" t="s">
        <v>4872</v>
      </c>
      <c r="J145" s="229"/>
      <c r="K145" s="207" t="str">
        <f t="shared" si="70"/>
        <v>on_3p3v</v>
      </c>
      <c r="L145" s="224">
        <f t="shared" si="71"/>
        <v>0.5</v>
      </c>
      <c r="M145" s="209">
        <f t="shared" si="72"/>
        <v>3</v>
      </c>
      <c r="N145" s="319"/>
      <c r="O145" s="323">
        <f t="shared" si="73"/>
        <v>4.6645159743154637E-7</v>
      </c>
      <c r="P145" s="319"/>
      <c r="Q145" s="319"/>
      <c r="R145" s="319"/>
      <c r="S145" s="319"/>
      <c r="T145" s="323">
        <f t="shared" si="74"/>
        <v>0</v>
      </c>
      <c r="U145" s="319"/>
      <c r="V145" s="323">
        <f t="shared" si="75"/>
        <v>1.2191178950470893</v>
      </c>
      <c r="W145" s="324" t="s">
        <v>5195</v>
      </c>
      <c r="X145" s="324" t="s">
        <v>8</v>
      </c>
      <c r="Y145" s="324" t="s">
        <v>61</v>
      </c>
      <c r="Z145" s="319"/>
      <c r="AA145" s="324" t="s">
        <v>4696</v>
      </c>
      <c r="AB145" s="324" t="s">
        <v>4697</v>
      </c>
      <c r="AC145" s="319"/>
      <c r="AD145" s="319"/>
      <c r="AE145" s="319"/>
      <c r="AF145" s="319"/>
      <c r="AG145" s="319"/>
      <c r="AH145" s="319"/>
      <c r="AI145" s="319"/>
      <c r="AJ145" s="319"/>
      <c r="AK145" s="319"/>
      <c r="AL145" s="319"/>
      <c r="AM145" s="137" t="str">
        <f t="shared" si="78"/>
        <v>epwm_3</v>
      </c>
    </row>
    <row r="146" spans="1:39" ht="11.25" x14ac:dyDescent="0.2">
      <c r="A146" s="207" t="s">
        <v>5276</v>
      </c>
      <c r="B146" s="207" t="s">
        <v>6039</v>
      </c>
      <c r="C146" s="209" t="str">
        <f t="shared" si="76"/>
        <v>epwm lvcmos io</v>
      </c>
      <c r="D146" s="227">
        <f t="shared" si="76"/>
        <v>44499</v>
      </c>
      <c r="E146" s="207" t="str">
        <f t="shared" si="76"/>
        <v>7 lvcmos io</v>
      </c>
      <c r="F146" s="207" t="str">
        <f t="shared" si="76"/>
        <v>epwm</v>
      </c>
      <c r="G146" s="209">
        <v>0</v>
      </c>
      <c r="H146" s="216">
        <f t="shared" ca="1" si="77"/>
        <v>0</v>
      </c>
      <c r="I146" s="228" t="s">
        <v>4872</v>
      </c>
      <c r="J146" s="229"/>
      <c r="K146" s="207" t="str">
        <f t="shared" si="70"/>
        <v>on_3p3v</v>
      </c>
      <c r="L146" s="224">
        <f ca="1">IFERROR(INDEX(INDIRECT(uc_sheet&amp;"!$A$1"):INDIRECT(uc_sheet&amp;"!$CZ$1000"),MATCH($A146&amp;$B146,INDIRECT(uc_sheet&amp;"!$a$1"):INDIRECT(uc_sheet&amp;"!$a$1000"),0),MATCH(use_case,INDIRECT(uc_sheet&amp;"!$A$1"):INDIRECT(uc_sheet&amp;"!$CZ$1"),0)),0)</f>
        <v>0</v>
      </c>
      <c r="M146" s="209">
        <f t="shared" si="72"/>
        <v>0</v>
      </c>
      <c r="N146" s="319"/>
      <c r="O146" s="323">
        <f t="shared" ca="1" si="73"/>
        <v>0</v>
      </c>
      <c r="P146" s="319"/>
      <c r="Q146" s="319"/>
      <c r="R146" s="319"/>
      <c r="S146" s="319"/>
      <c r="T146" s="323">
        <f t="shared" ca="1" si="74"/>
        <v>0</v>
      </c>
      <c r="U146" s="319"/>
      <c r="V146" s="323">
        <f t="shared" ca="1" si="75"/>
        <v>0</v>
      </c>
      <c r="W146" s="324" t="s">
        <v>5195</v>
      </c>
      <c r="X146" s="324" t="s">
        <v>8</v>
      </c>
      <c r="Y146" s="324" t="s">
        <v>61</v>
      </c>
      <c r="Z146" s="319"/>
      <c r="AA146" s="324" t="s">
        <v>4696</v>
      </c>
      <c r="AB146" s="324" t="s">
        <v>4697</v>
      </c>
      <c r="AC146" s="319"/>
      <c r="AD146" s="319"/>
      <c r="AE146" s="319"/>
      <c r="AF146" s="319"/>
      <c r="AG146" s="319"/>
      <c r="AH146" s="319"/>
      <c r="AI146" s="319"/>
      <c r="AJ146" s="319"/>
      <c r="AK146" s="319"/>
      <c r="AL146" s="319"/>
      <c r="AM146" s="137" t="str">
        <f t="shared" si="78"/>
        <v>epwm_30</v>
      </c>
    </row>
    <row r="147" spans="1:39" ht="11.25" x14ac:dyDescent="0.2">
      <c r="A147" s="207" t="s">
        <v>5276</v>
      </c>
      <c r="B147" s="207" t="s">
        <v>6040</v>
      </c>
      <c r="C147" s="209" t="str">
        <f t="shared" si="76"/>
        <v>epwm lvcmos io</v>
      </c>
      <c r="D147" s="227">
        <f t="shared" si="76"/>
        <v>44499</v>
      </c>
      <c r="E147" s="207" t="str">
        <f t="shared" si="76"/>
        <v>7 lvcmos io</v>
      </c>
      <c r="F147" s="207" t="str">
        <f t="shared" si="76"/>
        <v>epwm</v>
      </c>
      <c r="G147" s="209">
        <v>0</v>
      </c>
      <c r="H147" s="216">
        <f t="shared" ca="1" si="77"/>
        <v>0</v>
      </c>
      <c r="I147" s="228" t="s">
        <v>4872</v>
      </c>
      <c r="J147" s="229"/>
      <c r="K147" s="207" t="str">
        <f t="shared" si="70"/>
        <v>on_3p3v</v>
      </c>
      <c r="L147" s="224">
        <f ca="1">IFERROR(INDEX(INDIRECT(uc_sheet&amp;"!$A$1"):INDIRECT(uc_sheet&amp;"!$CZ$1000"),MATCH($A147&amp;$B147,INDIRECT(uc_sheet&amp;"!$a$1"):INDIRECT(uc_sheet&amp;"!$a$1000"),0),MATCH(use_case,INDIRECT(uc_sheet&amp;"!$A$1"):INDIRECT(uc_sheet&amp;"!$CZ$1"),0)),0)</f>
        <v>0</v>
      </c>
      <c r="M147" s="209">
        <f t="shared" si="72"/>
        <v>0</v>
      </c>
      <c r="N147" s="319"/>
      <c r="O147" s="323">
        <f t="shared" ca="1" si="73"/>
        <v>0</v>
      </c>
      <c r="P147" s="319"/>
      <c r="Q147" s="319"/>
      <c r="R147" s="319"/>
      <c r="S147" s="319"/>
      <c r="T147" s="323">
        <f t="shared" ca="1" si="74"/>
        <v>0</v>
      </c>
      <c r="U147" s="319"/>
      <c r="V147" s="323">
        <f t="shared" ca="1" si="75"/>
        <v>0</v>
      </c>
      <c r="W147" s="324" t="s">
        <v>5195</v>
      </c>
      <c r="X147" s="324" t="s">
        <v>8</v>
      </c>
      <c r="Y147" s="324" t="s">
        <v>61</v>
      </c>
      <c r="Z147" s="319"/>
      <c r="AA147" s="324" t="s">
        <v>4696</v>
      </c>
      <c r="AB147" s="324" t="s">
        <v>4697</v>
      </c>
      <c r="AC147" s="319"/>
      <c r="AD147" s="319"/>
      <c r="AE147" s="319"/>
      <c r="AF147" s="319"/>
      <c r="AG147" s="319"/>
      <c r="AH147" s="319"/>
      <c r="AI147" s="319"/>
      <c r="AJ147" s="319"/>
      <c r="AK147" s="319"/>
      <c r="AL147" s="319"/>
      <c r="AM147" s="137" t="str">
        <f t="shared" si="78"/>
        <v>epwm_31</v>
      </c>
    </row>
    <row r="148" spans="1:39" ht="11.25" x14ac:dyDescent="0.2">
      <c r="A148" s="207" t="s">
        <v>5276</v>
      </c>
      <c r="B148" s="207" t="s">
        <v>15</v>
      </c>
      <c r="C148" s="209" t="str">
        <f t="shared" si="76"/>
        <v>epwm lvcmos io</v>
      </c>
      <c r="D148" s="227">
        <f t="shared" si="76"/>
        <v>44499</v>
      </c>
      <c r="E148" s="207" t="str">
        <f t="shared" si="76"/>
        <v>7 lvcmos io</v>
      </c>
      <c r="F148" s="207" t="str">
        <f t="shared" si="76"/>
        <v>epwm</v>
      </c>
      <c r="G148" s="209">
        <v>1</v>
      </c>
      <c r="H148" s="216">
        <f t="shared" si="77"/>
        <v>1.2191183614986867</v>
      </c>
      <c r="I148" s="228" t="s">
        <v>4872</v>
      </c>
      <c r="J148" s="229"/>
      <c r="K148" s="207" t="str">
        <f t="shared" si="70"/>
        <v>on_3p3v</v>
      </c>
      <c r="L148" s="224">
        <f t="shared" ref="L148:L153" si="79">EPWM_Util</f>
        <v>0.5</v>
      </c>
      <c r="M148" s="209">
        <f t="shared" si="72"/>
        <v>3</v>
      </c>
      <c r="N148" s="319"/>
      <c r="O148" s="323">
        <f t="shared" si="73"/>
        <v>4.6645159743154637E-7</v>
      </c>
      <c r="P148" s="319"/>
      <c r="Q148" s="319"/>
      <c r="R148" s="319"/>
      <c r="S148" s="319"/>
      <c r="T148" s="323">
        <f t="shared" si="74"/>
        <v>0</v>
      </c>
      <c r="U148" s="319"/>
      <c r="V148" s="323">
        <f t="shared" si="75"/>
        <v>1.2191178950470893</v>
      </c>
      <c r="W148" s="324" t="s">
        <v>5195</v>
      </c>
      <c r="X148" s="324" t="s">
        <v>8</v>
      </c>
      <c r="Y148" s="324" t="s">
        <v>61</v>
      </c>
      <c r="Z148" s="319"/>
      <c r="AA148" s="324" t="s">
        <v>4696</v>
      </c>
      <c r="AB148" s="324" t="s">
        <v>4697</v>
      </c>
      <c r="AC148" s="319"/>
      <c r="AD148" s="319"/>
      <c r="AE148" s="319"/>
      <c r="AF148" s="319"/>
      <c r="AG148" s="319"/>
      <c r="AH148" s="319"/>
      <c r="AI148" s="319"/>
      <c r="AJ148" s="319"/>
      <c r="AK148" s="319"/>
      <c r="AL148" s="319"/>
      <c r="AM148" s="137" t="str">
        <f t="shared" si="78"/>
        <v>epwm_4</v>
      </c>
    </row>
    <row r="149" spans="1:39" ht="11.25" x14ac:dyDescent="0.2">
      <c r="A149" s="207" t="s">
        <v>5276</v>
      </c>
      <c r="B149" s="207" t="s">
        <v>16</v>
      </c>
      <c r="C149" s="209" t="str">
        <f t="shared" si="76"/>
        <v>epwm lvcmos io</v>
      </c>
      <c r="D149" s="227">
        <f t="shared" si="76"/>
        <v>44499</v>
      </c>
      <c r="E149" s="207" t="str">
        <f t="shared" si="76"/>
        <v>7 lvcmos io</v>
      </c>
      <c r="F149" s="207" t="str">
        <f t="shared" si="76"/>
        <v>epwm</v>
      </c>
      <c r="G149" s="209">
        <v>1</v>
      </c>
      <c r="H149" s="216">
        <f t="shared" si="77"/>
        <v>1.2191183614986867</v>
      </c>
      <c r="I149" s="228" t="s">
        <v>4872</v>
      </c>
      <c r="J149" s="229"/>
      <c r="K149" s="207" t="str">
        <f t="shared" si="70"/>
        <v>on_3p3v</v>
      </c>
      <c r="L149" s="224">
        <f t="shared" si="79"/>
        <v>0.5</v>
      </c>
      <c r="M149" s="209">
        <f t="shared" si="72"/>
        <v>3</v>
      </c>
      <c r="N149" s="319"/>
      <c r="O149" s="323">
        <f t="shared" si="73"/>
        <v>4.6645159743154637E-7</v>
      </c>
      <c r="P149" s="319"/>
      <c r="Q149" s="319"/>
      <c r="R149" s="319"/>
      <c r="S149" s="319"/>
      <c r="T149" s="323">
        <f t="shared" si="74"/>
        <v>0</v>
      </c>
      <c r="U149" s="319"/>
      <c r="V149" s="323">
        <f t="shared" si="75"/>
        <v>1.2191178950470893</v>
      </c>
      <c r="W149" s="324" t="s">
        <v>5195</v>
      </c>
      <c r="X149" s="324" t="s">
        <v>8</v>
      </c>
      <c r="Y149" s="324" t="s">
        <v>61</v>
      </c>
      <c r="Z149" s="319"/>
      <c r="AA149" s="324" t="s">
        <v>4696</v>
      </c>
      <c r="AB149" s="324" t="s">
        <v>4697</v>
      </c>
      <c r="AC149" s="319"/>
      <c r="AD149" s="319"/>
      <c r="AE149" s="319"/>
      <c r="AF149" s="319"/>
      <c r="AG149" s="319"/>
      <c r="AH149" s="319"/>
      <c r="AI149" s="319"/>
      <c r="AJ149" s="319"/>
      <c r="AK149" s="319"/>
      <c r="AL149" s="319"/>
      <c r="AM149" s="137" t="str">
        <f t="shared" si="78"/>
        <v>epwm_5</v>
      </c>
    </row>
    <row r="150" spans="1:39" ht="11.25" x14ac:dyDescent="0.2">
      <c r="A150" s="207" t="s">
        <v>5276</v>
      </c>
      <c r="B150" s="207" t="s">
        <v>17</v>
      </c>
      <c r="C150" s="209" t="str">
        <f t="shared" si="76"/>
        <v>epwm lvcmos io</v>
      </c>
      <c r="D150" s="227">
        <f t="shared" si="76"/>
        <v>44499</v>
      </c>
      <c r="E150" s="207" t="str">
        <f t="shared" si="76"/>
        <v>7 lvcmos io</v>
      </c>
      <c r="F150" s="207" t="str">
        <f t="shared" si="76"/>
        <v>epwm</v>
      </c>
      <c r="G150" s="209">
        <v>1</v>
      </c>
      <c r="H150" s="216">
        <f t="shared" si="77"/>
        <v>1.2191183614986867</v>
      </c>
      <c r="I150" s="228" t="s">
        <v>4872</v>
      </c>
      <c r="J150" s="229"/>
      <c r="K150" s="207" t="str">
        <f t="shared" si="70"/>
        <v>on_3p3v</v>
      </c>
      <c r="L150" s="224">
        <f t="shared" si="79"/>
        <v>0.5</v>
      </c>
      <c r="M150" s="209">
        <f t="shared" si="72"/>
        <v>3</v>
      </c>
      <c r="N150" s="319"/>
      <c r="O150" s="323">
        <f t="shared" si="73"/>
        <v>4.6645159743154637E-7</v>
      </c>
      <c r="P150" s="319"/>
      <c r="Q150" s="319"/>
      <c r="R150" s="319"/>
      <c r="S150" s="319"/>
      <c r="T150" s="323">
        <f t="shared" si="74"/>
        <v>0</v>
      </c>
      <c r="U150" s="319"/>
      <c r="V150" s="323">
        <f t="shared" si="75"/>
        <v>1.2191178950470893</v>
      </c>
      <c r="W150" s="324" t="s">
        <v>5195</v>
      </c>
      <c r="X150" s="324" t="s">
        <v>8</v>
      </c>
      <c r="Y150" s="324" t="s">
        <v>61</v>
      </c>
      <c r="Z150" s="319"/>
      <c r="AA150" s="324" t="s">
        <v>4696</v>
      </c>
      <c r="AB150" s="324" t="s">
        <v>4697</v>
      </c>
      <c r="AC150" s="319"/>
      <c r="AD150" s="319"/>
      <c r="AE150" s="319"/>
      <c r="AF150" s="319"/>
      <c r="AG150" s="319"/>
      <c r="AH150" s="319"/>
      <c r="AI150" s="319"/>
      <c r="AJ150" s="319"/>
      <c r="AK150" s="319"/>
      <c r="AL150" s="319"/>
      <c r="AM150" s="137" t="str">
        <f t="shared" si="78"/>
        <v>epwm_6</v>
      </c>
    </row>
    <row r="151" spans="1:39" ht="11.25" x14ac:dyDescent="0.2">
      <c r="A151" s="207" t="s">
        <v>5276</v>
      </c>
      <c r="B151" s="207" t="s">
        <v>18</v>
      </c>
      <c r="C151" s="209" t="str">
        <f t="shared" ref="C151:F170" si="80">VLOOKUP($A151&amp;"_"&amp;C$2,MDB,6,0)</f>
        <v>epwm lvcmos io</v>
      </c>
      <c r="D151" s="227">
        <f t="shared" si="80"/>
        <v>44499</v>
      </c>
      <c r="E151" s="207" t="str">
        <f t="shared" si="80"/>
        <v>7 lvcmos io</v>
      </c>
      <c r="F151" s="207" t="str">
        <f t="shared" si="80"/>
        <v>epwm</v>
      </c>
      <c r="G151" s="209">
        <v>1</v>
      </c>
      <c r="H151" s="216">
        <f t="shared" si="77"/>
        <v>1.2191183614986867</v>
      </c>
      <c r="I151" s="228" t="s">
        <v>4872</v>
      </c>
      <c r="J151" s="229"/>
      <c r="K151" s="207" t="str">
        <f t="shared" si="70"/>
        <v>on_3p3v</v>
      </c>
      <c r="L151" s="224">
        <f t="shared" si="79"/>
        <v>0.5</v>
      </c>
      <c r="M151" s="209">
        <f t="shared" si="72"/>
        <v>3</v>
      </c>
      <c r="N151" s="319"/>
      <c r="O151" s="323">
        <f t="shared" si="73"/>
        <v>4.6645159743154637E-7</v>
      </c>
      <c r="P151" s="319"/>
      <c r="Q151" s="319"/>
      <c r="R151" s="319"/>
      <c r="S151" s="319"/>
      <c r="T151" s="323">
        <f t="shared" si="74"/>
        <v>0</v>
      </c>
      <c r="U151" s="319"/>
      <c r="V151" s="323">
        <f t="shared" si="75"/>
        <v>1.2191178950470893</v>
      </c>
      <c r="W151" s="324" t="s">
        <v>5195</v>
      </c>
      <c r="X151" s="324" t="s">
        <v>8</v>
      </c>
      <c r="Y151" s="324" t="s">
        <v>61</v>
      </c>
      <c r="Z151" s="319"/>
      <c r="AA151" s="324" t="s">
        <v>4696</v>
      </c>
      <c r="AB151" s="324" t="s">
        <v>4697</v>
      </c>
      <c r="AC151" s="319"/>
      <c r="AD151" s="319"/>
      <c r="AE151" s="319"/>
      <c r="AF151" s="319"/>
      <c r="AG151" s="319"/>
      <c r="AH151" s="319"/>
      <c r="AI151" s="319"/>
      <c r="AJ151" s="319"/>
      <c r="AK151" s="319"/>
      <c r="AL151" s="319"/>
      <c r="AM151" s="137" t="str">
        <f t="shared" si="78"/>
        <v>epwm_7</v>
      </c>
    </row>
    <row r="152" spans="1:39" ht="11.25" x14ac:dyDescent="0.2">
      <c r="A152" s="207" t="s">
        <v>5276</v>
      </c>
      <c r="B152" s="207" t="s">
        <v>19</v>
      </c>
      <c r="C152" s="209" t="str">
        <f t="shared" si="80"/>
        <v>epwm lvcmos io</v>
      </c>
      <c r="D152" s="227">
        <f t="shared" si="80"/>
        <v>44499</v>
      </c>
      <c r="E152" s="207" t="str">
        <f t="shared" si="80"/>
        <v>7 lvcmos io</v>
      </c>
      <c r="F152" s="207" t="str">
        <f t="shared" si="80"/>
        <v>epwm</v>
      </c>
      <c r="G152" s="209">
        <v>1</v>
      </c>
      <c r="H152" s="216">
        <f t="shared" si="77"/>
        <v>1.2191183614986867</v>
      </c>
      <c r="I152" s="228" t="s">
        <v>4872</v>
      </c>
      <c r="J152" s="229"/>
      <c r="K152" s="207" t="str">
        <f t="shared" si="70"/>
        <v>on_3p3v</v>
      </c>
      <c r="L152" s="224">
        <f t="shared" si="79"/>
        <v>0.5</v>
      </c>
      <c r="M152" s="209">
        <f t="shared" si="72"/>
        <v>3</v>
      </c>
      <c r="N152" s="319"/>
      <c r="O152" s="323">
        <f t="shared" si="73"/>
        <v>4.6645159743154637E-7</v>
      </c>
      <c r="P152" s="319"/>
      <c r="Q152" s="319"/>
      <c r="R152" s="319"/>
      <c r="S152" s="319"/>
      <c r="T152" s="323">
        <f t="shared" si="74"/>
        <v>0</v>
      </c>
      <c r="U152" s="319"/>
      <c r="V152" s="323">
        <f t="shared" si="75"/>
        <v>1.2191178950470893</v>
      </c>
      <c r="W152" s="324" t="s">
        <v>5195</v>
      </c>
      <c r="X152" s="324" t="s">
        <v>8</v>
      </c>
      <c r="Y152" s="324" t="s">
        <v>61</v>
      </c>
      <c r="Z152" s="319"/>
      <c r="AA152" s="324" t="s">
        <v>4696</v>
      </c>
      <c r="AB152" s="324" t="s">
        <v>4697</v>
      </c>
      <c r="AC152" s="319"/>
      <c r="AD152" s="319"/>
      <c r="AE152" s="319"/>
      <c r="AF152" s="319"/>
      <c r="AG152" s="319"/>
      <c r="AH152" s="319"/>
      <c r="AI152" s="319"/>
      <c r="AJ152" s="319"/>
      <c r="AK152" s="319"/>
      <c r="AL152" s="319"/>
      <c r="AM152" s="137" t="str">
        <f t="shared" si="78"/>
        <v>epwm_8</v>
      </c>
    </row>
    <row r="153" spans="1:39" ht="11.25" x14ac:dyDescent="0.2">
      <c r="A153" s="207" t="s">
        <v>5276</v>
      </c>
      <c r="B153" s="207" t="s">
        <v>22</v>
      </c>
      <c r="C153" s="209" t="str">
        <f t="shared" si="80"/>
        <v>epwm lvcmos io</v>
      </c>
      <c r="D153" s="227">
        <f t="shared" si="80"/>
        <v>44499</v>
      </c>
      <c r="E153" s="207" t="str">
        <f t="shared" si="80"/>
        <v>7 lvcmos io</v>
      </c>
      <c r="F153" s="207" t="str">
        <f t="shared" si="80"/>
        <v>epwm</v>
      </c>
      <c r="G153" s="209">
        <v>1</v>
      </c>
      <c r="H153" s="216">
        <f t="shared" si="77"/>
        <v>1.2191183614986867</v>
      </c>
      <c r="I153" s="228" t="s">
        <v>4872</v>
      </c>
      <c r="J153" s="229"/>
      <c r="K153" s="207" t="str">
        <f t="shared" si="70"/>
        <v>on_3p3v</v>
      </c>
      <c r="L153" s="224">
        <f t="shared" si="79"/>
        <v>0.5</v>
      </c>
      <c r="M153" s="209">
        <f t="shared" si="72"/>
        <v>3</v>
      </c>
      <c r="N153" s="319"/>
      <c r="O153" s="323">
        <f t="shared" si="73"/>
        <v>4.6645159743154637E-7</v>
      </c>
      <c r="P153" s="319"/>
      <c r="Q153" s="319"/>
      <c r="R153" s="319"/>
      <c r="S153" s="319"/>
      <c r="T153" s="323">
        <f t="shared" si="74"/>
        <v>0</v>
      </c>
      <c r="U153" s="319"/>
      <c r="V153" s="323">
        <f t="shared" si="75"/>
        <v>1.2191178950470893</v>
      </c>
      <c r="W153" s="324" t="s">
        <v>5195</v>
      </c>
      <c r="X153" s="324" t="s">
        <v>8</v>
      </c>
      <c r="Y153" s="324" t="s">
        <v>61</v>
      </c>
      <c r="Z153" s="319"/>
      <c r="AA153" s="324" t="s">
        <v>4696</v>
      </c>
      <c r="AB153" s="324" t="s">
        <v>4697</v>
      </c>
      <c r="AC153" s="319"/>
      <c r="AD153" s="319"/>
      <c r="AE153" s="319"/>
      <c r="AF153" s="319"/>
      <c r="AG153" s="319"/>
      <c r="AH153" s="319"/>
      <c r="AI153" s="319"/>
      <c r="AJ153" s="319"/>
      <c r="AK153" s="319"/>
      <c r="AL153" s="319"/>
      <c r="AM153" s="137" t="str">
        <f t="shared" si="78"/>
        <v>epwm_9</v>
      </c>
    </row>
    <row r="154" spans="1:39" ht="11.25" x14ac:dyDescent="0.2">
      <c r="A154" s="207" t="s">
        <v>5280</v>
      </c>
      <c r="B154" s="207" t="s">
        <v>11</v>
      </c>
      <c r="C154" s="209" t="str">
        <f t="shared" si="80"/>
        <v>eqep lvcmos io</v>
      </c>
      <c r="D154" s="227">
        <f t="shared" si="80"/>
        <v>44499</v>
      </c>
      <c r="E154" s="207" t="str">
        <f t="shared" si="80"/>
        <v>7 lvcmos io</v>
      </c>
      <c r="F154" s="207" t="str">
        <f t="shared" si="80"/>
        <v>eqep</v>
      </c>
      <c r="G154" s="209">
        <v>1</v>
      </c>
      <c r="H154" s="216">
        <f t="shared" ca="1" si="77"/>
        <v>0</v>
      </c>
      <c r="I154" s="228" t="s">
        <v>4872</v>
      </c>
      <c r="J154" s="229"/>
      <c r="K154" s="207" t="str">
        <f ca="1">IFERROR(INDEX(INDIRECT(uc_sheet&amp;"!$A$1"):INDIRECT(uc_sheet&amp;"!$CZ$1000"),MATCH($A154&amp;$B154,INDIRECT(uc_sheet&amp;"!$a$1"):INDIRECT(uc_sheet&amp;"!$a$1000"),0),MATCH(use_case,INDIRECT(uc_sheet&amp;"!$A$1"):INDIRECT(uc_sheet&amp;"!$CZ$1"),0)+1),"absent")</f>
        <v>absent</v>
      </c>
      <c r="L154" s="224">
        <f ca="1">IFERROR(INDEX(INDIRECT(uc_sheet&amp;"!$A$1"):INDIRECT(uc_sheet&amp;"!$CZ$1000"),MATCH($A154&amp;$B154,INDIRECT(uc_sheet&amp;"!$a$1"):INDIRECT(uc_sheet&amp;"!$a$1000"),0),MATCH(use_case,INDIRECT(uc_sheet&amp;"!$A$1"):INDIRECT(uc_sheet&amp;"!$CZ$1"),0)),0)</f>
        <v>0</v>
      </c>
      <c r="M154" s="209">
        <f t="shared" si="72"/>
        <v>4</v>
      </c>
      <c r="N154" s="319"/>
      <c r="O154" s="323">
        <f t="shared" ca="1" si="73"/>
        <v>0</v>
      </c>
      <c r="P154" s="319"/>
      <c r="Q154" s="319"/>
      <c r="R154" s="319"/>
      <c r="S154" s="319"/>
      <c r="T154" s="323">
        <f t="shared" ca="1" si="74"/>
        <v>0</v>
      </c>
      <c r="U154" s="319"/>
      <c r="V154" s="323">
        <f t="shared" ca="1" si="75"/>
        <v>0</v>
      </c>
      <c r="W154" s="324" t="s">
        <v>5195</v>
      </c>
      <c r="X154" s="324" t="s">
        <v>8</v>
      </c>
      <c r="Y154" s="324" t="s">
        <v>61</v>
      </c>
      <c r="Z154" s="319"/>
      <c r="AA154" s="324" t="s">
        <v>4696</v>
      </c>
      <c r="AB154" s="324" t="s">
        <v>4697</v>
      </c>
      <c r="AC154" s="319"/>
      <c r="AD154" s="319"/>
      <c r="AE154" s="319"/>
      <c r="AF154" s="319"/>
      <c r="AG154" s="319"/>
      <c r="AH154" s="319"/>
      <c r="AI154" s="319"/>
      <c r="AJ154" s="319"/>
      <c r="AK154" s="319"/>
      <c r="AL154" s="319"/>
      <c r="AM154" s="137" t="str">
        <f t="shared" si="78"/>
        <v>eqep_0</v>
      </c>
    </row>
    <row r="155" spans="1:39" ht="11.25" x14ac:dyDescent="0.2">
      <c r="A155" s="207" t="s">
        <v>5280</v>
      </c>
      <c r="B155" s="207" t="s">
        <v>12</v>
      </c>
      <c r="C155" s="209" t="str">
        <f t="shared" si="80"/>
        <v>eqep lvcmos io</v>
      </c>
      <c r="D155" s="227">
        <f t="shared" si="80"/>
        <v>44499</v>
      </c>
      <c r="E155" s="207" t="str">
        <f t="shared" si="80"/>
        <v>7 lvcmos io</v>
      </c>
      <c r="F155" s="207" t="str">
        <f t="shared" si="80"/>
        <v>eqep</v>
      </c>
      <c r="G155" s="209">
        <v>1</v>
      </c>
      <c r="H155" s="216">
        <f t="shared" ca="1" si="77"/>
        <v>0</v>
      </c>
      <c r="I155" s="228" t="s">
        <v>4872</v>
      </c>
      <c r="J155" s="229"/>
      <c r="K155" s="207" t="str">
        <f ca="1">IFERROR(INDEX(INDIRECT(uc_sheet&amp;"!$A$1"):INDIRECT(uc_sheet&amp;"!$CZ$1000"),MATCH($A155&amp;$B155,INDIRECT(uc_sheet&amp;"!$a$1"):INDIRECT(uc_sheet&amp;"!$a$1000"),0),MATCH(use_case,INDIRECT(uc_sheet&amp;"!$A$1"):INDIRECT(uc_sheet&amp;"!$CZ$1"),0)+1),"absent")</f>
        <v>absent</v>
      </c>
      <c r="L155" s="224">
        <f ca="1">IFERROR(INDEX(INDIRECT(uc_sheet&amp;"!$A$1"):INDIRECT(uc_sheet&amp;"!$CZ$1000"),MATCH($A155&amp;$B155,INDIRECT(uc_sheet&amp;"!$a$1"):INDIRECT(uc_sheet&amp;"!$a$1000"),0),MATCH(use_case,INDIRECT(uc_sheet&amp;"!$A$1"):INDIRECT(uc_sheet&amp;"!$CZ$1"),0)),0)</f>
        <v>0</v>
      </c>
      <c r="M155" s="209">
        <f t="shared" si="72"/>
        <v>4</v>
      </c>
      <c r="N155" s="319"/>
      <c r="O155" s="323">
        <f t="shared" ca="1" si="73"/>
        <v>0</v>
      </c>
      <c r="P155" s="319"/>
      <c r="Q155" s="319"/>
      <c r="R155" s="319"/>
      <c r="S155" s="319"/>
      <c r="T155" s="323">
        <f t="shared" ca="1" si="74"/>
        <v>0</v>
      </c>
      <c r="U155" s="319"/>
      <c r="V155" s="323">
        <f t="shared" ca="1" si="75"/>
        <v>0</v>
      </c>
      <c r="W155" s="324" t="s">
        <v>5195</v>
      </c>
      <c r="X155" s="324" t="s">
        <v>8</v>
      </c>
      <c r="Y155" s="324" t="s">
        <v>61</v>
      </c>
      <c r="Z155" s="319"/>
      <c r="AA155" s="324" t="s">
        <v>4696</v>
      </c>
      <c r="AB155" s="324" t="s">
        <v>4697</v>
      </c>
      <c r="AC155" s="319"/>
      <c r="AD155" s="319"/>
      <c r="AE155" s="319"/>
      <c r="AF155" s="319"/>
      <c r="AG155" s="319"/>
      <c r="AH155" s="319"/>
      <c r="AI155" s="319"/>
      <c r="AJ155" s="319"/>
      <c r="AK155" s="319"/>
      <c r="AL155" s="319"/>
      <c r="AM155" s="137" t="str">
        <f t="shared" si="78"/>
        <v>eqep_1</v>
      </c>
    </row>
    <row r="156" spans="1:39" ht="11.25" x14ac:dyDescent="0.2">
      <c r="A156" s="207" t="s">
        <v>5280</v>
      </c>
      <c r="B156" s="207" t="s">
        <v>13</v>
      </c>
      <c r="C156" s="209" t="str">
        <f t="shared" si="80"/>
        <v>eqep lvcmos io</v>
      </c>
      <c r="D156" s="227">
        <f t="shared" si="80"/>
        <v>44499</v>
      </c>
      <c r="E156" s="207" t="str">
        <f t="shared" si="80"/>
        <v>7 lvcmos io</v>
      </c>
      <c r="F156" s="207" t="str">
        <f t="shared" si="80"/>
        <v>eqep</v>
      </c>
      <c r="G156" s="209">
        <v>1</v>
      </c>
      <c r="H156" s="216">
        <f t="shared" ca="1" si="77"/>
        <v>0</v>
      </c>
      <c r="I156" s="228" t="s">
        <v>4872</v>
      </c>
      <c r="J156" s="229"/>
      <c r="K156" s="207" t="str">
        <f ca="1">IFERROR(INDEX(INDIRECT(uc_sheet&amp;"!$A$1"):INDIRECT(uc_sheet&amp;"!$CZ$1000"),MATCH($A156&amp;$B156,INDIRECT(uc_sheet&amp;"!$a$1"):INDIRECT(uc_sheet&amp;"!$a$1000"),0),MATCH(use_case,INDIRECT(uc_sheet&amp;"!$A$1"):INDIRECT(uc_sheet&amp;"!$CZ$1"),0)+1),"absent")</f>
        <v>absent</v>
      </c>
      <c r="L156" s="224">
        <f ca="1">IFERROR(INDEX(INDIRECT(uc_sheet&amp;"!$A$1"):INDIRECT(uc_sheet&amp;"!$CZ$1000"),MATCH($A156&amp;$B156,INDIRECT(uc_sheet&amp;"!$a$1"):INDIRECT(uc_sheet&amp;"!$a$1000"),0),MATCH(use_case,INDIRECT(uc_sheet&amp;"!$A$1"):INDIRECT(uc_sheet&amp;"!$CZ$1"),0)),0)</f>
        <v>0</v>
      </c>
      <c r="M156" s="209">
        <f t="shared" si="72"/>
        <v>4</v>
      </c>
      <c r="N156" s="319"/>
      <c r="O156" s="323">
        <f t="shared" ca="1" si="73"/>
        <v>0</v>
      </c>
      <c r="P156" s="319"/>
      <c r="Q156" s="319"/>
      <c r="R156" s="319"/>
      <c r="S156" s="319"/>
      <c r="T156" s="323">
        <f t="shared" ca="1" si="74"/>
        <v>0</v>
      </c>
      <c r="U156" s="319"/>
      <c r="V156" s="323">
        <f t="shared" ca="1" si="75"/>
        <v>0</v>
      </c>
      <c r="W156" s="324" t="s">
        <v>5195</v>
      </c>
      <c r="X156" s="324" t="s">
        <v>8</v>
      </c>
      <c r="Y156" s="324" t="s">
        <v>61</v>
      </c>
      <c r="Z156" s="319"/>
      <c r="AA156" s="324" t="s">
        <v>4696</v>
      </c>
      <c r="AB156" s="324" t="s">
        <v>4697</v>
      </c>
      <c r="AC156" s="319"/>
      <c r="AD156" s="319"/>
      <c r="AE156" s="319"/>
      <c r="AF156" s="319"/>
      <c r="AG156" s="319"/>
      <c r="AH156" s="319"/>
      <c r="AI156" s="319"/>
      <c r="AJ156" s="319"/>
      <c r="AK156" s="319"/>
      <c r="AL156" s="319"/>
      <c r="AM156" s="137" t="str">
        <f t="shared" si="78"/>
        <v>eqep_2</v>
      </c>
    </row>
    <row r="157" spans="1:39" ht="11.25" x14ac:dyDescent="0.2">
      <c r="A157" s="207" t="s">
        <v>5289</v>
      </c>
      <c r="B157" s="207" t="s">
        <v>5585</v>
      </c>
      <c r="C157" s="209" t="str">
        <f t="shared" si="80"/>
        <v>ethernet lvcmos io</v>
      </c>
      <c r="D157" s="227">
        <f t="shared" si="80"/>
        <v>44499</v>
      </c>
      <c r="E157" s="207" t="str">
        <f t="shared" si="80"/>
        <v>7 lvcmos io</v>
      </c>
      <c r="F157" s="207" t="str">
        <f t="shared" si="80"/>
        <v>ethernet</v>
      </c>
      <c r="G157" s="209">
        <v>1</v>
      </c>
      <c r="H157" s="216">
        <f t="shared" si="77"/>
        <v>1.2841382975971911</v>
      </c>
      <c r="I157" s="228" t="s">
        <v>4872</v>
      </c>
      <c r="J157" s="229"/>
      <c r="K157" s="207" t="str">
        <f>Ethernet_0</f>
        <v>rgmii_100_3p3v</v>
      </c>
      <c r="L157" s="224">
        <f>ethernet_0_util</f>
        <v>0.05</v>
      </c>
      <c r="M157" s="209">
        <f t="shared" si="72"/>
        <v>14</v>
      </c>
      <c r="N157" s="319"/>
      <c r="O157" s="323">
        <f t="shared" si="73"/>
        <v>7.8148092337463271E-7</v>
      </c>
      <c r="P157" s="319"/>
      <c r="Q157" s="319"/>
      <c r="R157" s="319"/>
      <c r="S157" s="319"/>
      <c r="T157" s="323">
        <f t="shared" si="74"/>
        <v>0</v>
      </c>
      <c r="U157" s="319"/>
      <c r="V157" s="323">
        <f t="shared" si="75"/>
        <v>1.2841375161162678</v>
      </c>
      <c r="W157" s="324" t="s">
        <v>5195</v>
      </c>
      <c r="X157" s="324" t="s">
        <v>8</v>
      </c>
      <c r="Y157" s="324" t="s">
        <v>61</v>
      </c>
      <c r="Z157" s="319"/>
      <c r="AA157" s="324" t="s">
        <v>4696</v>
      </c>
      <c r="AB157" s="324" t="s">
        <v>4697</v>
      </c>
      <c r="AC157" s="319"/>
      <c r="AD157" s="319"/>
      <c r="AE157" s="319"/>
      <c r="AF157" s="319"/>
      <c r="AG157" s="319"/>
      <c r="AH157" s="319"/>
      <c r="AI157" s="319"/>
      <c r="AJ157" s="319"/>
      <c r="AK157" s="319"/>
      <c r="AL157" s="319"/>
      <c r="AM157" s="137" t="str">
        <f t="shared" si="78"/>
        <v>ethernet_port_0</v>
      </c>
    </row>
    <row r="158" spans="1:39" ht="11.25" x14ac:dyDescent="0.2">
      <c r="A158" s="207" t="s">
        <v>5289</v>
      </c>
      <c r="B158" s="207" t="s">
        <v>5586</v>
      </c>
      <c r="C158" s="209" t="str">
        <f t="shared" si="80"/>
        <v>ethernet lvcmos io</v>
      </c>
      <c r="D158" s="227">
        <f t="shared" si="80"/>
        <v>44499</v>
      </c>
      <c r="E158" s="207" t="str">
        <f t="shared" si="80"/>
        <v>7 lvcmos io</v>
      </c>
      <c r="F158" s="207" t="str">
        <f t="shared" si="80"/>
        <v>ethernet</v>
      </c>
      <c r="G158" s="209">
        <v>1</v>
      </c>
      <c r="H158" s="216">
        <f t="shared" si="77"/>
        <v>0</v>
      </c>
      <c r="I158" s="228" t="s">
        <v>4872</v>
      </c>
      <c r="J158" s="229"/>
      <c r="K158" s="207" t="str">
        <f>Ethernet_1</f>
        <v>off</v>
      </c>
      <c r="L158" s="224">
        <f>ethernet_1_util</f>
        <v>0.1</v>
      </c>
      <c r="M158" s="209">
        <f t="shared" ref="M158:M189" si="81">IFERROR(VLOOKUP($A158&amp;"_"&amp;M$2,MDB,6,0),0)*G158</f>
        <v>14</v>
      </c>
      <c r="N158" s="319"/>
      <c r="O158" s="323">
        <f t="shared" ref="O158:O189" si="82">IFERROR(VLOOKUP($A158&amp;"_"&amp;O$2&amp;"_"&amp;$K158&amp;"",MDB,6,0)*$L158*$G158*Dyn_Int_Scale_SVT,0)</f>
        <v>0</v>
      </c>
      <c r="P158" s="319"/>
      <c r="Q158" s="319"/>
      <c r="R158" s="319"/>
      <c r="S158" s="319"/>
      <c r="T158" s="323">
        <f t="shared" ref="T158:T189" si="83">IFERROR(VLOOKUP($A158&amp;"_"&amp;T$2&amp;"_"&amp;$K158&amp;"",MDB,6,0)*$L158*$G158*Dyn_Int_Scale_SVT,0)</f>
        <v>0</v>
      </c>
      <c r="U158" s="319"/>
      <c r="V158" s="323">
        <f t="shared" ref="V158:V189" si="84">IFERROR(VLOOKUP($A158&amp;"_"&amp;V$2&amp;"_"&amp;$K158&amp;"",MDB,6,0)*$L158*$G158*Dyn_Int_Scale_SVT,0)</f>
        <v>0</v>
      </c>
      <c r="W158" s="324" t="s">
        <v>5195</v>
      </c>
      <c r="X158" s="324" t="s">
        <v>8</v>
      </c>
      <c r="Y158" s="324" t="s">
        <v>61</v>
      </c>
      <c r="Z158" s="319"/>
      <c r="AA158" s="324" t="s">
        <v>4696</v>
      </c>
      <c r="AB158" s="324" t="s">
        <v>4697</v>
      </c>
      <c r="AC158" s="319"/>
      <c r="AD158" s="319"/>
      <c r="AE158" s="319"/>
      <c r="AF158" s="319"/>
      <c r="AG158" s="319"/>
      <c r="AH158" s="319"/>
      <c r="AI158" s="319"/>
      <c r="AJ158" s="319"/>
      <c r="AK158" s="319"/>
      <c r="AL158" s="319"/>
      <c r="AM158" s="137" t="str">
        <f t="shared" si="78"/>
        <v>ethernet_port_1</v>
      </c>
    </row>
    <row r="159" spans="1:39" ht="11.25" x14ac:dyDescent="0.2">
      <c r="A159" s="207" t="s">
        <v>5294</v>
      </c>
      <c r="B159" s="207" t="s">
        <v>11</v>
      </c>
      <c r="C159" s="209" t="str">
        <f t="shared" si="80"/>
        <v>fsi lvcmos io</v>
      </c>
      <c r="D159" s="227">
        <f t="shared" si="80"/>
        <v>44499</v>
      </c>
      <c r="E159" s="207" t="str">
        <f t="shared" si="80"/>
        <v>7 lvcmos io</v>
      </c>
      <c r="F159" s="207" t="str">
        <f t="shared" si="80"/>
        <v>fsi</v>
      </c>
      <c r="G159" s="209">
        <v>1</v>
      </c>
      <c r="H159" s="216">
        <f t="shared" ca="1" si="77"/>
        <v>0</v>
      </c>
      <c r="I159" s="228" t="s">
        <v>4872</v>
      </c>
      <c r="J159" s="229"/>
      <c r="K159" s="207" t="str">
        <f ca="1">IFERROR(INDEX(INDIRECT(uc_sheet&amp;"!$A$1"):INDIRECT(uc_sheet&amp;"!$CZ$1000"),MATCH($A159&amp;$B159,INDIRECT(uc_sheet&amp;"!$a$1"):INDIRECT(uc_sheet&amp;"!$a$1000"),0),MATCH(use_case,INDIRECT(uc_sheet&amp;"!$A$1"):INDIRECT(uc_sheet&amp;"!$CZ$1"),0)+1),"absent")</f>
        <v>absent</v>
      </c>
      <c r="L159" s="224">
        <f ca="1">IFERROR(INDEX(INDIRECT(uc_sheet&amp;"!$A$1"):INDIRECT(uc_sheet&amp;"!$CZ$1000"),MATCH($A159&amp;$B159,INDIRECT(uc_sheet&amp;"!$a$1"):INDIRECT(uc_sheet&amp;"!$a$1000"),0),MATCH(use_case,INDIRECT(uc_sheet&amp;"!$A$1"):INDIRECT(uc_sheet&amp;"!$CZ$1"),0)),0)</f>
        <v>0</v>
      </c>
      <c r="M159" s="209">
        <f t="shared" si="81"/>
        <v>2</v>
      </c>
      <c r="N159" s="319"/>
      <c r="O159" s="323">
        <f t="shared" ca="1" si="82"/>
        <v>0</v>
      </c>
      <c r="P159" s="319"/>
      <c r="Q159" s="319"/>
      <c r="R159" s="319"/>
      <c r="S159" s="319"/>
      <c r="T159" s="323">
        <f t="shared" ca="1" si="83"/>
        <v>0</v>
      </c>
      <c r="U159" s="319"/>
      <c r="V159" s="323">
        <f t="shared" ca="1" si="84"/>
        <v>0</v>
      </c>
      <c r="W159" s="324" t="s">
        <v>5195</v>
      </c>
      <c r="X159" s="324" t="s">
        <v>8</v>
      </c>
      <c r="Y159" s="324" t="s">
        <v>61</v>
      </c>
      <c r="Z159" s="319"/>
      <c r="AA159" s="324" t="s">
        <v>4696</v>
      </c>
      <c r="AB159" s="324" t="s">
        <v>4697</v>
      </c>
      <c r="AC159" s="319"/>
      <c r="AD159" s="319"/>
      <c r="AE159" s="319"/>
      <c r="AF159" s="319"/>
      <c r="AG159" s="319"/>
      <c r="AH159" s="319"/>
      <c r="AI159" s="319"/>
      <c r="AJ159" s="319"/>
      <c r="AK159" s="319"/>
      <c r="AL159" s="319"/>
      <c r="AM159" s="137" t="str">
        <f t="shared" si="78"/>
        <v>fsi_0</v>
      </c>
    </row>
    <row r="160" spans="1:39" ht="11.25" x14ac:dyDescent="0.2">
      <c r="A160" s="207" t="s">
        <v>5294</v>
      </c>
      <c r="B160" s="207" t="s">
        <v>12</v>
      </c>
      <c r="C160" s="209" t="str">
        <f t="shared" si="80"/>
        <v>fsi lvcmos io</v>
      </c>
      <c r="D160" s="227">
        <f t="shared" si="80"/>
        <v>44499</v>
      </c>
      <c r="E160" s="207" t="str">
        <f t="shared" si="80"/>
        <v>7 lvcmos io</v>
      </c>
      <c r="F160" s="207" t="str">
        <f t="shared" si="80"/>
        <v>fsi</v>
      </c>
      <c r="G160" s="209">
        <v>1</v>
      </c>
      <c r="H160" s="216">
        <f t="shared" ca="1" si="77"/>
        <v>0</v>
      </c>
      <c r="I160" s="228" t="s">
        <v>4872</v>
      </c>
      <c r="J160" s="229"/>
      <c r="K160" s="207" t="str">
        <f ca="1">IFERROR(INDEX(INDIRECT(uc_sheet&amp;"!$A$1"):INDIRECT(uc_sheet&amp;"!$CZ$1000"),MATCH($A160&amp;$B160,INDIRECT(uc_sheet&amp;"!$a$1"):INDIRECT(uc_sheet&amp;"!$a$1000"),0),MATCH(use_case,INDIRECT(uc_sheet&amp;"!$A$1"):INDIRECT(uc_sheet&amp;"!$CZ$1"),0)+1),"absent")</f>
        <v>absent</v>
      </c>
      <c r="L160" s="224">
        <f ca="1">IFERROR(INDEX(INDIRECT(uc_sheet&amp;"!$A$1"):INDIRECT(uc_sheet&amp;"!$CZ$1000"),MATCH($A160&amp;$B160,INDIRECT(uc_sheet&amp;"!$a$1"):INDIRECT(uc_sheet&amp;"!$a$1000"),0),MATCH(use_case,INDIRECT(uc_sheet&amp;"!$A$1"):INDIRECT(uc_sheet&amp;"!$CZ$1"),0)),0)</f>
        <v>0</v>
      </c>
      <c r="M160" s="209">
        <f t="shared" si="81"/>
        <v>2</v>
      </c>
      <c r="N160" s="319"/>
      <c r="O160" s="323">
        <f t="shared" ca="1" si="82"/>
        <v>0</v>
      </c>
      <c r="P160" s="319"/>
      <c r="Q160" s="319"/>
      <c r="R160" s="319"/>
      <c r="S160" s="319"/>
      <c r="T160" s="323">
        <f t="shared" ca="1" si="83"/>
        <v>0</v>
      </c>
      <c r="U160" s="319"/>
      <c r="V160" s="323">
        <f t="shared" ca="1" si="84"/>
        <v>0</v>
      </c>
      <c r="W160" s="324" t="s">
        <v>5195</v>
      </c>
      <c r="X160" s="324" t="s">
        <v>8</v>
      </c>
      <c r="Y160" s="324" t="s">
        <v>61</v>
      </c>
      <c r="Z160" s="319"/>
      <c r="AA160" s="324" t="s">
        <v>4696</v>
      </c>
      <c r="AB160" s="324" t="s">
        <v>4697</v>
      </c>
      <c r="AC160" s="319"/>
      <c r="AD160" s="319"/>
      <c r="AE160" s="319"/>
      <c r="AF160" s="319"/>
      <c r="AG160" s="319"/>
      <c r="AH160" s="319"/>
      <c r="AI160" s="319"/>
      <c r="AJ160" s="319"/>
      <c r="AK160" s="319"/>
      <c r="AL160" s="319"/>
      <c r="AM160" s="137" t="str">
        <f t="shared" si="78"/>
        <v>fsi_1</v>
      </c>
    </row>
    <row r="161" spans="1:39" ht="11.25" x14ac:dyDescent="0.2">
      <c r="A161" s="207" t="s">
        <v>5294</v>
      </c>
      <c r="B161" s="207" t="s">
        <v>13</v>
      </c>
      <c r="C161" s="209" t="str">
        <f t="shared" si="80"/>
        <v>fsi lvcmos io</v>
      </c>
      <c r="D161" s="227">
        <f t="shared" si="80"/>
        <v>44499</v>
      </c>
      <c r="E161" s="207" t="str">
        <f t="shared" si="80"/>
        <v>7 lvcmos io</v>
      </c>
      <c r="F161" s="207" t="str">
        <f t="shared" si="80"/>
        <v>fsi</v>
      </c>
      <c r="G161" s="209">
        <v>1</v>
      </c>
      <c r="H161" s="216">
        <f t="shared" ca="1" si="77"/>
        <v>0</v>
      </c>
      <c r="I161" s="228" t="s">
        <v>4872</v>
      </c>
      <c r="J161" s="229"/>
      <c r="K161" s="207" t="str">
        <f ca="1">IFERROR(INDEX(INDIRECT(uc_sheet&amp;"!$A$1"):INDIRECT(uc_sheet&amp;"!$CZ$1000"),MATCH($A161&amp;$B161,INDIRECT(uc_sheet&amp;"!$a$1"):INDIRECT(uc_sheet&amp;"!$a$1000"),0),MATCH(use_case,INDIRECT(uc_sheet&amp;"!$A$1"):INDIRECT(uc_sheet&amp;"!$CZ$1"),0)+1),"absent")</f>
        <v>absent</v>
      </c>
      <c r="L161" s="224">
        <f ca="1">IFERROR(INDEX(INDIRECT(uc_sheet&amp;"!$A$1"):INDIRECT(uc_sheet&amp;"!$CZ$1000"),MATCH($A161&amp;$B161,INDIRECT(uc_sheet&amp;"!$a$1"):INDIRECT(uc_sheet&amp;"!$a$1000"),0),MATCH(use_case,INDIRECT(uc_sheet&amp;"!$A$1"):INDIRECT(uc_sheet&amp;"!$CZ$1"),0)),0)</f>
        <v>0</v>
      </c>
      <c r="M161" s="209">
        <f t="shared" si="81"/>
        <v>2</v>
      </c>
      <c r="N161" s="319"/>
      <c r="O161" s="323">
        <f t="shared" ca="1" si="82"/>
        <v>0</v>
      </c>
      <c r="P161" s="319"/>
      <c r="Q161" s="319"/>
      <c r="R161" s="319"/>
      <c r="S161" s="319"/>
      <c r="T161" s="323">
        <f t="shared" ca="1" si="83"/>
        <v>0</v>
      </c>
      <c r="U161" s="319"/>
      <c r="V161" s="323">
        <f t="shared" ca="1" si="84"/>
        <v>0</v>
      </c>
      <c r="W161" s="324" t="s">
        <v>5195</v>
      </c>
      <c r="X161" s="324" t="s">
        <v>8</v>
      </c>
      <c r="Y161" s="324" t="s">
        <v>61</v>
      </c>
      <c r="Z161" s="319"/>
      <c r="AA161" s="324" t="s">
        <v>4696</v>
      </c>
      <c r="AB161" s="324" t="s">
        <v>4697</v>
      </c>
      <c r="AC161" s="319"/>
      <c r="AD161" s="319"/>
      <c r="AE161" s="319"/>
      <c r="AF161" s="319"/>
      <c r="AG161" s="319"/>
      <c r="AH161" s="319"/>
      <c r="AI161" s="319"/>
      <c r="AJ161" s="319"/>
      <c r="AK161" s="319"/>
      <c r="AL161" s="319"/>
      <c r="AM161" s="137" t="str">
        <f t="shared" si="78"/>
        <v>fsi_2</v>
      </c>
    </row>
    <row r="162" spans="1:39" ht="11.25" x14ac:dyDescent="0.2">
      <c r="A162" s="207" t="s">
        <v>5294</v>
      </c>
      <c r="B162" s="207" t="s">
        <v>14</v>
      </c>
      <c r="C162" s="209" t="str">
        <f t="shared" si="80"/>
        <v>fsi lvcmos io</v>
      </c>
      <c r="D162" s="227">
        <f t="shared" si="80"/>
        <v>44499</v>
      </c>
      <c r="E162" s="207" t="str">
        <f t="shared" si="80"/>
        <v>7 lvcmos io</v>
      </c>
      <c r="F162" s="207" t="str">
        <f t="shared" si="80"/>
        <v>fsi</v>
      </c>
      <c r="G162" s="209">
        <v>1</v>
      </c>
      <c r="H162" s="216">
        <f t="shared" ca="1" si="77"/>
        <v>0</v>
      </c>
      <c r="I162" s="228" t="s">
        <v>4872</v>
      </c>
      <c r="J162" s="229"/>
      <c r="K162" s="207" t="str">
        <f ca="1">IFERROR(INDEX(INDIRECT(uc_sheet&amp;"!$A$1"):INDIRECT(uc_sheet&amp;"!$CZ$1000"),MATCH($A162&amp;$B162,INDIRECT(uc_sheet&amp;"!$a$1"):INDIRECT(uc_sheet&amp;"!$a$1000"),0),MATCH(use_case,INDIRECT(uc_sheet&amp;"!$A$1"):INDIRECT(uc_sheet&amp;"!$CZ$1"),0)+1),"absent")</f>
        <v>absent</v>
      </c>
      <c r="L162" s="224">
        <f ca="1">IFERROR(INDEX(INDIRECT(uc_sheet&amp;"!$A$1"):INDIRECT(uc_sheet&amp;"!$CZ$1000"),MATCH($A162&amp;$B162,INDIRECT(uc_sheet&amp;"!$a$1"):INDIRECT(uc_sheet&amp;"!$a$1000"),0),MATCH(use_case,INDIRECT(uc_sheet&amp;"!$A$1"):INDIRECT(uc_sheet&amp;"!$CZ$1"),0)),0)</f>
        <v>0</v>
      </c>
      <c r="M162" s="209">
        <f t="shared" si="81"/>
        <v>2</v>
      </c>
      <c r="N162" s="319"/>
      <c r="O162" s="323">
        <f t="shared" ca="1" si="82"/>
        <v>0</v>
      </c>
      <c r="P162" s="319"/>
      <c r="Q162" s="319"/>
      <c r="R162" s="319"/>
      <c r="S162" s="319"/>
      <c r="T162" s="323">
        <f t="shared" ca="1" si="83"/>
        <v>0</v>
      </c>
      <c r="U162" s="319"/>
      <c r="V162" s="323">
        <f t="shared" ca="1" si="84"/>
        <v>0</v>
      </c>
      <c r="W162" s="324" t="s">
        <v>5195</v>
      </c>
      <c r="X162" s="324" t="s">
        <v>8</v>
      </c>
      <c r="Y162" s="324" t="s">
        <v>61</v>
      </c>
      <c r="Z162" s="319"/>
      <c r="AA162" s="324" t="s">
        <v>4696</v>
      </c>
      <c r="AB162" s="324" t="s">
        <v>4697</v>
      </c>
      <c r="AC162" s="319"/>
      <c r="AD162" s="319"/>
      <c r="AE162" s="319"/>
      <c r="AF162" s="319"/>
      <c r="AG162" s="319"/>
      <c r="AH162" s="319"/>
      <c r="AI162" s="319"/>
      <c r="AJ162" s="319"/>
      <c r="AK162" s="319"/>
      <c r="AL162" s="319"/>
      <c r="AM162" s="137" t="str">
        <f t="shared" si="78"/>
        <v>fsi_3</v>
      </c>
    </row>
    <row r="163" spans="1:39" ht="11.25" x14ac:dyDescent="0.2">
      <c r="A163" s="207" t="s">
        <v>5307</v>
      </c>
      <c r="B163" s="207" t="s">
        <v>11</v>
      </c>
      <c r="C163" s="209" t="str">
        <f t="shared" si="80"/>
        <v>gpio lvcmos io</v>
      </c>
      <c r="D163" s="227">
        <f t="shared" si="80"/>
        <v>44499</v>
      </c>
      <c r="E163" s="207" t="str">
        <f t="shared" si="80"/>
        <v>7 lvcmos io</v>
      </c>
      <c r="F163" s="207" t="str">
        <f t="shared" si="80"/>
        <v>gpio</v>
      </c>
      <c r="G163" s="209">
        <v>1</v>
      </c>
      <c r="H163" s="216">
        <f t="shared" ca="1" si="77"/>
        <v>0</v>
      </c>
      <c r="I163" s="228" t="s">
        <v>4872</v>
      </c>
      <c r="J163" s="229"/>
      <c r="K163" s="207" t="str">
        <f ca="1">IFERROR(INDEX(INDIRECT(uc_sheet&amp;"!$A$1"):INDIRECT(uc_sheet&amp;"!$CZ$1000"),MATCH($A163&amp;$B163,INDIRECT(uc_sheet&amp;"!$a$1"):INDIRECT(uc_sheet&amp;"!$a$1000"),0),MATCH(use_case,INDIRECT(uc_sheet&amp;"!$A$1"):INDIRECT(uc_sheet&amp;"!$CZ$1"),0)+1),"absent")</f>
        <v>absent</v>
      </c>
      <c r="L163" s="224">
        <f ca="1">IFERROR(INDEX(INDIRECT(uc_sheet&amp;"!$A$1"):INDIRECT(uc_sheet&amp;"!$CZ$1000"),MATCH($A163&amp;$B163,INDIRECT(uc_sheet&amp;"!$a$1"):INDIRECT(uc_sheet&amp;"!$a$1000"),0),MATCH(use_case,INDIRECT(uc_sheet&amp;"!$A$1"):INDIRECT(uc_sheet&amp;"!$CZ$1"),0)),0)</f>
        <v>0</v>
      </c>
      <c r="M163" s="209">
        <f t="shared" si="81"/>
        <v>1</v>
      </c>
      <c r="N163" s="319"/>
      <c r="O163" s="323">
        <f t="shared" ca="1" si="82"/>
        <v>0</v>
      </c>
      <c r="P163" s="319"/>
      <c r="Q163" s="319"/>
      <c r="R163" s="319"/>
      <c r="S163" s="319"/>
      <c r="T163" s="323">
        <f t="shared" ca="1" si="83"/>
        <v>0</v>
      </c>
      <c r="U163" s="319"/>
      <c r="V163" s="323">
        <f t="shared" ca="1" si="84"/>
        <v>0</v>
      </c>
      <c r="W163" s="324" t="s">
        <v>5195</v>
      </c>
      <c r="X163" s="324" t="s">
        <v>8</v>
      </c>
      <c r="Y163" s="324" t="s">
        <v>61</v>
      </c>
      <c r="Z163" s="319"/>
      <c r="AA163" s="324" t="s">
        <v>4696</v>
      </c>
      <c r="AB163" s="324" t="s">
        <v>4697</v>
      </c>
      <c r="AC163" s="319"/>
      <c r="AD163" s="319"/>
      <c r="AE163" s="319"/>
      <c r="AF163" s="319"/>
      <c r="AG163" s="319"/>
      <c r="AH163" s="319"/>
      <c r="AI163" s="319"/>
      <c r="AJ163" s="319"/>
      <c r="AK163" s="319"/>
      <c r="AL163" s="319"/>
      <c r="AM163" s="137" t="str">
        <f t="shared" si="78"/>
        <v>gpio_0</v>
      </c>
    </row>
    <row r="164" spans="1:39" ht="11.25" x14ac:dyDescent="0.2">
      <c r="A164" s="207" t="s">
        <v>5307</v>
      </c>
      <c r="B164" s="207" t="s">
        <v>12</v>
      </c>
      <c r="C164" s="209" t="str">
        <f t="shared" si="80"/>
        <v>gpio lvcmos io</v>
      </c>
      <c r="D164" s="227">
        <f t="shared" si="80"/>
        <v>44499</v>
      </c>
      <c r="E164" s="207" t="str">
        <f t="shared" si="80"/>
        <v>7 lvcmos io</v>
      </c>
      <c r="F164" s="207" t="str">
        <f t="shared" si="80"/>
        <v>gpio</v>
      </c>
      <c r="G164" s="209">
        <v>1</v>
      </c>
      <c r="H164" s="216">
        <f t="shared" ca="1" si="77"/>
        <v>0</v>
      </c>
      <c r="I164" s="228" t="s">
        <v>4872</v>
      </c>
      <c r="J164" s="229"/>
      <c r="K164" s="207" t="str">
        <f ca="1">IFERROR(INDEX(INDIRECT(uc_sheet&amp;"!$A$1"):INDIRECT(uc_sheet&amp;"!$CZ$1000"),MATCH($A164&amp;$B164,INDIRECT(uc_sheet&amp;"!$a$1"):INDIRECT(uc_sheet&amp;"!$a$1000"),0),MATCH(use_case,INDIRECT(uc_sheet&amp;"!$A$1"):INDIRECT(uc_sheet&amp;"!$CZ$1"),0)+1),"absent")</f>
        <v>absent</v>
      </c>
      <c r="L164" s="224">
        <f ca="1">IFERROR(INDEX(INDIRECT(uc_sheet&amp;"!$A$1"):INDIRECT(uc_sheet&amp;"!$CZ$1000"),MATCH($A164&amp;$B164,INDIRECT(uc_sheet&amp;"!$a$1"):INDIRECT(uc_sheet&amp;"!$a$1000"),0),MATCH(use_case,INDIRECT(uc_sheet&amp;"!$A$1"):INDIRECT(uc_sheet&amp;"!$CZ$1"),0)),0)</f>
        <v>0</v>
      </c>
      <c r="M164" s="209">
        <f t="shared" si="81"/>
        <v>1</v>
      </c>
      <c r="N164" s="319"/>
      <c r="O164" s="323">
        <f t="shared" ca="1" si="82"/>
        <v>0</v>
      </c>
      <c r="P164" s="319"/>
      <c r="Q164" s="319"/>
      <c r="R164" s="319"/>
      <c r="S164" s="319"/>
      <c r="T164" s="323">
        <f t="shared" ca="1" si="83"/>
        <v>0</v>
      </c>
      <c r="U164" s="319"/>
      <c r="V164" s="323">
        <f t="shared" ca="1" si="84"/>
        <v>0</v>
      </c>
      <c r="W164" s="324" t="s">
        <v>5195</v>
      </c>
      <c r="X164" s="324" t="s">
        <v>8</v>
      </c>
      <c r="Y164" s="324" t="s">
        <v>61</v>
      </c>
      <c r="Z164" s="319"/>
      <c r="AA164" s="324" t="s">
        <v>4696</v>
      </c>
      <c r="AB164" s="324" t="s">
        <v>4697</v>
      </c>
      <c r="AC164" s="319"/>
      <c r="AD164" s="319"/>
      <c r="AE164" s="319"/>
      <c r="AF164" s="319"/>
      <c r="AG164" s="319"/>
      <c r="AH164" s="319"/>
      <c r="AI164" s="319"/>
      <c r="AJ164" s="319"/>
      <c r="AK164" s="319"/>
      <c r="AL164" s="319"/>
      <c r="AM164" s="137" t="str">
        <f t="shared" si="78"/>
        <v>gpio_1</v>
      </c>
    </row>
    <row r="165" spans="1:39" ht="11.25" x14ac:dyDescent="0.2">
      <c r="A165" s="207" t="s">
        <v>5307</v>
      </c>
      <c r="B165" s="207" t="s">
        <v>13</v>
      </c>
      <c r="C165" s="209" t="str">
        <f t="shared" si="80"/>
        <v>gpio lvcmos io</v>
      </c>
      <c r="D165" s="227">
        <f t="shared" si="80"/>
        <v>44499</v>
      </c>
      <c r="E165" s="207" t="str">
        <f t="shared" si="80"/>
        <v>7 lvcmos io</v>
      </c>
      <c r="F165" s="207" t="str">
        <f t="shared" si="80"/>
        <v>gpio</v>
      </c>
      <c r="G165" s="209">
        <v>1</v>
      </c>
      <c r="H165" s="216">
        <f t="shared" ca="1" si="77"/>
        <v>0</v>
      </c>
      <c r="I165" s="228" t="s">
        <v>4872</v>
      </c>
      <c r="J165" s="229"/>
      <c r="K165" s="207" t="str">
        <f ca="1">IFERROR(INDEX(INDIRECT(uc_sheet&amp;"!$A$1"):INDIRECT(uc_sheet&amp;"!$CZ$1000"),MATCH($A165&amp;$B165,INDIRECT(uc_sheet&amp;"!$a$1"):INDIRECT(uc_sheet&amp;"!$a$1000"),0),MATCH(use_case,INDIRECT(uc_sheet&amp;"!$A$1"):INDIRECT(uc_sheet&amp;"!$CZ$1"),0)+1),"absent")</f>
        <v>absent</v>
      </c>
      <c r="L165" s="224">
        <f ca="1">IFERROR(INDEX(INDIRECT(uc_sheet&amp;"!$A$1"):INDIRECT(uc_sheet&amp;"!$CZ$1000"),MATCH($A165&amp;$B165,INDIRECT(uc_sheet&amp;"!$a$1"):INDIRECT(uc_sheet&amp;"!$a$1000"),0),MATCH(use_case,INDIRECT(uc_sheet&amp;"!$A$1"):INDIRECT(uc_sheet&amp;"!$CZ$1"),0)),0)</f>
        <v>0</v>
      </c>
      <c r="M165" s="209">
        <f t="shared" si="81"/>
        <v>1</v>
      </c>
      <c r="N165" s="319"/>
      <c r="O165" s="323">
        <f t="shared" ca="1" si="82"/>
        <v>0</v>
      </c>
      <c r="P165" s="319"/>
      <c r="Q165" s="319"/>
      <c r="R165" s="319"/>
      <c r="S165" s="319"/>
      <c r="T165" s="323">
        <f t="shared" ca="1" si="83"/>
        <v>0</v>
      </c>
      <c r="U165" s="319"/>
      <c r="V165" s="323">
        <f t="shared" ca="1" si="84"/>
        <v>0</v>
      </c>
      <c r="W165" s="324" t="s">
        <v>5195</v>
      </c>
      <c r="X165" s="324" t="s">
        <v>8</v>
      </c>
      <c r="Y165" s="324" t="s">
        <v>61</v>
      </c>
      <c r="Z165" s="319"/>
      <c r="AA165" s="324" t="s">
        <v>4696</v>
      </c>
      <c r="AB165" s="324" t="s">
        <v>4697</v>
      </c>
      <c r="AC165" s="319"/>
      <c r="AD165" s="319"/>
      <c r="AE165" s="319"/>
      <c r="AF165" s="319"/>
      <c r="AG165" s="319"/>
      <c r="AH165" s="319"/>
      <c r="AI165" s="319"/>
      <c r="AJ165" s="319"/>
      <c r="AK165" s="319"/>
      <c r="AL165" s="319"/>
      <c r="AM165" s="137" t="str">
        <f t="shared" si="78"/>
        <v>gpio_2</v>
      </c>
    </row>
    <row r="166" spans="1:39" ht="11.25" x14ac:dyDescent="0.2">
      <c r="A166" s="207" t="s">
        <v>5307</v>
      </c>
      <c r="B166" s="207" t="s">
        <v>14</v>
      </c>
      <c r="C166" s="209" t="str">
        <f t="shared" si="80"/>
        <v>gpio lvcmos io</v>
      </c>
      <c r="D166" s="227">
        <f t="shared" si="80"/>
        <v>44499</v>
      </c>
      <c r="E166" s="207" t="str">
        <f t="shared" si="80"/>
        <v>7 lvcmos io</v>
      </c>
      <c r="F166" s="207" t="str">
        <f t="shared" si="80"/>
        <v>gpio</v>
      </c>
      <c r="G166" s="209">
        <v>1</v>
      </c>
      <c r="H166" s="216">
        <f t="shared" ca="1" si="77"/>
        <v>0</v>
      </c>
      <c r="I166" s="228" t="s">
        <v>4872</v>
      </c>
      <c r="J166" s="229"/>
      <c r="K166" s="207" t="str">
        <f ca="1">IFERROR(INDEX(INDIRECT(uc_sheet&amp;"!$A$1"):INDIRECT(uc_sheet&amp;"!$CZ$1000"),MATCH($A166&amp;$B166,INDIRECT(uc_sheet&amp;"!$a$1"):INDIRECT(uc_sheet&amp;"!$a$1000"),0),MATCH(use_case,INDIRECT(uc_sheet&amp;"!$A$1"):INDIRECT(uc_sheet&amp;"!$CZ$1"),0)+1),"absent")</f>
        <v>absent</v>
      </c>
      <c r="L166" s="224">
        <f ca="1">IFERROR(INDEX(INDIRECT(uc_sheet&amp;"!$A$1"):INDIRECT(uc_sheet&amp;"!$CZ$1000"),MATCH($A166&amp;$B166,INDIRECT(uc_sheet&amp;"!$a$1"):INDIRECT(uc_sheet&amp;"!$a$1000"),0),MATCH(use_case,INDIRECT(uc_sheet&amp;"!$A$1"):INDIRECT(uc_sheet&amp;"!$CZ$1"),0)),0)</f>
        <v>0</v>
      </c>
      <c r="M166" s="209">
        <f t="shared" si="81"/>
        <v>1</v>
      </c>
      <c r="N166" s="319"/>
      <c r="O166" s="323">
        <f t="shared" ca="1" si="82"/>
        <v>0</v>
      </c>
      <c r="P166" s="319"/>
      <c r="Q166" s="319"/>
      <c r="R166" s="319"/>
      <c r="S166" s="319"/>
      <c r="T166" s="323">
        <f t="shared" ca="1" si="83"/>
        <v>0</v>
      </c>
      <c r="U166" s="319"/>
      <c r="V166" s="323">
        <f t="shared" ca="1" si="84"/>
        <v>0</v>
      </c>
      <c r="W166" s="324" t="s">
        <v>5195</v>
      </c>
      <c r="X166" s="324" t="s">
        <v>8</v>
      </c>
      <c r="Y166" s="324" t="s">
        <v>61</v>
      </c>
      <c r="Z166" s="319"/>
      <c r="AA166" s="324" t="s">
        <v>4696</v>
      </c>
      <c r="AB166" s="324" t="s">
        <v>4697</v>
      </c>
      <c r="AC166" s="319"/>
      <c r="AD166" s="319"/>
      <c r="AE166" s="319"/>
      <c r="AF166" s="319"/>
      <c r="AG166" s="319"/>
      <c r="AH166" s="319"/>
      <c r="AI166" s="319"/>
      <c r="AJ166" s="319"/>
      <c r="AK166" s="319"/>
      <c r="AL166" s="319"/>
      <c r="AM166" s="137" t="str">
        <f t="shared" si="78"/>
        <v>gpio_3</v>
      </c>
    </row>
    <row r="167" spans="1:39" ht="11.25" x14ac:dyDescent="0.2">
      <c r="A167" s="207" t="s">
        <v>5310</v>
      </c>
      <c r="B167" s="207" t="s">
        <v>11</v>
      </c>
      <c r="C167" s="209" t="str">
        <f t="shared" si="80"/>
        <v>gpmc lvcmos io</v>
      </c>
      <c r="D167" s="227">
        <f t="shared" si="80"/>
        <v>44499</v>
      </c>
      <c r="E167" s="207" t="str">
        <f t="shared" si="80"/>
        <v>7 lvcmos io</v>
      </c>
      <c r="F167" s="207" t="str">
        <f t="shared" si="80"/>
        <v>gpmc</v>
      </c>
      <c r="G167" s="209">
        <v>1</v>
      </c>
      <c r="H167" s="216">
        <f t="shared" ca="1" si="77"/>
        <v>0</v>
      </c>
      <c r="I167" s="228" t="s">
        <v>4872</v>
      </c>
      <c r="J167" s="229"/>
      <c r="K167" s="207" t="str">
        <f ca="1">IFERROR(INDEX(INDIRECT(uc_sheet&amp;"!$A$1"):INDIRECT(uc_sheet&amp;"!$CZ$1000"),MATCH($A167&amp;$B167,INDIRECT(uc_sheet&amp;"!$a$1"):INDIRECT(uc_sheet&amp;"!$a$1000"),0),MATCH(use_case,INDIRECT(uc_sheet&amp;"!$A$1"):INDIRECT(uc_sheet&amp;"!$CZ$1"),0)+1),"absent")</f>
        <v>absent</v>
      </c>
      <c r="L167" s="224">
        <f ca="1">IFERROR(INDEX(INDIRECT(uc_sheet&amp;"!$A$1"):INDIRECT(uc_sheet&amp;"!$CZ$1000"),MATCH($A167&amp;$B167,INDIRECT(uc_sheet&amp;"!$a$1"):INDIRECT(uc_sheet&amp;"!$a$1000"),0),MATCH(use_case,INDIRECT(uc_sheet&amp;"!$A$1"):INDIRECT(uc_sheet&amp;"!$CZ$1"),0)),0)</f>
        <v>0</v>
      </c>
      <c r="M167" s="209">
        <f t="shared" si="81"/>
        <v>34</v>
      </c>
      <c r="N167" s="319"/>
      <c r="O167" s="323">
        <f t="shared" ca="1" si="82"/>
        <v>0</v>
      </c>
      <c r="P167" s="319"/>
      <c r="Q167" s="319"/>
      <c r="R167" s="319"/>
      <c r="S167" s="319"/>
      <c r="T167" s="323">
        <f t="shared" ca="1" si="83"/>
        <v>0</v>
      </c>
      <c r="U167" s="319"/>
      <c r="V167" s="323">
        <f t="shared" ca="1" si="84"/>
        <v>0</v>
      </c>
      <c r="W167" s="324" t="s">
        <v>5195</v>
      </c>
      <c r="X167" s="324" t="s">
        <v>8</v>
      </c>
      <c r="Y167" s="324" t="s">
        <v>61</v>
      </c>
      <c r="Z167" s="319"/>
      <c r="AA167" s="324" t="s">
        <v>4696</v>
      </c>
      <c r="AB167" s="324" t="s">
        <v>4697</v>
      </c>
      <c r="AC167" s="319"/>
      <c r="AD167" s="319"/>
      <c r="AE167" s="319"/>
      <c r="AF167" s="319"/>
      <c r="AG167" s="319"/>
      <c r="AH167" s="319"/>
      <c r="AI167" s="319"/>
      <c r="AJ167" s="319"/>
      <c r="AK167" s="319"/>
      <c r="AL167" s="319"/>
      <c r="AM167" s="137" t="str">
        <f t="shared" si="78"/>
        <v>gpmc_0</v>
      </c>
    </row>
    <row r="168" spans="1:39" ht="11.25" x14ac:dyDescent="0.2">
      <c r="A168" s="207" t="s">
        <v>5313</v>
      </c>
      <c r="B168" s="207" t="s">
        <v>11</v>
      </c>
      <c r="C168" s="209" t="str">
        <f t="shared" si="80"/>
        <v>i2c lvcmos io</v>
      </c>
      <c r="D168" s="227">
        <f t="shared" si="80"/>
        <v>44499</v>
      </c>
      <c r="E168" s="207" t="str">
        <f t="shared" si="80"/>
        <v>7 lvcmos io</v>
      </c>
      <c r="F168" s="207" t="str">
        <f t="shared" si="80"/>
        <v>i2c</v>
      </c>
      <c r="G168" s="209">
        <v>0</v>
      </c>
      <c r="H168" s="216">
        <f t="shared" ca="1" si="77"/>
        <v>0</v>
      </c>
      <c r="I168" s="228" t="s">
        <v>4872</v>
      </c>
      <c r="J168" s="229"/>
      <c r="K168" s="207" t="str">
        <f ca="1">IFERROR(INDEX(INDIRECT(uc_sheet&amp;"!$A$1"):INDIRECT(uc_sheet&amp;"!$CZ$1000"),MATCH($A168&amp;$B168,INDIRECT(uc_sheet&amp;"!$a$1"):INDIRECT(uc_sheet&amp;"!$a$1000"),0),MATCH(use_case,INDIRECT(uc_sheet&amp;"!$A$1"):INDIRECT(uc_sheet&amp;"!$CZ$1"),0)+1),"absent")</f>
        <v>absent</v>
      </c>
      <c r="L168" s="224">
        <f ca="1">IFERROR(INDEX(INDIRECT(uc_sheet&amp;"!$A$1"):INDIRECT(uc_sheet&amp;"!$CZ$1000"),MATCH($A168&amp;$B168,INDIRECT(uc_sheet&amp;"!$a$1"):INDIRECT(uc_sheet&amp;"!$a$1000"),0),MATCH(use_case,INDIRECT(uc_sheet&amp;"!$A$1"):INDIRECT(uc_sheet&amp;"!$CZ$1"),0)),0)</f>
        <v>0</v>
      </c>
      <c r="M168" s="209">
        <f t="shared" si="81"/>
        <v>0</v>
      </c>
      <c r="N168" s="319"/>
      <c r="O168" s="323">
        <f t="shared" ca="1" si="82"/>
        <v>0</v>
      </c>
      <c r="P168" s="319"/>
      <c r="Q168" s="319"/>
      <c r="R168" s="319"/>
      <c r="S168" s="319"/>
      <c r="T168" s="323">
        <f t="shared" ca="1" si="83"/>
        <v>0</v>
      </c>
      <c r="U168" s="319"/>
      <c r="V168" s="323">
        <f t="shared" ca="1" si="84"/>
        <v>0</v>
      </c>
      <c r="W168" s="324" t="s">
        <v>5195</v>
      </c>
      <c r="X168" s="324" t="s">
        <v>8</v>
      </c>
      <c r="Y168" s="324" t="s">
        <v>61</v>
      </c>
      <c r="Z168" s="319"/>
      <c r="AA168" s="324" t="s">
        <v>4696</v>
      </c>
      <c r="AB168" s="324" t="s">
        <v>4697</v>
      </c>
      <c r="AC168" s="319"/>
      <c r="AD168" s="319"/>
      <c r="AE168" s="319"/>
      <c r="AF168" s="319"/>
      <c r="AG168" s="319"/>
      <c r="AH168" s="319"/>
      <c r="AI168" s="319"/>
      <c r="AJ168" s="319"/>
      <c r="AK168" s="319"/>
      <c r="AL168" s="319"/>
      <c r="AM168" s="137" t="str">
        <f t="shared" si="78"/>
        <v>i2c_0</v>
      </c>
    </row>
    <row r="169" spans="1:39" ht="11.25" x14ac:dyDescent="0.2">
      <c r="A169" s="207" t="s">
        <v>5313</v>
      </c>
      <c r="B169" s="207" t="s">
        <v>12</v>
      </c>
      <c r="C169" s="209" t="str">
        <f t="shared" si="80"/>
        <v>i2c lvcmos io</v>
      </c>
      <c r="D169" s="227">
        <f t="shared" si="80"/>
        <v>44499</v>
      </c>
      <c r="E169" s="207" t="str">
        <f t="shared" si="80"/>
        <v>7 lvcmos io</v>
      </c>
      <c r="F169" s="207" t="str">
        <f t="shared" si="80"/>
        <v>i2c</v>
      </c>
      <c r="G169" s="209">
        <v>1</v>
      </c>
      <c r="H169" s="216">
        <f t="shared" ca="1" si="77"/>
        <v>0</v>
      </c>
      <c r="I169" s="228" t="s">
        <v>4872</v>
      </c>
      <c r="J169" s="229"/>
      <c r="K169" s="207" t="str">
        <f ca="1">IFERROR(INDEX(INDIRECT(uc_sheet&amp;"!$A$1"):INDIRECT(uc_sheet&amp;"!$CZ$1000"),MATCH($A169&amp;$B169,INDIRECT(uc_sheet&amp;"!$a$1"):INDIRECT(uc_sheet&amp;"!$a$1000"),0),MATCH(use_case,INDIRECT(uc_sheet&amp;"!$A$1"):INDIRECT(uc_sheet&amp;"!$CZ$1"),0)+1),"absent")</f>
        <v>absent</v>
      </c>
      <c r="L169" s="224">
        <f ca="1">IFERROR(INDEX(INDIRECT(uc_sheet&amp;"!$A$1"):INDIRECT(uc_sheet&amp;"!$CZ$1000"),MATCH($A169&amp;$B169,INDIRECT(uc_sheet&amp;"!$a$1"):INDIRECT(uc_sheet&amp;"!$a$1000"),0),MATCH(use_case,INDIRECT(uc_sheet&amp;"!$A$1"):INDIRECT(uc_sheet&amp;"!$CZ$1"),0)),0)</f>
        <v>0</v>
      </c>
      <c r="M169" s="209">
        <f t="shared" si="81"/>
        <v>2</v>
      </c>
      <c r="N169" s="319"/>
      <c r="O169" s="323">
        <f t="shared" ca="1" si="82"/>
        <v>0</v>
      </c>
      <c r="P169" s="319"/>
      <c r="Q169" s="319"/>
      <c r="R169" s="319"/>
      <c r="S169" s="319"/>
      <c r="T169" s="323">
        <f t="shared" ca="1" si="83"/>
        <v>0</v>
      </c>
      <c r="U169" s="319"/>
      <c r="V169" s="323">
        <f t="shared" ca="1" si="84"/>
        <v>0</v>
      </c>
      <c r="W169" s="324" t="s">
        <v>5195</v>
      </c>
      <c r="X169" s="324" t="s">
        <v>8</v>
      </c>
      <c r="Y169" s="324" t="s">
        <v>61</v>
      </c>
      <c r="Z169" s="319"/>
      <c r="AA169" s="324" t="s">
        <v>4696</v>
      </c>
      <c r="AB169" s="324" t="s">
        <v>4697</v>
      </c>
      <c r="AC169" s="319"/>
      <c r="AD169" s="319"/>
      <c r="AE169" s="319"/>
      <c r="AF169" s="319"/>
      <c r="AG169" s="319"/>
      <c r="AH169" s="319"/>
      <c r="AI169" s="319"/>
      <c r="AJ169" s="319"/>
      <c r="AK169" s="319"/>
      <c r="AL169" s="319"/>
      <c r="AM169" s="137" t="str">
        <f t="shared" si="78"/>
        <v>i2c_1</v>
      </c>
    </row>
    <row r="170" spans="1:39" ht="11.25" x14ac:dyDescent="0.2">
      <c r="A170" s="207" t="s">
        <v>5313</v>
      </c>
      <c r="B170" s="207" t="s">
        <v>13</v>
      </c>
      <c r="C170" s="209" t="str">
        <f t="shared" si="80"/>
        <v>i2c lvcmos io</v>
      </c>
      <c r="D170" s="227">
        <f t="shared" si="80"/>
        <v>44499</v>
      </c>
      <c r="E170" s="207" t="str">
        <f t="shared" si="80"/>
        <v>7 lvcmos io</v>
      </c>
      <c r="F170" s="207" t="str">
        <f t="shared" si="80"/>
        <v>i2c</v>
      </c>
      <c r="G170" s="209">
        <v>1</v>
      </c>
      <c r="H170" s="216">
        <f t="shared" ca="1" si="77"/>
        <v>0</v>
      </c>
      <c r="I170" s="228" t="s">
        <v>4872</v>
      </c>
      <c r="J170" s="229"/>
      <c r="K170" s="207" t="str">
        <f ca="1">IFERROR(INDEX(INDIRECT(uc_sheet&amp;"!$A$1"):INDIRECT(uc_sheet&amp;"!$CZ$1000"),MATCH($A170&amp;$B170,INDIRECT(uc_sheet&amp;"!$a$1"):INDIRECT(uc_sheet&amp;"!$a$1000"),0),MATCH(use_case,INDIRECT(uc_sheet&amp;"!$A$1"):INDIRECT(uc_sheet&amp;"!$CZ$1"),0)+1),"absent")</f>
        <v>absent</v>
      </c>
      <c r="L170" s="224">
        <f ca="1">IFERROR(INDEX(INDIRECT(uc_sheet&amp;"!$A$1"):INDIRECT(uc_sheet&amp;"!$CZ$1000"),MATCH($A170&amp;$B170,INDIRECT(uc_sheet&amp;"!$a$1"):INDIRECT(uc_sheet&amp;"!$a$1000"),0),MATCH(use_case,INDIRECT(uc_sheet&amp;"!$A$1"):INDIRECT(uc_sheet&amp;"!$CZ$1"),0)),0)</f>
        <v>0</v>
      </c>
      <c r="M170" s="209">
        <f t="shared" si="81"/>
        <v>2</v>
      </c>
      <c r="N170" s="319"/>
      <c r="O170" s="323">
        <f t="shared" ca="1" si="82"/>
        <v>0</v>
      </c>
      <c r="P170" s="319"/>
      <c r="Q170" s="319"/>
      <c r="R170" s="319"/>
      <c r="S170" s="319"/>
      <c r="T170" s="323">
        <f t="shared" ca="1" si="83"/>
        <v>0</v>
      </c>
      <c r="U170" s="319"/>
      <c r="V170" s="323">
        <f t="shared" ca="1" si="84"/>
        <v>0</v>
      </c>
      <c r="W170" s="324" t="s">
        <v>5195</v>
      </c>
      <c r="X170" s="324" t="s">
        <v>8</v>
      </c>
      <c r="Y170" s="324" t="s">
        <v>61</v>
      </c>
      <c r="Z170" s="319"/>
      <c r="AA170" s="324" t="s">
        <v>4696</v>
      </c>
      <c r="AB170" s="324" t="s">
        <v>4697</v>
      </c>
      <c r="AC170" s="319"/>
      <c r="AD170" s="319"/>
      <c r="AE170" s="319"/>
      <c r="AF170" s="319"/>
      <c r="AG170" s="319"/>
      <c r="AH170" s="319"/>
      <c r="AI170" s="319"/>
      <c r="AJ170" s="319"/>
      <c r="AK170" s="319"/>
      <c r="AL170" s="319"/>
      <c r="AM170" s="137" t="str">
        <f t="shared" si="78"/>
        <v>i2c_2</v>
      </c>
    </row>
    <row r="171" spans="1:39" ht="11.25" x14ac:dyDescent="0.2">
      <c r="A171" s="207" t="s">
        <v>5313</v>
      </c>
      <c r="B171" s="207" t="s">
        <v>14</v>
      </c>
      <c r="C171" s="209" t="str">
        <f t="shared" ref="C171:F190" si="85">VLOOKUP($A171&amp;"_"&amp;C$2,MDB,6,0)</f>
        <v>i2c lvcmos io</v>
      </c>
      <c r="D171" s="227">
        <f t="shared" si="85"/>
        <v>44499</v>
      </c>
      <c r="E171" s="207" t="str">
        <f t="shared" si="85"/>
        <v>7 lvcmos io</v>
      </c>
      <c r="F171" s="207" t="str">
        <f t="shared" si="85"/>
        <v>i2c</v>
      </c>
      <c r="G171" s="209">
        <v>1</v>
      </c>
      <c r="H171" s="216">
        <f t="shared" ca="1" si="77"/>
        <v>0</v>
      </c>
      <c r="I171" s="228" t="s">
        <v>4872</v>
      </c>
      <c r="J171" s="229"/>
      <c r="K171" s="207" t="str">
        <f ca="1">IFERROR(INDEX(INDIRECT(uc_sheet&amp;"!$A$1"):INDIRECT(uc_sheet&amp;"!$CZ$1000"),MATCH($A171&amp;$B171,INDIRECT(uc_sheet&amp;"!$a$1"):INDIRECT(uc_sheet&amp;"!$a$1000"),0),MATCH(use_case,INDIRECT(uc_sheet&amp;"!$A$1"):INDIRECT(uc_sheet&amp;"!$CZ$1"),0)+1),"absent")</f>
        <v>absent</v>
      </c>
      <c r="L171" s="224">
        <f ca="1">IFERROR(INDEX(INDIRECT(uc_sheet&amp;"!$A$1"):INDIRECT(uc_sheet&amp;"!$CZ$1000"),MATCH($A171&amp;$B171,INDIRECT(uc_sheet&amp;"!$a$1"):INDIRECT(uc_sheet&amp;"!$a$1000"),0),MATCH(use_case,INDIRECT(uc_sheet&amp;"!$A$1"):INDIRECT(uc_sheet&amp;"!$CZ$1"),0)),0)</f>
        <v>0</v>
      </c>
      <c r="M171" s="209">
        <f t="shared" si="81"/>
        <v>2</v>
      </c>
      <c r="N171" s="319"/>
      <c r="O171" s="323">
        <f t="shared" ca="1" si="82"/>
        <v>0</v>
      </c>
      <c r="P171" s="319"/>
      <c r="Q171" s="319"/>
      <c r="R171" s="319"/>
      <c r="S171" s="319"/>
      <c r="T171" s="323">
        <f t="shared" ca="1" si="83"/>
        <v>0</v>
      </c>
      <c r="U171" s="319"/>
      <c r="V171" s="323">
        <f t="shared" ca="1" si="84"/>
        <v>0</v>
      </c>
      <c r="W171" s="324" t="s">
        <v>5195</v>
      </c>
      <c r="X171" s="324" t="s">
        <v>8</v>
      </c>
      <c r="Y171" s="324" t="s">
        <v>61</v>
      </c>
      <c r="Z171" s="319"/>
      <c r="AA171" s="324" t="s">
        <v>4696</v>
      </c>
      <c r="AB171" s="324" t="s">
        <v>4697</v>
      </c>
      <c r="AC171" s="319"/>
      <c r="AD171" s="319"/>
      <c r="AE171" s="319"/>
      <c r="AF171" s="319"/>
      <c r="AG171" s="319"/>
      <c r="AH171" s="319"/>
      <c r="AI171" s="319"/>
      <c r="AJ171" s="319"/>
      <c r="AK171" s="319"/>
      <c r="AL171" s="319"/>
      <c r="AM171" s="137" t="str">
        <f t="shared" si="78"/>
        <v>i2c_3</v>
      </c>
    </row>
    <row r="172" spans="1:39" ht="11.25" x14ac:dyDescent="0.2">
      <c r="A172" s="207" t="s">
        <v>5313</v>
      </c>
      <c r="B172" s="207" t="s">
        <v>15</v>
      </c>
      <c r="C172" s="209" t="str">
        <f t="shared" si="85"/>
        <v>i2c lvcmos io</v>
      </c>
      <c r="D172" s="227">
        <f t="shared" si="85"/>
        <v>44499</v>
      </c>
      <c r="E172" s="207" t="str">
        <f t="shared" si="85"/>
        <v>7 lvcmos io</v>
      </c>
      <c r="F172" s="207" t="str">
        <f t="shared" si="85"/>
        <v>i2c</v>
      </c>
      <c r="G172" s="209">
        <v>1</v>
      </c>
      <c r="H172" s="216">
        <f t="shared" ca="1" si="77"/>
        <v>0</v>
      </c>
      <c r="I172" s="228" t="s">
        <v>4872</v>
      </c>
      <c r="J172" s="229"/>
      <c r="K172" s="207" t="str">
        <f ca="1">IFERROR(INDEX(INDIRECT(uc_sheet&amp;"!$A$1"):INDIRECT(uc_sheet&amp;"!$CZ$1000"),MATCH($A172&amp;$B172,INDIRECT(uc_sheet&amp;"!$a$1"):INDIRECT(uc_sheet&amp;"!$a$1000"),0),MATCH(use_case,INDIRECT(uc_sheet&amp;"!$A$1"):INDIRECT(uc_sheet&amp;"!$CZ$1"),0)+1),"absent")</f>
        <v>absent</v>
      </c>
      <c r="L172" s="224">
        <f ca="1">IFERROR(INDEX(INDIRECT(uc_sheet&amp;"!$A$1"):INDIRECT(uc_sheet&amp;"!$CZ$1000"),MATCH($A172&amp;$B172,INDIRECT(uc_sheet&amp;"!$a$1"):INDIRECT(uc_sheet&amp;"!$a$1000"),0),MATCH(use_case,INDIRECT(uc_sheet&amp;"!$A$1"):INDIRECT(uc_sheet&amp;"!$CZ$1"),0)),0)</f>
        <v>0</v>
      </c>
      <c r="M172" s="209">
        <f t="shared" si="81"/>
        <v>2</v>
      </c>
      <c r="N172" s="319"/>
      <c r="O172" s="323">
        <f t="shared" ca="1" si="82"/>
        <v>0</v>
      </c>
      <c r="P172" s="319"/>
      <c r="Q172" s="319"/>
      <c r="R172" s="319"/>
      <c r="S172" s="319"/>
      <c r="T172" s="323">
        <f t="shared" ca="1" si="83"/>
        <v>0</v>
      </c>
      <c r="U172" s="319"/>
      <c r="V172" s="323">
        <f t="shared" ca="1" si="84"/>
        <v>0</v>
      </c>
      <c r="W172" s="324" t="s">
        <v>5195</v>
      </c>
      <c r="X172" s="324" t="s">
        <v>8</v>
      </c>
      <c r="Y172" s="324" t="s">
        <v>61</v>
      </c>
      <c r="Z172" s="319"/>
      <c r="AA172" s="324" t="s">
        <v>4696</v>
      </c>
      <c r="AB172" s="324" t="s">
        <v>4697</v>
      </c>
      <c r="AC172" s="319"/>
      <c r="AD172" s="319"/>
      <c r="AE172" s="319"/>
      <c r="AF172" s="319"/>
      <c r="AG172" s="319"/>
      <c r="AH172" s="319"/>
      <c r="AI172" s="319"/>
      <c r="AJ172" s="319"/>
      <c r="AK172" s="319"/>
      <c r="AL172" s="319"/>
      <c r="AM172" s="137" t="str">
        <f t="shared" si="78"/>
        <v>i2c_4</v>
      </c>
    </row>
    <row r="173" spans="1:39" ht="11.25" x14ac:dyDescent="0.2">
      <c r="A173" s="207" t="s">
        <v>5316</v>
      </c>
      <c r="B173" s="207" t="s">
        <v>11</v>
      </c>
      <c r="C173" s="209" t="str">
        <f t="shared" si="85"/>
        <v>i2c_od lvcmos io</v>
      </c>
      <c r="D173" s="227">
        <f t="shared" si="85"/>
        <v>44499</v>
      </c>
      <c r="E173" s="207" t="str">
        <f t="shared" si="85"/>
        <v>7 lvcmos io</v>
      </c>
      <c r="F173" s="207" t="str">
        <f t="shared" si="85"/>
        <v>i2c with od</v>
      </c>
      <c r="G173" s="209">
        <v>1</v>
      </c>
      <c r="H173" s="216">
        <f t="shared" ca="1" si="77"/>
        <v>0</v>
      </c>
      <c r="I173" s="228" t="s">
        <v>4872</v>
      </c>
      <c r="J173" s="229"/>
      <c r="K173" s="207" t="str">
        <f ca="1">IFERROR(INDEX(INDIRECT(uc_sheet&amp;"!$A$1"):INDIRECT(uc_sheet&amp;"!$CZ$1000"),MATCH($A173&amp;$B173,INDIRECT(uc_sheet&amp;"!$a$1"):INDIRECT(uc_sheet&amp;"!$a$1000"),0),MATCH(use_case,INDIRECT(uc_sheet&amp;"!$A$1"):INDIRECT(uc_sheet&amp;"!$CZ$1"),0)+1),"absent")</f>
        <v>absent</v>
      </c>
      <c r="L173" s="224">
        <f ca="1">IFERROR(INDEX(INDIRECT(uc_sheet&amp;"!$A$1"):INDIRECT(uc_sheet&amp;"!$CZ$1000"),MATCH($A173&amp;$B173,INDIRECT(uc_sheet&amp;"!$a$1"):INDIRECT(uc_sheet&amp;"!$a$1000"),0),MATCH(use_case,INDIRECT(uc_sheet&amp;"!$A$1"):INDIRECT(uc_sheet&amp;"!$CZ$1"),0)),0)</f>
        <v>0</v>
      </c>
      <c r="M173" s="209">
        <f t="shared" si="81"/>
        <v>2</v>
      </c>
      <c r="N173" s="319"/>
      <c r="O173" s="323">
        <f t="shared" ca="1" si="82"/>
        <v>0</v>
      </c>
      <c r="P173" s="319"/>
      <c r="Q173" s="319"/>
      <c r="R173" s="319"/>
      <c r="S173" s="319"/>
      <c r="T173" s="323">
        <f t="shared" ca="1" si="83"/>
        <v>0</v>
      </c>
      <c r="U173" s="319"/>
      <c r="V173" s="323">
        <f t="shared" ca="1" si="84"/>
        <v>0</v>
      </c>
      <c r="W173" s="324" t="s">
        <v>5195</v>
      </c>
      <c r="X173" s="324" t="s">
        <v>8</v>
      </c>
      <c r="Y173" s="324" t="s">
        <v>61</v>
      </c>
      <c r="Z173" s="319"/>
      <c r="AA173" s="324" t="s">
        <v>4696</v>
      </c>
      <c r="AB173" s="324" t="s">
        <v>4697</v>
      </c>
      <c r="AC173" s="319"/>
      <c r="AD173" s="319"/>
      <c r="AE173" s="319"/>
      <c r="AF173" s="319"/>
      <c r="AG173" s="319"/>
      <c r="AH173" s="319"/>
      <c r="AI173" s="319"/>
      <c r="AJ173" s="319"/>
      <c r="AK173" s="319"/>
      <c r="AL173" s="319"/>
      <c r="AM173" s="137" t="str">
        <f t="shared" si="78"/>
        <v>i2c_od_0</v>
      </c>
    </row>
    <row r="174" spans="1:39" ht="11.25" x14ac:dyDescent="0.2">
      <c r="A174" s="207" t="s">
        <v>5591</v>
      </c>
      <c r="B174" s="207" t="s">
        <v>11</v>
      </c>
      <c r="C174" s="209" t="str">
        <f t="shared" si="85"/>
        <v>icssm lvcmos io</v>
      </c>
      <c r="D174" s="227">
        <f t="shared" si="85"/>
        <v>44499</v>
      </c>
      <c r="E174" s="207" t="str">
        <f t="shared" si="85"/>
        <v>7 lvcmos io</v>
      </c>
      <c r="F174" s="207" t="str">
        <f t="shared" si="85"/>
        <v>icssm</v>
      </c>
      <c r="G174" s="209">
        <v>1</v>
      </c>
      <c r="H174" s="216">
        <f t="shared" ca="1" si="77"/>
        <v>0</v>
      </c>
      <c r="I174" s="228" t="s">
        <v>4872</v>
      </c>
      <c r="J174" s="229"/>
      <c r="K174" s="207" t="str">
        <f ca="1">IFERROR(INDEX(INDIRECT(uc_sheet&amp;"!$A$1"):INDIRECT(uc_sheet&amp;"!$CZ$1000"),MATCH($A174&amp;$B174,INDIRECT(uc_sheet&amp;"!$a$1"):INDIRECT(uc_sheet&amp;"!$a$1000"),0),MATCH(use_case,INDIRECT(uc_sheet&amp;"!$A$1"):INDIRECT(uc_sheet&amp;"!$CZ$1"),0)+1),"absent")</f>
        <v>absent</v>
      </c>
      <c r="L174" s="224">
        <v>0.5</v>
      </c>
      <c r="M174" s="209">
        <f t="shared" si="81"/>
        <v>22</v>
      </c>
      <c r="N174" s="319"/>
      <c r="O174" s="323">
        <f t="shared" ca="1" si="82"/>
        <v>0</v>
      </c>
      <c r="P174" s="319"/>
      <c r="Q174" s="319"/>
      <c r="R174" s="319"/>
      <c r="S174" s="319"/>
      <c r="T174" s="323">
        <f t="shared" ca="1" si="83"/>
        <v>0</v>
      </c>
      <c r="U174" s="319"/>
      <c r="V174" s="323">
        <f t="shared" ca="1" si="84"/>
        <v>0</v>
      </c>
      <c r="W174" s="324" t="s">
        <v>5195</v>
      </c>
      <c r="X174" s="324" t="s">
        <v>8</v>
      </c>
      <c r="Y174" s="324" t="s">
        <v>61</v>
      </c>
      <c r="Z174" s="319"/>
      <c r="AA174" s="324" t="s">
        <v>4696</v>
      </c>
      <c r="AB174" s="324" t="s">
        <v>4697</v>
      </c>
      <c r="AC174" s="319"/>
      <c r="AD174" s="319"/>
      <c r="AE174" s="319"/>
      <c r="AF174" s="319"/>
      <c r="AG174" s="319"/>
      <c r="AH174" s="319"/>
      <c r="AI174" s="319"/>
      <c r="AJ174" s="319"/>
      <c r="AK174" s="319"/>
      <c r="AL174" s="319"/>
      <c r="AM174" s="137" t="str">
        <f t="shared" si="78"/>
        <v>icssm_io_0</v>
      </c>
    </row>
    <row r="175" spans="1:39" ht="11.25" x14ac:dyDescent="0.2">
      <c r="A175" s="207" t="s">
        <v>5591</v>
      </c>
      <c r="B175" s="207" t="s">
        <v>12</v>
      </c>
      <c r="C175" s="209" t="str">
        <f t="shared" si="85"/>
        <v>icssm lvcmos io</v>
      </c>
      <c r="D175" s="227">
        <f t="shared" si="85"/>
        <v>44499</v>
      </c>
      <c r="E175" s="207" t="str">
        <f t="shared" si="85"/>
        <v>7 lvcmos io</v>
      </c>
      <c r="F175" s="207" t="str">
        <f t="shared" si="85"/>
        <v>icssm</v>
      </c>
      <c r="G175" s="209">
        <v>0</v>
      </c>
      <c r="H175" s="216">
        <f t="shared" ca="1" si="77"/>
        <v>0</v>
      </c>
      <c r="I175" s="228" t="s">
        <v>4872</v>
      </c>
      <c r="J175" s="229"/>
      <c r="K175" s="207" t="str">
        <f ca="1">IFERROR(INDEX(INDIRECT(uc_sheet&amp;"!$A$1"):INDIRECT(uc_sheet&amp;"!$CZ$1000"),MATCH($A175&amp;$B175,INDIRECT(uc_sheet&amp;"!$a$1"):INDIRECT(uc_sheet&amp;"!$a$1000"),0),MATCH(use_case,INDIRECT(uc_sheet&amp;"!$A$1"):INDIRECT(uc_sheet&amp;"!$CZ$1"),0)+1),"absent")</f>
        <v>absent</v>
      </c>
      <c r="L175" s="224">
        <f ca="1">IFERROR(INDEX(INDIRECT(uc_sheet&amp;"!$A$1"):INDIRECT(uc_sheet&amp;"!$CZ$1000"),MATCH($A175&amp;$B175,INDIRECT(uc_sheet&amp;"!$a$1"):INDIRECT(uc_sheet&amp;"!$a$1000"),0),MATCH(use_case,INDIRECT(uc_sheet&amp;"!$A$1"):INDIRECT(uc_sheet&amp;"!$CZ$1"),0)),0)</f>
        <v>0</v>
      </c>
      <c r="M175" s="209">
        <f t="shared" si="81"/>
        <v>0</v>
      </c>
      <c r="N175" s="319"/>
      <c r="O175" s="323">
        <f t="shared" ca="1" si="82"/>
        <v>0</v>
      </c>
      <c r="P175" s="319"/>
      <c r="Q175" s="319"/>
      <c r="R175" s="319"/>
      <c r="S175" s="319"/>
      <c r="T175" s="323">
        <f t="shared" ca="1" si="83"/>
        <v>0</v>
      </c>
      <c r="U175" s="319"/>
      <c r="V175" s="323">
        <f t="shared" ca="1" si="84"/>
        <v>0</v>
      </c>
      <c r="W175" s="324" t="s">
        <v>5195</v>
      </c>
      <c r="X175" s="324" t="s">
        <v>8</v>
      </c>
      <c r="Y175" s="324" t="s">
        <v>61</v>
      </c>
      <c r="Z175" s="319"/>
      <c r="AA175" s="324" t="s">
        <v>4696</v>
      </c>
      <c r="AB175" s="324" t="s">
        <v>4697</v>
      </c>
      <c r="AC175" s="319"/>
      <c r="AD175" s="319"/>
      <c r="AE175" s="319"/>
      <c r="AF175" s="319"/>
      <c r="AG175" s="319"/>
      <c r="AH175" s="319"/>
      <c r="AI175" s="319"/>
      <c r="AJ175" s="319"/>
      <c r="AK175" s="319"/>
      <c r="AL175" s="319"/>
      <c r="AM175" s="137" t="str">
        <f t="shared" si="78"/>
        <v>icssm_io_1</v>
      </c>
    </row>
    <row r="176" spans="1:39" ht="11.25" x14ac:dyDescent="0.2">
      <c r="A176" s="207" t="s">
        <v>5323</v>
      </c>
      <c r="B176" s="207" t="s">
        <v>11</v>
      </c>
      <c r="C176" s="209" t="str">
        <f t="shared" si="85"/>
        <v>lin lvcmos io</v>
      </c>
      <c r="D176" s="227">
        <f t="shared" si="85"/>
        <v>44499</v>
      </c>
      <c r="E176" s="207" t="str">
        <f t="shared" si="85"/>
        <v>7 lvcmos io</v>
      </c>
      <c r="F176" s="207" t="str">
        <f t="shared" si="85"/>
        <v>lin</v>
      </c>
      <c r="G176" s="209">
        <v>1</v>
      </c>
      <c r="H176" s="216">
        <f t="shared" ca="1" si="77"/>
        <v>0</v>
      </c>
      <c r="I176" s="228" t="s">
        <v>4872</v>
      </c>
      <c r="J176" s="229"/>
      <c r="K176" s="207" t="str">
        <f ca="1">IFERROR(INDEX(INDIRECT(uc_sheet&amp;"!$A$1"):INDIRECT(uc_sheet&amp;"!$CZ$1000"),MATCH($A176&amp;$B176,INDIRECT(uc_sheet&amp;"!$a$1"):INDIRECT(uc_sheet&amp;"!$a$1000"),0),MATCH(use_case,INDIRECT(uc_sheet&amp;"!$A$1"):INDIRECT(uc_sheet&amp;"!$CZ$1"),0)+1),"absent")</f>
        <v>absent</v>
      </c>
      <c r="L176" s="224">
        <f ca="1">IFERROR(INDEX(INDIRECT(uc_sheet&amp;"!$A$1"):INDIRECT(uc_sheet&amp;"!$CZ$1000"),MATCH($A176&amp;$B176,INDIRECT(uc_sheet&amp;"!$a$1"):INDIRECT(uc_sheet&amp;"!$a$1000"),0),MATCH(use_case,INDIRECT(uc_sheet&amp;"!$A$1"):INDIRECT(uc_sheet&amp;"!$CZ$1"),0)),0)</f>
        <v>0</v>
      </c>
      <c r="M176" s="209">
        <f t="shared" si="81"/>
        <v>2</v>
      </c>
      <c r="N176" s="319"/>
      <c r="O176" s="323">
        <f t="shared" ca="1" si="82"/>
        <v>0</v>
      </c>
      <c r="P176" s="319"/>
      <c r="Q176" s="319"/>
      <c r="R176" s="319"/>
      <c r="S176" s="319"/>
      <c r="T176" s="323">
        <f t="shared" ca="1" si="83"/>
        <v>0</v>
      </c>
      <c r="U176" s="319"/>
      <c r="V176" s="323">
        <f t="shared" ca="1" si="84"/>
        <v>0</v>
      </c>
      <c r="W176" s="324" t="s">
        <v>5195</v>
      </c>
      <c r="X176" s="324" t="s">
        <v>8</v>
      </c>
      <c r="Y176" s="324" t="s">
        <v>61</v>
      </c>
      <c r="Z176" s="319"/>
      <c r="AA176" s="324" t="s">
        <v>4696</v>
      </c>
      <c r="AB176" s="324" t="s">
        <v>4697</v>
      </c>
      <c r="AC176" s="319"/>
      <c r="AD176" s="319"/>
      <c r="AE176" s="319"/>
      <c r="AF176" s="319"/>
      <c r="AG176" s="319"/>
      <c r="AH176" s="319"/>
      <c r="AI176" s="319"/>
      <c r="AJ176" s="319"/>
      <c r="AK176" s="319"/>
      <c r="AL176" s="319"/>
      <c r="AM176" s="137" t="str">
        <f t="shared" si="78"/>
        <v>lin_0</v>
      </c>
    </row>
    <row r="177" spans="1:39" ht="11.25" x14ac:dyDescent="0.2">
      <c r="A177" s="207" t="s">
        <v>5323</v>
      </c>
      <c r="B177" s="207" t="s">
        <v>12</v>
      </c>
      <c r="C177" s="209" t="str">
        <f t="shared" si="85"/>
        <v>lin lvcmos io</v>
      </c>
      <c r="D177" s="227">
        <f t="shared" si="85"/>
        <v>44499</v>
      </c>
      <c r="E177" s="207" t="str">
        <f t="shared" si="85"/>
        <v>7 lvcmos io</v>
      </c>
      <c r="F177" s="207" t="str">
        <f t="shared" si="85"/>
        <v>lin</v>
      </c>
      <c r="G177" s="209">
        <v>1</v>
      </c>
      <c r="H177" s="216">
        <f t="shared" ca="1" si="77"/>
        <v>0</v>
      </c>
      <c r="I177" s="228" t="s">
        <v>4872</v>
      </c>
      <c r="J177" s="229"/>
      <c r="K177" s="207" t="str">
        <f ca="1">IFERROR(INDEX(INDIRECT(uc_sheet&amp;"!$A$1"):INDIRECT(uc_sheet&amp;"!$CZ$1000"),MATCH($A177&amp;$B177,INDIRECT(uc_sheet&amp;"!$a$1"):INDIRECT(uc_sheet&amp;"!$a$1000"),0),MATCH(use_case,INDIRECT(uc_sheet&amp;"!$A$1"):INDIRECT(uc_sheet&amp;"!$CZ$1"),0)+1),"absent")</f>
        <v>absent</v>
      </c>
      <c r="L177" s="224">
        <f ca="1">IFERROR(INDEX(INDIRECT(uc_sheet&amp;"!$A$1"):INDIRECT(uc_sheet&amp;"!$CZ$1000"),MATCH($A177&amp;$B177,INDIRECT(uc_sheet&amp;"!$a$1"):INDIRECT(uc_sheet&amp;"!$a$1000"),0),MATCH(use_case,INDIRECT(uc_sheet&amp;"!$A$1"):INDIRECT(uc_sheet&amp;"!$CZ$1"),0)),0)</f>
        <v>0</v>
      </c>
      <c r="M177" s="209">
        <f t="shared" si="81"/>
        <v>2</v>
      </c>
      <c r="N177" s="319"/>
      <c r="O177" s="323">
        <f t="shared" ca="1" si="82"/>
        <v>0</v>
      </c>
      <c r="P177" s="319"/>
      <c r="Q177" s="319"/>
      <c r="R177" s="319"/>
      <c r="S177" s="319"/>
      <c r="T177" s="323">
        <f t="shared" ca="1" si="83"/>
        <v>0</v>
      </c>
      <c r="U177" s="319"/>
      <c r="V177" s="323">
        <f t="shared" ca="1" si="84"/>
        <v>0</v>
      </c>
      <c r="W177" s="324" t="s">
        <v>5195</v>
      </c>
      <c r="X177" s="324" t="s">
        <v>8</v>
      </c>
      <c r="Y177" s="324" t="s">
        <v>61</v>
      </c>
      <c r="Z177" s="319"/>
      <c r="AA177" s="324" t="s">
        <v>4696</v>
      </c>
      <c r="AB177" s="324" t="s">
        <v>4697</v>
      </c>
      <c r="AC177" s="319"/>
      <c r="AD177" s="319"/>
      <c r="AE177" s="319"/>
      <c r="AF177" s="319"/>
      <c r="AG177" s="319"/>
      <c r="AH177" s="319"/>
      <c r="AI177" s="319"/>
      <c r="AJ177" s="319"/>
      <c r="AK177" s="319"/>
      <c r="AL177" s="319"/>
      <c r="AM177" s="137" t="str">
        <f t="shared" si="78"/>
        <v>lin_1</v>
      </c>
    </row>
    <row r="178" spans="1:39" ht="11.25" x14ac:dyDescent="0.2">
      <c r="A178" s="207" t="s">
        <v>5323</v>
      </c>
      <c r="B178" s="207" t="s">
        <v>23</v>
      </c>
      <c r="C178" s="209" t="str">
        <f t="shared" si="85"/>
        <v>lin lvcmos io</v>
      </c>
      <c r="D178" s="227">
        <f t="shared" si="85"/>
        <v>44499</v>
      </c>
      <c r="E178" s="207" t="str">
        <f t="shared" si="85"/>
        <v>7 lvcmos io</v>
      </c>
      <c r="F178" s="207" t="str">
        <f t="shared" si="85"/>
        <v>lin</v>
      </c>
      <c r="G178" s="209">
        <v>0</v>
      </c>
      <c r="H178" s="216">
        <f t="shared" ca="1" si="77"/>
        <v>0</v>
      </c>
      <c r="I178" s="228" t="s">
        <v>4872</v>
      </c>
      <c r="J178" s="229"/>
      <c r="K178" s="207" t="str">
        <f ca="1">IFERROR(INDEX(INDIRECT(uc_sheet&amp;"!$A$1"):INDIRECT(uc_sheet&amp;"!$CZ$1000"),MATCH($A178&amp;$B178,INDIRECT(uc_sheet&amp;"!$a$1"):INDIRECT(uc_sheet&amp;"!$a$1000"),0),MATCH(use_case,INDIRECT(uc_sheet&amp;"!$A$1"):INDIRECT(uc_sheet&amp;"!$CZ$1"),0)+1),"absent")</f>
        <v>absent</v>
      </c>
      <c r="L178" s="224">
        <f ca="1">IFERROR(INDEX(INDIRECT(uc_sheet&amp;"!$A$1"):INDIRECT(uc_sheet&amp;"!$CZ$1000"),MATCH($A178&amp;$B178,INDIRECT(uc_sheet&amp;"!$a$1"):INDIRECT(uc_sheet&amp;"!$a$1000"),0),MATCH(use_case,INDIRECT(uc_sheet&amp;"!$A$1"):INDIRECT(uc_sheet&amp;"!$CZ$1"),0)),0)</f>
        <v>0</v>
      </c>
      <c r="M178" s="209">
        <f t="shared" si="81"/>
        <v>0</v>
      </c>
      <c r="N178" s="319"/>
      <c r="O178" s="323">
        <f t="shared" ca="1" si="82"/>
        <v>0</v>
      </c>
      <c r="P178" s="319"/>
      <c r="Q178" s="319"/>
      <c r="R178" s="319"/>
      <c r="S178" s="319"/>
      <c r="T178" s="323">
        <f t="shared" ca="1" si="83"/>
        <v>0</v>
      </c>
      <c r="U178" s="319"/>
      <c r="V178" s="323">
        <f t="shared" ca="1" si="84"/>
        <v>0</v>
      </c>
      <c r="W178" s="324" t="s">
        <v>5195</v>
      </c>
      <c r="X178" s="324" t="s">
        <v>8</v>
      </c>
      <c r="Y178" s="324" t="s">
        <v>61</v>
      </c>
      <c r="Z178" s="319"/>
      <c r="AA178" s="324" t="s">
        <v>4696</v>
      </c>
      <c r="AB178" s="324" t="s">
        <v>4697</v>
      </c>
      <c r="AC178" s="319"/>
      <c r="AD178" s="319"/>
      <c r="AE178" s="319"/>
      <c r="AF178" s="319"/>
      <c r="AG178" s="319"/>
      <c r="AH178" s="319"/>
      <c r="AI178" s="319"/>
      <c r="AJ178" s="319"/>
      <c r="AK178" s="319"/>
      <c r="AL178" s="319"/>
      <c r="AM178" s="137" t="str">
        <f t="shared" si="78"/>
        <v>lin_10</v>
      </c>
    </row>
    <row r="179" spans="1:39" ht="11.25" x14ac:dyDescent="0.2">
      <c r="A179" s="207" t="s">
        <v>5323</v>
      </c>
      <c r="B179" s="207" t="s">
        <v>24</v>
      </c>
      <c r="C179" s="209" t="str">
        <f t="shared" si="85"/>
        <v>lin lvcmos io</v>
      </c>
      <c r="D179" s="227">
        <f t="shared" si="85"/>
        <v>44499</v>
      </c>
      <c r="E179" s="207" t="str">
        <f t="shared" si="85"/>
        <v>7 lvcmos io</v>
      </c>
      <c r="F179" s="207" t="str">
        <f t="shared" si="85"/>
        <v>lin</v>
      </c>
      <c r="G179" s="209">
        <v>0</v>
      </c>
      <c r="H179" s="216">
        <f t="shared" ca="1" si="77"/>
        <v>0</v>
      </c>
      <c r="I179" s="228" t="s">
        <v>4872</v>
      </c>
      <c r="J179" s="229"/>
      <c r="K179" s="207" t="str">
        <f ca="1">IFERROR(INDEX(INDIRECT(uc_sheet&amp;"!$A$1"):INDIRECT(uc_sheet&amp;"!$CZ$1000"),MATCH($A179&amp;$B179,INDIRECT(uc_sheet&amp;"!$a$1"):INDIRECT(uc_sheet&amp;"!$a$1000"),0),MATCH(use_case,INDIRECT(uc_sheet&amp;"!$A$1"):INDIRECT(uc_sheet&amp;"!$CZ$1"),0)+1),"absent")</f>
        <v>absent</v>
      </c>
      <c r="L179" s="224">
        <f ca="1">IFERROR(INDEX(INDIRECT(uc_sheet&amp;"!$A$1"):INDIRECT(uc_sheet&amp;"!$CZ$1000"),MATCH($A179&amp;$B179,INDIRECT(uc_sheet&amp;"!$a$1"):INDIRECT(uc_sheet&amp;"!$a$1000"),0),MATCH(use_case,INDIRECT(uc_sheet&amp;"!$A$1"):INDIRECT(uc_sheet&amp;"!$CZ$1"),0)),0)</f>
        <v>0</v>
      </c>
      <c r="M179" s="209">
        <f t="shared" si="81"/>
        <v>0</v>
      </c>
      <c r="N179" s="319"/>
      <c r="O179" s="323">
        <f t="shared" ca="1" si="82"/>
        <v>0</v>
      </c>
      <c r="P179" s="319"/>
      <c r="Q179" s="319"/>
      <c r="R179" s="319"/>
      <c r="S179" s="319"/>
      <c r="T179" s="323">
        <f t="shared" ca="1" si="83"/>
        <v>0</v>
      </c>
      <c r="U179" s="319"/>
      <c r="V179" s="323">
        <f t="shared" ca="1" si="84"/>
        <v>0</v>
      </c>
      <c r="W179" s="324" t="s">
        <v>5195</v>
      </c>
      <c r="X179" s="324" t="s">
        <v>8</v>
      </c>
      <c r="Y179" s="324" t="s">
        <v>61</v>
      </c>
      <c r="Z179" s="319"/>
      <c r="AA179" s="324" t="s">
        <v>4696</v>
      </c>
      <c r="AB179" s="324" t="s">
        <v>4697</v>
      </c>
      <c r="AC179" s="319"/>
      <c r="AD179" s="319"/>
      <c r="AE179" s="319"/>
      <c r="AF179" s="319"/>
      <c r="AG179" s="319"/>
      <c r="AH179" s="319"/>
      <c r="AI179" s="319"/>
      <c r="AJ179" s="319"/>
      <c r="AK179" s="319"/>
      <c r="AL179" s="319"/>
      <c r="AM179" s="137" t="str">
        <f t="shared" si="78"/>
        <v>lin_11</v>
      </c>
    </row>
    <row r="180" spans="1:39" ht="11.25" x14ac:dyDescent="0.2">
      <c r="A180" s="207" t="s">
        <v>5323</v>
      </c>
      <c r="B180" s="207" t="s">
        <v>71</v>
      </c>
      <c r="C180" s="209" t="str">
        <f t="shared" si="85"/>
        <v>lin lvcmos io</v>
      </c>
      <c r="D180" s="227">
        <f t="shared" si="85"/>
        <v>44499</v>
      </c>
      <c r="E180" s="207" t="str">
        <f t="shared" si="85"/>
        <v>7 lvcmos io</v>
      </c>
      <c r="F180" s="207" t="str">
        <f t="shared" si="85"/>
        <v>lin</v>
      </c>
      <c r="G180" s="209">
        <v>0</v>
      </c>
      <c r="H180" s="216">
        <f t="shared" ca="1" si="77"/>
        <v>0</v>
      </c>
      <c r="I180" s="228" t="s">
        <v>4872</v>
      </c>
      <c r="J180" s="229"/>
      <c r="K180" s="207" t="str">
        <f ca="1">IFERROR(INDEX(INDIRECT(uc_sheet&amp;"!$A$1"):INDIRECT(uc_sheet&amp;"!$CZ$1000"),MATCH($A180&amp;$B180,INDIRECT(uc_sheet&amp;"!$a$1"):INDIRECT(uc_sheet&amp;"!$a$1000"),0),MATCH(use_case,INDIRECT(uc_sheet&amp;"!$A$1"):INDIRECT(uc_sheet&amp;"!$CZ$1"),0)+1),"absent")</f>
        <v>absent</v>
      </c>
      <c r="L180" s="224">
        <f ca="1">IFERROR(INDEX(INDIRECT(uc_sheet&amp;"!$A$1"):INDIRECT(uc_sheet&amp;"!$CZ$1000"),MATCH($A180&amp;$B180,INDIRECT(uc_sheet&amp;"!$a$1"):INDIRECT(uc_sheet&amp;"!$a$1000"),0),MATCH(use_case,INDIRECT(uc_sheet&amp;"!$A$1"):INDIRECT(uc_sheet&amp;"!$CZ$1"),0)),0)</f>
        <v>0</v>
      </c>
      <c r="M180" s="209">
        <f t="shared" si="81"/>
        <v>0</v>
      </c>
      <c r="N180" s="319"/>
      <c r="O180" s="323">
        <f t="shared" ca="1" si="82"/>
        <v>0</v>
      </c>
      <c r="P180" s="319"/>
      <c r="Q180" s="319"/>
      <c r="R180" s="319"/>
      <c r="S180" s="319"/>
      <c r="T180" s="323">
        <f t="shared" ca="1" si="83"/>
        <v>0</v>
      </c>
      <c r="U180" s="319"/>
      <c r="V180" s="323">
        <f t="shared" ca="1" si="84"/>
        <v>0</v>
      </c>
      <c r="W180" s="324" t="s">
        <v>5195</v>
      </c>
      <c r="X180" s="324" t="s">
        <v>8</v>
      </c>
      <c r="Y180" s="324" t="s">
        <v>61</v>
      </c>
      <c r="Z180" s="319"/>
      <c r="AA180" s="324" t="s">
        <v>4696</v>
      </c>
      <c r="AB180" s="324" t="s">
        <v>4697</v>
      </c>
      <c r="AC180" s="319"/>
      <c r="AD180" s="319"/>
      <c r="AE180" s="319"/>
      <c r="AF180" s="319"/>
      <c r="AG180" s="319"/>
      <c r="AH180" s="319"/>
      <c r="AI180" s="319"/>
      <c r="AJ180" s="319"/>
      <c r="AK180" s="319"/>
      <c r="AL180" s="319"/>
      <c r="AM180" s="137" t="str">
        <f t="shared" si="78"/>
        <v>lin_12</v>
      </c>
    </row>
    <row r="181" spans="1:39" ht="11.25" x14ac:dyDescent="0.2">
      <c r="A181" s="207" t="s">
        <v>5323</v>
      </c>
      <c r="B181" s="207" t="s">
        <v>72</v>
      </c>
      <c r="C181" s="209" t="str">
        <f t="shared" si="85"/>
        <v>lin lvcmos io</v>
      </c>
      <c r="D181" s="227">
        <f t="shared" si="85"/>
        <v>44499</v>
      </c>
      <c r="E181" s="207" t="str">
        <f t="shared" si="85"/>
        <v>7 lvcmos io</v>
      </c>
      <c r="F181" s="207" t="str">
        <f t="shared" si="85"/>
        <v>lin</v>
      </c>
      <c r="G181" s="209">
        <v>0</v>
      </c>
      <c r="H181" s="216">
        <f t="shared" ca="1" si="77"/>
        <v>0</v>
      </c>
      <c r="I181" s="228" t="s">
        <v>4872</v>
      </c>
      <c r="J181" s="229"/>
      <c r="K181" s="207" t="str">
        <f ca="1">IFERROR(INDEX(INDIRECT(uc_sheet&amp;"!$A$1"):INDIRECT(uc_sheet&amp;"!$CZ$1000"),MATCH($A181&amp;$B181,INDIRECT(uc_sheet&amp;"!$a$1"):INDIRECT(uc_sheet&amp;"!$a$1000"),0),MATCH(use_case,INDIRECT(uc_sheet&amp;"!$A$1"):INDIRECT(uc_sheet&amp;"!$CZ$1"),0)+1),"absent")</f>
        <v>absent</v>
      </c>
      <c r="L181" s="224">
        <f ca="1">IFERROR(INDEX(INDIRECT(uc_sheet&amp;"!$A$1"):INDIRECT(uc_sheet&amp;"!$CZ$1000"),MATCH($A181&amp;$B181,INDIRECT(uc_sheet&amp;"!$a$1"):INDIRECT(uc_sheet&amp;"!$a$1000"),0),MATCH(use_case,INDIRECT(uc_sheet&amp;"!$A$1"):INDIRECT(uc_sheet&amp;"!$CZ$1"),0)),0)</f>
        <v>0</v>
      </c>
      <c r="M181" s="209">
        <f t="shared" si="81"/>
        <v>0</v>
      </c>
      <c r="N181" s="319"/>
      <c r="O181" s="323">
        <f t="shared" ca="1" si="82"/>
        <v>0</v>
      </c>
      <c r="P181" s="319"/>
      <c r="Q181" s="319"/>
      <c r="R181" s="319"/>
      <c r="S181" s="319"/>
      <c r="T181" s="323">
        <f t="shared" ca="1" si="83"/>
        <v>0</v>
      </c>
      <c r="U181" s="319"/>
      <c r="V181" s="323">
        <f t="shared" ca="1" si="84"/>
        <v>0</v>
      </c>
      <c r="W181" s="324" t="s">
        <v>5195</v>
      </c>
      <c r="X181" s="324" t="s">
        <v>8</v>
      </c>
      <c r="Y181" s="324" t="s">
        <v>61</v>
      </c>
      <c r="Z181" s="319"/>
      <c r="AA181" s="324" t="s">
        <v>4696</v>
      </c>
      <c r="AB181" s="324" t="s">
        <v>4697</v>
      </c>
      <c r="AC181" s="319"/>
      <c r="AD181" s="319"/>
      <c r="AE181" s="319"/>
      <c r="AF181" s="319"/>
      <c r="AG181" s="319"/>
      <c r="AH181" s="319"/>
      <c r="AI181" s="319"/>
      <c r="AJ181" s="319"/>
      <c r="AK181" s="319"/>
      <c r="AL181" s="319"/>
      <c r="AM181" s="137" t="str">
        <f t="shared" si="78"/>
        <v>lin_13</v>
      </c>
    </row>
    <row r="182" spans="1:39" ht="11.25" x14ac:dyDescent="0.2">
      <c r="A182" s="207" t="s">
        <v>5323</v>
      </c>
      <c r="B182" s="207" t="s">
        <v>73</v>
      </c>
      <c r="C182" s="209" t="str">
        <f t="shared" si="85"/>
        <v>lin lvcmos io</v>
      </c>
      <c r="D182" s="227">
        <f t="shared" si="85"/>
        <v>44499</v>
      </c>
      <c r="E182" s="207" t="str">
        <f t="shared" si="85"/>
        <v>7 lvcmos io</v>
      </c>
      <c r="F182" s="207" t="str">
        <f t="shared" si="85"/>
        <v>lin</v>
      </c>
      <c r="G182" s="209">
        <v>0</v>
      </c>
      <c r="H182" s="216">
        <f t="shared" ca="1" si="77"/>
        <v>0</v>
      </c>
      <c r="I182" s="228" t="s">
        <v>4872</v>
      </c>
      <c r="J182" s="229"/>
      <c r="K182" s="207" t="str">
        <f ca="1">IFERROR(INDEX(INDIRECT(uc_sheet&amp;"!$A$1"):INDIRECT(uc_sheet&amp;"!$CZ$1000"),MATCH($A182&amp;$B182,INDIRECT(uc_sheet&amp;"!$a$1"):INDIRECT(uc_sheet&amp;"!$a$1000"),0),MATCH(use_case,INDIRECT(uc_sheet&amp;"!$A$1"):INDIRECT(uc_sheet&amp;"!$CZ$1"),0)+1),"absent")</f>
        <v>absent</v>
      </c>
      <c r="L182" s="224">
        <f ca="1">IFERROR(INDEX(INDIRECT(uc_sheet&amp;"!$A$1"):INDIRECT(uc_sheet&amp;"!$CZ$1000"),MATCH($A182&amp;$B182,INDIRECT(uc_sheet&amp;"!$a$1"):INDIRECT(uc_sheet&amp;"!$a$1000"),0),MATCH(use_case,INDIRECT(uc_sheet&amp;"!$A$1"):INDIRECT(uc_sheet&amp;"!$CZ$1"),0)),0)</f>
        <v>0</v>
      </c>
      <c r="M182" s="209">
        <f t="shared" si="81"/>
        <v>0</v>
      </c>
      <c r="N182" s="319"/>
      <c r="O182" s="323">
        <f t="shared" ca="1" si="82"/>
        <v>0</v>
      </c>
      <c r="P182" s="319"/>
      <c r="Q182" s="319"/>
      <c r="R182" s="319"/>
      <c r="S182" s="319"/>
      <c r="T182" s="323">
        <f t="shared" ca="1" si="83"/>
        <v>0</v>
      </c>
      <c r="U182" s="319"/>
      <c r="V182" s="323">
        <f t="shared" ca="1" si="84"/>
        <v>0</v>
      </c>
      <c r="W182" s="324" t="s">
        <v>5195</v>
      </c>
      <c r="X182" s="324" t="s">
        <v>8</v>
      </c>
      <c r="Y182" s="324" t="s">
        <v>61</v>
      </c>
      <c r="Z182" s="319"/>
      <c r="AA182" s="324" t="s">
        <v>4696</v>
      </c>
      <c r="AB182" s="324" t="s">
        <v>4697</v>
      </c>
      <c r="AC182" s="319"/>
      <c r="AD182" s="319"/>
      <c r="AE182" s="319"/>
      <c r="AF182" s="319"/>
      <c r="AG182" s="319"/>
      <c r="AH182" s="319"/>
      <c r="AI182" s="319"/>
      <c r="AJ182" s="319"/>
      <c r="AK182" s="319"/>
      <c r="AL182" s="319"/>
      <c r="AM182" s="137" t="str">
        <f t="shared" si="78"/>
        <v>lin_14</v>
      </c>
    </row>
    <row r="183" spans="1:39" ht="11.25" x14ac:dyDescent="0.2">
      <c r="A183" s="207" t="s">
        <v>5323</v>
      </c>
      <c r="B183" s="207" t="s">
        <v>74</v>
      </c>
      <c r="C183" s="209" t="str">
        <f t="shared" si="85"/>
        <v>lin lvcmos io</v>
      </c>
      <c r="D183" s="227">
        <f t="shared" si="85"/>
        <v>44499</v>
      </c>
      <c r="E183" s="207" t="str">
        <f t="shared" si="85"/>
        <v>7 lvcmos io</v>
      </c>
      <c r="F183" s="207" t="str">
        <f t="shared" si="85"/>
        <v>lin</v>
      </c>
      <c r="G183" s="209">
        <v>0</v>
      </c>
      <c r="H183" s="216">
        <f t="shared" ca="1" si="77"/>
        <v>0</v>
      </c>
      <c r="I183" s="228" t="s">
        <v>4872</v>
      </c>
      <c r="J183" s="229"/>
      <c r="K183" s="207" t="str">
        <f ca="1">IFERROR(INDEX(INDIRECT(uc_sheet&amp;"!$A$1"):INDIRECT(uc_sheet&amp;"!$CZ$1000"),MATCH($A183&amp;$B183,INDIRECT(uc_sheet&amp;"!$a$1"):INDIRECT(uc_sheet&amp;"!$a$1000"),0),MATCH(use_case,INDIRECT(uc_sheet&amp;"!$A$1"):INDIRECT(uc_sheet&amp;"!$CZ$1"),0)+1),"absent")</f>
        <v>absent</v>
      </c>
      <c r="L183" s="224">
        <f ca="1">IFERROR(INDEX(INDIRECT(uc_sheet&amp;"!$A$1"):INDIRECT(uc_sheet&amp;"!$CZ$1000"),MATCH($A183&amp;$B183,INDIRECT(uc_sheet&amp;"!$a$1"):INDIRECT(uc_sheet&amp;"!$a$1000"),0),MATCH(use_case,INDIRECT(uc_sheet&amp;"!$A$1"):INDIRECT(uc_sheet&amp;"!$CZ$1"),0)),0)</f>
        <v>0</v>
      </c>
      <c r="M183" s="209">
        <f t="shared" si="81"/>
        <v>0</v>
      </c>
      <c r="N183" s="319"/>
      <c r="O183" s="323">
        <f t="shared" ca="1" si="82"/>
        <v>0</v>
      </c>
      <c r="P183" s="319"/>
      <c r="Q183" s="319"/>
      <c r="R183" s="319"/>
      <c r="S183" s="319"/>
      <c r="T183" s="323">
        <f t="shared" ca="1" si="83"/>
        <v>0</v>
      </c>
      <c r="U183" s="319"/>
      <c r="V183" s="323">
        <f t="shared" ca="1" si="84"/>
        <v>0</v>
      </c>
      <c r="W183" s="324" t="s">
        <v>5195</v>
      </c>
      <c r="X183" s="324" t="s">
        <v>8</v>
      </c>
      <c r="Y183" s="324" t="s">
        <v>61</v>
      </c>
      <c r="Z183" s="319"/>
      <c r="AA183" s="324" t="s">
        <v>4696</v>
      </c>
      <c r="AB183" s="324" t="s">
        <v>4697</v>
      </c>
      <c r="AC183" s="319"/>
      <c r="AD183" s="319"/>
      <c r="AE183" s="319"/>
      <c r="AF183" s="319"/>
      <c r="AG183" s="319"/>
      <c r="AH183" s="319"/>
      <c r="AI183" s="319"/>
      <c r="AJ183" s="319"/>
      <c r="AK183" s="319"/>
      <c r="AL183" s="319"/>
      <c r="AM183" s="137" t="str">
        <f t="shared" si="78"/>
        <v>lin_15</v>
      </c>
    </row>
    <row r="184" spans="1:39" ht="11.25" x14ac:dyDescent="0.2">
      <c r="A184" s="207" t="s">
        <v>5323</v>
      </c>
      <c r="B184" s="207" t="s">
        <v>75</v>
      </c>
      <c r="C184" s="209" t="str">
        <f t="shared" si="85"/>
        <v>lin lvcmos io</v>
      </c>
      <c r="D184" s="227">
        <f t="shared" si="85"/>
        <v>44499</v>
      </c>
      <c r="E184" s="207" t="str">
        <f t="shared" si="85"/>
        <v>7 lvcmos io</v>
      </c>
      <c r="F184" s="207" t="str">
        <f t="shared" si="85"/>
        <v>lin</v>
      </c>
      <c r="G184" s="209">
        <v>0</v>
      </c>
      <c r="H184" s="216">
        <f t="shared" ca="1" si="77"/>
        <v>0</v>
      </c>
      <c r="I184" s="228" t="s">
        <v>4872</v>
      </c>
      <c r="J184" s="229"/>
      <c r="K184" s="207" t="str">
        <f ca="1">IFERROR(INDEX(INDIRECT(uc_sheet&amp;"!$A$1"):INDIRECT(uc_sheet&amp;"!$CZ$1000"),MATCH($A184&amp;$B184,INDIRECT(uc_sheet&amp;"!$a$1"):INDIRECT(uc_sheet&amp;"!$a$1000"),0),MATCH(use_case,INDIRECT(uc_sheet&amp;"!$A$1"):INDIRECT(uc_sheet&amp;"!$CZ$1"),0)+1),"absent")</f>
        <v>absent</v>
      </c>
      <c r="L184" s="224">
        <f ca="1">IFERROR(INDEX(INDIRECT(uc_sheet&amp;"!$A$1"):INDIRECT(uc_sheet&amp;"!$CZ$1000"),MATCH($A184&amp;$B184,INDIRECT(uc_sheet&amp;"!$a$1"):INDIRECT(uc_sheet&amp;"!$a$1000"),0),MATCH(use_case,INDIRECT(uc_sheet&amp;"!$A$1"):INDIRECT(uc_sheet&amp;"!$CZ$1"),0)),0)</f>
        <v>0</v>
      </c>
      <c r="M184" s="209">
        <f t="shared" si="81"/>
        <v>0</v>
      </c>
      <c r="N184" s="319"/>
      <c r="O184" s="323">
        <f t="shared" ca="1" si="82"/>
        <v>0</v>
      </c>
      <c r="P184" s="319"/>
      <c r="Q184" s="319"/>
      <c r="R184" s="319"/>
      <c r="S184" s="319"/>
      <c r="T184" s="323">
        <f t="shared" ca="1" si="83"/>
        <v>0</v>
      </c>
      <c r="U184" s="319"/>
      <c r="V184" s="323">
        <f t="shared" ca="1" si="84"/>
        <v>0</v>
      </c>
      <c r="W184" s="324" t="s">
        <v>5195</v>
      </c>
      <c r="X184" s="324" t="s">
        <v>8</v>
      </c>
      <c r="Y184" s="324" t="s">
        <v>61</v>
      </c>
      <c r="Z184" s="319"/>
      <c r="AA184" s="324" t="s">
        <v>4696</v>
      </c>
      <c r="AB184" s="324" t="s">
        <v>4697</v>
      </c>
      <c r="AC184" s="319"/>
      <c r="AD184" s="319"/>
      <c r="AE184" s="319"/>
      <c r="AF184" s="319"/>
      <c r="AG184" s="319"/>
      <c r="AH184" s="319"/>
      <c r="AI184" s="319"/>
      <c r="AJ184" s="319"/>
      <c r="AK184" s="319"/>
      <c r="AL184" s="319"/>
      <c r="AM184" s="137" t="str">
        <f t="shared" si="78"/>
        <v>lin_16</v>
      </c>
    </row>
    <row r="185" spans="1:39" ht="11.25" x14ac:dyDescent="0.2">
      <c r="A185" s="207" t="s">
        <v>5323</v>
      </c>
      <c r="B185" s="207" t="s">
        <v>76</v>
      </c>
      <c r="C185" s="209" t="str">
        <f t="shared" si="85"/>
        <v>lin lvcmos io</v>
      </c>
      <c r="D185" s="227">
        <f t="shared" si="85"/>
        <v>44499</v>
      </c>
      <c r="E185" s="207" t="str">
        <f t="shared" si="85"/>
        <v>7 lvcmos io</v>
      </c>
      <c r="F185" s="207" t="str">
        <f t="shared" si="85"/>
        <v>lin</v>
      </c>
      <c r="G185" s="209">
        <v>0</v>
      </c>
      <c r="H185" s="216">
        <f t="shared" ca="1" si="77"/>
        <v>0</v>
      </c>
      <c r="I185" s="228" t="s">
        <v>4872</v>
      </c>
      <c r="J185" s="229"/>
      <c r="K185" s="207" t="str">
        <f ca="1">IFERROR(INDEX(INDIRECT(uc_sheet&amp;"!$A$1"):INDIRECT(uc_sheet&amp;"!$CZ$1000"),MATCH($A185&amp;$B185,INDIRECT(uc_sheet&amp;"!$a$1"):INDIRECT(uc_sheet&amp;"!$a$1000"),0),MATCH(use_case,INDIRECT(uc_sheet&amp;"!$A$1"):INDIRECT(uc_sheet&amp;"!$CZ$1"),0)+1),"absent")</f>
        <v>absent</v>
      </c>
      <c r="L185" s="224">
        <f ca="1">IFERROR(INDEX(INDIRECT(uc_sheet&amp;"!$A$1"):INDIRECT(uc_sheet&amp;"!$CZ$1000"),MATCH($A185&amp;$B185,INDIRECT(uc_sheet&amp;"!$a$1"):INDIRECT(uc_sheet&amp;"!$a$1000"),0),MATCH(use_case,INDIRECT(uc_sheet&amp;"!$A$1"):INDIRECT(uc_sheet&amp;"!$CZ$1"),0)),0)</f>
        <v>0</v>
      </c>
      <c r="M185" s="209">
        <f t="shared" si="81"/>
        <v>0</v>
      </c>
      <c r="N185" s="319"/>
      <c r="O185" s="323">
        <f t="shared" ca="1" si="82"/>
        <v>0</v>
      </c>
      <c r="P185" s="319"/>
      <c r="Q185" s="319"/>
      <c r="R185" s="319"/>
      <c r="S185" s="319"/>
      <c r="T185" s="323">
        <f t="shared" ca="1" si="83"/>
        <v>0</v>
      </c>
      <c r="U185" s="319"/>
      <c r="V185" s="323">
        <f t="shared" ca="1" si="84"/>
        <v>0</v>
      </c>
      <c r="W185" s="324" t="s">
        <v>5195</v>
      </c>
      <c r="X185" s="324" t="s">
        <v>8</v>
      </c>
      <c r="Y185" s="324" t="s">
        <v>61</v>
      </c>
      <c r="Z185" s="319"/>
      <c r="AA185" s="324" t="s">
        <v>4696</v>
      </c>
      <c r="AB185" s="324" t="s">
        <v>4697</v>
      </c>
      <c r="AC185" s="319"/>
      <c r="AD185" s="319"/>
      <c r="AE185" s="319"/>
      <c r="AF185" s="319"/>
      <c r="AG185" s="319"/>
      <c r="AH185" s="319"/>
      <c r="AI185" s="319"/>
      <c r="AJ185" s="319"/>
      <c r="AK185" s="319"/>
      <c r="AL185" s="319"/>
      <c r="AM185" s="137" t="str">
        <f t="shared" si="78"/>
        <v>lin_17</v>
      </c>
    </row>
    <row r="186" spans="1:39" ht="11.25" x14ac:dyDescent="0.2">
      <c r="A186" s="207" t="s">
        <v>5323</v>
      </c>
      <c r="B186" s="207" t="s">
        <v>77</v>
      </c>
      <c r="C186" s="209" t="str">
        <f t="shared" si="85"/>
        <v>lin lvcmos io</v>
      </c>
      <c r="D186" s="227">
        <f t="shared" si="85"/>
        <v>44499</v>
      </c>
      <c r="E186" s="207" t="str">
        <f t="shared" si="85"/>
        <v>7 lvcmos io</v>
      </c>
      <c r="F186" s="207" t="str">
        <f t="shared" si="85"/>
        <v>lin</v>
      </c>
      <c r="G186" s="209">
        <v>0</v>
      </c>
      <c r="H186" s="216">
        <f t="shared" ca="1" si="77"/>
        <v>0</v>
      </c>
      <c r="I186" s="228" t="s">
        <v>4872</v>
      </c>
      <c r="J186" s="229"/>
      <c r="K186" s="207" t="str">
        <f ca="1">IFERROR(INDEX(INDIRECT(uc_sheet&amp;"!$A$1"):INDIRECT(uc_sheet&amp;"!$CZ$1000"),MATCH($A186&amp;$B186,INDIRECT(uc_sheet&amp;"!$a$1"):INDIRECT(uc_sheet&amp;"!$a$1000"),0),MATCH(use_case,INDIRECT(uc_sheet&amp;"!$A$1"):INDIRECT(uc_sheet&amp;"!$CZ$1"),0)+1),"absent")</f>
        <v>absent</v>
      </c>
      <c r="L186" s="224">
        <f ca="1">IFERROR(INDEX(INDIRECT(uc_sheet&amp;"!$A$1"):INDIRECT(uc_sheet&amp;"!$CZ$1000"),MATCH($A186&amp;$B186,INDIRECT(uc_sheet&amp;"!$a$1"):INDIRECT(uc_sheet&amp;"!$a$1000"),0),MATCH(use_case,INDIRECT(uc_sheet&amp;"!$A$1"):INDIRECT(uc_sheet&amp;"!$CZ$1"),0)),0)</f>
        <v>0</v>
      </c>
      <c r="M186" s="209">
        <f t="shared" si="81"/>
        <v>0</v>
      </c>
      <c r="N186" s="319"/>
      <c r="O186" s="323">
        <f t="shared" ca="1" si="82"/>
        <v>0</v>
      </c>
      <c r="P186" s="319"/>
      <c r="Q186" s="319"/>
      <c r="R186" s="319"/>
      <c r="S186" s="319"/>
      <c r="T186" s="323">
        <f t="shared" ca="1" si="83"/>
        <v>0</v>
      </c>
      <c r="U186" s="319"/>
      <c r="V186" s="323">
        <f t="shared" ca="1" si="84"/>
        <v>0</v>
      </c>
      <c r="W186" s="324" t="s">
        <v>5195</v>
      </c>
      <c r="X186" s="324" t="s">
        <v>8</v>
      </c>
      <c r="Y186" s="324" t="s">
        <v>61</v>
      </c>
      <c r="Z186" s="319"/>
      <c r="AA186" s="324" t="s">
        <v>4696</v>
      </c>
      <c r="AB186" s="324" t="s">
        <v>4697</v>
      </c>
      <c r="AC186" s="319"/>
      <c r="AD186" s="319"/>
      <c r="AE186" s="319"/>
      <c r="AF186" s="319"/>
      <c r="AG186" s="319"/>
      <c r="AH186" s="319"/>
      <c r="AI186" s="319"/>
      <c r="AJ186" s="319"/>
      <c r="AK186" s="319"/>
      <c r="AL186" s="319"/>
      <c r="AM186" s="137" t="str">
        <f t="shared" si="78"/>
        <v>lin_18</v>
      </c>
    </row>
    <row r="187" spans="1:39" ht="11.25" x14ac:dyDescent="0.2">
      <c r="A187" s="207" t="s">
        <v>5323</v>
      </c>
      <c r="B187" s="207" t="s">
        <v>78</v>
      </c>
      <c r="C187" s="209" t="str">
        <f t="shared" si="85"/>
        <v>lin lvcmos io</v>
      </c>
      <c r="D187" s="227">
        <f t="shared" si="85"/>
        <v>44499</v>
      </c>
      <c r="E187" s="207" t="str">
        <f t="shared" si="85"/>
        <v>7 lvcmos io</v>
      </c>
      <c r="F187" s="207" t="str">
        <f t="shared" si="85"/>
        <v>lin</v>
      </c>
      <c r="G187" s="209">
        <v>0</v>
      </c>
      <c r="H187" s="216">
        <f t="shared" ca="1" si="77"/>
        <v>0</v>
      </c>
      <c r="I187" s="228" t="s">
        <v>4872</v>
      </c>
      <c r="J187" s="229"/>
      <c r="K187" s="207" t="str">
        <f ca="1">IFERROR(INDEX(INDIRECT(uc_sheet&amp;"!$A$1"):INDIRECT(uc_sheet&amp;"!$CZ$1000"),MATCH($A187&amp;$B187,INDIRECT(uc_sheet&amp;"!$a$1"):INDIRECT(uc_sheet&amp;"!$a$1000"),0),MATCH(use_case,INDIRECT(uc_sheet&amp;"!$A$1"):INDIRECT(uc_sheet&amp;"!$CZ$1"),0)+1),"absent")</f>
        <v>absent</v>
      </c>
      <c r="L187" s="224">
        <f ca="1">IFERROR(INDEX(INDIRECT(uc_sheet&amp;"!$A$1"):INDIRECT(uc_sheet&amp;"!$CZ$1000"),MATCH($A187&amp;$B187,INDIRECT(uc_sheet&amp;"!$a$1"):INDIRECT(uc_sheet&amp;"!$a$1000"),0),MATCH(use_case,INDIRECT(uc_sheet&amp;"!$A$1"):INDIRECT(uc_sheet&amp;"!$CZ$1"),0)),0)</f>
        <v>0</v>
      </c>
      <c r="M187" s="209">
        <f t="shared" si="81"/>
        <v>0</v>
      </c>
      <c r="N187" s="319"/>
      <c r="O187" s="323">
        <f t="shared" ca="1" si="82"/>
        <v>0</v>
      </c>
      <c r="P187" s="319"/>
      <c r="Q187" s="319"/>
      <c r="R187" s="319"/>
      <c r="S187" s="319"/>
      <c r="T187" s="323">
        <f t="shared" ca="1" si="83"/>
        <v>0</v>
      </c>
      <c r="U187" s="319"/>
      <c r="V187" s="323">
        <f t="shared" ca="1" si="84"/>
        <v>0</v>
      </c>
      <c r="W187" s="324" t="s">
        <v>5195</v>
      </c>
      <c r="X187" s="324" t="s">
        <v>8</v>
      </c>
      <c r="Y187" s="324" t="s">
        <v>61</v>
      </c>
      <c r="Z187" s="319"/>
      <c r="AA187" s="324" t="s">
        <v>4696</v>
      </c>
      <c r="AB187" s="324" t="s">
        <v>4697</v>
      </c>
      <c r="AC187" s="319"/>
      <c r="AD187" s="319"/>
      <c r="AE187" s="319"/>
      <c r="AF187" s="319"/>
      <c r="AG187" s="319"/>
      <c r="AH187" s="319"/>
      <c r="AI187" s="319"/>
      <c r="AJ187" s="319"/>
      <c r="AK187" s="319"/>
      <c r="AL187" s="319"/>
      <c r="AM187" s="137" t="str">
        <f t="shared" si="78"/>
        <v>lin_19</v>
      </c>
    </row>
    <row r="188" spans="1:39" ht="11.25" x14ac:dyDescent="0.2">
      <c r="A188" s="207" t="s">
        <v>5323</v>
      </c>
      <c r="B188" s="207" t="s">
        <v>13</v>
      </c>
      <c r="C188" s="209" t="str">
        <f t="shared" si="85"/>
        <v>lin lvcmos io</v>
      </c>
      <c r="D188" s="227">
        <f t="shared" si="85"/>
        <v>44499</v>
      </c>
      <c r="E188" s="207" t="str">
        <f t="shared" si="85"/>
        <v>7 lvcmos io</v>
      </c>
      <c r="F188" s="207" t="str">
        <f t="shared" si="85"/>
        <v>lin</v>
      </c>
      <c r="G188" s="209">
        <v>1</v>
      </c>
      <c r="H188" s="216">
        <f t="shared" ca="1" si="77"/>
        <v>0</v>
      </c>
      <c r="I188" s="228" t="s">
        <v>4872</v>
      </c>
      <c r="J188" s="229"/>
      <c r="K188" s="207" t="str">
        <f ca="1">IFERROR(INDEX(INDIRECT(uc_sheet&amp;"!$A$1"):INDIRECT(uc_sheet&amp;"!$CZ$1000"),MATCH($A188&amp;$B188,INDIRECT(uc_sheet&amp;"!$a$1"):INDIRECT(uc_sheet&amp;"!$a$1000"),0),MATCH(use_case,INDIRECT(uc_sheet&amp;"!$A$1"):INDIRECT(uc_sheet&amp;"!$CZ$1"),0)+1),"absent")</f>
        <v>absent</v>
      </c>
      <c r="L188" s="224">
        <f ca="1">IFERROR(INDEX(INDIRECT(uc_sheet&amp;"!$A$1"):INDIRECT(uc_sheet&amp;"!$CZ$1000"),MATCH($A188&amp;$B188,INDIRECT(uc_sheet&amp;"!$a$1"):INDIRECT(uc_sheet&amp;"!$a$1000"),0),MATCH(use_case,INDIRECT(uc_sheet&amp;"!$A$1"):INDIRECT(uc_sheet&amp;"!$CZ$1"),0)),0)</f>
        <v>0</v>
      </c>
      <c r="M188" s="209">
        <f t="shared" si="81"/>
        <v>2</v>
      </c>
      <c r="N188" s="319"/>
      <c r="O188" s="323">
        <f t="shared" ca="1" si="82"/>
        <v>0</v>
      </c>
      <c r="P188" s="319"/>
      <c r="Q188" s="319"/>
      <c r="R188" s="319"/>
      <c r="S188" s="319"/>
      <c r="T188" s="323">
        <f t="shared" ca="1" si="83"/>
        <v>0</v>
      </c>
      <c r="U188" s="319"/>
      <c r="V188" s="323">
        <f t="shared" ca="1" si="84"/>
        <v>0</v>
      </c>
      <c r="W188" s="324" t="s">
        <v>5195</v>
      </c>
      <c r="X188" s="324" t="s">
        <v>8</v>
      </c>
      <c r="Y188" s="324" t="s">
        <v>61</v>
      </c>
      <c r="Z188" s="319"/>
      <c r="AA188" s="324" t="s">
        <v>4696</v>
      </c>
      <c r="AB188" s="324" t="s">
        <v>4697</v>
      </c>
      <c r="AC188" s="319"/>
      <c r="AD188" s="319"/>
      <c r="AE188" s="319"/>
      <c r="AF188" s="319"/>
      <c r="AG188" s="319"/>
      <c r="AH188" s="319"/>
      <c r="AI188" s="319"/>
      <c r="AJ188" s="319"/>
      <c r="AK188" s="319"/>
      <c r="AL188" s="319"/>
      <c r="AM188" s="137" t="str">
        <f t="shared" si="78"/>
        <v>lin_2</v>
      </c>
    </row>
    <row r="189" spans="1:39" ht="11.25" x14ac:dyDescent="0.2">
      <c r="A189" s="207" t="s">
        <v>5323</v>
      </c>
      <c r="B189" s="207" t="s">
        <v>5476</v>
      </c>
      <c r="C189" s="209" t="str">
        <f t="shared" si="85"/>
        <v>lin lvcmos io</v>
      </c>
      <c r="D189" s="227">
        <f t="shared" si="85"/>
        <v>44499</v>
      </c>
      <c r="E189" s="207" t="str">
        <f t="shared" si="85"/>
        <v>7 lvcmos io</v>
      </c>
      <c r="F189" s="207" t="str">
        <f t="shared" si="85"/>
        <v>lin</v>
      </c>
      <c r="G189" s="209">
        <v>0</v>
      </c>
      <c r="H189" s="216">
        <f t="shared" ca="1" si="77"/>
        <v>0</v>
      </c>
      <c r="I189" s="228" t="s">
        <v>4872</v>
      </c>
      <c r="J189" s="229"/>
      <c r="K189" s="207" t="str">
        <f ca="1">IFERROR(INDEX(INDIRECT(uc_sheet&amp;"!$A$1"):INDIRECT(uc_sheet&amp;"!$CZ$1000"),MATCH($A189&amp;$B189,INDIRECT(uc_sheet&amp;"!$a$1"):INDIRECT(uc_sheet&amp;"!$a$1000"),0),MATCH(use_case,INDIRECT(uc_sheet&amp;"!$A$1"):INDIRECT(uc_sheet&amp;"!$CZ$1"),0)+1),"absent")</f>
        <v>absent</v>
      </c>
      <c r="L189" s="224">
        <f ca="1">IFERROR(INDEX(INDIRECT(uc_sheet&amp;"!$A$1"):INDIRECT(uc_sheet&amp;"!$CZ$1000"),MATCH($A189&amp;$B189,INDIRECT(uc_sheet&amp;"!$a$1"):INDIRECT(uc_sheet&amp;"!$a$1000"),0),MATCH(use_case,INDIRECT(uc_sheet&amp;"!$A$1"):INDIRECT(uc_sheet&amp;"!$CZ$1"),0)),0)</f>
        <v>0</v>
      </c>
      <c r="M189" s="209">
        <f t="shared" si="81"/>
        <v>0</v>
      </c>
      <c r="N189" s="319"/>
      <c r="O189" s="323">
        <f t="shared" ca="1" si="82"/>
        <v>0</v>
      </c>
      <c r="P189" s="319"/>
      <c r="Q189" s="319"/>
      <c r="R189" s="319"/>
      <c r="S189" s="319"/>
      <c r="T189" s="323">
        <f t="shared" ca="1" si="83"/>
        <v>0</v>
      </c>
      <c r="U189" s="319"/>
      <c r="V189" s="323">
        <f t="shared" ca="1" si="84"/>
        <v>0</v>
      </c>
      <c r="W189" s="324" t="s">
        <v>5195</v>
      </c>
      <c r="X189" s="324" t="s">
        <v>8</v>
      </c>
      <c r="Y189" s="324" t="s">
        <v>61</v>
      </c>
      <c r="Z189" s="319"/>
      <c r="AA189" s="324" t="s">
        <v>4696</v>
      </c>
      <c r="AB189" s="324" t="s">
        <v>4697</v>
      </c>
      <c r="AC189" s="319"/>
      <c r="AD189" s="319"/>
      <c r="AE189" s="319"/>
      <c r="AF189" s="319"/>
      <c r="AG189" s="319"/>
      <c r="AH189" s="319"/>
      <c r="AI189" s="319"/>
      <c r="AJ189" s="319"/>
      <c r="AK189" s="319"/>
      <c r="AL189" s="319"/>
      <c r="AM189" s="137" t="str">
        <f t="shared" si="78"/>
        <v>lin_20</v>
      </c>
    </row>
    <row r="190" spans="1:39" ht="11.25" x14ac:dyDescent="0.2">
      <c r="A190" s="207" t="s">
        <v>5323</v>
      </c>
      <c r="B190" s="207" t="s">
        <v>14</v>
      </c>
      <c r="C190" s="209" t="str">
        <f t="shared" si="85"/>
        <v>lin lvcmos io</v>
      </c>
      <c r="D190" s="227">
        <f t="shared" si="85"/>
        <v>44499</v>
      </c>
      <c r="E190" s="207" t="str">
        <f t="shared" si="85"/>
        <v>7 lvcmos io</v>
      </c>
      <c r="F190" s="207" t="str">
        <f t="shared" si="85"/>
        <v>lin</v>
      </c>
      <c r="G190" s="209">
        <v>1</v>
      </c>
      <c r="H190" s="216">
        <f t="shared" ca="1" si="77"/>
        <v>0</v>
      </c>
      <c r="I190" s="228" t="s">
        <v>4872</v>
      </c>
      <c r="J190" s="229"/>
      <c r="K190" s="207" t="str">
        <f ca="1">IFERROR(INDEX(INDIRECT(uc_sheet&amp;"!$A$1"):INDIRECT(uc_sheet&amp;"!$CZ$1000"),MATCH($A190&amp;$B190,INDIRECT(uc_sheet&amp;"!$a$1"):INDIRECT(uc_sheet&amp;"!$a$1000"),0),MATCH(use_case,INDIRECT(uc_sheet&amp;"!$A$1"):INDIRECT(uc_sheet&amp;"!$CZ$1"),0)+1),"absent")</f>
        <v>absent</v>
      </c>
      <c r="L190" s="224">
        <f ca="1">IFERROR(INDEX(INDIRECT(uc_sheet&amp;"!$A$1"):INDIRECT(uc_sheet&amp;"!$CZ$1000"),MATCH($A190&amp;$B190,INDIRECT(uc_sheet&amp;"!$a$1"):INDIRECT(uc_sheet&amp;"!$a$1000"),0),MATCH(use_case,INDIRECT(uc_sheet&amp;"!$A$1"):INDIRECT(uc_sheet&amp;"!$CZ$1"),0)),0)</f>
        <v>0</v>
      </c>
      <c r="M190" s="209">
        <f t="shared" ref="M190:M223" si="86">IFERROR(VLOOKUP($A190&amp;"_"&amp;M$2,MDB,6,0),0)*G190</f>
        <v>2</v>
      </c>
      <c r="N190" s="319"/>
      <c r="O190" s="323">
        <f t="shared" ref="O190:O223" ca="1" si="87">IFERROR(VLOOKUP($A190&amp;"_"&amp;O$2&amp;"_"&amp;$K190&amp;"",MDB,6,0)*$L190*$G190*Dyn_Int_Scale_SVT,0)</f>
        <v>0</v>
      </c>
      <c r="P190" s="319"/>
      <c r="Q190" s="319"/>
      <c r="R190" s="319"/>
      <c r="S190" s="319"/>
      <c r="T190" s="323">
        <f t="shared" ref="T190:T223" ca="1" si="88">IFERROR(VLOOKUP($A190&amp;"_"&amp;T$2&amp;"_"&amp;$K190&amp;"",MDB,6,0)*$L190*$G190*Dyn_Int_Scale_SVT,0)</f>
        <v>0</v>
      </c>
      <c r="U190" s="319"/>
      <c r="V190" s="323">
        <f t="shared" ref="V190:V223" ca="1" si="89">IFERROR(VLOOKUP($A190&amp;"_"&amp;V$2&amp;"_"&amp;$K190&amp;"",MDB,6,0)*$L190*$G190*Dyn_Int_Scale_SVT,0)</f>
        <v>0</v>
      </c>
      <c r="W190" s="324" t="s">
        <v>5195</v>
      </c>
      <c r="X190" s="324" t="s">
        <v>8</v>
      </c>
      <c r="Y190" s="324" t="s">
        <v>61</v>
      </c>
      <c r="Z190" s="319"/>
      <c r="AA190" s="324" t="s">
        <v>4696</v>
      </c>
      <c r="AB190" s="324" t="s">
        <v>4697</v>
      </c>
      <c r="AC190" s="319"/>
      <c r="AD190" s="319"/>
      <c r="AE190" s="319"/>
      <c r="AF190" s="319"/>
      <c r="AG190" s="319"/>
      <c r="AH190" s="319"/>
      <c r="AI190" s="319"/>
      <c r="AJ190" s="319"/>
      <c r="AK190" s="319"/>
      <c r="AL190" s="319"/>
      <c r="AM190" s="137" t="str">
        <f t="shared" si="78"/>
        <v>lin_3</v>
      </c>
    </row>
    <row r="191" spans="1:39" ht="11.25" x14ac:dyDescent="0.2">
      <c r="A191" s="207" t="s">
        <v>5323</v>
      </c>
      <c r="B191" s="207" t="s">
        <v>15</v>
      </c>
      <c r="C191" s="209" t="str">
        <f t="shared" ref="C191:F210" si="90">VLOOKUP($A191&amp;"_"&amp;C$2,MDB,6,0)</f>
        <v>lin lvcmos io</v>
      </c>
      <c r="D191" s="227">
        <f t="shared" si="90"/>
        <v>44499</v>
      </c>
      <c r="E191" s="207" t="str">
        <f t="shared" si="90"/>
        <v>7 lvcmos io</v>
      </c>
      <c r="F191" s="207" t="str">
        <f t="shared" si="90"/>
        <v>lin</v>
      </c>
      <c r="G191" s="209">
        <v>1</v>
      </c>
      <c r="H191" s="216">
        <f t="shared" ca="1" si="77"/>
        <v>0</v>
      </c>
      <c r="I191" s="228" t="s">
        <v>4872</v>
      </c>
      <c r="J191" s="229"/>
      <c r="K191" s="207" t="str">
        <f ca="1">IFERROR(INDEX(INDIRECT(uc_sheet&amp;"!$A$1"):INDIRECT(uc_sheet&amp;"!$CZ$1000"),MATCH($A191&amp;$B191,INDIRECT(uc_sheet&amp;"!$a$1"):INDIRECT(uc_sheet&amp;"!$a$1000"),0),MATCH(use_case,INDIRECT(uc_sheet&amp;"!$A$1"):INDIRECT(uc_sheet&amp;"!$CZ$1"),0)+1),"absent")</f>
        <v>absent</v>
      </c>
      <c r="L191" s="224">
        <f ca="1">IFERROR(INDEX(INDIRECT(uc_sheet&amp;"!$A$1"):INDIRECT(uc_sheet&amp;"!$CZ$1000"),MATCH($A191&amp;$B191,INDIRECT(uc_sheet&amp;"!$a$1"):INDIRECT(uc_sheet&amp;"!$a$1000"),0),MATCH(use_case,INDIRECT(uc_sheet&amp;"!$A$1"):INDIRECT(uc_sheet&amp;"!$CZ$1"),0)),0)</f>
        <v>0</v>
      </c>
      <c r="M191" s="209">
        <f t="shared" si="86"/>
        <v>2</v>
      </c>
      <c r="N191" s="319"/>
      <c r="O191" s="323">
        <f t="shared" ca="1" si="87"/>
        <v>0</v>
      </c>
      <c r="P191" s="319"/>
      <c r="Q191" s="319"/>
      <c r="R191" s="319"/>
      <c r="S191" s="319"/>
      <c r="T191" s="323">
        <f t="shared" ca="1" si="88"/>
        <v>0</v>
      </c>
      <c r="U191" s="319"/>
      <c r="V191" s="323">
        <f t="shared" ca="1" si="89"/>
        <v>0</v>
      </c>
      <c r="W191" s="324" t="s">
        <v>5195</v>
      </c>
      <c r="X191" s="324" t="s">
        <v>8</v>
      </c>
      <c r="Y191" s="324" t="s">
        <v>61</v>
      </c>
      <c r="Z191" s="319"/>
      <c r="AA191" s="324" t="s">
        <v>4696</v>
      </c>
      <c r="AB191" s="324" t="s">
        <v>4697</v>
      </c>
      <c r="AC191" s="319"/>
      <c r="AD191" s="319"/>
      <c r="AE191" s="319"/>
      <c r="AF191" s="319"/>
      <c r="AG191" s="319"/>
      <c r="AH191" s="319"/>
      <c r="AI191" s="319"/>
      <c r="AJ191" s="319"/>
      <c r="AK191" s="319"/>
      <c r="AL191" s="319"/>
      <c r="AM191" s="137" t="str">
        <f t="shared" si="78"/>
        <v>lin_4</v>
      </c>
    </row>
    <row r="192" spans="1:39" ht="11.25" x14ac:dyDescent="0.2">
      <c r="A192" s="207" t="s">
        <v>5323</v>
      </c>
      <c r="B192" s="207" t="s">
        <v>16</v>
      </c>
      <c r="C192" s="209" t="str">
        <f t="shared" si="90"/>
        <v>lin lvcmos io</v>
      </c>
      <c r="D192" s="227">
        <f t="shared" si="90"/>
        <v>44499</v>
      </c>
      <c r="E192" s="207" t="str">
        <f t="shared" si="90"/>
        <v>7 lvcmos io</v>
      </c>
      <c r="F192" s="207" t="str">
        <f t="shared" si="90"/>
        <v>lin</v>
      </c>
      <c r="G192" s="209">
        <v>0</v>
      </c>
      <c r="H192" s="216">
        <f t="shared" ca="1" si="77"/>
        <v>0</v>
      </c>
      <c r="I192" s="228" t="s">
        <v>4872</v>
      </c>
      <c r="J192" s="229"/>
      <c r="K192" s="207" t="str">
        <f ca="1">IFERROR(INDEX(INDIRECT(uc_sheet&amp;"!$A$1"):INDIRECT(uc_sheet&amp;"!$CZ$1000"),MATCH($A192&amp;$B192,INDIRECT(uc_sheet&amp;"!$a$1"):INDIRECT(uc_sheet&amp;"!$a$1000"),0),MATCH(use_case,INDIRECT(uc_sheet&amp;"!$A$1"):INDIRECT(uc_sheet&amp;"!$CZ$1"),0)+1),"absent")</f>
        <v>absent</v>
      </c>
      <c r="L192" s="224">
        <f ca="1">IFERROR(INDEX(INDIRECT(uc_sheet&amp;"!$A$1"):INDIRECT(uc_sheet&amp;"!$CZ$1000"),MATCH($A192&amp;$B192,INDIRECT(uc_sheet&amp;"!$a$1"):INDIRECT(uc_sheet&amp;"!$a$1000"),0),MATCH(use_case,INDIRECT(uc_sheet&amp;"!$A$1"):INDIRECT(uc_sheet&amp;"!$CZ$1"),0)),0)</f>
        <v>0</v>
      </c>
      <c r="M192" s="209">
        <f t="shared" si="86"/>
        <v>0</v>
      </c>
      <c r="N192" s="319"/>
      <c r="O192" s="323">
        <f t="shared" ca="1" si="87"/>
        <v>0</v>
      </c>
      <c r="P192" s="319"/>
      <c r="Q192" s="319"/>
      <c r="R192" s="319"/>
      <c r="S192" s="319"/>
      <c r="T192" s="323">
        <f t="shared" ca="1" si="88"/>
        <v>0</v>
      </c>
      <c r="U192" s="319"/>
      <c r="V192" s="323">
        <f t="shared" ca="1" si="89"/>
        <v>0</v>
      </c>
      <c r="W192" s="324" t="s">
        <v>5195</v>
      </c>
      <c r="X192" s="324" t="s">
        <v>8</v>
      </c>
      <c r="Y192" s="324" t="s">
        <v>61</v>
      </c>
      <c r="Z192" s="319"/>
      <c r="AA192" s="324" t="s">
        <v>4696</v>
      </c>
      <c r="AB192" s="324" t="s">
        <v>4697</v>
      </c>
      <c r="AC192" s="319"/>
      <c r="AD192" s="319"/>
      <c r="AE192" s="319"/>
      <c r="AF192" s="319"/>
      <c r="AG192" s="319"/>
      <c r="AH192" s="319"/>
      <c r="AI192" s="319"/>
      <c r="AJ192" s="319"/>
      <c r="AK192" s="319"/>
      <c r="AL192" s="319"/>
      <c r="AM192" s="137" t="str">
        <f t="shared" si="78"/>
        <v>lin_5</v>
      </c>
    </row>
    <row r="193" spans="1:39" ht="11.25" x14ac:dyDescent="0.2">
      <c r="A193" s="207" t="s">
        <v>5323</v>
      </c>
      <c r="B193" s="207" t="s">
        <v>17</v>
      </c>
      <c r="C193" s="209" t="str">
        <f t="shared" si="90"/>
        <v>lin lvcmos io</v>
      </c>
      <c r="D193" s="227">
        <f t="shared" si="90"/>
        <v>44499</v>
      </c>
      <c r="E193" s="207" t="str">
        <f t="shared" si="90"/>
        <v>7 lvcmos io</v>
      </c>
      <c r="F193" s="207" t="str">
        <f t="shared" si="90"/>
        <v>lin</v>
      </c>
      <c r="G193" s="209">
        <v>0</v>
      </c>
      <c r="H193" s="216">
        <f t="shared" ca="1" si="77"/>
        <v>0</v>
      </c>
      <c r="I193" s="228" t="s">
        <v>4872</v>
      </c>
      <c r="J193" s="229"/>
      <c r="K193" s="207" t="str">
        <f ca="1">IFERROR(INDEX(INDIRECT(uc_sheet&amp;"!$A$1"):INDIRECT(uc_sheet&amp;"!$CZ$1000"),MATCH($A193&amp;$B193,INDIRECT(uc_sheet&amp;"!$a$1"):INDIRECT(uc_sheet&amp;"!$a$1000"),0),MATCH(use_case,INDIRECT(uc_sheet&amp;"!$A$1"):INDIRECT(uc_sheet&amp;"!$CZ$1"),0)+1),"absent")</f>
        <v>absent</v>
      </c>
      <c r="L193" s="224">
        <f ca="1">IFERROR(INDEX(INDIRECT(uc_sheet&amp;"!$A$1"):INDIRECT(uc_sheet&amp;"!$CZ$1000"),MATCH($A193&amp;$B193,INDIRECT(uc_sheet&amp;"!$a$1"):INDIRECT(uc_sheet&amp;"!$a$1000"),0),MATCH(use_case,INDIRECT(uc_sheet&amp;"!$A$1"):INDIRECT(uc_sheet&amp;"!$CZ$1"),0)),0)</f>
        <v>0</v>
      </c>
      <c r="M193" s="209">
        <f t="shared" si="86"/>
        <v>0</v>
      </c>
      <c r="N193" s="319"/>
      <c r="O193" s="323">
        <f t="shared" ca="1" si="87"/>
        <v>0</v>
      </c>
      <c r="P193" s="319"/>
      <c r="Q193" s="319"/>
      <c r="R193" s="319"/>
      <c r="S193" s="319"/>
      <c r="T193" s="323">
        <f t="shared" ca="1" si="88"/>
        <v>0</v>
      </c>
      <c r="U193" s="319"/>
      <c r="V193" s="323">
        <f t="shared" ca="1" si="89"/>
        <v>0</v>
      </c>
      <c r="W193" s="324" t="s">
        <v>5195</v>
      </c>
      <c r="X193" s="324" t="s">
        <v>8</v>
      </c>
      <c r="Y193" s="324" t="s">
        <v>61</v>
      </c>
      <c r="Z193" s="319"/>
      <c r="AA193" s="324" t="s">
        <v>4696</v>
      </c>
      <c r="AB193" s="324" t="s">
        <v>4697</v>
      </c>
      <c r="AC193" s="319"/>
      <c r="AD193" s="319"/>
      <c r="AE193" s="319"/>
      <c r="AF193" s="319"/>
      <c r="AG193" s="319"/>
      <c r="AH193" s="319"/>
      <c r="AI193" s="319"/>
      <c r="AJ193" s="319"/>
      <c r="AK193" s="319"/>
      <c r="AL193" s="319"/>
      <c r="AM193" s="137" t="str">
        <f t="shared" si="78"/>
        <v>lin_6</v>
      </c>
    </row>
    <row r="194" spans="1:39" ht="11.25" x14ac:dyDescent="0.2">
      <c r="A194" s="207" t="s">
        <v>5323</v>
      </c>
      <c r="B194" s="207" t="s">
        <v>18</v>
      </c>
      <c r="C194" s="209" t="str">
        <f t="shared" si="90"/>
        <v>lin lvcmos io</v>
      </c>
      <c r="D194" s="227">
        <f t="shared" si="90"/>
        <v>44499</v>
      </c>
      <c r="E194" s="207" t="str">
        <f t="shared" si="90"/>
        <v>7 lvcmos io</v>
      </c>
      <c r="F194" s="207" t="str">
        <f t="shared" si="90"/>
        <v>lin</v>
      </c>
      <c r="G194" s="209">
        <v>0</v>
      </c>
      <c r="H194" s="216">
        <f t="shared" ca="1" si="77"/>
        <v>0</v>
      </c>
      <c r="I194" s="228" t="s">
        <v>4872</v>
      </c>
      <c r="J194" s="229"/>
      <c r="K194" s="207" t="str">
        <f ca="1">IFERROR(INDEX(INDIRECT(uc_sheet&amp;"!$A$1"):INDIRECT(uc_sheet&amp;"!$CZ$1000"),MATCH($A194&amp;$B194,INDIRECT(uc_sheet&amp;"!$a$1"):INDIRECT(uc_sheet&amp;"!$a$1000"),0),MATCH(use_case,INDIRECT(uc_sheet&amp;"!$A$1"):INDIRECT(uc_sheet&amp;"!$CZ$1"),0)+1),"absent")</f>
        <v>absent</v>
      </c>
      <c r="L194" s="224">
        <f ca="1">IFERROR(INDEX(INDIRECT(uc_sheet&amp;"!$A$1"):INDIRECT(uc_sheet&amp;"!$CZ$1000"),MATCH($A194&amp;$B194,INDIRECT(uc_sheet&amp;"!$a$1"):INDIRECT(uc_sheet&amp;"!$a$1000"),0),MATCH(use_case,INDIRECT(uc_sheet&amp;"!$A$1"):INDIRECT(uc_sheet&amp;"!$CZ$1"),0)),0)</f>
        <v>0</v>
      </c>
      <c r="M194" s="209">
        <f t="shared" si="86"/>
        <v>0</v>
      </c>
      <c r="N194" s="319"/>
      <c r="O194" s="323">
        <f t="shared" ca="1" si="87"/>
        <v>0</v>
      </c>
      <c r="P194" s="319"/>
      <c r="Q194" s="319"/>
      <c r="R194" s="319"/>
      <c r="S194" s="319"/>
      <c r="T194" s="323">
        <f t="shared" ca="1" si="88"/>
        <v>0</v>
      </c>
      <c r="U194" s="319"/>
      <c r="V194" s="323">
        <f t="shared" ca="1" si="89"/>
        <v>0</v>
      </c>
      <c r="W194" s="324" t="s">
        <v>5195</v>
      </c>
      <c r="X194" s="324" t="s">
        <v>8</v>
      </c>
      <c r="Y194" s="324" t="s">
        <v>61</v>
      </c>
      <c r="Z194" s="319"/>
      <c r="AA194" s="324" t="s">
        <v>4696</v>
      </c>
      <c r="AB194" s="324" t="s">
        <v>4697</v>
      </c>
      <c r="AC194" s="319"/>
      <c r="AD194" s="319"/>
      <c r="AE194" s="319"/>
      <c r="AF194" s="319"/>
      <c r="AG194" s="319"/>
      <c r="AH194" s="319"/>
      <c r="AI194" s="319"/>
      <c r="AJ194" s="319"/>
      <c r="AK194" s="319"/>
      <c r="AL194" s="319"/>
      <c r="AM194" s="137" t="str">
        <f t="shared" si="78"/>
        <v>lin_7</v>
      </c>
    </row>
    <row r="195" spans="1:39" ht="11.25" x14ac:dyDescent="0.2">
      <c r="A195" s="207" t="s">
        <v>5323</v>
      </c>
      <c r="B195" s="207" t="s">
        <v>19</v>
      </c>
      <c r="C195" s="209" t="str">
        <f t="shared" si="90"/>
        <v>lin lvcmos io</v>
      </c>
      <c r="D195" s="227">
        <f t="shared" si="90"/>
        <v>44499</v>
      </c>
      <c r="E195" s="207" t="str">
        <f t="shared" si="90"/>
        <v>7 lvcmos io</v>
      </c>
      <c r="F195" s="207" t="str">
        <f t="shared" si="90"/>
        <v>lin</v>
      </c>
      <c r="G195" s="209">
        <v>0</v>
      </c>
      <c r="H195" s="216">
        <f t="shared" ca="1" si="77"/>
        <v>0</v>
      </c>
      <c r="I195" s="228" t="s">
        <v>4872</v>
      </c>
      <c r="J195" s="229"/>
      <c r="K195" s="207" t="str">
        <f ca="1">IFERROR(INDEX(INDIRECT(uc_sheet&amp;"!$A$1"):INDIRECT(uc_sheet&amp;"!$CZ$1000"),MATCH($A195&amp;$B195,INDIRECT(uc_sheet&amp;"!$a$1"):INDIRECT(uc_sheet&amp;"!$a$1000"),0),MATCH(use_case,INDIRECT(uc_sheet&amp;"!$A$1"):INDIRECT(uc_sheet&amp;"!$CZ$1"),0)+1),"absent")</f>
        <v>absent</v>
      </c>
      <c r="L195" s="224">
        <f ca="1">IFERROR(INDEX(INDIRECT(uc_sheet&amp;"!$A$1"):INDIRECT(uc_sheet&amp;"!$CZ$1000"),MATCH($A195&amp;$B195,INDIRECT(uc_sheet&amp;"!$a$1"):INDIRECT(uc_sheet&amp;"!$a$1000"),0),MATCH(use_case,INDIRECT(uc_sheet&amp;"!$A$1"):INDIRECT(uc_sheet&amp;"!$CZ$1"),0)),0)</f>
        <v>0</v>
      </c>
      <c r="M195" s="209">
        <f t="shared" si="86"/>
        <v>0</v>
      </c>
      <c r="N195" s="319"/>
      <c r="O195" s="323">
        <f t="shared" ca="1" si="87"/>
        <v>0</v>
      </c>
      <c r="P195" s="319"/>
      <c r="Q195" s="319"/>
      <c r="R195" s="319"/>
      <c r="S195" s="319"/>
      <c r="T195" s="323">
        <f t="shared" ca="1" si="88"/>
        <v>0</v>
      </c>
      <c r="U195" s="319"/>
      <c r="V195" s="323">
        <f t="shared" ca="1" si="89"/>
        <v>0</v>
      </c>
      <c r="W195" s="324" t="s">
        <v>5195</v>
      </c>
      <c r="X195" s="324" t="s">
        <v>8</v>
      </c>
      <c r="Y195" s="324" t="s">
        <v>61</v>
      </c>
      <c r="Z195" s="319"/>
      <c r="AA195" s="324" t="s">
        <v>4696</v>
      </c>
      <c r="AB195" s="324" t="s">
        <v>4697</v>
      </c>
      <c r="AC195" s="319"/>
      <c r="AD195" s="319"/>
      <c r="AE195" s="319"/>
      <c r="AF195" s="319"/>
      <c r="AG195" s="319"/>
      <c r="AH195" s="319"/>
      <c r="AI195" s="319"/>
      <c r="AJ195" s="319"/>
      <c r="AK195" s="319"/>
      <c r="AL195" s="319"/>
      <c r="AM195" s="137" t="str">
        <f t="shared" si="78"/>
        <v>lin_8</v>
      </c>
    </row>
    <row r="196" spans="1:39" ht="11.25" x14ac:dyDescent="0.2">
      <c r="A196" s="207" t="s">
        <v>5323</v>
      </c>
      <c r="B196" s="207" t="s">
        <v>22</v>
      </c>
      <c r="C196" s="209" t="str">
        <f t="shared" si="90"/>
        <v>lin lvcmos io</v>
      </c>
      <c r="D196" s="227">
        <f t="shared" si="90"/>
        <v>44499</v>
      </c>
      <c r="E196" s="207" t="str">
        <f t="shared" si="90"/>
        <v>7 lvcmos io</v>
      </c>
      <c r="F196" s="207" t="str">
        <f t="shared" si="90"/>
        <v>lin</v>
      </c>
      <c r="G196" s="209">
        <v>0</v>
      </c>
      <c r="H196" s="216">
        <f t="shared" ref="H196:H223" ca="1" si="91">SUM(N196:V196)</f>
        <v>0</v>
      </c>
      <c r="I196" s="228" t="s">
        <v>4872</v>
      </c>
      <c r="J196" s="229"/>
      <c r="K196" s="207" t="str">
        <f ca="1">IFERROR(INDEX(INDIRECT(uc_sheet&amp;"!$A$1"):INDIRECT(uc_sheet&amp;"!$CZ$1000"),MATCH($A196&amp;$B196,INDIRECT(uc_sheet&amp;"!$a$1"):INDIRECT(uc_sheet&amp;"!$a$1000"),0),MATCH(use_case,INDIRECT(uc_sheet&amp;"!$A$1"):INDIRECT(uc_sheet&amp;"!$CZ$1"),0)+1),"absent")</f>
        <v>absent</v>
      </c>
      <c r="L196" s="224">
        <f ca="1">IFERROR(INDEX(INDIRECT(uc_sheet&amp;"!$A$1"):INDIRECT(uc_sheet&amp;"!$CZ$1000"),MATCH($A196&amp;$B196,INDIRECT(uc_sheet&amp;"!$a$1"):INDIRECT(uc_sheet&amp;"!$a$1000"),0),MATCH(use_case,INDIRECT(uc_sheet&amp;"!$A$1"):INDIRECT(uc_sheet&amp;"!$CZ$1"),0)),0)</f>
        <v>0</v>
      </c>
      <c r="M196" s="209">
        <f t="shared" si="86"/>
        <v>0</v>
      </c>
      <c r="N196" s="319"/>
      <c r="O196" s="323">
        <f t="shared" ca="1" si="87"/>
        <v>0</v>
      </c>
      <c r="P196" s="319"/>
      <c r="Q196" s="319"/>
      <c r="R196" s="319"/>
      <c r="S196" s="319"/>
      <c r="T196" s="323">
        <f t="shared" ca="1" si="88"/>
        <v>0</v>
      </c>
      <c r="U196" s="319"/>
      <c r="V196" s="323">
        <f t="shared" ca="1" si="89"/>
        <v>0</v>
      </c>
      <c r="W196" s="324" t="s">
        <v>5195</v>
      </c>
      <c r="X196" s="324" t="s">
        <v>8</v>
      </c>
      <c r="Y196" s="324" t="s">
        <v>61</v>
      </c>
      <c r="Z196" s="319"/>
      <c r="AA196" s="324" t="s">
        <v>4696</v>
      </c>
      <c r="AB196" s="324" t="s">
        <v>4697</v>
      </c>
      <c r="AC196" s="319"/>
      <c r="AD196" s="319"/>
      <c r="AE196" s="319"/>
      <c r="AF196" s="319"/>
      <c r="AG196" s="319"/>
      <c r="AH196" s="319"/>
      <c r="AI196" s="319"/>
      <c r="AJ196" s="319"/>
      <c r="AK196" s="319"/>
      <c r="AL196" s="319"/>
      <c r="AM196" s="137" t="str">
        <f t="shared" si="78"/>
        <v>lin_9</v>
      </c>
    </row>
    <row r="197" spans="1:39" ht="11.25" x14ac:dyDescent="0.2">
      <c r="A197" s="207" t="s">
        <v>5590</v>
      </c>
      <c r="B197" s="207" t="s">
        <v>11</v>
      </c>
      <c r="C197" s="209" t="str">
        <f t="shared" si="90"/>
        <v>fssul lvcmos io</v>
      </c>
      <c r="D197" s="227">
        <f t="shared" si="90"/>
        <v>44499</v>
      </c>
      <c r="E197" s="207" t="str">
        <f t="shared" si="90"/>
        <v>7 lvcmos io</v>
      </c>
      <c r="F197" s="207" t="str">
        <f t="shared" si="90"/>
        <v>ospi/qspi</v>
      </c>
      <c r="G197" s="209">
        <v>1</v>
      </c>
      <c r="H197" s="216">
        <f t="shared" si="91"/>
        <v>7.2991010669139138</v>
      </c>
      <c r="I197" s="228" t="s">
        <v>4872</v>
      </c>
      <c r="J197" s="229"/>
      <c r="K197" s="207" t="str">
        <f>OSPI</f>
        <v>ospi_ddr_master_133_3p3v</v>
      </c>
      <c r="L197" s="224">
        <f>Ospi_util</f>
        <v>0.15</v>
      </c>
      <c r="M197" s="209">
        <f t="shared" si="86"/>
        <v>10</v>
      </c>
      <c r="N197" s="319"/>
      <c r="O197" s="323">
        <f t="shared" si="87"/>
        <v>5.1108364030390866E-6</v>
      </c>
      <c r="P197" s="319"/>
      <c r="Q197" s="319"/>
      <c r="R197" s="319"/>
      <c r="S197" s="319"/>
      <c r="T197" s="323">
        <f t="shared" si="88"/>
        <v>0</v>
      </c>
      <c r="U197" s="319"/>
      <c r="V197" s="323">
        <f>IFERROR(VLOOKUP($A197&amp;"_"&amp;V$2&amp;"_"&amp;$K197&amp;"",MDB,6,0)*$L197*$G197*Dyn_Int_Scale_SVT,0)</f>
        <v>7.2990959560775108</v>
      </c>
      <c r="W197" s="324" t="s">
        <v>5195</v>
      </c>
      <c r="X197" s="324" t="s">
        <v>8</v>
      </c>
      <c r="Y197" s="324" t="s">
        <v>61</v>
      </c>
      <c r="Z197" s="319"/>
      <c r="AA197" s="324" t="s">
        <v>4696</v>
      </c>
      <c r="AB197" s="324" t="s">
        <v>4697</v>
      </c>
      <c r="AC197" s="319"/>
      <c r="AD197" s="319"/>
      <c r="AE197" s="319"/>
      <c r="AF197" s="319"/>
      <c r="AG197" s="319"/>
      <c r="AH197" s="319"/>
      <c r="AI197" s="319"/>
      <c r="AJ197" s="319"/>
      <c r="AK197" s="319"/>
      <c r="AL197" s="319"/>
      <c r="AM197" s="137" t="str">
        <f t="shared" si="78"/>
        <v>ospi_0</v>
      </c>
    </row>
    <row r="198" spans="1:39" ht="11.25" x14ac:dyDescent="0.2">
      <c r="A198" s="207" t="s">
        <v>5352</v>
      </c>
      <c r="B198" s="207" t="s">
        <v>11</v>
      </c>
      <c r="C198" s="209" t="str">
        <f t="shared" si="90"/>
        <v>fssul lvcmos io</v>
      </c>
      <c r="D198" s="227">
        <f t="shared" si="90"/>
        <v>44499</v>
      </c>
      <c r="E198" s="207" t="str">
        <f t="shared" si="90"/>
        <v>7 lvcmos io</v>
      </c>
      <c r="F198" s="207" t="str">
        <f t="shared" si="90"/>
        <v>ospi/qspi/hf</v>
      </c>
      <c r="G198" s="209">
        <v>1</v>
      </c>
      <c r="H198" s="216">
        <f t="shared" ca="1" si="91"/>
        <v>0</v>
      </c>
      <c r="I198" s="228" t="s">
        <v>4872</v>
      </c>
      <c r="J198" s="229"/>
      <c r="K198" s="207" t="str">
        <f ca="1">IFERROR(INDEX(INDIRECT(uc_sheet&amp;"!$A$1"):INDIRECT(uc_sheet&amp;"!$CZ$1000"),MATCH($A198&amp;$B198,INDIRECT(uc_sheet&amp;"!$a$1"):INDIRECT(uc_sheet&amp;"!$a$1000"),0),MATCH(use_case,INDIRECT(uc_sheet&amp;"!$A$1"):INDIRECT(uc_sheet&amp;"!$CZ$1"),0)+1),"absent")</f>
        <v>absent</v>
      </c>
      <c r="L198" s="224">
        <f ca="1">IFERROR(INDEX(INDIRECT(uc_sheet&amp;"!$A$1"):INDIRECT(uc_sheet&amp;"!$CZ$1000"),MATCH($A198&amp;$B198,INDIRECT(uc_sheet&amp;"!$a$1"):INDIRECT(uc_sheet&amp;"!$a$1000"),0),MATCH(use_case,INDIRECT(uc_sheet&amp;"!$A$1"):INDIRECT(uc_sheet&amp;"!$CZ$1"),0)),0)</f>
        <v>0</v>
      </c>
      <c r="M198" s="209">
        <f t="shared" si="86"/>
        <v>13</v>
      </c>
      <c r="N198" s="319"/>
      <c r="O198" s="323">
        <f t="shared" ca="1" si="87"/>
        <v>0</v>
      </c>
      <c r="P198" s="319"/>
      <c r="Q198" s="319"/>
      <c r="R198" s="319"/>
      <c r="S198" s="319"/>
      <c r="T198" s="323">
        <f t="shared" ca="1" si="88"/>
        <v>0</v>
      </c>
      <c r="U198" s="319"/>
      <c r="V198" s="323">
        <f t="shared" ca="1" si="89"/>
        <v>0</v>
      </c>
      <c r="W198" s="324" t="s">
        <v>5195</v>
      </c>
      <c r="X198" s="324" t="s">
        <v>8</v>
      </c>
      <c r="Y198" s="324" t="s">
        <v>61</v>
      </c>
      <c r="Z198" s="319"/>
      <c r="AA198" s="324" t="s">
        <v>4696</v>
      </c>
      <c r="AB198" s="324" t="s">
        <v>4697</v>
      </c>
      <c r="AC198" s="319"/>
      <c r="AD198" s="319"/>
      <c r="AE198" s="319"/>
      <c r="AF198" s="319"/>
      <c r="AG198" s="319"/>
      <c r="AH198" s="319"/>
      <c r="AI198" s="319"/>
      <c r="AJ198" s="319"/>
      <c r="AK198" s="319"/>
      <c r="AL198" s="319"/>
      <c r="AM198" s="137" t="str">
        <f t="shared" si="78"/>
        <v>qspi_0</v>
      </c>
    </row>
    <row r="199" spans="1:39" ht="11.25" x14ac:dyDescent="0.2">
      <c r="A199" s="207" t="s">
        <v>5343</v>
      </c>
      <c r="B199" s="207" t="s">
        <v>11</v>
      </c>
      <c r="C199" s="209" t="str">
        <f t="shared" si="90"/>
        <v>sdfm lvcmos ios</v>
      </c>
      <c r="D199" s="227">
        <f t="shared" si="90"/>
        <v>44499</v>
      </c>
      <c r="E199" s="207" t="str">
        <f t="shared" si="90"/>
        <v>7 lvcmos io</v>
      </c>
      <c r="F199" s="207" t="str">
        <f t="shared" si="90"/>
        <v>sdfm</v>
      </c>
      <c r="G199" s="209">
        <v>1</v>
      </c>
      <c r="H199" s="216">
        <f t="shared" ca="1" si="91"/>
        <v>0</v>
      </c>
      <c r="I199" s="228" t="s">
        <v>4872</v>
      </c>
      <c r="J199" s="229"/>
      <c r="K199" s="207" t="str">
        <f ca="1">IFERROR(INDEX(INDIRECT(uc_sheet&amp;"!$A$1"):INDIRECT(uc_sheet&amp;"!$CZ$1000"),MATCH($A199&amp;$B199,INDIRECT(uc_sheet&amp;"!$a$1"):INDIRECT(uc_sheet&amp;"!$a$1000"),0),MATCH(use_case,INDIRECT(uc_sheet&amp;"!$A$1"):INDIRECT(uc_sheet&amp;"!$CZ$1"),0)+1),"absent")</f>
        <v>absent</v>
      </c>
      <c r="L199" s="224">
        <f ca="1">IFERROR(INDEX(INDIRECT(uc_sheet&amp;"!$A$1"):INDIRECT(uc_sheet&amp;"!$CZ$1000"),MATCH($A199&amp;$B199,INDIRECT(uc_sheet&amp;"!$a$1"):INDIRECT(uc_sheet&amp;"!$a$1000"),0),MATCH(use_case,INDIRECT(uc_sheet&amp;"!$A$1"):INDIRECT(uc_sheet&amp;"!$CZ$1"),0)),0)</f>
        <v>0</v>
      </c>
      <c r="M199" s="209">
        <f t="shared" si="86"/>
        <v>2</v>
      </c>
      <c r="N199" s="319"/>
      <c r="O199" s="323">
        <f t="shared" ca="1" si="87"/>
        <v>0</v>
      </c>
      <c r="P199" s="319"/>
      <c r="Q199" s="319"/>
      <c r="R199" s="319"/>
      <c r="S199" s="319"/>
      <c r="T199" s="323">
        <f t="shared" ca="1" si="88"/>
        <v>0</v>
      </c>
      <c r="U199" s="319"/>
      <c r="V199" s="323">
        <f t="shared" ca="1" si="89"/>
        <v>0</v>
      </c>
      <c r="W199" s="324" t="s">
        <v>5195</v>
      </c>
      <c r="X199" s="324" t="s">
        <v>8</v>
      </c>
      <c r="Y199" s="324" t="s">
        <v>61</v>
      </c>
      <c r="Z199" s="319"/>
      <c r="AA199" s="324" t="s">
        <v>4696</v>
      </c>
      <c r="AB199" s="324" t="s">
        <v>4697</v>
      </c>
      <c r="AC199" s="319"/>
      <c r="AD199" s="319"/>
      <c r="AE199" s="319"/>
      <c r="AF199" s="319"/>
      <c r="AG199" s="319"/>
      <c r="AH199" s="319"/>
      <c r="AI199" s="319"/>
      <c r="AJ199" s="319"/>
      <c r="AK199" s="319"/>
      <c r="AL199" s="319"/>
      <c r="AM199" s="137" t="str">
        <f t="shared" si="78"/>
        <v>sdfm_0</v>
      </c>
    </row>
    <row r="200" spans="1:39" ht="11.25" x14ac:dyDescent="0.2">
      <c r="A200" s="207" t="s">
        <v>5343</v>
      </c>
      <c r="B200" s="207" t="s">
        <v>12</v>
      </c>
      <c r="C200" s="209" t="str">
        <f t="shared" si="90"/>
        <v>sdfm lvcmos ios</v>
      </c>
      <c r="D200" s="227">
        <f t="shared" si="90"/>
        <v>44499</v>
      </c>
      <c r="E200" s="207" t="str">
        <f t="shared" si="90"/>
        <v>7 lvcmos io</v>
      </c>
      <c r="F200" s="207" t="str">
        <f t="shared" si="90"/>
        <v>sdfm</v>
      </c>
      <c r="G200" s="209">
        <v>1</v>
      </c>
      <c r="H200" s="216">
        <f t="shared" ca="1" si="91"/>
        <v>0</v>
      </c>
      <c r="I200" s="228" t="s">
        <v>4872</v>
      </c>
      <c r="J200" s="229"/>
      <c r="K200" s="207" t="str">
        <f ca="1">IFERROR(INDEX(INDIRECT(uc_sheet&amp;"!$A$1"):INDIRECT(uc_sheet&amp;"!$CZ$1000"),MATCH($A200&amp;$B200,INDIRECT(uc_sheet&amp;"!$a$1"):INDIRECT(uc_sheet&amp;"!$a$1000"),0),MATCH(use_case,INDIRECT(uc_sheet&amp;"!$A$1"):INDIRECT(uc_sheet&amp;"!$CZ$1"),0)+1),"absent")</f>
        <v>absent</v>
      </c>
      <c r="L200" s="224">
        <f ca="1">IFERROR(INDEX(INDIRECT(uc_sheet&amp;"!$A$1"):INDIRECT(uc_sheet&amp;"!$CZ$1000"),MATCH($A200&amp;$B200,INDIRECT(uc_sheet&amp;"!$a$1"):INDIRECT(uc_sheet&amp;"!$a$1000"),0),MATCH(use_case,INDIRECT(uc_sheet&amp;"!$A$1"):INDIRECT(uc_sheet&amp;"!$CZ$1"),0)),0)</f>
        <v>0</v>
      </c>
      <c r="M200" s="209">
        <f t="shared" si="86"/>
        <v>2</v>
      </c>
      <c r="N200" s="319"/>
      <c r="O200" s="323">
        <f t="shared" ca="1" si="87"/>
        <v>0</v>
      </c>
      <c r="P200" s="319"/>
      <c r="Q200" s="319"/>
      <c r="R200" s="319"/>
      <c r="S200" s="319"/>
      <c r="T200" s="323">
        <f t="shared" ca="1" si="88"/>
        <v>0</v>
      </c>
      <c r="U200" s="319"/>
      <c r="V200" s="323">
        <f t="shared" ca="1" si="89"/>
        <v>0</v>
      </c>
      <c r="W200" s="324" t="s">
        <v>5195</v>
      </c>
      <c r="X200" s="324" t="s">
        <v>8</v>
      </c>
      <c r="Y200" s="324" t="s">
        <v>61</v>
      </c>
      <c r="Z200" s="319"/>
      <c r="AA200" s="324" t="s">
        <v>4696</v>
      </c>
      <c r="AB200" s="324" t="s">
        <v>4697</v>
      </c>
      <c r="AC200" s="319"/>
      <c r="AD200" s="319"/>
      <c r="AE200" s="319"/>
      <c r="AF200" s="319"/>
      <c r="AG200" s="319"/>
      <c r="AH200" s="319"/>
      <c r="AI200" s="319"/>
      <c r="AJ200" s="319"/>
      <c r="AK200" s="319"/>
      <c r="AL200" s="319"/>
      <c r="AM200" s="137" t="str">
        <f t="shared" si="78"/>
        <v>sdfm_1</v>
      </c>
    </row>
    <row r="201" spans="1:39" ht="11.25" x14ac:dyDescent="0.2">
      <c r="A201" s="207" t="s">
        <v>5345</v>
      </c>
      <c r="B201" s="207" t="s">
        <v>11</v>
      </c>
      <c r="C201" s="209" t="str">
        <f t="shared" si="90"/>
        <v>spi lvcmos io</v>
      </c>
      <c r="D201" s="227">
        <f t="shared" si="90"/>
        <v>44499</v>
      </c>
      <c r="E201" s="207" t="str">
        <f t="shared" si="90"/>
        <v>7 lvcmos io</v>
      </c>
      <c r="F201" s="207" t="str">
        <f t="shared" si="90"/>
        <v>spi</v>
      </c>
      <c r="G201" s="209">
        <v>1</v>
      </c>
      <c r="H201" s="216">
        <f t="shared" si="91"/>
        <v>1.3969068295420166</v>
      </c>
      <c r="I201" s="228" t="s">
        <v>4872</v>
      </c>
      <c r="J201" s="229"/>
      <c r="K201" s="207" t="str">
        <f>MCSPI</f>
        <v>slave_25_mbaud_3p3v</v>
      </c>
      <c r="L201" s="224">
        <f>MCSPI_Util</f>
        <v>0.25</v>
      </c>
      <c r="M201" s="209">
        <f t="shared" si="86"/>
        <v>4</v>
      </c>
      <c r="N201" s="319"/>
      <c r="O201" s="323">
        <f t="shared" si="87"/>
        <v>9.081338931589856E-7</v>
      </c>
      <c r="P201" s="319"/>
      <c r="Q201" s="319"/>
      <c r="R201" s="319"/>
      <c r="S201" s="319"/>
      <c r="T201" s="323">
        <f t="shared" si="88"/>
        <v>0</v>
      </c>
      <c r="U201" s="319"/>
      <c r="V201" s="323">
        <f t="shared" si="89"/>
        <v>1.3969059214081234</v>
      </c>
      <c r="W201" s="324" t="s">
        <v>5195</v>
      </c>
      <c r="X201" s="324" t="s">
        <v>8</v>
      </c>
      <c r="Y201" s="324" t="s">
        <v>61</v>
      </c>
      <c r="Z201" s="319"/>
      <c r="AA201" s="324" t="s">
        <v>4696</v>
      </c>
      <c r="AB201" s="324" t="s">
        <v>4697</v>
      </c>
      <c r="AC201" s="319"/>
      <c r="AD201" s="319"/>
      <c r="AE201" s="319"/>
      <c r="AF201" s="319"/>
      <c r="AG201" s="319"/>
      <c r="AH201" s="319"/>
      <c r="AI201" s="319"/>
      <c r="AJ201" s="319"/>
      <c r="AK201" s="319"/>
      <c r="AL201" s="319"/>
      <c r="AM201" s="137" t="str">
        <f t="shared" si="78"/>
        <v>spi_0</v>
      </c>
    </row>
    <row r="202" spans="1:39" ht="11.25" x14ac:dyDescent="0.2">
      <c r="A202" s="207" t="s">
        <v>5345</v>
      </c>
      <c r="B202" s="207" t="s">
        <v>12</v>
      </c>
      <c r="C202" s="209" t="str">
        <f t="shared" si="90"/>
        <v>spi lvcmos io</v>
      </c>
      <c r="D202" s="227">
        <f t="shared" si="90"/>
        <v>44499</v>
      </c>
      <c r="E202" s="207" t="str">
        <f t="shared" si="90"/>
        <v>7 lvcmos io</v>
      </c>
      <c r="F202" s="207" t="str">
        <f t="shared" si="90"/>
        <v>spi</v>
      </c>
      <c r="G202" s="209">
        <v>1</v>
      </c>
      <c r="H202" s="216">
        <f t="shared" si="91"/>
        <v>1.3969068295420166</v>
      </c>
      <c r="I202" s="228" t="s">
        <v>4872</v>
      </c>
      <c r="J202" s="229"/>
      <c r="K202" s="207" t="str">
        <f>MCSPI</f>
        <v>slave_25_mbaud_3p3v</v>
      </c>
      <c r="L202" s="224">
        <f>MCSPI_Util</f>
        <v>0.25</v>
      </c>
      <c r="M202" s="209">
        <f t="shared" si="86"/>
        <v>4</v>
      </c>
      <c r="N202" s="319"/>
      <c r="O202" s="323">
        <f t="shared" si="87"/>
        <v>9.081338931589856E-7</v>
      </c>
      <c r="P202" s="319"/>
      <c r="Q202" s="319"/>
      <c r="R202" s="319"/>
      <c r="S202" s="319"/>
      <c r="T202" s="323">
        <f t="shared" si="88"/>
        <v>0</v>
      </c>
      <c r="U202" s="319"/>
      <c r="V202" s="323">
        <f t="shared" si="89"/>
        <v>1.3969059214081234</v>
      </c>
      <c r="W202" s="324" t="s">
        <v>5195</v>
      </c>
      <c r="X202" s="324" t="s">
        <v>8</v>
      </c>
      <c r="Y202" s="324" t="s">
        <v>61</v>
      </c>
      <c r="Z202" s="319"/>
      <c r="AA202" s="324" t="s">
        <v>4696</v>
      </c>
      <c r="AB202" s="324" t="s">
        <v>4697</v>
      </c>
      <c r="AC202" s="319"/>
      <c r="AD202" s="319"/>
      <c r="AE202" s="319"/>
      <c r="AF202" s="319"/>
      <c r="AG202" s="319"/>
      <c r="AH202" s="319"/>
      <c r="AI202" s="319"/>
      <c r="AJ202" s="319"/>
      <c r="AK202" s="319"/>
      <c r="AL202" s="319"/>
      <c r="AM202" s="137" t="str">
        <f t="shared" si="78"/>
        <v>spi_1</v>
      </c>
    </row>
    <row r="203" spans="1:39" ht="11.25" x14ac:dyDescent="0.2">
      <c r="A203" s="207" t="s">
        <v>5345</v>
      </c>
      <c r="B203" s="207" t="s">
        <v>23</v>
      </c>
      <c r="C203" s="209" t="str">
        <f t="shared" si="90"/>
        <v>spi lvcmos io</v>
      </c>
      <c r="D203" s="227">
        <f t="shared" si="90"/>
        <v>44499</v>
      </c>
      <c r="E203" s="207" t="str">
        <f t="shared" si="90"/>
        <v>7 lvcmos io</v>
      </c>
      <c r="F203" s="207" t="str">
        <f t="shared" si="90"/>
        <v>spi</v>
      </c>
      <c r="G203" s="209">
        <v>0</v>
      </c>
      <c r="H203" s="216">
        <f t="shared" ca="1" si="91"/>
        <v>0</v>
      </c>
      <c r="I203" s="228" t="s">
        <v>4872</v>
      </c>
      <c r="J203" s="229"/>
      <c r="K203" s="207" t="str">
        <f ca="1">IFERROR(INDEX(INDIRECT(uc_sheet&amp;"!$A$1"):INDIRECT(uc_sheet&amp;"!$CZ$1000"),MATCH($A203&amp;$B203,INDIRECT(uc_sheet&amp;"!$a$1"):INDIRECT(uc_sheet&amp;"!$a$1000"),0),MATCH(use_case,INDIRECT(uc_sheet&amp;"!$A$1"):INDIRECT(uc_sheet&amp;"!$CZ$1"),0)+1),"absent")</f>
        <v>absent</v>
      </c>
      <c r="L203" s="224">
        <f ca="1">IFERROR(INDEX(INDIRECT(uc_sheet&amp;"!$A$1"):INDIRECT(uc_sheet&amp;"!$CZ$1000"),MATCH($A203&amp;$B203,INDIRECT(uc_sheet&amp;"!$a$1"):INDIRECT(uc_sheet&amp;"!$a$1000"),0),MATCH(use_case,INDIRECT(uc_sheet&amp;"!$A$1"):INDIRECT(uc_sheet&amp;"!$CZ$1"),0)),0)</f>
        <v>0</v>
      </c>
      <c r="M203" s="209">
        <f t="shared" si="86"/>
        <v>0</v>
      </c>
      <c r="N203" s="319"/>
      <c r="O203" s="323">
        <f t="shared" ca="1" si="87"/>
        <v>0</v>
      </c>
      <c r="P203" s="319"/>
      <c r="Q203" s="319"/>
      <c r="R203" s="319"/>
      <c r="S203" s="319"/>
      <c r="T203" s="323">
        <f t="shared" ca="1" si="88"/>
        <v>0</v>
      </c>
      <c r="U203" s="319"/>
      <c r="V203" s="323">
        <f t="shared" ca="1" si="89"/>
        <v>0</v>
      </c>
      <c r="W203" s="324" t="s">
        <v>5195</v>
      </c>
      <c r="X203" s="324" t="s">
        <v>8</v>
      </c>
      <c r="Y203" s="324" t="s">
        <v>61</v>
      </c>
      <c r="Z203" s="319"/>
      <c r="AA203" s="324" t="s">
        <v>4696</v>
      </c>
      <c r="AB203" s="324" t="s">
        <v>4697</v>
      </c>
      <c r="AC203" s="319"/>
      <c r="AD203" s="319"/>
      <c r="AE203" s="319"/>
      <c r="AF203" s="319"/>
      <c r="AG203" s="319"/>
      <c r="AH203" s="319"/>
      <c r="AI203" s="319"/>
      <c r="AJ203" s="319"/>
      <c r="AK203" s="319"/>
      <c r="AL203" s="319"/>
      <c r="AM203" s="137" t="str">
        <f t="shared" ref="AM203:AM223" si="92">A203&amp;B203</f>
        <v>spi_10</v>
      </c>
    </row>
    <row r="204" spans="1:39" ht="11.25" x14ac:dyDescent="0.2">
      <c r="A204" s="207" t="s">
        <v>5345</v>
      </c>
      <c r="B204" s="207" t="s">
        <v>24</v>
      </c>
      <c r="C204" s="209" t="str">
        <f t="shared" si="90"/>
        <v>spi lvcmos io</v>
      </c>
      <c r="D204" s="227">
        <f t="shared" si="90"/>
        <v>44499</v>
      </c>
      <c r="E204" s="207" t="str">
        <f t="shared" si="90"/>
        <v>7 lvcmos io</v>
      </c>
      <c r="F204" s="207" t="str">
        <f t="shared" si="90"/>
        <v>spi</v>
      </c>
      <c r="G204" s="209">
        <v>0</v>
      </c>
      <c r="H204" s="216">
        <f t="shared" ca="1" si="91"/>
        <v>0</v>
      </c>
      <c r="I204" s="228" t="s">
        <v>4872</v>
      </c>
      <c r="J204" s="229"/>
      <c r="K204" s="207" t="str">
        <f ca="1">IFERROR(INDEX(INDIRECT(uc_sheet&amp;"!$A$1"):INDIRECT(uc_sheet&amp;"!$CZ$1000"),MATCH($A204&amp;$B204,INDIRECT(uc_sheet&amp;"!$a$1"):INDIRECT(uc_sheet&amp;"!$a$1000"),0),MATCH(use_case,INDIRECT(uc_sheet&amp;"!$A$1"):INDIRECT(uc_sheet&amp;"!$CZ$1"),0)+1),"absent")</f>
        <v>absent</v>
      </c>
      <c r="L204" s="224">
        <f ca="1">IFERROR(INDEX(INDIRECT(uc_sheet&amp;"!$A$1"):INDIRECT(uc_sheet&amp;"!$CZ$1000"),MATCH($A204&amp;$B204,INDIRECT(uc_sheet&amp;"!$a$1"):INDIRECT(uc_sheet&amp;"!$a$1000"),0),MATCH(use_case,INDIRECT(uc_sheet&amp;"!$A$1"):INDIRECT(uc_sheet&amp;"!$CZ$1"),0)),0)</f>
        <v>0</v>
      </c>
      <c r="M204" s="209">
        <f t="shared" si="86"/>
        <v>0</v>
      </c>
      <c r="N204" s="319"/>
      <c r="O204" s="323">
        <f t="shared" ca="1" si="87"/>
        <v>0</v>
      </c>
      <c r="P204" s="319"/>
      <c r="Q204" s="319"/>
      <c r="R204" s="319"/>
      <c r="S204" s="319"/>
      <c r="T204" s="323">
        <f t="shared" ca="1" si="88"/>
        <v>0</v>
      </c>
      <c r="U204" s="319"/>
      <c r="V204" s="323">
        <f t="shared" ca="1" si="89"/>
        <v>0</v>
      </c>
      <c r="W204" s="324" t="s">
        <v>5195</v>
      </c>
      <c r="X204" s="324" t="s">
        <v>8</v>
      </c>
      <c r="Y204" s="324" t="s">
        <v>61</v>
      </c>
      <c r="Z204" s="319"/>
      <c r="AA204" s="324" t="s">
        <v>4696</v>
      </c>
      <c r="AB204" s="324" t="s">
        <v>4697</v>
      </c>
      <c r="AC204" s="319"/>
      <c r="AD204" s="319"/>
      <c r="AE204" s="319"/>
      <c r="AF204" s="319"/>
      <c r="AG204" s="319"/>
      <c r="AH204" s="319"/>
      <c r="AI204" s="319"/>
      <c r="AJ204" s="319"/>
      <c r="AK204" s="319"/>
      <c r="AL204" s="319"/>
      <c r="AM204" s="137" t="str">
        <f t="shared" si="92"/>
        <v>spi_11</v>
      </c>
    </row>
    <row r="205" spans="1:39" ht="11.25" x14ac:dyDescent="0.2">
      <c r="A205" s="207" t="s">
        <v>5345</v>
      </c>
      <c r="B205" s="207" t="s">
        <v>71</v>
      </c>
      <c r="C205" s="209" t="str">
        <f t="shared" si="90"/>
        <v>spi lvcmos io</v>
      </c>
      <c r="D205" s="227">
        <f t="shared" si="90"/>
        <v>44499</v>
      </c>
      <c r="E205" s="207" t="str">
        <f t="shared" si="90"/>
        <v>7 lvcmos io</v>
      </c>
      <c r="F205" s="207" t="str">
        <f t="shared" si="90"/>
        <v>spi</v>
      </c>
      <c r="G205" s="209">
        <v>0</v>
      </c>
      <c r="H205" s="216">
        <f t="shared" ca="1" si="91"/>
        <v>0</v>
      </c>
      <c r="I205" s="228" t="s">
        <v>4872</v>
      </c>
      <c r="J205" s="229"/>
      <c r="K205" s="207" t="str">
        <f ca="1">IFERROR(INDEX(INDIRECT(uc_sheet&amp;"!$A$1"):INDIRECT(uc_sheet&amp;"!$CZ$1000"),MATCH($A205&amp;$B205,INDIRECT(uc_sheet&amp;"!$a$1"):INDIRECT(uc_sheet&amp;"!$a$1000"),0),MATCH(use_case,INDIRECT(uc_sheet&amp;"!$A$1"):INDIRECT(uc_sheet&amp;"!$CZ$1"),0)+1),"absent")</f>
        <v>absent</v>
      </c>
      <c r="L205" s="224">
        <f ca="1">IFERROR(INDEX(INDIRECT(uc_sheet&amp;"!$A$1"):INDIRECT(uc_sheet&amp;"!$CZ$1000"),MATCH($A205&amp;$B205,INDIRECT(uc_sheet&amp;"!$a$1"):INDIRECT(uc_sheet&amp;"!$a$1000"),0),MATCH(use_case,INDIRECT(uc_sheet&amp;"!$A$1"):INDIRECT(uc_sheet&amp;"!$CZ$1"),0)),0)</f>
        <v>0</v>
      </c>
      <c r="M205" s="209">
        <f t="shared" si="86"/>
        <v>0</v>
      </c>
      <c r="N205" s="319"/>
      <c r="O205" s="323">
        <f t="shared" ca="1" si="87"/>
        <v>0</v>
      </c>
      <c r="P205" s="319"/>
      <c r="Q205" s="319"/>
      <c r="R205" s="319"/>
      <c r="S205" s="319"/>
      <c r="T205" s="323">
        <f t="shared" ca="1" si="88"/>
        <v>0</v>
      </c>
      <c r="U205" s="319"/>
      <c r="V205" s="323">
        <f t="shared" ca="1" si="89"/>
        <v>0</v>
      </c>
      <c r="W205" s="324" t="s">
        <v>5195</v>
      </c>
      <c r="X205" s="324" t="s">
        <v>8</v>
      </c>
      <c r="Y205" s="324" t="s">
        <v>61</v>
      </c>
      <c r="Z205" s="319"/>
      <c r="AA205" s="324" t="s">
        <v>4696</v>
      </c>
      <c r="AB205" s="324" t="s">
        <v>4697</v>
      </c>
      <c r="AC205" s="319"/>
      <c r="AD205" s="319"/>
      <c r="AE205" s="319"/>
      <c r="AF205" s="319"/>
      <c r="AG205" s="319"/>
      <c r="AH205" s="319"/>
      <c r="AI205" s="319"/>
      <c r="AJ205" s="319"/>
      <c r="AK205" s="319"/>
      <c r="AL205" s="319"/>
      <c r="AM205" s="137" t="str">
        <f t="shared" si="92"/>
        <v>spi_12</v>
      </c>
    </row>
    <row r="206" spans="1:39" ht="11.25" x14ac:dyDescent="0.2">
      <c r="A206" s="207" t="s">
        <v>5345</v>
      </c>
      <c r="B206" s="207" t="s">
        <v>13</v>
      </c>
      <c r="C206" s="209" t="str">
        <f t="shared" si="90"/>
        <v>spi lvcmos io</v>
      </c>
      <c r="D206" s="227">
        <f t="shared" si="90"/>
        <v>44499</v>
      </c>
      <c r="E206" s="207" t="str">
        <f t="shared" si="90"/>
        <v>7 lvcmos io</v>
      </c>
      <c r="F206" s="207" t="str">
        <f t="shared" si="90"/>
        <v>spi</v>
      </c>
      <c r="G206" s="209">
        <v>1</v>
      </c>
      <c r="H206" s="216">
        <f t="shared" si="91"/>
        <v>1.3969068295420166</v>
      </c>
      <c r="I206" s="228" t="s">
        <v>4872</v>
      </c>
      <c r="J206" s="229"/>
      <c r="K206" s="207" t="str">
        <f t="shared" ref="K206:K211" si="93">MCSPI</f>
        <v>slave_25_mbaud_3p3v</v>
      </c>
      <c r="L206" s="224">
        <f t="shared" ref="L206:L211" si="94">MCSPI_Util</f>
        <v>0.25</v>
      </c>
      <c r="M206" s="209">
        <f t="shared" si="86"/>
        <v>4</v>
      </c>
      <c r="N206" s="319"/>
      <c r="O206" s="323">
        <f t="shared" si="87"/>
        <v>9.081338931589856E-7</v>
      </c>
      <c r="P206" s="319"/>
      <c r="Q206" s="319"/>
      <c r="R206" s="319"/>
      <c r="S206" s="319"/>
      <c r="T206" s="323">
        <f t="shared" si="88"/>
        <v>0</v>
      </c>
      <c r="U206" s="319"/>
      <c r="V206" s="323">
        <f t="shared" si="89"/>
        <v>1.3969059214081234</v>
      </c>
      <c r="W206" s="324" t="s">
        <v>5195</v>
      </c>
      <c r="X206" s="324" t="s">
        <v>8</v>
      </c>
      <c r="Y206" s="324" t="s">
        <v>61</v>
      </c>
      <c r="Z206" s="319"/>
      <c r="AA206" s="324" t="s">
        <v>4696</v>
      </c>
      <c r="AB206" s="324" t="s">
        <v>4697</v>
      </c>
      <c r="AC206" s="319"/>
      <c r="AD206" s="319"/>
      <c r="AE206" s="319"/>
      <c r="AF206" s="319"/>
      <c r="AG206" s="319"/>
      <c r="AH206" s="319"/>
      <c r="AI206" s="319"/>
      <c r="AJ206" s="319"/>
      <c r="AK206" s="319"/>
      <c r="AL206" s="319"/>
      <c r="AM206" s="137" t="str">
        <f t="shared" si="92"/>
        <v>spi_2</v>
      </c>
    </row>
    <row r="207" spans="1:39" ht="11.25" x14ac:dyDescent="0.2">
      <c r="A207" s="207" t="s">
        <v>5345</v>
      </c>
      <c r="B207" s="207" t="s">
        <v>14</v>
      </c>
      <c r="C207" s="209" t="str">
        <f t="shared" si="90"/>
        <v>spi lvcmos io</v>
      </c>
      <c r="D207" s="227">
        <f t="shared" si="90"/>
        <v>44499</v>
      </c>
      <c r="E207" s="207" t="str">
        <f t="shared" si="90"/>
        <v>7 lvcmos io</v>
      </c>
      <c r="F207" s="207" t="str">
        <f t="shared" si="90"/>
        <v>spi</v>
      </c>
      <c r="G207" s="209">
        <v>1</v>
      </c>
      <c r="H207" s="216">
        <f t="shared" si="91"/>
        <v>1.3969068295420166</v>
      </c>
      <c r="I207" s="228" t="s">
        <v>4872</v>
      </c>
      <c r="J207" s="229"/>
      <c r="K207" s="207" t="str">
        <f t="shared" si="93"/>
        <v>slave_25_mbaud_3p3v</v>
      </c>
      <c r="L207" s="224">
        <f t="shared" si="94"/>
        <v>0.25</v>
      </c>
      <c r="M207" s="209">
        <f t="shared" si="86"/>
        <v>4</v>
      </c>
      <c r="N207" s="319"/>
      <c r="O207" s="323">
        <f t="shared" si="87"/>
        <v>9.081338931589856E-7</v>
      </c>
      <c r="P207" s="319"/>
      <c r="Q207" s="319"/>
      <c r="R207" s="319"/>
      <c r="S207" s="319"/>
      <c r="T207" s="323">
        <f t="shared" si="88"/>
        <v>0</v>
      </c>
      <c r="U207" s="319"/>
      <c r="V207" s="323">
        <f t="shared" si="89"/>
        <v>1.3969059214081234</v>
      </c>
      <c r="W207" s="324" t="s">
        <v>5195</v>
      </c>
      <c r="X207" s="324" t="s">
        <v>8</v>
      </c>
      <c r="Y207" s="324" t="s">
        <v>61</v>
      </c>
      <c r="Z207" s="319"/>
      <c r="AA207" s="324" t="s">
        <v>4696</v>
      </c>
      <c r="AB207" s="324" t="s">
        <v>4697</v>
      </c>
      <c r="AC207" s="319"/>
      <c r="AD207" s="319"/>
      <c r="AE207" s="319"/>
      <c r="AF207" s="319"/>
      <c r="AG207" s="319"/>
      <c r="AH207" s="319"/>
      <c r="AI207" s="319"/>
      <c r="AJ207" s="319"/>
      <c r="AK207" s="319"/>
      <c r="AL207" s="319"/>
      <c r="AM207" s="137" t="str">
        <f t="shared" si="92"/>
        <v>spi_3</v>
      </c>
    </row>
    <row r="208" spans="1:39" ht="11.25" x14ac:dyDescent="0.2">
      <c r="A208" s="207" t="s">
        <v>5345</v>
      </c>
      <c r="B208" s="207" t="s">
        <v>15</v>
      </c>
      <c r="C208" s="209" t="str">
        <f t="shared" si="90"/>
        <v>spi lvcmos io</v>
      </c>
      <c r="D208" s="227">
        <f t="shared" si="90"/>
        <v>44499</v>
      </c>
      <c r="E208" s="207" t="str">
        <f t="shared" si="90"/>
        <v>7 lvcmos io</v>
      </c>
      <c r="F208" s="207" t="str">
        <f t="shared" si="90"/>
        <v>spi</v>
      </c>
      <c r="G208" s="209">
        <v>1</v>
      </c>
      <c r="H208" s="216">
        <f t="shared" si="91"/>
        <v>1.3969068295420166</v>
      </c>
      <c r="I208" s="228" t="s">
        <v>4872</v>
      </c>
      <c r="J208" s="229"/>
      <c r="K208" s="207" t="str">
        <f t="shared" si="93"/>
        <v>slave_25_mbaud_3p3v</v>
      </c>
      <c r="L208" s="224">
        <f t="shared" si="94"/>
        <v>0.25</v>
      </c>
      <c r="M208" s="209">
        <f t="shared" si="86"/>
        <v>4</v>
      </c>
      <c r="N208" s="319"/>
      <c r="O208" s="323">
        <f t="shared" si="87"/>
        <v>9.081338931589856E-7</v>
      </c>
      <c r="P208" s="319"/>
      <c r="Q208" s="319"/>
      <c r="R208" s="319"/>
      <c r="S208" s="319"/>
      <c r="T208" s="323">
        <f t="shared" si="88"/>
        <v>0</v>
      </c>
      <c r="U208" s="319"/>
      <c r="V208" s="323">
        <f t="shared" si="89"/>
        <v>1.3969059214081234</v>
      </c>
      <c r="W208" s="324" t="s">
        <v>5195</v>
      </c>
      <c r="X208" s="324" t="s">
        <v>8</v>
      </c>
      <c r="Y208" s="324" t="s">
        <v>61</v>
      </c>
      <c r="Z208" s="319"/>
      <c r="AA208" s="324" t="s">
        <v>4696</v>
      </c>
      <c r="AB208" s="324" t="s">
        <v>4697</v>
      </c>
      <c r="AC208" s="319"/>
      <c r="AD208" s="319"/>
      <c r="AE208" s="319"/>
      <c r="AF208" s="319"/>
      <c r="AG208" s="319"/>
      <c r="AH208" s="319"/>
      <c r="AI208" s="319"/>
      <c r="AJ208" s="319"/>
      <c r="AK208" s="319"/>
      <c r="AL208" s="319"/>
      <c r="AM208" s="137" t="str">
        <f t="shared" si="92"/>
        <v>spi_4</v>
      </c>
    </row>
    <row r="209" spans="1:39" ht="11.25" x14ac:dyDescent="0.2">
      <c r="A209" s="207" t="s">
        <v>5345</v>
      </c>
      <c r="B209" s="207" t="s">
        <v>16</v>
      </c>
      <c r="C209" s="209" t="str">
        <f t="shared" si="90"/>
        <v>spi lvcmos io</v>
      </c>
      <c r="D209" s="227">
        <f t="shared" si="90"/>
        <v>44499</v>
      </c>
      <c r="E209" s="207" t="str">
        <f t="shared" si="90"/>
        <v>7 lvcmos io</v>
      </c>
      <c r="F209" s="207" t="str">
        <f t="shared" si="90"/>
        <v>spi</v>
      </c>
      <c r="G209" s="209">
        <v>1</v>
      </c>
      <c r="H209" s="216">
        <f t="shared" si="91"/>
        <v>1.3969068295420166</v>
      </c>
      <c r="I209" s="228" t="s">
        <v>4872</v>
      </c>
      <c r="J209" s="229"/>
      <c r="K209" s="207" t="str">
        <f t="shared" si="93"/>
        <v>slave_25_mbaud_3p3v</v>
      </c>
      <c r="L209" s="224">
        <f t="shared" si="94"/>
        <v>0.25</v>
      </c>
      <c r="M209" s="209">
        <f t="shared" si="86"/>
        <v>4</v>
      </c>
      <c r="N209" s="319"/>
      <c r="O209" s="323">
        <f t="shared" si="87"/>
        <v>9.081338931589856E-7</v>
      </c>
      <c r="P209" s="319"/>
      <c r="Q209" s="319"/>
      <c r="R209" s="319"/>
      <c r="S209" s="319"/>
      <c r="T209" s="323">
        <f t="shared" si="88"/>
        <v>0</v>
      </c>
      <c r="U209" s="319"/>
      <c r="V209" s="323">
        <f t="shared" si="89"/>
        <v>1.3969059214081234</v>
      </c>
      <c r="W209" s="324" t="s">
        <v>5195</v>
      </c>
      <c r="X209" s="324" t="s">
        <v>8</v>
      </c>
      <c r="Y209" s="324" t="s">
        <v>61</v>
      </c>
      <c r="Z209" s="319"/>
      <c r="AA209" s="324" t="s">
        <v>4696</v>
      </c>
      <c r="AB209" s="324" t="s">
        <v>4697</v>
      </c>
      <c r="AC209" s="319"/>
      <c r="AD209" s="319"/>
      <c r="AE209" s="319"/>
      <c r="AF209" s="319"/>
      <c r="AG209" s="319"/>
      <c r="AH209" s="319"/>
      <c r="AI209" s="319"/>
      <c r="AJ209" s="319"/>
      <c r="AK209" s="319"/>
      <c r="AL209" s="319"/>
      <c r="AM209" s="137" t="str">
        <f t="shared" si="92"/>
        <v>spi_5</v>
      </c>
    </row>
    <row r="210" spans="1:39" ht="11.25" x14ac:dyDescent="0.2">
      <c r="A210" s="207" t="s">
        <v>5345</v>
      </c>
      <c r="B210" s="207" t="s">
        <v>17</v>
      </c>
      <c r="C210" s="209" t="str">
        <f t="shared" si="90"/>
        <v>spi lvcmos io</v>
      </c>
      <c r="D210" s="227">
        <f t="shared" si="90"/>
        <v>44499</v>
      </c>
      <c r="E210" s="207" t="str">
        <f t="shared" si="90"/>
        <v>7 lvcmos io</v>
      </c>
      <c r="F210" s="207" t="str">
        <f t="shared" si="90"/>
        <v>spi</v>
      </c>
      <c r="G210" s="209">
        <v>1</v>
      </c>
      <c r="H210" s="216">
        <f t="shared" si="91"/>
        <v>1.3969068295420166</v>
      </c>
      <c r="I210" s="228" t="s">
        <v>4872</v>
      </c>
      <c r="J210" s="229"/>
      <c r="K210" s="207" t="str">
        <f t="shared" si="93"/>
        <v>slave_25_mbaud_3p3v</v>
      </c>
      <c r="L210" s="224">
        <f t="shared" si="94"/>
        <v>0.25</v>
      </c>
      <c r="M210" s="209">
        <f t="shared" si="86"/>
        <v>4</v>
      </c>
      <c r="N210" s="319"/>
      <c r="O210" s="323">
        <f t="shared" si="87"/>
        <v>9.081338931589856E-7</v>
      </c>
      <c r="P210" s="319"/>
      <c r="Q210" s="319"/>
      <c r="R210" s="319"/>
      <c r="S210" s="319"/>
      <c r="T210" s="323">
        <f t="shared" si="88"/>
        <v>0</v>
      </c>
      <c r="U210" s="319"/>
      <c r="V210" s="323">
        <f t="shared" si="89"/>
        <v>1.3969059214081234</v>
      </c>
      <c r="W210" s="324" t="s">
        <v>5195</v>
      </c>
      <c r="X210" s="324" t="s">
        <v>8</v>
      </c>
      <c r="Y210" s="324" t="s">
        <v>61</v>
      </c>
      <c r="Z210" s="319"/>
      <c r="AA210" s="324" t="s">
        <v>4696</v>
      </c>
      <c r="AB210" s="324" t="s">
        <v>4697</v>
      </c>
      <c r="AC210" s="319"/>
      <c r="AD210" s="319"/>
      <c r="AE210" s="319"/>
      <c r="AF210" s="319"/>
      <c r="AG210" s="319"/>
      <c r="AH210" s="319"/>
      <c r="AI210" s="319"/>
      <c r="AJ210" s="319"/>
      <c r="AK210" s="319"/>
      <c r="AL210" s="319"/>
      <c r="AM210" s="137" t="str">
        <f t="shared" si="92"/>
        <v>spi_6</v>
      </c>
    </row>
    <row r="211" spans="1:39" ht="11.25" x14ac:dyDescent="0.2">
      <c r="A211" s="207" t="s">
        <v>5345</v>
      </c>
      <c r="B211" s="207" t="s">
        <v>18</v>
      </c>
      <c r="C211" s="209" t="str">
        <f t="shared" ref="C211:F223" si="95">VLOOKUP($A211&amp;"_"&amp;C$2,MDB,6,0)</f>
        <v>spi lvcmos io</v>
      </c>
      <c r="D211" s="227">
        <f t="shared" si="95"/>
        <v>44499</v>
      </c>
      <c r="E211" s="207" t="str">
        <f t="shared" si="95"/>
        <v>7 lvcmos io</v>
      </c>
      <c r="F211" s="207" t="str">
        <f t="shared" si="95"/>
        <v>spi</v>
      </c>
      <c r="G211" s="209">
        <v>1</v>
      </c>
      <c r="H211" s="216">
        <f t="shared" si="91"/>
        <v>1.3969068295420166</v>
      </c>
      <c r="I211" s="228" t="s">
        <v>4872</v>
      </c>
      <c r="J211" s="229"/>
      <c r="K211" s="207" t="str">
        <f t="shared" si="93"/>
        <v>slave_25_mbaud_3p3v</v>
      </c>
      <c r="L211" s="224">
        <f t="shared" si="94"/>
        <v>0.25</v>
      </c>
      <c r="M211" s="209">
        <f t="shared" si="86"/>
        <v>4</v>
      </c>
      <c r="N211" s="319"/>
      <c r="O211" s="323">
        <f t="shared" si="87"/>
        <v>9.081338931589856E-7</v>
      </c>
      <c r="P211" s="319"/>
      <c r="Q211" s="319"/>
      <c r="R211" s="319"/>
      <c r="S211" s="319"/>
      <c r="T211" s="323">
        <f t="shared" si="88"/>
        <v>0</v>
      </c>
      <c r="U211" s="319"/>
      <c r="V211" s="323">
        <f t="shared" si="89"/>
        <v>1.3969059214081234</v>
      </c>
      <c r="W211" s="324" t="s">
        <v>5195</v>
      </c>
      <c r="X211" s="324" t="s">
        <v>8</v>
      </c>
      <c r="Y211" s="324" t="s">
        <v>61</v>
      </c>
      <c r="Z211" s="319"/>
      <c r="AA211" s="324" t="s">
        <v>4696</v>
      </c>
      <c r="AB211" s="324" t="s">
        <v>4697</v>
      </c>
      <c r="AC211" s="319"/>
      <c r="AD211" s="319"/>
      <c r="AE211" s="319"/>
      <c r="AF211" s="319"/>
      <c r="AG211" s="319"/>
      <c r="AH211" s="319"/>
      <c r="AI211" s="319"/>
      <c r="AJ211" s="319"/>
      <c r="AK211" s="319"/>
      <c r="AL211" s="319"/>
      <c r="AM211" s="137" t="str">
        <f t="shared" si="92"/>
        <v>spi_7</v>
      </c>
    </row>
    <row r="212" spans="1:39" ht="11.25" x14ac:dyDescent="0.2">
      <c r="A212" s="207" t="s">
        <v>5345</v>
      </c>
      <c r="B212" s="207" t="s">
        <v>19</v>
      </c>
      <c r="C212" s="209" t="str">
        <f t="shared" si="95"/>
        <v>spi lvcmos io</v>
      </c>
      <c r="D212" s="227">
        <f t="shared" si="95"/>
        <v>44499</v>
      </c>
      <c r="E212" s="207" t="str">
        <f t="shared" si="95"/>
        <v>7 lvcmos io</v>
      </c>
      <c r="F212" s="207" t="str">
        <f t="shared" si="95"/>
        <v>spi</v>
      </c>
      <c r="G212" s="209">
        <v>0</v>
      </c>
      <c r="H212" s="216">
        <f t="shared" ca="1" si="91"/>
        <v>0</v>
      </c>
      <c r="I212" s="228" t="s">
        <v>4872</v>
      </c>
      <c r="J212" s="229"/>
      <c r="K212" s="207" t="str">
        <f ca="1">IFERROR(INDEX(INDIRECT(uc_sheet&amp;"!$A$1"):INDIRECT(uc_sheet&amp;"!$CZ$1000"),MATCH($A212&amp;$B212,INDIRECT(uc_sheet&amp;"!$a$1"):INDIRECT(uc_sheet&amp;"!$a$1000"),0),MATCH(use_case,INDIRECT(uc_sheet&amp;"!$A$1"):INDIRECT(uc_sheet&amp;"!$CZ$1"),0)+1),"absent")</f>
        <v>absent</v>
      </c>
      <c r="L212" s="224">
        <f ca="1">IFERROR(INDEX(INDIRECT(uc_sheet&amp;"!$A$1"):INDIRECT(uc_sheet&amp;"!$CZ$1000"),MATCH($A212&amp;$B212,INDIRECT(uc_sheet&amp;"!$a$1"):INDIRECT(uc_sheet&amp;"!$a$1000"),0),MATCH(use_case,INDIRECT(uc_sheet&amp;"!$A$1"):INDIRECT(uc_sheet&amp;"!$CZ$1"),0)),0)</f>
        <v>0</v>
      </c>
      <c r="M212" s="209">
        <f t="shared" si="86"/>
        <v>0</v>
      </c>
      <c r="N212" s="319"/>
      <c r="O212" s="323">
        <f t="shared" ca="1" si="87"/>
        <v>0</v>
      </c>
      <c r="P212" s="319"/>
      <c r="Q212" s="319"/>
      <c r="R212" s="319"/>
      <c r="S212" s="319"/>
      <c r="T212" s="323">
        <f t="shared" ca="1" si="88"/>
        <v>0</v>
      </c>
      <c r="U212" s="319"/>
      <c r="V212" s="323">
        <f t="shared" ca="1" si="89"/>
        <v>0</v>
      </c>
      <c r="W212" s="324" t="s">
        <v>5195</v>
      </c>
      <c r="X212" s="324" t="s">
        <v>8</v>
      </c>
      <c r="Y212" s="324" t="s">
        <v>61</v>
      </c>
      <c r="Z212" s="319"/>
      <c r="AA212" s="324" t="s">
        <v>4696</v>
      </c>
      <c r="AB212" s="324" t="s">
        <v>4697</v>
      </c>
      <c r="AC212" s="319"/>
      <c r="AD212" s="319"/>
      <c r="AE212" s="319"/>
      <c r="AF212" s="319"/>
      <c r="AG212" s="319"/>
      <c r="AH212" s="319"/>
      <c r="AI212" s="319"/>
      <c r="AJ212" s="319"/>
      <c r="AK212" s="319"/>
      <c r="AL212" s="319"/>
      <c r="AM212" s="137" t="str">
        <f t="shared" si="92"/>
        <v>spi_8</v>
      </c>
    </row>
    <row r="213" spans="1:39" ht="11.25" x14ac:dyDescent="0.2">
      <c r="A213" s="207" t="s">
        <v>5345</v>
      </c>
      <c r="B213" s="207" t="s">
        <v>22</v>
      </c>
      <c r="C213" s="209" t="str">
        <f t="shared" si="95"/>
        <v>spi lvcmos io</v>
      </c>
      <c r="D213" s="227">
        <f t="shared" si="95"/>
        <v>44499</v>
      </c>
      <c r="E213" s="207" t="str">
        <f t="shared" si="95"/>
        <v>7 lvcmos io</v>
      </c>
      <c r="F213" s="207" t="str">
        <f t="shared" si="95"/>
        <v>spi</v>
      </c>
      <c r="G213" s="209">
        <v>0</v>
      </c>
      <c r="H213" s="216">
        <f t="shared" ca="1" si="91"/>
        <v>0</v>
      </c>
      <c r="I213" s="228" t="s">
        <v>4872</v>
      </c>
      <c r="J213" s="229"/>
      <c r="K213" s="207" t="str">
        <f ca="1">IFERROR(INDEX(INDIRECT(uc_sheet&amp;"!$A$1"):INDIRECT(uc_sheet&amp;"!$CZ$1000"),MATCH($A213&amp;$B213,INDIRECT(uc_sheet&amp;"!$a$1"):INDIRECT(uc_sheet&amp;"!$a$1000"),0),MATCH(use_case,INDIRECT(uc_sheet&amp;"!$A$1"):INDIRECT(uc_sheet&amp;"!$CZ$1"),0)+1),"absent")</f>
        <v>absent</v>
      </c>
      <c r="L213" s="224">
        <f ca="1">IFERROR(INDEX(INDIRECT(uc_sheet&amp;"!$A$1"):INDIRECT(uc_sheet&amp;"!$CZ$1000"),MATCH($A213&amp;$B213,INDIRECT(uc_sheet&amp;"!$a$1"):INDIRECT(uc_sheet&amp;"!$a$1000"),0),MATCH(use_case,INDIRECT(uc_sheet&amp;"!$A$1"):INDIRECT(uc_sheet&amp;"!$CZ$1"),0)),0)</f>
        <v>0</v>
      </c>
      <c r="M213" s="209">
        <f t="shared" si="86"/>
        <v>0</v>
      </c>
      <c r="N213" s="319"/>
      <c r="O213" s="323">
        <f t="shared" ca="1" si="87"/>
        <v>0</v>
      </c>
      <c r="P213" s="319"/>
      <c r="Q213" s="319"/>
      <c r="R213" s="319"/>
      <c r="S213" s="319"/>
      <c r="T213" s="323">
        <f t="shared" ca="1" si="88"/>
        <v>0</v>
      </c>
      <c r="U213" s="319"/>
      <c r="V213" s="323">
        <f t="shared" ca="1" si="89"/>
        <v>0</v>
      </c>
      <c r="W213" s="324" t="s">
        <v>5195</v>
      </c>
      <c r="X213" s="324" t="s">
        <v>8</v>
      </c>
      <c r="Y213" s="324" t="s">
        <v>61</v>
      </c>
      <c r="Z213" s="319"/>
      <c r="AA213" s="324" t="s">
        <v>4696</v>
      </c>
      <c r="AB213" s="324" t="s">
        <v>4697</v>
      </c>
      <c r="AC213" s="319"/>
      <c r="AD213" s="319"/>
      <c r="AE213" s="319"/>
      <c r="AF213" s="319"/>
      <c r="AG213" s="319"/>
      <c r="AH213" s="319"/>
      <c r="AI213" s="319"/>
      <c r="AJ213" s="319"/>
      <c r="AK213" s="319"/>
      <c r="AL213" s="319"/>
      <c r="AM213" s="137" t="str">
        <f t="shared" si="92"/>
        <v>spi_9</v>
      </c>
    </row>
    <row r="214" spans="1:39" ht="11.25" x14ac:dyDescent="0.2">
      <c r="A214" s="207" t="s">
        <v>5347</v>
      </c>
      <c r="B214" s="207" t="s">
        <v>11</v>
      </c>
      <c r="C214" s="209" t="str">
        <f t="shared" si="95"/>
        <v>uart lvcmos io</v>
      </c>
      <c r="D214" s="227">
        <f t="shared" si="95"/>
        <v>44499</v>
      </c>
      <c r="E214" s="207" t="str">
        <f t="shared" si="95"/>
        <v>7 lvcmos io</v>
      </c>
      <c r="F214" s="207" t="str">
        <f t="shared" si="95"/>
        <v>uart</v>
      </c>
      <c r="G214" s="209">
        <v>1</v>
      </c>
      <c r="H214" s="216">
        <f t="shared" ca="1" si="91"/>
        <v>0</v>
      </c>
      <c r="I214" s="228" t="s">
        <v>4872</v>
      </c>
      <c r="J214" s="229"/>
      <c r="K214" s="207" t="str">
        <f ca="1">IFERROR(INDEX(INDIRECT(uc_sheet&amp;"!$A$1"):INDIRECT(uc_sheet&amp;"!$CZ$1000"),MATCH($A214&amp;$B214,INDIRECT(uc_sheet&amp;"!$a$1"):INDIRECT(uc_sheet&amp;"!$a$1000"),0),MATCH(use_case,INDIRECT(uc_sheet&amp;"!$A$1"):INDIRECT(uc_sheet&amp;"!$CZ$1"),0)+1),"absent")</f>
        <v>absent</v>
      </c>
      <c r="L214" s="224">
        <f ca="1">IFERROR(INDEX(INDIRECT(uc_sheet&amp;"!$A$1"):INDIRECT(uc_sheet&amp;"!$CZ$1000"),MATCH($A214&amp;$B214,INDIRECT(uc_sheet&amp;"!$a$1"):INDIRECT(uc_sheet&amp;"!$a$1000"),0),MATCH(use_case,INDIRECT(uc_sheet&amp;"!$A$1"):INDIRECT(uc_sheet&amp;"!$CZ$1"),0)),0)</f>
        <v>0</v>
      </c>
      <c r="M214" s="209">
        <f t="shared" si="86"/>
        <v>4</v>
      </c>
      <c r="N214" s="319"/>
      <c r="O214" s="323">
        <f t="shared" ca="1" si="87"/>
        <v>0</v>
      </c>
      <c r="P214" s="319"/>
      <c r="Q214" s="319"/>
      <c r="R214" s="319"/>
      <c r="S214" s="319"/>
      <c r="T214" s="323">
        <f t="shared" ca="1" si="88"/>
        <v>0</v>
      </c>
      <c r="U214" s="319"/>
      <c r="V214" s="323">
        <f t="shared" ca="1" si="89"/>
        <v>0</v>
      </c>
      <c r="W214" s="324" t="s">
        <v>5195</v>
      </c>
      <c r="X214" s="324" t="s">
        <v>8</v>
      </c>
      <c r="Y214" s="324" t="s">
        <v>61</v>
      </c>
      <c r="Z214" s="319"/>
      <c r="AA214" s="324" t="s">
        <v>4696</v>
      </c>
      <c r="AB214" s="324" t="s">
        <v>4697</v>
      </c>
      <c r="AC214" s="319"/>
      <c r="AD214" s="319"/>
      <c r="AE214" s="319"/>
      <c r="AF214" s="319"/>
      <c r="AG214" s="319"/>
      <c r="AH214" s="319"/>
      <c r="AI214" s="319"/>
      <c r="AJ214" s="319"/>
      <c r="AK214" s="319"/>
      <c r="AL214" s="319"/>
      <c r="AM214" s="137" t="str">
        <f t="shared" si="92"/>
        <v>uart_0</v>
      </c>
    </row>
    <row r="215" spans="1:39" ht="11.25" x14ac:dyDescent="0.2">
      <c r="A215" s="207" t="s">
        <v>5347</v>
      </c>
      <c r="B215" s="207" t="s">
        <v>12</v>
      </c>
      <c r="C215" s="209" t="str">
        <f t="shared" si="95"/>
        <v>uart lvcmos io</v>
      </c>
      <c r="D215" s="227">
        <f t="shared" si="95"/>
        <v>44499</v>
      </c>
      <c r="E215" s="207" t="str">
        <f t="shared" si="95"/>
        <v>7 lvcmos io</v>
      </c>
      <c r="F215" s="207" t="str">
        <f t="shared" si="95"/>
        <v>uart</v>
      </c>
      <c r="G215" s="209">
        <v>1</v>
      </c>
      <c r="H215" s="216">
        <f t="shared" ca="1" si="91"/>
        <v>0</v>
      </c>
      <c r="I215" s="228" t="s">
        <v>4872</v>
      </c>
      <c r="J215" s="229"/>
      <c r="K215" s="207" t="str">
        <f ca="1">IFERROR(INDEX(INDIRECT(uc_sheet&amp;"!$A$1"):INDIRECT(uc_sheet&amp;"!$CZ$1000"),MATCH($A215&amp;$B215,INDIRECT(uc_sheet&amp;"!$a$1"):INDIRECT(uc_sheet&amp;"!$a$1000"),0),MATCH(use_case,INDIRECT(uc_sheet&amp;"!$A$1"):INDIRECT(uc_sheet&amp;"!$CZ$1"),0)+1),"absent")</f>
        <v>absent</v>
      </c>
      <c r="L215" s="224">
        <f ca="1">IFERROR(INDEX(INDIRECT(uc_sheet&amp;"!$A$1"):INDIRECT(uc_sheet&amp;"!$CZ$1000"),MATCH($A215&amp;$B215,INDIRECT(uc_sheet&amp;"!$a$1"):INDIRECT(uc_sheet&amp;"!$a$1000"),0),MATCH(use_case,INDIRECT(uc_sheet&amp;"!$A$1"):INDIRECT(uc_sheet&amp;"!$CZ$1"),0)),0)</f>
        <v>0</v>
      </c>
      <c r="M215" s="209">
        <f t="shared" si="86"/>
        <v>4</v>
      </c>
      <c r="N215" s="319"/>
      <c r="O215" s="323">
        <f t="shared" ca="1" si="87"/>
        <v>0</v>
      </c>
      <c r="P215" s="319"/>
      <c r="Q215" s="319"/>
      <c r="R215" s="319"/>
      <c r="S215" s="319"/>
      <c r="T215" s="323">
        <f t="shared" ca="1" si="88"/>
        <v>0</v>
      </c>
      <c r="U215" s="319"/>
      <c r="V215" s="323">
        <f t="shared" ca="1" si="89"/>
        <v>0</v>
      </c>
      <c r="W215" s="324" t="s">
        <v>5195</v>
      </c>
      <c r="X215" s="324" t="s">
        <v>8</v>
      </c>
      <c r="Y215" s="324" t="s">
        <v>61</v>
      </c>
      <c r="Z215" s="319"/>
      <c r="AA215" s="324" t="s">
        <v>4696</v>
      </c>
      <c r="AB215" s="324" t="s">
        <v>4697</v>
      </c>
      <c r="AC215" s="319"/>
      <c r="AD215" s="319"/>
      <c r="AE215" s="319"/>
      <c r="AF215" s="319"/>
      <c r="AG215" s="319"/>
      <c r="AH215" s="319"/>
      <c r="AI215" s="319"/>
      <c r="AJ215" s="319"/>
      <c r="AK215" s="319"/>
      <c r="AL215" s="319"/>
      <c r="AM215" s="137" t="str">
        <f t="shared" si="92"/>
        <v>uart_1</v>
      </c>
    </row>
    <row r="216" spans="1:39" ht="11.25" x14ac:dyDescent="0.2">
      <c r="A216" s="207" t="s">
        <v>5347</v>
      </c>
      <c r="B216" s="207" t="s">
        <v>13</v>
      </c>
      <c r="C216" s="209" t="str">
        <f t="shared" si="95"/>
        <v>uart lvcmos io</v>
      </c>
      <c r="D216" s="227">
        <f t="shared" si="95"/>
        <v>44499</v>
      </c>
      <c r="E216" s="207" t="str">
        <f t="shared" si="95"/>
        <v>7 lvcmos io</v>
      </c>
      <c r="F216" s="207" t="str">
        <f t="shared" si="95"/>
        <v>uart</v>
      </c>
      <c r="G216" s="209">
        <v>1</v>
      </c>
      <c r="H216" s="216">
        <f t="shared" ca="1" si="91"/>
        <v>0</v>
      </c>
      <c r="I216" s="228" t="s">
        <v>4872</v>
      </c>
      <c r="J216" s="229"/>
      <c r="K216" s="207" t="str">
        <f ca="1">IFERROR(INDEX(INDIRECT(uc_sheet&amp;"!$A$1"):INDIRECT(uc_sheet&amp;"!$CZ$1000"),MATCH($A216&amp;$B216,INDIRECT(uc_sheet&amp;"!$a$1"):INDIRECT(uc_sheet&amp;"!$a$1000"),0),MATCH(use_case,INDIRECT(uc_sheet&amp;"!$A$1"):INDIRECT(uc_sheet&amp;"!$CZ$1"),0)+1),"absent")</f>
        <v>absent</v>
      </c>
      <c r="L216" s="224">
        <f ca="1">IFERROR(INDEX(INDIRECT(uc_sheet&amp;"!$A$1"):INDIRECT(uc_sheet&amp;"!$CZ$1000"),MATCH($A216&amp;$B216,INDIRECT(uc_sheet&amp;"!$a$1"):INDIRECT(uc_sheet&amp;"!$a$1000"),0),MATCH(use_case,INDIRECT(uc_sheet&amp;"!$A$1"):INDIRECT(uc_sheet&amp;"!$CZ$1"),0)),0)</f>
        <v>0</v>
      </c>
      <c r="M216" s="209">
        <f t="shared" si="86"/>
        <v>4</v>
      </c>
      <c r="N216" s="319"/>
      <c r="O216" s="323">
        <f t="shared" ca="1" si="87"/>
        <v>0</v>
      </c>
      <c r="P216" s="319"/>
      <c r="Q216" s="319"/>
      <c r="R216" s="319"/>
      <c r="S216" s="319"/>
      <c r="T216" s="323">
        <f t="shared" ca="1" si="88"/>
        <v>0</v>
      </c>
      <c r="U216" s="319"/>
      <c r="V216" s="323">
        <f t="shared" ca="1" si="89"/>
        <v>0</v>
      </c>
      <c r="W216" s="324" t="s">
        <v>5195</v>
      </c>
      <c r="X216" s="324" t="s">
        <v>8</v>
      </c>
      <c r="Y216" s="324" t="s">
        <v>61</v>
      </c>
      <c r="Z216" s="319"/>
      <c r="AA216" s="324" t="s">
        <v>4696</v>
      </c>
      <c r="AB216" s="324" t="s">
        <v>4697</v>
      </c>
      <c r="AC216" s="319"/>
      <c r="AD216" s="319"/>
      <c r="AE216" s="319"/>
      <c r="AF216" s="319"/>
      <c r="AG216" s="319"/>
      <c r="AH216" s="319"/>
      <c r="AI216" s="319"/>
      <c r="AJ216" s="319"/>
      <c r="AK216" s="319"/>
      <c r="AL216" s="319"/>
      <c r="AM216" s="137" t="str">
        <f t="shared" si="92"/>
        <v>uart_2</v>
      </c>
    </row>
    <row r="217" spans="1:39" ht="11.25" x14ac:dyDescent="0.2">
      <c r="A217" s="207" t="s">
        <v>5347</v>
      </c>
      <c r="B217" s="207" t="s">
        <v>14</v>
      </c>
      <c r="C217" s="209" t="str">
        <f t="shared" si="95"/>
        <v>uart lvcmos io</v>
      </c>
      <c r="D217" s="227">
        <f t="shared" si="95"/>
        <v>44499</v>
      </c>
      <c r="E217" s="207" t="str">
        <f t="shared" si="95"/>
        <v>7 lvcmos io</v>
      </c>
      <c r="F217" s="207" t="str">
        <f t="shared" si="95"/>
        <v>uart</v>
      </c>
      <c r="G217" s="209">
        <v>1</v>
      </c>
      <c r="H217" s="216">
        <f t="shared" ca="1" si="91"/>
        <v>0</v>
      </c>
      <c r="I217" s="228" t="s">
        <v>4872</v>
      </c>
      <c r="J217" s="229"/>
      <c r="K217" s="207" t="str">
        <f ca="1">IFERROR(INDEX(INDIRECT(uc_sheet&amp;"!$A$1"):INDIRECT(uc_sheet&amp;"!$CZ$1000"),MATCH($A217&amp;$B217,INDIRECT(uc_sheet&amp;"!$a$1"):INDIRECT(uc_sheet&amp;"!$a$1000"),0),MATCH(use_case,INDIRECT(uc_sheet&amp;"!$A$1"):INDIRECT(uc_sheet&amp;"!$CZ$1"),0)+1),"absent")</f>
        <v>absent</v>
      </c>
      <c r="L217" s="224">
        <f ca="1">IFERROR(INDEX(INDIRECT(uc_sheet&amp;"!$A$1"):INDIRECT(uc_sheet&amp;"!$CZ$1000"),MATCH($A217&amp;$B217,INDIRECT(uc_sheet&amp;"!$a$1"):INDIRECT(uc_sheet&amp;"!$a$1000"),0),MATCH(use_case,INDIRECT(uc_sheet&amp;"!$A$1"):INDIRECT(uc_sheet&amp;"!$CZ$1"),0)),0)</f>
        <v>0</v>
      </c>
      <c r="M217" s="209">
        <f t="shared" si="86"/>
        <v>4</v>
      </c>
      <c r="N217" s="319"/>
      <c r="O217" s="323">
        <f t="shared" ca="1" si="87"/>
        <v>0</v>
      </c>
      <c r="P217" s="319"/>
      <c r="Q217" s="319"/>
      <c r="R217" s="319"/>
      <c r="S217" s="319"/>
      <c r="T217" s="323">
        <f t="shared" ca="1" si="88"/>
        <v>0</v>
      </c>
      <c r="U217" s="319"/>
      <c r="V217" s="323">
        <f t="shared" ca="1" si="89"/>
        <v>0</v>
      </c>
      <c r="W217" s="324" t="s">
        <v>5195</v>
      </c>
      <c r="X217" s="324" t="s">
        <v>8</v>
      </c>
      <c r="Y217" s="324" t="s">
        <v>61</v>
      </c>
      <c r="Z217" s="319"/>
      <c r="AA217" s="324" t="s">
        <v>4696</v>
      </c>
      <c r="AB217" s="324" t="s">
        <v>4697</v>
      </c>
      <c r="AC217" s="319"/>
      <c r="AD217" s="319"/>
      <c r="AE217" s="319"/>
      <c r="AF217" s="319"/>
      <c r="AG217" s="319"/>
      <c r="AH217" s="319"/>
      <c r="AI217" s="319"/>
      <c r="AJ217" s="319"/>
      <c r="AK217" s="319"/>
      <c r="AL217" s="319"/>
      <c r="AM217" s="137" t="str">
        <f t="shared" si="92"/>
        <v>uart_3</v>
      </c>
    </row>
    <row r="218" spans="1:39" ht="11.25" x14ac:dyDescent="0.2">
      <c r="A218" s="207" t="s">
        <v>5347</v>
      </c>
      <c r="B218" s="207" t="s">
        <v>15</v>
      </c>
      <c r="C218" s="209" t="str">
        <f t="shared" si="95"/>
        <v>uart lvcmos io</v>
      </c>
      <c r="D218" s="227">
        <f t="shared" si="95"/>
        <v>44499</v>
      </c>
      <c r="E218" s="207" t="str">
        <f t="shared" si="95"/>
        <v>7 lvcmos io</v>
      </c>
      <c r="F218" s="207" t="str">
        <f t="shared" si="95"/>
        <v>uart</v>
      </c>
      <c r="G218" s="209">
        <v>1</v>
      </c>
      <c r="H218" s="216">
        <f t="shared" ca="1" si="91"/>
        <v>0</v>
      </c>
      <c r="I218" s="228" t="s">
        <v>4872</v>
      </c>
      <c r="J218" s="229"/>
      <c r="K218" s="207" t="str">
        <f ca="1">IFERROR(INDEX(INDIRECT(uc_sheet&amp;"!$A$1"):INDIRECT(uc_sheet&amp;"!$CZ$1000"),MATCH($A218&amp;$B218,INDIRECT(uc_sheet&amp;"!$a$1"):INDIRECT(uc_sheet&amp;"!$a$1000"),0),MATCH(use_case,INDIRECT(uc_sheet&amp;"!$A$1"):INDIRECT(uc_sheet&amp;"!$CZ$1"),0)+1),"absent")</f>
        <v>absent</v>
      </c>
      <c r="L218" s="224">
        <f ca="1">IFERROR(INDEX(INDIRECT(uc_sheet&amp;"!$A$1"):INDIRECT(uc_sheet&amp;"!$CZ$1000"),MATCH($A218&amp;$B218,INDIRECT(uc_sheet&amp;"!$a$1"):INDIRECT(uc_sheet&amp;"!$a$1000"),0),MATCH(use_case,INDIRECT(uc_sheet&amp;"!$A$1"):INDIRECT(uc_sheet&amp;"!$CZ$1"),0)),0)</f>
        <v>0</v>
      </c>
      <c r="M218" s="209">
        <f t="shared" si="86"/>
        <v>4</v>
      </c>
      <c r="N218" s="319"/>
      <c r="O218" s="323">
        <f t="shared" ca="1" si="87"/>
        <v>0</v>
      </c>
      <c r="P218" s="319"/>
      <c r="Q218" s="319"/>
      <c r="R218" s="319"/>
      <c r="S218" s="319"/>
      <c r="T218" s="323">
        <f t="shared" ca="1" si="88"/>
        <v>0</v>
      </c>
      <c r="U218" s="319"/>
      <c r="V218" s="323">
        <f t="shared" ca="1" si="89"/>
        <v>0</v>
      </c>
      <c r="W218" s="324" t="s">
        <v>5195</v>
      </c>
      <c r="X218" s="324" t="s">
        <v>8</v>
      </c>
      <c r="Y218" s="324" t="s">
        <v>61</v>
      </c>
      <c r="Z218" s="319"/>
      <c r="AA218" s="324" t="s">
        <v>4696</v>
      </c>
      <c r="AB218" s="324" t="s">
        <v>4697</v>
      </c>
      <c r="AC218" s="319"/>
      <c r="AD218" s="319"/>
      <c r="AE218" s="319"/>
      <c r="AF218" s="319"/>
      <c r="AG218" s="319"/>
      <c r="AH218" s="319"/>
      <c r="AI218" s="319"/>
      <c r="AJ218" s="319"/>
      <c r="AK218" s="319"/>
      <c r="AL218" s="319"/>
      <c r="AM218" s="137" t="str">
        <f t="shared" si="92"/>
        <v>uart_4</v>
      </c>
    </row>
    <row r="219" spans="1:39" ht="11.25" x14ac:dyDescent="0.2">
      <c r="A219" s="207" t="s">
        <v>5347</v>
      </c>
      <c r="B219" s="207" t="s">
        <v>16</v>
      </c>
      <c r="C219" s="209" t="str">
        <f t="shared" si="95"/>
        <v>uart lvcmos io</v>
      </c>
      <c r="D219" s="227">
        <f t="shared" si="95"/>
        <v>44499</v>
      </c>
      <c r="E219" s="207" t="str">
        <f t="shared" si="95"/>
        <v>7 lvcmos io</v>
      </c>
      <c r="F219" s="207" t="str">
        <f t="shared" si="95"/>
        <v>uart</v>
      </c>
      <c r="G219" s="209">
        <v>1</v>
      </c>
      <c r="H219" s="216">
        <f t="shared" ca="1" si="91"/>
        <v>0</v>
      </c>
      <c r="I219" s="228" t="s">
        <v>4872</v>
      </c>
      <c r="J219" s="229"/>
      <c r="K219" s="207" t="str">
        <f ca="1">IFERROR(INDEX(INDIRECT(uc_sheet&amp;"!$A$1"):INDIRECT(uc_sheet&amp;"!$CZ$1000"),MATCH($A219&amp;$B219,INDIRECT(uc_sheet&amp;"!$a$1"):INDIRECT(uc_sheet&amp;"!$a$1000"),0),MATCH(use_case,INDIRECT(uc_sheet&amp;"!$A$1"):INDIRECT(uc_sheet&amp;"!$CZ$1"),0)+1),"absent")</f>
        <v>absent</v>
      </c>
      <c r="L219" s="224">
        <f ca="1">IFERROR(INDEX(INDIRECT(uc_sheet&amp;"!$A$1"):INDIRECT(uc_sheet&amp;"!$CZ$1000"),MATCH($A219&amp;$B219,INDIRECT(uc_sheet&amp;"!$a$1"):INDIRECT(uc_sheet&amp;"!$a$1000"),0),MATCH(use_case,INDIRECT(uc_sheet&amp;"!$A$1"):INDIRECT(uc_sheet&amp;"!$CZ$1"),0)),0)</f>
        <v>0</v>
      </c>
      <c r="M219" s="209">
        <f t="shared" si="86"/>
        <v>4</v>
      </c>
      <c r="N219" s="319"/>
      <c r="O219" s="323">
        <f t="shared" ca="1" si="87"/>
        <v>0</v>
      </c>
      <c r="P219" s="319"/>
      <c r="Q219" s="319"/>
      <c r="R219" s="319"/>
      <c r="S219" s="319"/>
      <c r="T219" s="323">
        <f t="shared" ca="1" si="88"/>
        <v>0</v>
      </c>
      <c r="U219" s="319"/>
      <c r="V219" s="323">
        <f t="shared" ca="1" si="89"/>
        <v>0</v>
      </c>
      <c r="W219" s="324" t="s">
        <v>5195</v>
      </c>
      <c r="X219" s="324" t="s">
        <v>8</v>
      </c>
      <c r="Y219" s="324" t="s">
        <v>61</v>
      </c>
      <c r="Z219" s="319"/>
      <c r="AA219" s="324" t="s">
        <v>4696</v>
      </c>
      <c r="AB219" s="324" t="s">
        <v>4697</v>
      </c>
      <c r="AC219" s="319"/>
      <c r="AD219" s="319"/>
      <c r="AE219" s="319"/>
      <c r="AF219" s="319"/>
      <c r="AG219" s="319"/>
      <c r="AH219" s="319"/>
      <c r="AI219" s="319"/>
      <c r="AJ219" s="319"/>
      <c r="AK219" s="319"/>
      <c r="AL219" s="319"/>
      <c r="AM219" s="137" t="str">
        <f t="shared" si="92"/>
        <v>uart_5</v>
      </c>
    </row>
    <row r="220" spans="1:39" ht="11.25" x14ac:dyDescent="0.2">
      <c r="A220" s="207" t="s">
        <v>5347</v>
      </c>
      <c r="B220" s="207" t="s">
        <v>17</v>
      </c>
      <c r="C220" s="209" t="str">
        <f t="shared" si="95"/>
        <v>uart lvcmos io</v>
      </c>
      <c r="D220" s="227">
        <f t="shared" si="95"/>
        <v>44499</v>
      </c>
      <c r="E220" s="207" t="str">
        <f t="shared" si="95"/>
        <v>7 lvcmos io</v>
      </c>
      <c r="F220" s="207" t="str">
        <f t="shared" si="95"/>
        <v>uart</v>
      </c>
      <c r="G220" s="209">
        <v>0</v>
      </c>
      <c r="H220" s="216">
        <f t="shared" ca="1" si="91"/>
        <v>0</v>
      </c>
      <c r="I220" s="228" t="s">
        <v>4872</v>
      </c>
      <c r="J220" s="229"/>
      <c r="K220" s="207" t="str">
        <f ca="1">IFERROR(INDEX(INDIRECT(uc_sheet&amp;"!$A$1"):INDIRECT(uc_sheet&amp;"!$CZ$1000"),MATCH($A220&amp;$B220,INDIRECT(uc_sheet&amp;"!$a$1"):INDIRECT(uc_sheet&amp;"!$a$1000"),0),MATCH(use_case,INDIRECT(uc_sheet&amp;"!$A$1"):INDIRECT(uc_sheet&amp;"!$CZ$1"),0)+1),"absent")</f>
        <v>absent</v>
      </c>
      <c r="L220" s="224">
        <f ca="1">IFERROR(INDEX(INDIRECT(uc_sheet&amp;"!$A$1"):INDIRECT(uc_sheet&amp;"!$CZ$1000"),MATCH($A220&amp;$B220,INDIRECT(uc_sheet&amp;"!$a$1"):INDIRECT(uc_sheet&amp;"!$a$1000"),0),MATCH(use_case,INDIRECT(uc_sheet&amp;"!$A$1"):INDIRECT(uc_sheet&amp;"!$CZ$1"),0)),0)</f>
        <v>0</v>
      </c>
      <c r="M220" s="209">
        <f t="shared" si="86"/>
        <v>0</v>
      </c>
      <c r="N220" s="319"/>
      <c r="O220" s="323">
        <f t="shared" ca="1" si="87"/>
        <v>0</v>
      </c>
      <c r="P220" s="319"/>
      <c r="Q220" s="319"/>
      <c r="R220" s="319"/>
      <c r="S220" s="319"/>
      <c r="T220" s="323">
        <f t="shared" ca="1" si="88"/>
        <v>0</v>
      </c>
      <c r="U220" s="319"/>
      <c r="V220" s="323">
        <f t="shared" ca="1" si="89"/>
        <v>0</v>
      </c>
      <c r="W220" s="324" t="s">
        <v>5195</v>
      </c>
      <c r="X220" s="324" t="s">
        <v>8</v>
      </c>
      <c r="Y220" s="324" t="s">
        <v>61</v>
      </c>
      <c r="Z220" s="319"/>
      <c r="AA220" s="324" t="s">
        <v>4696</v>
      </c>
      <c r="AB220" s="324" t="s">
        <v>4697</v>
      </c>
      <c r="AC220" s="319"/>
      <c r="AD220" s="319"/>
      <c r="AE220" s="319"/>
      <c r="AF220" s="319"/>
      <c r="AG220" s="319"/>
      <c r="AH220" s="319"/>
      <c r="AI220" s="319"/>
      <c r="AJ220" s="319"/>
      <c r="AK220" s="319"/>
      <c r="AL220" s="319"/>
      <c r="AM220" s="137" t="str">
        <f t="shared" si="92"/>
        <v>uart_6</v>
      </c>
    </row>
    <row r="221" spans="1:39" ht="11.25" x14ac:dyDescent="0.2">
      <c r="A221" s="207" t="s">
        <v>5347</v>
      </c>
      <c r="B221" s="207" t="s">
        <v>18</v>
      </c>
      <c r="C221" s="209" t="str">
        <f t="shared" si="95"/>
        <v>uart lvcmos io</v>
      </c>
      <c r="D221" s="227">
        <f t="shared" si="95"/>
        <v>44499</v>
      </c>
      <c r="E221" s="207" t="str">
        <f t="shared" si="95"/>
        <v>7 lvcmos io</v>
      </c>
      <c r="F221" s="207" t="str">
        <f t="shared" si="95"/>
        <v>uart</v>
      </c>
      <c r="G221" s="209">
        <v>0</v>
      </c>
      <c r="H221" s="216">
        <f t="shared" ca="1" si="91"/>
        <v>0</v>
      </c>
      <c r="I221" s="228" t="s">
        <v>4872</v>
      </c>
      <c r="J221" s="229"/>
      <c r="K221" s="207" t="str">
        <f ca="1">IFERROR(INDEX(INDIRECT(uc_sheet&amp;"!$A$1"):INDIRECT(uc_sheet&amp;"!$CZ$1000"),MATCH($A221&amp;$B221,INDIRECT(uc_sheet&amp;"!$a$1"):INDIRECT(uc_sheet&amp;"!$a$1000"),0),MATCH(use_case,INDIRECT(uc_sheet&amp;"!$A$1"):INDIRECT(uc_sheet&amp;"!$CZ$1"),0)+1),"absent")</f>
        <v>absent</v>
      </c>
      <c r="L221" s="224">
        <f ca="1">IFERROR(INDEX(INDIRECT(uc_sheet&amp;"!$A$1"):INDIRECT(uc_sheet&amp;"!$CZ$1000"),MATCH($A221&amp;$B221,INDIRECT(uc_sheet&amp;"!$a$1"):INDIRECT(uc_sheet&amp;"!$a$1000"),0),MATCH(use_case,INDIRECT(uc_sheet&amp;"!$A$1"):INDIRECT(uc_sheet&amp;"!$CZ$1"),0)),0)</f>
        <v>0</v>
      </c>
      <c r="M221" s="209">
        <f t="shared" si="86"/>
        <v>0</v>
      </c>
      <c r="N221" s="319"/>
      <c r="O221" s="323">
        <f t="shared" ca="1" si="87"/>
        <v>0</v>
      </c>
      <c r="P221" s="319"/>
      <c r="Q221" s="319"/>
      <c r="R221" s="319"/>
      <c r="S221" s="319"/>
      <c r="T221" s="323">
        <f t="shared" ca="1" si="88"/>
        <v>0</v>
      </c>
      <c r="U221" s="319"/>
      <c r="V221" s="323">
        <f t="shared" ca="1" si="89"/>
        <v>0</v>
      </c>
      <c r="W221" s="324" t="s">
        <v>5195</v>
      </c>
      <c r="X221" s="324" t="s">
        <v>8</v>
      </c>
      <c r="Y221" s="324" t="s">
        <v>61</v>
      </c>
      <c r="Z221" s="319"/>
      <c r="AA221" s="324" t="s">
        <v>4696</v>
      </c>
      <c r="AB221" s="324" t="s">
        <v>4697</v>
      </c>
      <c r="AC221" s="319"/>
      <c r="AD221" s="319"/>
      <c r="AE221" s="319"/>
      <c r="AF221" s="319"/>
      <c r="AG221" s="319"/>
      <c r="AH221" s="319"/>
      <c r="AI221" s="319"/>
      <c r="AJ221" s="319"/>
      <c r="AK221" s="319"/>
      <c r="AL221" s="319"/>
      <c r="AM221" s="137" t="str">
        <f t="shared" si="92"/>
        <v>uart_7</v>
      </c>
    </row>
    <row r="222" spans="1:39" ht="11.25" x14ac:dyDescent="0.2">
      <c r="A222" s="207" t="s">
        <v>5347</v>
      </c>
      <c r="B222" s="207" t="s">
        <v>19</v>
      </c>
      <c r="C222" s="209" t="str">
        <f t="shared" si="95"/>
        <v>uart lvcmos io</v>
      </c>
      <c r="D222" s="227">
        <f t="shared" si="95"/>
        <v>44499</v>
      </c>
      <c r="E222" s="207" t="str">
        <f t="shared" si="95"/>
        <v>7 lvcmos io</v>
      </c>
      <c r="F222" s="207" t="str">
        <f t="shared" si="95"/>
        <v>uart</v>
      </c>
      <c r="G222" s="209">
        <v>0</v>
      </c>
      <c r="H222" s="216">
        <f t="shared" ca="1" si="91"/>
        <v>0</v>
      </c>
      <c r="I222" s="228" t="s">
        <v>4872</v>
      </c>
      <c r="J222" s="229"/>
      <c r="K222" s="207" t="str">
        <f ca="1">IFERROR(INDEX(INDIRECT(uc_sheet&amp;"!$A$1"):INDIRECT(uc_sheet&amp;"!$CZ$1000"),MATCH($A222&amp;$B222,INDIRECT(uc_sheet&amp;"!$a$1"):INDIRECT(uc_sheet&amp;"!$a$1000"),0),MATCH(use_case,INDIRECT(uc_sheet&amp;"!$A$1"):INDIRECT(uc_sheet&amp;"!$CZ$1"),0)+1),"absent")</f>
        <v>absent</v>
      </c>
      <c r="L222" s="224">
        <f ca="1">IFERROR(INDEX(INDIRECT(uc_sheet&amp;"!$A$1"):INDIRECT(uc_sheet&amp;"!$CZ$1000"),MATCH($A222&amp;$B222,INDIRECT(uc_sheet&amp;"!$a$1"):INDIRECT(uc_sheet&amp;"!$a$1000"),0),MATCH(use_case,INDIRECT(uc_sheet&amp;"!$A$1"):INDIRECT(uc_sheet&amp;"!$CZ$1"),0)),0)</f>
        <v>0</v>
      </c>
      <c r="M222" s="209">
        <f t="shared" si="86"/>
        <v>0</v>
      </c>
      <c r="N222" s="319"/>
      <c r="O222" s="323">
        <f t="shared" ca="1" si="87"/>
        <v>0</v>
      </c>
      <c r="P222" s="319"/>
      <c r="Q222" s="319"/>
      <c r="R222" s="319"/>
      <c r="S222" s="319"/>
      <c r="T222" s="323">
        <f t="shared" ca="1" si="88"/>
        <v>0</v>
      </c>
      <c r="U222" s="319"/>
      <c r="V222" s="323">
        <f t="shared" ca="1" si="89"/>
        <v>0</v>
      </c>
      <c r="W222" s="324" t="s">
        <v>5195</v>
      </c>
      <c r="X222" s="324" t="s">
        <v>8</v>
      </c>
      <c r="Y222" s="324" t="s">
        <v>61</v>
      </c>
      <c r="Z222" s="319"/>
      <c r="AA222" s="324" t="s">
        <v>4696</v>
      </c>
      <c r="AB222" s="324" t="s">
        <v>4697</v>
      </c>
      <c r="AC222" s="319"/>
      <c r="AD222" s="319"/>
      <c r="AE222" s="319"/>
      <c r="AF222" s="319"/>
      <c r="AG222" s="319"/>
      <c r="AH222" s="319"/>
      <c r="AI222" s="319"/>
      <c r="AJ222" s="319"/>
      <c r="AK222" s="319"/>
      <c r="AL222" s="319"/>
      <c r="AM222" s="137" t="str">
        <f t="shared" si="92"/>
        <v>uart_8</v>
      </c>
    </row>
    <row r="223" spans="1:39" ht="11.25" x14ac:dyDescent="0.2">
      <c r="A223" s="207" t="s">
        <v>5347</v>
      </c>
      <c r="B223" s="207" t="s">
        <v>22</v>
      </c>
      <c r="C223" s="209" t="str">
        <f t="shared" si="95"/>
        <v>uart lvcmos io</v>
      </c>
      <c r="D223" s="227">
        <f t="shared" si="95"/>
        <v>44499</v>
      </c>
      <c r="E223" s="207" t="str">
        <f t="shared" si="95"/>
        <v>7 lvcmos io</v>
      </c>
      <c r="F223" s="207" t="str">
        <f t="shared" si="95"/>
        <v>uart</v>
      </c>
      <c r="G223" s="209">
        <v>0</v>
      </c>
      <c r="H223" s="216">
        <f t="shared" ca="1" si="91"/>
        <v>0</v>
      </c>
      <c r="I223" s="228" t="s">
        <v>4872</v>
      </c>
      <c r="J223" s="229"/>
      <c r="K223" s="207" t="str">
        <f ca="1">IFERROR(INDEX(INDIRECT(uc_sheet&amp;"!$A$1"):INDIRECT(uc_sheet&amp;"!$CZ$1000"),MATCH($A223&amp;$B223,INDIRECT(uc_sheet&amp;"!$a$1"):INDIRECT(uc_sheet&amp;"!$a$1000"),0),MATCH(use_case,INDIRECT(uc_sheet&amp;"!$A$1"):INDIRECT(uc_sheet&amp;"!$CZ$1"),0)+1),"absent")</f>
        <v>absent</v>
      </c>
      <c r="L223" s="224">
        <f ca="1">IFERROR(INDEX(INDIRECT(uc_sheet&amp;"!$A$1"):INDIRECT(uc_sheet&amp;"!$CZ$1000"),MATCH($A223&amp;$B223,INDIRECT(uc_sheet&amp;"!$a$1"):INDIRECT(uc_sheet&amp;"!$a$1000"),0),MATCH(use_case,INDIRECT(uc_sheet&amp;"!$A$1"):INDIRECT(uc_sheet&amp;"!$CZ$1"),0)),0)</f>
        <v>0</v>
      </c>
      <c r="M223" s="209">
        <f t="shared" si="86"/>
        <v>0</v>
      </c>
      <c r="N223" s="319"/>
      <c r="O223" s="323">
        <f t="shared" ca="1" si="87"/>
        <v>0</v>
      </c>
      <c r="P223" s="319"/>
      <c r="Q223" s="319"/>
      <c r="R223" s="319"/>
      <c r="S223" s="319"/>
      <c r="T223" s="323">
        <f t="shared" ca="1" si="88"/>
        <v>0</v>
      </c>
      <c r="U223" s="319"/>
      <c r="V223" s="323">
        <f t="shared" ca="1" si="89"/>
        <v>0</v>
      </c>
      <c r="W223" s="324" t="s">
        <v>5195</v>
      </c>
      <c r="X223" s="324" t="s">
        <v>8</v>
      </c>
      <c r="Y223" s="324" t="s">
        <v>61</v>
      </c>
      <c r="Z223" s="319"/>
      <c r="AA223" s="324" t="s">
        <v>4696</v>
      </c>
      <c r="AB223" s="324" t="s">
        <v>4697</v>
      </c>
      <c r="AC223" s="319"/>
      <c r="AD223" s="319"/>
      <c r="AE223" s="319"/>
      <c r="AF223" s="319"/>
      <c r="AG223" s="319"/>
      <c r="AH223" s="319"/>
      <c r="AI223" s="319"/>
      <c r="AJ223" s="319"/>
      <c r="AK223" s="319"/>
      <c r="AL223" s="319"/>
      <c r="AM223" s="137" t="str">
        <f t="shared" si="92"/>
        <v>uart_9</v>
      </c>
    </row>
    <row r="225" spans="1:6" ht="15" x14ac:dyDescent="0.25">
      <c r="A225" s="42" t="s">
        <v>5926</v>
      </c>
      <c r="B225" s="22" t="s">
        <v>5927</v>
      </c>
      <c r="C225" s="22"/>
      <c r="D225" s="22"/>
    </row>
    <row r="226" spans="1:6" ht="15" x14ac:dyDescent="0.25">
      <c r="A226" s="43" t="s">
        <v>123</v>
      </c>
      <c r="B226" s="22"/>
      <c r="C226" s="22"/>
      <c r="D226" s="22"/>
    </row>
    <row r="227" spans="1:6" ht="15" x14ac:dyDescent="0.25">
      <c r="A227" s="43" t="s">
        <v>114</v>
      </c>
      <c r="B227" s="22"/>
      <c r="C227" s="22"/>
      <c r="D227" s="22" t="s">
        <v>6553</v>
      </c>
      <c r="E227" s="333">
        <f>SUM(H6,H7)</f>
        <v>450.76866268076122</v>
      </c>
    </row>
    <row r="228" spans="1:6" ht="15" x14ac:dyDescent="0.25">
      <c r="A228" s="43" t="s">
        <v>113</v>
      </c>
      <c r="B228" s="22"/>
      <c r="C228" s="22"/>
      <c r="D228" s="22" t="s">
        <v>6554</v>
      </c>
      <c r="E228" s="333">
        <f>SUM(H9,H31,H27)</f>
        <v>731.0492377803688</v>
      </c>
    </row>
    <row r="229" spans="1:6" ht="15" x14ac:dyDescent="0.25">
      <c r="A229" s="22"/>
      <c r="B229" s="22"/>
      <c r="C229" s="22"/>
      <c r="D229" s="22" t="s">
        <v>6555</v>
      </c>
      <c r="E229" s="333">
        <f ca="1">SUM(H19,H20,H32,H34,H36,H38,H39,H40,H43,H44,H45,H46,H47,H48,H49,H72,H73,H74,H75,H85,H97,H99,H98,H100,H101,H102,H103,H104,H122,H124:H223,H123)</f>
        <v>206.29839547451479</v>
      </c>
      <c r="F229" s="10" t="s">
        <v>6556</v>
      </c>
    </row>
    <row r="230" spans="1:6" ht="15" x14ac:dyDescent="0.25">
      <c r="A230" s="2" t="s">
        <v>5928</v>
      </c>
      <c r="B230" s="22"/>
      <c r="C230" s="22"/>
      <c r="D230" s="22" t="s">
        <v>4</v>
      </c>
      <c r="E230" s="333">
        <f ca="1">SUM(E227:E229)</f>
        <v>1388.1162959356448</v>
      </c>
    </row>
    <row r="231" spans="1:6" ht="15" x14ac:dyDescent="0.25">
      <c r="A231" s="270">
        <v>1.1499999999999995</v>
      </c>
      <c r="B231" s="22"/>
      <c r="C231" s="22"/>
      <c r="D231" s="22"/>
    </row>
    <row r="232" spans="1:6" ht="15" x14ac:dyDescent="0.25">
      <c r="A232" s="270">
        <v>1.1749999999999994</v>
      </c>
      <c r="B232" s="22">
        <v>1.18</v>
      </c>
      <c r="C232" s="22"/>
      <c r="D232" s="22"/>
    </row>
    <row r="233" spans="1:6" ht="15" x14ac:dyDescent="0.25">
      <c r="A233" s="270">
        <v>1.1999999999999993</v>
      </c>
      <c r="B233" s="22"/>
      <c r="C233" s="22"/>
      <c r="D233" s="22"/>
    </row>
    <row r="234" spans="1:6" ht="15" x14ac:dyDescent="0.25">
      <c r="A234" s="43">
        <v>1.2250000000000001</v>
      </c>
      <c r="B234" s="22"/>
      <c r="C234" s="22"/>
      <c r="D234" s="22"/>
    </row>
    <row r="235" spans="1:6" ht="15" x14ac:dyDescent="0.25">
      <c r="A235" s="270">
        <v>1.25</v>
      </c>
      <c r="B235" s="22"/>
      <c r="C235" s="22"/>
      <c r="D235" s="22"/>
    </row>
    <row r="236" spans="1:6" ht="15" x14ac:dyDescent="0.25">
      <c r="A236" s="22"/>
      <c r="B236" s="22"/>
      <c r="C236" s="22"/>
      <c r="D236" s="22"/>
    </row>
    <row r="237" spans="1:6" ht="15" x14ac:dyDescent="0.25">
      <c r="A237" s="42" t="s">
        <v>122</v>
      </c>
      <c r="B237" s="22" t="s">
        <v>5929</v>
      </c>
      <c r="C237" s="22"/>
      <c r="D237" s="22"/>
    </row>
    <row r="238" spans="1:6" ht="15" x14ac:dyDescent="0.25">
      <c r="A238" s="43">
        <v>-40</v>
      </c>
      <c r="B238" s="22"/>
      <c r="C238" s="22"/>
      <c r="D238" s="22"/>
    </row>
    <row r="239" spans="1:6" ht="15" x14ac:dyDescent="0.25">
      <c r="A239" s="43">
        <v>-20</v>
      </c>
      <c r="B239" s="22"/>
      <c r="C239" s="22"/>
      <c r="D239" s="22"/>
    </row>
    <row r="240" spans="1:6" ht="15" x14ac:dyDescent="0.25">
      <c r="A240" s="43">
        <v>0</v>
      </c>
      <c r="B240" s="22"/>
      <c r="C240" s="22"/>
      <c r="D240" s="22"/>
    </row>
    <row r="241" spans="1:4" ht="15" x14ac:dyDescent="0.25">
      <c r="A241" s="43">
        <v>25</v>
      </c>
      <c r="B241" s="22"/>
      <c r="C241" s="22"/>
      <c r="D241" s="22"/>
    </row>
    <row r="242" spans="1:4" ht="15" x14ac:dyDescent="0.25">
      <c r="A242" s="43">
        <v>50</v>
      </c>
      <c r="B242" s="22"/>
      <c r="C242" s="22"/>
      <c r="D242" s="22"/>
    </row>
    <row r="243" spans="1:4" ht="15" x14ac:dyDescent="0.25">
      <c r="A243" s="43">
        <v>75</v>
      </c>
      <c r="B243" s="22"/>
      <c r="C243" s="22"/>
      <c r="D243" s="22"/>
    </row>
    <row r="244" spans="1:4" ht="15" x14ac:dyDescent="0.25">
      <c r="A244" s="43">
        <v>85</v>
      </c>
      <c r="B244" s="22"/>
      <c r="C244" s="22"/>
      <c r="D244" s="22"/>
    </row>
    <row r="245" spans="1:4" ht="15" x14ac:dyDescent="0.25">
      <c r="A245" s="43">
        <v>100</v>
      </c>
      <c r="B245" s="22"/>
      <c r="C245" s="22"/>
      <c r="D245" s="22"/>
    </row>
    <row r="246" spans="1:4" ht="15" x14ac:dyDescent="0.25">
      <c r="A246" s="43">
        <v>105</v>
      </c>
      <c r="B246" s="22"/>
      <c r="C246" s="22"/>
      <c r="D246" s="22"/>
    </row>
    <row r="247" spans="1:4" ht="15" x14ac:dyDescent="0.25">
      <c r="A247" s="43">
        <v>125</v>
      </c>
      <c r="B247" s="22"/>
      <c r="C247" s="22"/>
      <c r="D247" s="22"/>
    </row>
    <row r="248" spans="1:4" ht="15" x14ac:dyDescent="0.25">
      <c r="A248" s="43">
        <v>140</v>
      </c>
      <c r="B248" s="22"/>
      <c r="C248" s="22"/>
      <c r="D248" s="22"/>
    </row>
    <row r="249" spans="1:4" ht="15" x14ac:dyDescent="0.25">
      <c r="A249" s="43">
        <v>150</v>
      </c>
      <c r="B249" s="22"/>
      <c r="C249" s="22"/>
      <c r="D249" s="22"/>
    </row>
    <row r="250" spans="1:4" ht="15" x14ac:dyDescent="0.25">
      <c r="A250" s="138"/>
      <c r="B250" s="22"/>
      <c r="C250" s="22"/>
      <c r="D250" s="22"/>
    </row>
    <row r="251" spans="1:4" ht="15" x14ac:dyDescent="0.25">
      <c r="A251" s="42" t="s">
        <v>122</v>
      </c>
      <c r="B251" s="22"/>
      <c r="C251" s="22"/>
      <c r="D251" s="22"/>
    </row>
    <row r="252" spans="1:4" ht="15" x14ac:dyDescent="0.25">
      <c r="A252" s="43">
        <v>25</v>
      </c>
      <c r="B252" s="22"/>
      <c r="C252" s="22"/>
      <c r="D252" s="22"/>
    </row>
    <row r="253" spans="1:4" ht="15" x14ac:dyDescent="0.25">
      <c r="A253" s="43">
        <v>125</v>
      </c>
      <c r="B253" s="22"/>
      <c r="C253" s="22"/>
      <c r="D253" s="22"/>
    </row>
    <row r="254" spans="1:4" ht="15" x14ac:dyDescent="0.25">
      <c r="A254" s="138"/>
      <c r="B254" s="22"/>
      <c r="C254" s="22"/>
      <c r="D254" s="22"/>
    </row>
    <row r="255" spans="1:4" ht="15" x14ac:dyDescent="0.25">
      <c r="A255" s="138" t="s">
        <v>6561</v>
      </c>
      <c r="B255" s="22"/>
      <c r="C255" s="22"/>
      <c r="D255" s="22"/>
    </row>
    <row r="256" spans="1:4" ht="15" x14ac:dyDescent="0.25">
      <c r="A256" s="138" t="s">
        <v>6562</v>
      </c>
      <c r="B256" s="22"/>
      <c r="C256" s="22"/>
      <c r="D256" s="22"/>
    </row>
    <row r="257" spans="1:4" ht="15" x14ac:dyDescent="0.25">
      <c r="A257" s="138" t="s">
        <v>6559</v>
      </c>
      <c r="B257" s="22"/>
      <c r="C257" s="22"/>
      <c r="D257" s="22"/>
    </row>
    <row r="258" spans="1:4" ht="15" x14ac:dyDescent="0.25">
      <c r="A258" s="138"/>
      <c r="B258" s="22"/>
      <c r="C258" s="22"/>
      <c r="D258" s="22"/>
    </row>
    <row r="259" spans="1:4" ht="15" x14ac:dyDescent="0.25">
      <c r="A259" s="42" t="s">
        <v>6199</v>
      </c>
      <c r="B259" s="22" t="s">
        <v>6200</v>
      </c>
      <c r="C259" s="22"/>
      <c r="D259" s="22"/>
    </row>
    <row r="260" spans="1:4" ht="15" x14ac:dyDescent="0.25">
      <c r="A260" s="43" t="s">
        <v>4798</v>
      </c>
      <c r="B260" s="22"/>
      <c r="C260" s="22"/>
      <c r="D260" s="22"/>
    </row>
    <row r="261" spans="1:4" ht="15" x14ac:dyDescent="0.25">
      <c r="A261" s="43" t="s">
        <v>5159</v>
      </c>
      <c r="B261" s="22"/>
      <c r="C261" s="22"/>
      <c r="D261" s="22"/>
    </row>
    <row r="262" spans="1:4" ht="15" x14ac:dyDescent="0.25">
      <c r="A262" s="138"/>
      <c r="B262" s="22"/>
      <c r="C262" s="22"/>
      <c r="D262" s="22"/>
    </row>
    <row r="263" spans="1:4" ht="15" x14ac:dyDescent="0.25">
      <c r="A263" s="22"/>
      <c r="B263" s="22"/>
      <c r="C263" s="22"/>
      <c r="D263" s="22"/>
    </row>
    <row r="264" spans="1:4" ht="15" x14ac:dyDescent="0.25">
      <c r="A264" s="22"/>
      <c r="B264" s="22"/>
      <c r="C264" s="22"/>
      <c r="D264" s="22"/>
    </row>
    <row r="265" spans="1:4" ht="15" x14ac:dyDescent="0.25">
      <c r="A265" s="42" t="s">
        <v>4847</v>
      </c>
      <c r="B265" s="22" t="s">
        <v>4848</v>
      </c>
      <c r="C265" s="22"/>
      <c r="D265" s="22"/>
    </row>
    <row r="266" spans="1:4" ht="15" x14ac:dyDescent="0.25">
      <c r="A266" s="43" t="s">
        <v>5925</v>
      </c>
      <c r="B266" s="22"/>
      <c r="C266" s="22"/>
      <c r="D266" s="22"/>
    </row>
    <row r="267" spans="1:4" ht="15" x14ac:dyDescent="0.25">
      <c r="A267" s="43" t="s">
        <v>4731</v>
      </c>
      <c r="B267" s="22"/>
      <c r="C267" s="22"/>
      <c r="D267" s="22"/>
    </row>
    <row r="268" spans="1:4" ht="15" x14ac:dyDescent="0.25">
      <c r="A268" s="43" t="s">
        <v>4680</v>
      </c>
      <c r="B268" s="22"/>
      <c r="C268" s="22"/>
      <c r="D268" s="22"/>
    </row>
    <row r="269" spans="1:4" ht="15" x14ac:dyDescent="0.25">
      <c r="A269" s="43" t="s">
        <v>5999</v>
      </c>
      <c r="B269" s="22"/>
      <c r="C269" s="22"/>
      <c r="D269" s="22"/>
    </row>
    <row r="270" spans="1:4" ht="15" x14ac:dyDescent="0.25">
      <c r="A270" s="43" t="s">
        <v>6269</v>
      </c>
      <c r="B270" s="22"/>
      <c r="C270" s="22"/>
      <c r="D270" s="22"/>
    </row>
    <row r="271" spans="1:4" ht="15" x14ac:dyDescent="0.25">
      <c r="A271" s="43" t="s">
        <v>6053</v>
      </c>
      <c r="B271" s="22"/>
      <c r="C271" s="22"/>
      <c r="D271" s="22"/>
    </row>
    <row r="272" spans="1:4" ht="15" x14ac:dyDescent="0.25">
      <c r="A272" s="43" t="s">
        <v>4709</v>
      </c>
      <c r="B272" s="22"/>
      <c r="C272" s="22"/>
      <c r="D272" s="22"/>
    </row>
    <row r="273" spans="1:4" ht="15" x14ac:dyDescent="0.25">
      <c r="A273" s="22"/>
      <c r="B273" s="22"/>
      <c r="C273" s="22"/>
      <c r="D273" s="22"/>
    </row>
    <row r="274" spans="1:4" ht="15" x14ac:dyDescent="0.25">
      <c r="A274" s="42" t="s">
        <v>5176</v>
      </c>
      <c r="B274" s="22" t="s">
        <v>42</v>
      </c>
      <c r="C274" s="22"/>
      <c r="D274" s="22"/>
    </row>
    <row r="275" spans="1:4" ht="15" x14ac:dyDescent="0.25">
      <c r="A275" s="43" t="s">
        <v>5890</v>
      </c>
      <c r="B275" s="22" t="s">
        <v>4850</v>
      </c>
      <c r="C275" s="22"/>
      <c r="D275" s="22"/>
    </row>
    <row r="276" spans="1:4" ht="15" x14ac:dyDescent="0.25">
      <c r="A276" s="43" t="s">
        <v>5891</v>
      </c>
      <c r="B276" s="22" t="s">
        <v>4851</v>
      </c>
      <c r="C276" s="22"/>
      <c r="D276" s="22"/>
    </row>
    <row r="277" spans="1:4" ht="15" x14ac:dyDescent="0.25">
      <c r="A277" s="43" t="s">
        <v>5892</v>
      </c>
      <c r="B277" s="22" t="s">
        <v>4852</v>
      </c>
      <c r="C277" s="22"/>
      <c r="D277" s="22"/>
    </row>
    <row r="278" spans="1:4" ht="15" x14ac:dyDescent="0.25">
      <c r="A278" s="43" t="s">
        <v>5889</v>
      </c>
      <c r="B278" s="22"/>
      <c r="C278" s="22"/>
      <c r="D278" s="22"/>
    </row>
    <row r="279" spans="1:4" ht="15" x14ac:dyDescent="0.25">
      <c r="A279" s="43" t="s">
        <v>4798</v>
      </c>
      <c r="B279" s="22"/>
      <c r="C279" s="22"/>
      <c r="D279" s="22"/>
    </row>
    <row r="280" spans="1:4" ht="15" x14ac:dyDescent="0.25">
      <c r="A280" s="22"/>
      <c r="B280" s="22"/>
      <c r="C280" s="22"/>
      <c r="D280" s="22"/>
    </row>
    <row r="281" spans="1:4" ht="15" x14ac:dyDescent="0.25">
      <c r="A281" s="42" t="s">
        <v>5175</v>
      </c>
      <c r="B281" s="22" t="s">
        <v>42</v>
      </c>
      <c r="C281" s="22"/>
      <c r="D281" s="22"/>
    </row>
    <row r="282" spans="1:4" ht="15" x14ac:dyDescent="0.25">
      <c r="A282" s="43" t="s">
        <v>4798</v>
      </c>
      <c r="B282" s="22" t="s">
        <v>4850</v>
      </c>
      <c r="C282" s="22"/>
      <c r="D282" s="22"/>
    </row>
    <row r="283" spans="1:4" ht="15" x14ac:dyDescent="0.25">
      <c r="A283" s="43" t="s">
        <v>5893</v>
      </c>
      <c r="B283" s="22" t="s">
        <v>4851</v>
      </c>
      <c r="C283" s="22"/>
      <c r="D283" s="22"/>
    </row>
    <row r="284" spans="1:4" ht="15" x14ac:dyDescent="0.25">
      <c r="A284" s="43" t="s">
        <v>5894</v>
      </c>
      <c r="B284" s="22" t="s">
        <v>4852</v>
      </c>
      <c r="C284" s="22"/>
      <c r="D284" s="22"/>
    </row>
    <row r="285" spans="1:4" ht="15" x14ac:dyDescent="0.25">
      <c r="A285" s="43" t="s">
        <v>5895</v>
      </c>
      <c r="B285" s="22"/>
      <c r="C285" s="22"/>
      <c r="D285" s="22"/>
    </row>
    <row r="286" spans="1:4" ht="15" x14ac:dyDescent="0.25">
      <c r="A286" s="43" t="s">
        <v>5896</v>
      </c>
      <c r="B286" s="22"/>
      <c r="C286" s="22"/>
      <c r="D286" s="22"/>
    </row>
    <row r="287" spans="1:4" ht="15" x14ac:dyDescent="0.25">
      <c r="A287" s="22"/>
      <c r="B287" s="22"/>
      <c r="C287" s="22"/>
      <c r="D287" s="22"/>
    </row>
    <row r="288" spans="1:4" ht="15" x14ac:dyDescent="0.25">
      <c r="A288" s="42" t="s">
        <v>5177</v>
      </c>
      <c r="B288" s="22" t="s">
        <v>4853</v>
      </c>
      <c r="C288" s="22"/>
      <c r="D288" s="22"/>
    </row>
    <row r="289" spans="1:4" ht="15" x14ac:dyDescent="0.25">
      <c r="A289" s="44" t="s">
        <v>4798</v>
      </c>
      <c r="B289" s="22" t="s">
        <v>5178</v>
      </c>
      <c r="C289" s="22"/>
      <c r="D289" s="22"/>
    </row>
    <row r="290" spans="1:4" ht="15" x14ac:dyDescent="0.25">
      <c r="A290" s="44" t="s">
        <v>5897</v>
      </c>
      <c r="B290" s="22"/>
      <c r="C290" s="22"/>
      <c r="D290" s="22"/>
    </row>
    <row r="291" spans="1:4" ht="15" x14ac:dyDescent="0.25">
      <c r="A291" s="44" t="s">
        <v>5898</v>
      </c>
      <c r="B291" s="22"/>
      <c r="C291" s="22"/>
      <c r="D291" s="22"/>
    </row>
    <row r="292" spans="1:4" ht="15" x14ac:dyDescent="0.25">
      <c r="A292" s="44" t="s">
        <v>5899</v>
      </c>
      <c r="B292" s="22"/>
      <c r="C292" s="22"/>
      <c r="D292" s="22"/>
    </row>
    <row r="293" spans="1:4" ht="15" x14ac:dyDescent="0.25">
      <c r="A293" s="44" t="s">
        <v>5900</v>
      </c>
      <c r="B293" s="22"/>
      <c r="C293" s="22"/>
      <c r="D293" s="22"/>
    </row>
    <row r="294" spans="1:4" ht="15" x14ac:dyDescent="0.25">
      <c r="A294" s="44" t="s">
        <v>5901</v>
      </c>
      <c r="B294" s="22"/>
      <c r="C294" s="22"/>
      <c r="D294" s="22"/>
    </row>
    <row r="295" spans="1:4" ht="15" x14ac:dyDescent="0.25">
      <c r="A295" s="44" t="s">
        <v>5902</v>
      </c>
      <c r="B295" s="22"/>
      <c r="C295" s="22"/>
      <c r="D295" s="22"/>
    </row>
    <row r="296" spans="1:4" ht="15" x14ac:dyDescent="0.25">
      <c r="A296" s="22"/>
      <c r="B296" s="22"/>
      <c r="C296" s="22"/>
      <c r="D296" s="22"/>
    </row>
    <row r="297" spans="1:4" ht="15" x14ac:dyDescent="0.25">
      <c r="A297" s="42" t="s">
        <v>5179</v>
      </c>
      <c r="B297" s="22"/>
      <c r="C297" s="22"/>
      <c r="D297" s="22"/>
    </row>
    <row r="298" spans="1:4" ht="15" x14ac:dyDescent="0.25">
      <c r="A298" s="43" t="s">
        <v>4859</v>
      </c>
      <c r="B298" s="22" t="s">
        <v>5180</v>
      </c>
      <c r="C298" s="22"/>
      <c r="D298" s="22"/>
    </row>
    <row r="299" spans="1:4" ht="15" x14ac:dyDescent="0.25">
      <c r="A299" s="43" t="s">
        <v>4849</v>
      </c>
      <c r="B299" s="22"/>
      <c r="C299" s="22"/>
      <c r="D299" s="22"/>
    </row>
    <row r="300" spans="1:4" ht="15" x14ac:dyDescent="0.25">
      <c r="A300" s="43" t="s">
        <v>4860</v>
      </c>
      <c r="B300" s="22"/>
      <c r="C300" s="22"/>
      <c r="D300" s="22"/>
    </row>
    <row r="301" spans="1:4" ht="15" x14ac:dyDescent="0.25">
      <c r="A301" s="43" t="s">
        <v>4861</v>
      </c>
      <c r="B301" s="22"/>
      <c r="C301" s="22"/>
      <c r="D301" s="22"/>
    </row>
    <row r="302" spans="1:4" ht="15" x14ac:dyDescent="0.25">
      <c r="A302" s="43" t="s">
        <v>4862</v>
      </c>
      <c r="B302" s="22"/>
      <c r="C302" s="22"/>
      <c r="D302" s="22"/>
    </row>
    <row r="303" spans="1:4" ht="15" x14ac:dyDescent="0.25">
      <c r="A303" s="43" t="s">
        <v>4863</v>
      </c>
      <c r="B303" s="22"/>
      <c r="C303" s="22"/>
      <c r="D303" s="22"/>
    </row>
    <row r="304" spans="1:4" ht="15" x14ac:dyDescent="0.25">
      <c r="A304" s="43" t="s">
        <v>4864</v>
      </c>
      <c r="B304" s="22"/>
      <c r="C304" s="22"/>
      <c r="D304" s="22"/>
    </row>
    <row r="305" spans="1:4" ht="15" x14ac:dyDescent="0.25">
      <c r="A305" s="43" t="s">
        <v>4865</v>
      </c>
      <c r="B305" s="22"/>
      <c r="C305" s="22"/>
      <c r="D305" s="22"/>
    </row>
    <row r="306" spans="1:4" ht="15" x14ac:dyDescent="0.25">
      <c r="A306" s="43" t="s">
        <v>4866</v>
      </c>
      <c r="B306" s="22"/>
      <c r="C306" s="22"/>
      <c r="D306" s="22"/>
    </row>
    <row r="307" spans="1:4" ht="15" x14ac:dyDescent="0.25">
      <c r="A307" s="43" t="s">
        <v>4867</v>
      </c>
      <c r="B307" s="22"/>
      <c r="C307" s="22"/>
      <c r="D307" s="22"/>
    </row>
    <row r="308" spans="1:4" ht="15" x14ac:dyDescent="0.25">
      <c r="A308" s="43" t="s">
        <v>4868</v>
      </c>
      <c r="B308" s="22"/>
      <c r="C308" s="22"/>
      <c r="D308" s="22"/>
    </row>
    <row r="309" spans="1:4" ht="15" x14ac:dyDescent="0.25">
      <c r="A309" s="43" t="s">
        <v>4869</v>
      </c>
      <c r="B309" s="22"/>
      <c r="C309" s="22"/>
      <c r="D309" s="22"/>
    </row>
    <row r="310" spans="1:4" ht="15" x14ac:dyDescent="0.25">
      <c r="A310" s="43" t="s">
        <v>4870</v>
      </c>
      <c r="B310" s="22"/>
      <c r="C310" s="22"/>
      <c r="D310" s="22"/>
    </row>
    <row r="311" spans="1:4" ht="15" x14ac:dyDescent="0.25">
      <c r="A311" s="43" t="s">
        <v>4871</v>
      </c>
      <c r="B311" s="22"/>
      <c r="C311" s="22"/>
      <c r="D311" s="22"/>
    </row>
    <row r="312" spans="1:4" ht="15" x14ac:dyDescent="0.25">
      <c r="A312" s="22"/>
      <c r="B312" s="22"/>
      <c r="C312" s="22"/>
      <c r="D312" s="22"/>
    </row>
    <row r="313" spans="1:4" ht="15" x14ac:dyDescent="0.25">
      <c r="A313" s="42" t="s">
        <v>4873</v>
      </c>
      <c r="B313" s="22"/>
      <c r="C313" s="22"/>
      <c r="D313" s="22"/>
    </row>
    <row r="314" spans="1:4" ht="15" x14ac:dyDescent="0.25">
      <c r="A314" s="44">
        <v>0</v>
      </c>
      <c r="B314" s="22" t="s">
        <v>5181</v>
      </c>
      <c r="C314" s="22"/>
      <c r="D314" s="22"/>
    </row>
    <row r="315" spans="1:4" ht="15" x14ac:dyDescent="0.25">
      <c r="A315" s="44">
        <v>1000</v>
      </c>
      <c r="B315" s="22" t="s">
        <v>5440</v>
      </c>
      <c r="C315" s="22"/>
      <c r="D315" s="22"/>
    </row>
    <row r="316" spans="1:4" ht="15" x14ac:dyDescent="0.25">
      <c r="A316" s="44">
        <v>2000</v>
      </c>
      <c r="B316" s="22" t="s">
        <v>5441</v>
      </c>
      <c r="C316" s="22"/>
      <c r="D316" s="22"/>
    </row>
    <row r="317" spans="1:4" ht="15" x14ac:dyDescent="0.25">
      <c r="A317" s="22"/>
      <c r="B317" s="22"/>
      <c r="C317" s="22"/>
      <c r="D317" s="22"/>
    </row>
    <row r="318" spans="1:4" ht="15" x14ac:dyDescent="0.25">
      <c r="A318" s="22"/>
      <c r="B318" s="22"/>
      <c r="C318" s="22"/>
      <c r="D318" s="22"/>
    </row>
    <row r="319" spans="1:4" ht="15" x14ac:dyDescent="0.25">
      <c r="A319" s="42" t="s">
        <v>4885</v>
      </c>
      <c r="B319" s="22"/>
      <c r="C319" s="22"/>
      <c r="D319" s="22"/>
    </row>
    <row r="320" spans="1:4" ht="15" x14ac:dyDescent="0.25">
      <c r="A320" s="44" t="s">
        <v>4875</v>
      </c>
      <c r="B320" s="22" t="s">
        <v>4886</v>
      </c>
      <c r="C320" s="22"/>
      <c r="D320" s="22"/>
    </row>
    <row r="321" spans="1:4" ht="15" x14ac:dyDescent="0.25">
      <c r="A321" s="44" t="s">
        <v>4876</v>
      </c>
      <c r="B321" s="22" t="s">
        <v>4887</v>
      </c>
      <c r="C321" s="22"/>
      <c r="D321" s="22"/>
    </row>
    <row r="322" spans="1:4" ht="15" x14ac:dyDescent="0.25">
      <c r="A322" s="44" t="s">
        <v>4888</v>
      </c>
      <c r="B322" s="22"/>
      <c r="C322" s="22"/>
      <c r="D322" s="22"/>
    </row>
    <row r="323" spans="1:4" ht="15" x14ac:dyDescent="0.25">
      <c r="A323" s="44" t="s">
        <v>4877</v>
      </c>
      <c r="B323" s="22"/>
      <c r="C323" s="22"/>
      <c r="D323" s="22"/>
    </row>
    <row r="324" spans="1:4" ht="15" x14ac:dyDescent="0.25">
      <c r="A324" s="44" t="s">
        <v>4878</v>
      </c>
      <c r="B324" s="22"/>
      <c r="C324" s="22"/>
      <c r="D324" s="22"/>
    </row>
    <row r="325" spans="1:4" ht="15" x14ac:dyDescent="0.25">
      <c r="A325" s="44" t="s">
        <v>4879</v>
      </c>
      <c r="B325" s="22"/>
      <c r="C325" s="22"/>
      <c r="D325" s="22"/>
    </row>
    <row r="326" spans="1:4" ht="15" x14ac:dyDescent="0.25">
      <c r="A326" s="44" t="s">
        <v>4880</v>
      </c>
      <c r="B326" s="22"/>
      <c r="C326" s="22"/>
      <c r="D326" s="22"/>
    </row>
    <row r="327" spans="1:4" ht="15" x14ac:dyDescent="0.25">
      <c r="A327" s="44" t="s">
        <v>4881</v>
      </c>
      <c r="B327" s="22"/>
      <c r="C327" s="22"/>
      <c r="D327" s="22"/>
    </row>
    <row r="328" spans="1:4" ht="15" x14ac:dyDescent="0.25">
      <c r="A328" s="44" t="s">
        <v>4889</v>
      </c>
      <c r="B328" s="22"/>
      <c r="C328" s="22"/>
      <c r="D328" s="22"/>
    </row>
    <row r="329" spans="1:4" ht="15" x14ac:dyDescent="0.25">
      <c r="A329" s="44" t="s">
        <v>4882</v>
      </c>
      <c r="B329" s="22"/>
      <c r="C329" s="22"/>
      <c r="D329" s="22"/>
    </row>
    <row r="330" spans="1:4" ht="15" x14ac:dyDescent="0.25">
      <c r="A330" s="44" t="s">
        <v>4883</v>
      </c>
      <c r="B330" s="22"/>
      <c r="C330" s="22"/>
      <c r="D330" s="22"/>
    </row>
    <row r="331" spans="1:4" ht="15" x14ac:dyDescent="0.25">
      <c r="A331" s="44" t="s">
        <v>4884</v>
      </c>
      <c r="B331" s="22"/>
      <c r="C331" s="22"/>
      <c r="D331" s="22"/>
    </row>
    <row r="332" spans="1:4" ht="15" x14ac:dyDescent="0.25">
      <c r="A332" s="44" t="s">
        <v>4874</v>
      </c>
      <c r="B332" s="22"/>
      <c r="C332" s="22"/>
      <c r="D332" s="22"/>
    </row>
    <row r="333" spans="1:4" ht="15" x14ac:dyDescent="0.25">
      <c r="A333" s="44" t="s">
        <v>4798</v>
      </c>
      <c r="B333" s="22"/>
      <c r="C333" s="22"/>
      <c r="D333" s="22"/>
    </row>
    <row r="334" spans="1:4" ht="15" x14ac:dyDescent="0.25">
      <c r="A334" s="22"/>
      <c r="B334" s="22"/>
      <c r="C334" s="22"/>
      <c r="D334" s="22"/>
    </row>
    <row r="335" spans="1:4" ht="15" x14ac:dyDescent="0.25">
      <c r="A335" s="42" t="s">
        <v>4890</v>
      </c>
      <c r="B335" s="22"/>
      <c r="C335" s="22"/>
      <c r="D335" s="22"/>
    </row>
    <row r="336" spans="1:4" ht="15" x14ac:dyDescent="0.25">
      <c r="A336" s="44" t="s">
        <v>4891</v>
      </c>
      <c r="B336" s="22"/>
      <c r="C336" s="22"/>
      <c r="D336" s="22"/>
    </row>
    <row r="337" spans="1:4" ht="15" x14ac:dyDescent="0.25">
      <c r="A337" s="44" t="s">
        <v>4892</v>
      </c>
      <c r="B337" s="22"/>
      <c r="C337" s="22"/>
      <c r="D337" s="22"/>
    </row>
    <row r="338" spans="1:4" ht="15" x14ac:dyDescent="0.25">
      <c r="A338" s="44" t="s">
        <v>4893</v>
      </c>
      <c r="B338" s="22"/>
      <c r="C338" s="22"/>
      <c r="D338" s="22"/>
    </row>
    <row r="339" spans="1:4" ht="15" x14ac:dyDescent="0.25">
      <c r="A339" s="44" t="s">
        <v>4894</v>
      </c>
      <c r="B339" s="22"/>
      <c r="C339" s="22"/>
      <c r="D339" s="22"/>
    </row>
    <row r="340" spans="1:4" ht="15" x14ac:dyDescent="0.25">
      <c r="A340" s="44" t="s">
        <v>4895</v>
      </c>
      <c r="B340" s="22"/>
      <c r="C340" s="22"/>
      <c r="D340" s="22"/>
    </row>
    <row r="341" spans="1:4" ht="15" x14ac:dyDescent="0.25">
      <c r="A341" s="44" t="s">
        <v>4896</v>
      </c>
      <c r="B341" s="22"/>
      <c r="C341" s="22"/>
      <c r="D341" s="22"/>
    </row>
    <row r="342" spans="1:4" ht="15" x14ac:dyDescent="0.25">
      <c r="A342" s="44" t="s">
        <v>4897</v>
      </c>
      <c r="B342" s="22"/>
      <c r="C342" s="22"/>
      <c r="D342" s="22"/>
    </row>
    <row r="343" spans="1:4" ht="15" x14ac:dyDescent="0.25">
      <c r="A343" s="44" t="s">
        <v>4898</v>
      </c>
      <c r="B343" s="22"/>
      <c r="C343" s="22"/>
      <c r="D343" s="22"/>
    </row>
    <row r="344" spans="1:4" ht="15" x14ac:dyDescent="0.25">
      <c r="A344" s="44" t="s">
        <v>4899</v>
      </c>
      <c r="B344" s="22"/>
      <c r="C344" s="22"/>
      <c r="D344" s="22"/>
    </row>
    <row r="345" spans="1:4" ht="15" x14ac:dyDescent="0.25">
      <c r="A345" s="44" t="s">
        <v>4900</v>
      </c>
      <c r="B345" s="22"/>
      <c r="C345" s="22"/>
      <c r="D345" s="22"/>
    </row>
    <row r="346" spans="1:4" ht="15" x14ac:dyDescent="0.25">
      <c r="A346" s="44" t="s">
        <v>4798</v>
      </c>
      <c r="B346" s="22"/>
      <c r="C346" s="22"/>
      <c r="D346" s="22"/>
    </row>
    <row r="347" spans="1:4" ht="15" x14ac:dyDescent="0.25">
      <c r="A347" s="22"/>
      <c r="B347" s="22"/>
      <c r="C347" s="22"/>
      <c r="D347" s="22"/>
    </row>
    <row r="348" spans="1:4" ht="15" x14ac:dyDescent="0.25">
      <c r="A348" s="42" t="s">
        <v>4901</v>
      </c>
      <c r="B348" s="22"/>
      <c r="C348" s="22"/>
      <c r="D348" s="22"/>
    </row>
    <row r="349" spans="1:4" ht="15" x14ac:dyDescent="0.25">
      <c r="A349" s="44" t="s">
        <v>4902</v>
      </c>
      <c r="B349" s="22"/>
      <c r="C349" s="22"/>
      <c r="D349" s="22"/>
    </row>
    <row r="350" spans="1:4" ht="15" x14ac:dyDescent="0.25">
      <c r="A350" s="44" t="s">
        <v>4903</v>
      </c>
      <c r="B350" s="22"/>
      <c r="C350" s="22"/>
      <c r="D350" s="22"/>
    </row>
    <row r="351" spans="1:4" ht="15" x14ac:dyDescent="0.25">
      <c r="A351" s="44" t="s">
        <v>4904</v>
      </c>
      <c r="B351" s="22"/>
      <c r="C351" s="22"/>
      <c r="D351" s="22"/>
    </row>
    <row r="352" spans="1:4" ht="15" x14ac:dyDescent="0.25">
      <c r="A352" s="44" t="s">
        <v>4905</v>
      </c>
      <c r="B352" s="22"/>
      <c r="C352" s="22"/>
      <c r="D352" s="22"/>
    </row>
    <row r="353" spans="1:4" ht="15" x14ac:dyDescent="0.25">
      <c r="A353" s="44" t="s">
        <v>4906</v>
      </c>
      <c r="B353" s="22"/>
      <c r="C353" s="22"/>
      <c r="D353" s="22"/>
    </row>
    <row r="354" spans="1:4" ht="15" x14ac:dyDescent="0.25">
      <c r="A354" s="44" t="s">
        <v>4907</v>
      </c>
      <c r="B354" s="22"/>
      <c r="C354" s="22"/>
      <c r="D354" s="22"/>
    </row>
    <row r="355" spans="1:4" ht="15" x14ac:dyDescent="0.25">
      <c r="A355" s="44" t="s">
        <v>4874</v>
      </c>
      <c r="B355" s="22"/>
      <c r="C355" s="22"/>
      <c r="D355" s="22"/>
    </row>
    <row r="356" spans="1:4" ht="15" x14ac:dyDescent="0.25">
      <c r="A356" s="44" t="s">
        <v>4798</v>
      </c>
      <c r="B356" s="22"/>
      <c r="C356" s="22"/>
      <c r="D356" s="22"/>
    </row>
    <row r="357" spans="1:4" ht="15" x14ac:dyDescent="0.25">
      <c r="A357" s="22"/>
      <c r="B357" s="22"/>
      <c r="C357" s="22"/>
      <c r="D357" s="22"/>
    </row>
    <row r="358" spans="1:4" ht="15" x14ac:dyDescent="0.25">
      <c r="A358" s="22"/>
      <c r="B358" s="22"/>
      <c r="C358" s="22"/>
      <c r="D358" s="22"/>
    </row>
    <row r="359" spans="1:4" ht="15" x14ac:dyDescent="0.25">
      <c r="A359" s="42" t="s">
        <v>4908</v>
      </c>
      <c r="B359" s="22" t="s">
        <v>4909</v>
      </c>
      <c r="C359" s="22"/>
      <c r="D359" s="22"/>
    </row>
    <row r="360" spans="1:4" ht="15" x14ac:dyDescent="0.25">
      <c r="A360" s="44" t="s">
        <v>4854</v>
      </c>
      <c r="B360" s="22"/>
      <c r="C360" s="22"/>
      <c r="D360" s="22"/>
    </row>
    <row r="361" spans="1:4" ht="15" x14ac:dyDescent="0.25">
      <c r="A361" s="44" t="s">
        <v>4855</v>
      </c>
      <c r="B361" s="22"/>
      <c r="C361" s="22"/>
      <c r="D361" s="22"/>
    </row>
    <row r="362" spans="1:4" ht="15" x14ac:dyDescent="0.25">
      <c r="A362" s="44" t="s">
        <v>4856</v>
      </c>
      <c r="B362" s="22"/>
      <c r="C362" s="22"/>
      <c r="D362" s="22"/>
    </row>
    <row r="363" spans="1:4" ht="15" x14ac:dyDescent="0.25">
      <c r="A363" s="44" t="s">
        <v>4857</v>
      </c>
      <c r="B363" s="22"/>
      <c r="C363" s="22"/>
      <c r="D363" s="22"/>
    </row>
    <row r="364" spans="1:4" ht="15" x14ac:dyDescent="0.25">
      <c r="A364" s="44" t="s">
        <v>4858</v>
      </c>
      <c r="B364" s="22"/>
      <c r="C364" s="22"/>
      <c r="D364" s="22"/>
    </row>
    <row r="365" spans="1:4" ht="15" x14ac:dyDescent="0.25">
      <c r="A365" s="44" t="s">
        <v>4874</v>
      </c>
      <c r="B365" s="22"/>
      <c r="C365" s="22"/>
      <c r="D365" s="22"/>
    </row>
    <row r="366" spans="1:4" ht="15" x14ac:dyDescent="0.25">
      <c r="A366" s="44" t="s">
        <v>4798</v>
      </c>
      <c r="B366" s="22"/>
      <c r="C366" s="22"/>
      <c r="D366" s="22"/>
    </row>
    <row r="367" spans="1:4" ht="15" x14ac:dyDescent="0.25">
      <c r="A367" s="22"/>
      <c r="B367" s="22"/>
      <c r="C367" s="22"/>
      <c r="D367" s="22"/>
    </row>
    <row r="368" spans="1:4" ht="15" x14ac:dyDescent="0.25">
      <c r="A368" s="42" t="s">
        <v>4910</v>
      </c>
      <c r="B368" s="22"/>
      <c r="C368" s="22"/>
      <c r="D368" s="22"/>
    </row>
    <row r="369" spans="1:4" ht="15" x14ac:dyDescent="0.25">
      <c r="A369" s="44" t="s">
        <v>5520</v>
      </c>
      <c r="B369" s="22"/>
      <c r="C369" s="22"/>
      <c r="D369" s="22"/>
    </row>
    <row r="370" spans="1:4" ht="15" x14ac:dyDescent="0.25">
      <c r="A370" s="44" t="s">
        <v>4912</v>
      </c>
      <c r="B370" s="22"/>
      <c r="C370" s="22"/>
      <c r="D370" s="22"/>
    </row>
    <row r="371" spans="1:4" ht="15" x14ac:dyDescent="0.25">
      <c r="A371" s="44" t="s">
        <v>4913</v>
      </c>
      <c r="B371" s="22"/>
      <c r="C371" s="22"/>
      <c r="D371" s="22"/>
    </row>
    <row r="372" spans="1:4" ht="15" x14ac:dyDescent="0.25">
      <c r="A372" s="44" t="s">
        <v>4914</v>
      </c>
      <c r="B372" s="22"/>
      <c r="C372" s="22"/>
      <c r="D372" s="22"/>
    </row>
    <row r="373" spans="1:4" ht="15" x14ac:dyDescent="0.25">
      <c r="A373" s="44" t="s">
        <v>4798</v>
      </c>
      <c r="B373" s="22"/>
      <c r="C373" s="22"/>
      <c r="D373" s="22"/>
    </row>
    <row r="374" spans="1:4" ht="15" x14ac:dyDescent="0.25">
      <c r="A374" s="22"/>
      <c r="B374" s="22"/>
      <c r="C374" s="22"/>
      <c r="D374" s="22"/>
    </row>
    <row r="375" spans="1:4" ht="15" x14ac:dyDescent="0.25">
      <c r="A375" s="22"/>
      <c r="B375" s="22"/>
      <c r="C375" s="22"/>
      <c r="D375" s="22"/>
    </row>
    <row r="376" spans="1:4" ht="15" x14ac:dyDescent="0.25">
      <c r="A376" s="42" t="s">
        <v>4926</v>
      </c>
      <c r="B376" s="22"/>
      <c r="C376" s="22"/>
      <c r="D376" s="22"/>
    </row>
    <row r="377" spans="1:4" ht="15" x14ac:dyDescent="0.25">
      <c r="A377" s="44" t="s">
        <v>5632</v>
      </c>
      <c r="B377" s="22"/>
      <c r="C377" s="22"/>
      <c r="D377" s="22"/>
    </row>
    <row r="378" spans="1:4" ht="15" x14ac:dyDescent="0.25">
      <c r="A378" s="44" t="s">
        <v>5633</v>
      </c>
      <c r="B378" s="22"/>
      <c r="C378" s="22"/>
      <c r="D378" s="22"/>
    </row>
    <row r="379" spans="1:4" ht="15" x14ac:dyDescent="0.25">
      <c r="A379" s="44" t="s">
        <v>5634</v>
      </c>
      <c r="B379" s="22"/>
      <c r="C379" s="22"/>
      <c r="D379" s="22"/>
    </row>
    <row r="380" spans="1:4" ht="15" x14ac:dyDescent="0.25">
      <c r="A380" s="44" t="s">
        <v>5635</v>
      </c>
      <c r="B380" s="22"/>
      <c r="C380" s="22"/>
      <c r="D380" s="22"/>
    </row>
    <row r="381" spans="1:4" ht="15" x14ac:dyDescent="0.25">
      <c r="A381" s="44" t="s">
        <v>5636</v>
      </c>
      <c r="B381" s="22"/>
      <c r="C381" s="22"/>
      <c r="D381" s="22"/>
    </row>
    <row r="382" spans="1:4" ht="15" x14ac:dyDescent="0.25">
      <c r="A382" s="44" t="s">
        <v>5637</v>
      </c>
      <c r="B382" s="22"/>
      <c r="C382" s="22"/>
      <c r="D382" s="22"/>
    </row>
    <row r="383" spans="1:4" ht="15" x14ac:dyDescent="0.25">
      <c r="A383" s="44" t="s">
        <v>5636</v>
      </c>
      <c r="B383" s="22"/>
      <c r="C383" s="22"/>
      <c r="D383" s="22"/>
    </row>
    <row r="384" spans="1:4" ht="15" x14ac:dyDescent="0.25">
      <c r="A384" s="44" t="s">
        <v>5637</v>
      </c>
      <c r="B384" s="22"/>
      <c r="C384" s="22"/>
      <c r="D384" s="22"/>
    </row>
    <row r="385" spans="1:4" ht="15" x14ac:dyDescent="0.25">
      <c r="A385" s="44" t="s">
        <v>5638</v>
      </c>
      <c r="B385" s="22"/>
      <c r="C385" s="22"/>
      <c r="D385" s="22"/>
    </row>
    <row r="386" spans="1:4" ht="15" x14ac:dyDescent="0.25">
      <c r="A386" s="44" t="s">
        <v>5639</v>
      </c>
      <c r="B386" s="22"/>
      <c r="C386" s="22"/>
      <c r="D386" s="22"/>
    </row>
    <row r="387" spans="1:4" ht="15" x14ac:dyDescent="0.25">
      <c r="A387" s="44" t="s">
        <v>5640</v>
      </c>
      <c r="B387" s="22"/>
      <c r="C387" s="22"/>
      <c r="D387" s="22"/>
    </row>
    <row r="388" spans="1:4" ht="15" x14ac:dyDescent="0.25">
      <c r="A388" s="44" t="s">
        <v>5641</v>
      </c>
      <c r="B388" s="22"/>
      <c r="C388" s="22"/>
      <c r="D388" s="22"/>
    </row>
    <row r="389" spans="1:4" ht="15" x14ac:dyDescent="0.25">
      <c r="A389" s="44" t="s">
        <v>5642</v>
      </c>
      <c r="B389" s="22"/>
      <c r="C389" s="22"/>
      <c r="D389" s="22"/>
    </row>
    <row r="390" spans="1:4" ht="15" x14ac:dyDescent="0.25">
      <c r="A390" s="44" t="s">
        <v>5643</v>
      </c>
      <c r="B390" s="22"/>
      <c r="C390" s="22"/>
      <c r="D390" s="22"/>
    </row>
    <row r="391" spans="1:4" ht="15" x14ac:dyDescent="0.25">
      <c r="A391" s="44" t="s">
        <v>5642</v>
      </c>
      <c r="B391" s="22"/>
      <c r="C391" s="22"/>
      <c r="D391" s="22"/>
    </row>
    <row r="392" spans="1:4" ht="15" x14ac:dyDescent="0.25">
      <c r="A392" s="44" t="s">
        <v>5643</v>
      </c>
      <c r="B392" s="22"/>
      <c r="C392" s="22"/>
      <c r="D392" s="22"/>
    </row>
    <row r="393" spans="1:4" ht="15" x14ac:dyDescent="0.25">
      <c r="A393" s="44" t="s">
        <v>5644</v>
      </c>
      <c r="B393" s="22"/>
      <c r="C393" s="22"/>
      <c r="D393" s="22"/>
    </row>
    <row r="394" spans="1:4" ht="15" x14ac:dyDescent="0.25">
      <c r="A394" s="44" t="s">
        <v>5645</v>
      </c>
      <c r="B394" s="22"/>
      <c r="C394" s="22"/>
      <c r="D394" s="22"/>
    </row>
    <row r="395" spans="1:4" ht="15" x14ac:dyDescent="0.25">
      <c r="A395" s="44" t="s">
        <v>5646</v>
      </c>
      <c r="B395" s="22"/>
      <c r="C395" s="22"/>
      <c r="D395" s="22"/>
    </row>
    <row r="396" spans="1:4" ht="15" x14ac:dyDescent="0.25">
      <c r="A396" s="44" t="s">
        <v>5647</v>
      </c>
      <c r="B396" s="22"/>
      <c r="C396" s="22"/>
      <c r="D396" s="22"/>
    </row>
    <row r="397" spans="1:4" ht="15" x14ac:dyDescent="0.25">
      <c r="A397" s="44" t="s">
        <v>5648</v>
      </c>
      <c r="B397" s="22"/>
      <c r="C397" s="22"/>
      <c r="D397" s="22"/>
    </row>
    <row r="398" spans="1:4" ht="15" x14ac:dyDescent="0.25">
      <c r="A398" s="44" t="s">
        <v>5649</v>
      </c>
      <c r="B398" s="22"/>
      <c r="C398" s="22"/>
      <c r="D398" s="22"/>
    </row>
    <row r="399" spans="1:4" ht="15" x14ac:dyDescent="0.25">
      <c r="A399" s="44" t="s">
        <v>5648</v>
      </c>
      <c r="B399" s="22"/>
      <c r="C399" s="22"/>
      <c r="D399" s="22"/>
    </row>
    <row r="400" spans="1:4" ht="15" x14ac:dyDescent="0.25">
      <c r="A400" s="44" t="s">
        <v>5649</v>
      </c>
      <c r="B400" s="22"/>
      <c r="C400" s="22"/>
      <c r="D400" s="22"/>
    </row>
    <row r="401" spans="1:4" ht="15" x14ac:dyDescent="0.25">
      <c r="A401" s="44" t="s">
        <v>5650</v>
      </c>
      <c r="B401" s="22"/>
      <c r="C401" s="22"/>
      <c r="D401" s="22"/>
    </row>
    <row r="402" spans="1:4" ht="15" x14ac:dyDescent="0.25">
      <c r="A402" s="44" t="s">
        <v>5651</v>
      </c>
      <c r="B402" s="22"/>
      <c r="C402" s="22"/>
      <c r="D402" s="22"/>
    </row>
    <row r="403" spans="1:4" ht="15" x14ac:dyDescent="0.25">
      <c r="A403" s="44" t="s">
        <v>5652</v>
      </c>
      <c r="B403" s="22"/>
      <c r="C403" s="22"/>
      <c r="D403" s="22"/>
    </row>
    <row r="404" spans="1:4" ht="15" x14ac:dyDescent="0.25">
      <c r="A404" s="44" t="s">
        <v>5653</v>
      </c>
      <c r="B404" s="22"/>
      <c r="C404" s="22"/>
      <c r="D404" s="22"/>
    </row>
    <row r="405" spans="1:4" ht="15" x14ac:dyDescent="0.25">
      <c r="A405" s="44" t="s">
        <v>5654</v>
      </c>
      <c r="B405" s="22"/>
      <c r="C405" s="22"/>
      <c r="D405" s="22"/>
    </row>
    <row r="406" spans="1:4" ht="15" x14ac:dyDescent="0.25">
      <c r="A406" s="44" t="s">
        <v>5655</v>
      </c>
      <c r="B406" s="22"/>
      <c r="C406" s="22"/>
      <c r="D406" s="22"/>
    </row>
    <row r="407" spans="1:4" ht="15" x14ac:dyDescent="0.25">
      <c r="A407" s="44" t="s">
        <v>5654</v>
      </c>
      <c r="B407" s="22"/>
      <c r="C407" s="22"/>
      <c r="D407" s="22"/>
    </row>
    <row r="408" spans="1:4" ht="15" x14ac:dyDescent="0.25">
      <c r="A408" s="44" t="s">
        <v>5655</v>
      </c>
      <c r="B408" s="22"/>
      <c r="C408" s="22"/>
      <c r="D408" s="22"/>
    </row>
    <row r="409" spans="1:4" ht="15" x14ac:dyDescent="0.25">
      <c r="A409" s="44" t="s">
        <v>5656</v>
      </c>
      <c r="B409" s="22"/>
      <c r="C409" s="22"/>
      <c r="D409" s="22"/>
    </row>
    <row r="410" spans="1:4" ht="15" x14ac:dyDescent="0.25">
      <c r="A410" s="44" t="s">
        <v>5657</v>
      </c>
      <c r="B410" s="22"/>
      <c r="C410" s="22"/>
      <c r="D410" s="22"/>
    </row>
    <row r="411" spans="1:4" ht="15" x14ac:dyDescent="0.25">
      <c r="A411" s="44" t="s">
        <v>5658</v>
      </c>
      <c r="B411" s="22"/>
      <c r="C411" s="22"/>
      <c r="D411" s="22"/>
    </row>
    <row r="412" spans="1:4" ht="15" x14ac:dyDescent="0.25">
      <c r="A412" s="44" t="s">
        <v>5659</v>
      </c>
      <c r="B412" s="22"/>
      <c r="C412" s="22"/>
      <c r="D412" s="22"/>
    </row>
    <row r="413" spans="1:4" ht="15" x14ac:dyDescent="0.25">
      <c r="A413" s="44" t="s">
        <v>5660</v>
      </c>
      <c r="B413" s="22"/>
      <c r="C413" s="22"/>
      <c r="D413" s="22"/>
    </row>
    <row r="414" spans="1:4" ht="15" x14ac:dyDescent="0.25">
      <c r="A414" s="44" t="s">
        <v>5661</v>
      </c>
      <c r="B414" s="22"/>
      <c r="C414" s="22"/>
      <c r="D414" s="22"/>
    </row>
    <row r="415" spans="1:4" ht="15" x14ac:dyDescent="0.25">
      <c r="A415" s="44" t="s">
        <v>5660</v>
      </c>
      <c r="B415" s="22"/>
      <c r="C415" s="22"/>
      <c r="D415" s="22"/>
    </row>
    <row r="416" spans="1:4" ht="15" x14ac:dyDescent="0.25">
      <c r="A416" s="44" t="s">
        <v>5661</v>
      </c>
      <c r="B416" s="22"/>
      <c r="C416" s="22"/>
      <c r="D416" s="22"/>
    </row>
    <row r="417" spans="1:4" ht="15" x14ac:dyDescent="0.25">
      <c r="A417" s="44" t="s">
        <v>5662</v>
      </c>
      <c r="B417" s="22"/>
      <c r="C417" s="22"/>
      <c r="D417" s="22"/>
    </row>
    <row r="418" spans="1:4" ht="15" x14ac:dyDescent="0.25">
      <c r="A418" s="44" t="s">
        <v>5663</v>
      </c>
      <c r="B418" s="22"/>
      <c r="C418" s="22"/>
      <c r="D418" s="22"/>
    </row>
    <row r="419" spans="1:4" ht="15" x14ac:dyDescent="0.25">
      <c r="A419" s="44" t="s">
        <v>5664</v>
      </c>
      <c r="B419" s="22"/>
      <c r="C419" s="22"/>
      <c r="D419" s="22"/>
    </row>
    <row r="420" spans="1:4" ht="15" x14ac:dyDescent="0.25">
      <c r="A420" s="44" t="s">
        <v>5665</v>
      </c>
      <c r="B420" s="22"/>
      <c r="C420" s="22"/>
      <c r="D420" s="22"/>
    </row>
    <row r="421" spans="1:4" ht="15" x14ac:dyDescent="0.25">
      <c r="A421" s="44" t="s">
        <v>5666</v>
      </c>
      <c r="B421" s="22"/>
      <c r="C421" s="22"/>
      <c r="D421" s="22"/>
    </row>
    <row r="422" spans="1:4" ht="15" x14ac:dyDescent="0.25">
      <c r="A422" s="44" t="s">
        <v>5667</v>
      </c>
      <c r="B422" s="22"/>
      <c r="C422" s="22"/>
      <c r="D422" s="22"/>
    </row>
    <row r="423" spans="1:4" ht="15" x14ac:dyDescent="0.25">
      <c r="A423" s="44" t="s">
        <v>5666</v>
      </c>
      <c r="B423" s="22"/>
      <c r="C423" s="22"/>
      <c r="D423" s="22"/>
    </row>
    <row r="424" spans="1:4" ht="15" x14ac:dyDescent="0.25">
      <c r="A424" s="44" t="s">
        <v>5667</v>
      </c>
      <c r="B424" s="22"/>
      <c r="C424" s="22"/>
      <c r="D424" s="22"/>
    </row>
    <row r="425" spans="1:4" ht="15" x14ac:dyDescent="0.25">
      <c r="A425" s="44" t="s">
        <v>5668</v>
      </c>
      <c r="B425" s="22"/>
      <c r="C425" s="22"/>
      <c r="D425" s="22"/>
    </row>
    <row r="426" spans="1:4" ht="15" x14ac:dyDescent="0.25">
      <c r="A426" s="44" t="s">
        <v>5669</v>
      </c>
      <c r="B426" s="22"/>
      <c r="C426" s="22"/>
      <c r="D426" s="22"/>
    </row>
    <row r="427" spans="1:4" ht="15" x14ac:dyDescent="0.25">
      <c r="A427" s="44" t="s">
        <v>5670</v>
      </c>
      <c r="B427" s="22"/>
      <c r="C427" s="22"/>
      <c r="D427" s="22"/>
    </row>
    <row r="428" spans="1:4" ht="15" x14ac:dyDescent="0.25">
      <c r="A428" s="44" t="s">
        <v>5671</v>
      </c>
      <c r="B428" s="22"/>
      <c r="C428" s="22"/>
      <c r="D428" s="22"/>
    </row>
    <row r="429" spans="1:4" ht="15" x14ac:dyDescent="0.25">
      <c r="A429" s="44" t="s">
        <v>5672</v>
      </c>
      <c r="B429" s="22"/>
      <c r="C429" s="22"/>
      <c r="D429" s="22"/>
    </row>
    <row r="430" spans="1:4" ht="15" x14ac:dyDescent="0.25">
      <c r="A430" s="44" t="s">
        <v>5673</v>
      </c>
      <c r="B430" s="22"/>
      <c r="C430" s="22"/>
      <c r="D430" s="22"/>
    </row>
    <row r="431" spans="1:4" ht="15" x14ac:dyDescent="0.25">
      <c r="A431" s="44" t="s">
        <v>5672</v>
      </c>
      <c r="B431" s="22"/>
      <c r="C431" s="22"/>
      <c r="D431" s="22"/>
    </row>
    <row r="432" spans="1:4" ht="15" x14ac:dyDescent="0.25">
      <c r="A432" s="44" t="s">
        <v>5673</v>
      </c>
      <c r="B432" s="22"/>
      <c r="C432" s="22"/>
      <c r="D432" s="22"/>
    </row>
    <row r="433" spans="1:4" ht="15" x14ac:dyDescent="0.25">
      <c r="A433" s="44" t="s">
        <v>5674</v>
      </c>
      <c r="B433" s="22"/>
      <c r="C433" s="22"/>
      <c r="D433" s="22"/>
    </row>
    <row r="434" spans="1:4" ht="15" x14ac:dyDescent="0.25">
      <c r="A434" s="44" t="s">
        <v>5675</v>
      </c>
      <c r="B434" s="22"/>
      <c r="C434" s="22"/>
      <c r="D434" s="22"/>
    </row>
    <row r="435" spans="1:4" ht="15" x14ac:dyDescent="0.25">
      <c r="A435" s="44" t="s">
        <v>5676</v>
      </c>
      <c r="B435" s="22"/>
      <c r="C435" s="22"/>
      <c r="D435" s="22"/>
    </row>
    <row r="436" spans="1:4" ht="15" x14ac:dyDescent="0.25">
      <c r="A436" s="44" t="s">
        <v>5677</v>
      </c>
      <c r="B436" s="22"/>
      <c r="C436" s="22"/>
      <c r="D436" s="22"/>
    </row>
    <row r="437" spans="1:4" ht="15" x14ac:dyDescent="0.25">
      <c r="A437" s="44" t="s">
        <v>5678</v>
      </c>
      <c r="B437" s="22"/>
      <c r="C437" s="22"/>
      <c r="D437" s="22"/>
    </row>
    <row r="438" spans="1:4" ht="15" x14ac:dyDescent="0.25">
      <c r="A438" s="44" t="s">
        <v>5679</v>
      </c>
      <c r="B438" s="22"/>
      <c r="C438" s="22"/>
      <c r="D438" s="22"/>
    </row>
    <row r="439" spans="1:4" ht="15" x14ac:dyDescent="0.25">
      <c r="A439" s="44" t="s">
        <v>5680</v>
      </c>
      <c r="B439" s="22"/>
      <c r="C439" s="22"/>
      <c r="D439" s="22"/>
    </row>
    <row r="440" spans="1:4" ht="15" x14ac:dyDescent="0.25">
      <c r="A440" s="44" t="s">
        <v>5681</v>
      </c>
      <c r="B440" s="22"/>
      <c r="C440" s="22"/>
      <c r="D440" s="22"/>
    </row>
    <row r="441" spans="1:4" ht="15" x14ac:dyDescent="0.25">
      <c r="A441" s="44" t="s">
        <v>5682</v>
      </c>
      <c r="B441" s="22"/>
      <c r="C441" s="22"/>
      <c r="D441" s="22"/>
    </row>
    <row r="442" spans="1:4" ht="15" x14ac:dyDescent="0.25">
      <c r="A442" s="44" t="s">
        <v>5683</v>
      </c>
      <c r="B442" s="22"/>
      <c r="C442" s="22"/>
      <c r="D442" s="22"/>
    </row>
    <row r="443" spans="1:4" ht="15" x14ac:dyDescent="0.25">
      <c r="A443" s="44" t="s">
        <v>5684</v>
      </c>
      <c r="B443" s="22"/>
      <c r="C443" s="22"/>
      <c r="D443" s="22"/>
    </row>
    <row r="444" spans="1:4" ht="15" x14ac:dyDescent="0.25">
      <c r="A444" s="44" t="s">
        <v>5685</v>
      </c>
      <c r="B444" s="22"/>
      <c r="C444" s="22"/>
      <c r="D444" s="22"/>
    </row>
    <row r="445" spans="1:4" ht="15" x14ac:dyDescent="0.25">
      <c r="A445" s="44" t="s">
        <v>5686</v>
      </c>
      <c r="B445" s="22"/>
      <c r="C445" s="22"/>
      <c r="D445" s="22"/>
    </row>
    <row r="446" spans="1:4" ht="15" x14ac:dyDescent="0.25">
      <c r="A446" s="44" t="s">
        <v>5687</v>
      </c>
      <c r="B446" s="22"/>
      <c r="C446" s="22"/>
      <c r="D446" s="22"/>
    </row>
    <row r="447" spans="1:4" ht="15" x14ac:dyDescent="0.25">
      <c r="A447" s="44" t="s">
        <v>5688</v>
      </c>
      <c r="B447" s="22"/>
      <c r="C447" s="22"/>
      <c r="D447" s="22"/>
    </row>
    <row r="448" spans="1:4" ht="15" x14ac:dyDescent="0.25">
      <c r="A448" s="44" t="s">
        <v>5689</v>
      </c>
      <c r="B448" s="22"/>
      <c r="C448" s="22"/>
      <c r="D448" s="22"/>
    </row>
    <row r="449" spans="1:4" ht="15" x14ac:dyDescent="0.25">
      <c r="A449" s="44" t="s">
        <v>5690</v>
      </c>
      <c r="B449" s="22"/>
      <c r="C449" s="22"/>
      <c r="D449" s="22"/>
    </row>
    <row r="450" spans="1:4" ht="15" x14ac:dyDescent="0.25">
      <c r="A450" s="44" t="s">
        <v>5691</v>
      </c>
      <c r="B450" s="22"/>
      <c r="C450" s="22"/>
      <c r="D450" s="22"/>
    </row>
    <row r="451" spans="1:4" ht="15" x14ac:dyDescent="0.25">
      <c r="A451" s="44" t="s">
        <v>5692</v>
      </c>
      <c r="B451" s="22"/>
      <c r="C451" s="22"/>
      <c r="D451" s="22"/>
    </row>
    <row r="452" spans="1:4" ht="15" x14ac:dyDescent="0.25">
      <c r="A452" s="44" t="s">
        <v>5693</v>
      </c>
      <c r="B452" s="22"/>
      <c r="C452" s="22"/>
      <c r="D452" s="22"/>
    </row>
    <row r="453" spans="1:4" ht="15" x14ac:dyDescent="0.25">
      <c r="A453" s="44" t="s">
        <v>5694</v>
      </c>
      <c r="B453" s="22"/>
      <c r="C453" s="22"/>
      <c r="D453" s="22"/>
    </row>
    <row r="454" spans="1:4" ht="15" x14ac:dyDescent="0.25">
      <c r="A454" s="44" t="s">
        <v>5695</v>
      </c>
      <c r="B454" s="22"/>
      <c r="C454" s="22"/>
      <c r="D454" s="22"/>
    </row>
    <row r="455" spans="1:4" ht="15" x14ac:dyDescent="0.25">
      <c r="A455" s="44" t="s">
        <v>5696</v>
      </c>
      <c r="B455" s="22"/>
      <c r="C455" s="22"/>
      <c r="D455" s="22"/>
    </row>
    <row r="456" spans="1:4" ht="15" x14ac:dyDescent="0.25">
      <c r="A456" s="44" t="s">
        <v>5697</v>
      </c>
      <c r="B456" s="22"/>
      <c r="C456" s="22"/>
      <c r="D456" s="22"/>
    </row>
    <row r="457" spans="1:4" ht="15" x14ac:dyDescent="0.25">
      <c r="A457" s="44" t="s">
        <v>5698</v>
      </c>
      <c r="B457" s="22"/>
      <c r="C457" s="22"/>
      <c r="D457" s="22"/>
    </row>
    <row r="458" spans="1:4" ht="15" x14ac:dyDescent="0.25">
      <c r="A458" s="44" t="s">
        <v>5699</v>
      </c>
      <c r="B458" s="22"/>
      <c r="C458" s="22"/>
      <c r="D458" s="22"/>
    </row>
    <row r="459" spans="1:4" ht="15" x14ac:dyDescent="0.25">
      <c r="A459" s="44" t="s">
        <v>5700</v>
      </c>
      <c r="B459" s="22"/>
      <c r="C459" s="22"/>
      <c r="D459" s="22"/>
    </row>
    <row r="460" spans="1:4" ht="15" x14ac:dyDescent="0.25">
      <c r="A460" s="44" t="s">
        <v>5701</v>
      </c>
      <c r="B460" s="22"/>
      <c r="C460" s="22"/>
      <c r="D460" s="22"/>
    </row>
    <row r="461" spans="1:4" ht="15" x14ac:dyDescent="0.25">
      <c r="A461" s="44" t="s">
        <v>5702</v>
      </c>
      <c r="B461" s="22"/>
      <c r="C461" s="22"/>
      <c r="D461" s="22"/>
    </row>
    <row r="462" spans="1:4" ht="15" x14ac:dyDescent="0.25">
      <c r="A462" s="44" t="s">
        <v>5703</v>
      </c>
      <c r="B462" s="22"/>
      <c r="C462" s="22"/>
      <c r="D462" s="22"/>
    </row>
    <row r="463" spans="1:4" ht="15" x14ac:dyDescent="0.25">
      <c r="A463" s="44" t="s">
        <v>5704</v>
      </c>
      <c r="B463" s="22"/>
      <c r="C463" s="22"/>
      <c r="D463" s="22"/>
    </row>
    <row r="464" spans="1:4" ht="15" x14ac:dyDescent="0.25">
      <c r="A464" s="44" t="s">
        <v>5705</v>
      </c>
      <c r="B464" s="22"/>
      <c r="C464" s="22"/>
      <c r="D464" s="22"/>
    </row>
    <row r="465" spans="1:4" ht="15" x14ac:dyDescent="0.25">
      <c r="A465" s="44" t="s">
        <v>5706</v>
      </c>
      <c r="B465" s="22"/>
      <c r="C465" s="22"/>
      <c r="D465" s="22"/>
    </row>
    <row r="466" spans="1:4" ht="15" x14ac:dyDescent="0.25">
      <c r="A466" s="44" t="s">
        <v>5707</v>
      </c>
      <c r="B466" s="22"/>
      <c r="C466" s="22"/>
      <c r="D466" s="22"/>
    </row>
    <row r="467" spans="1:4" ht="15" x14ac:dyDescent="0.25">
      <c r="A467" s="44" t="s">
        <v>5708</v>
      </c>
      <c r="B467" s="22"/>
      <c r="C467" s="22"/>
      <c r="D467" s="22"/>
    </row>
    <row r="468" spans="1:4" ht="15" x14ac:dyDescent="0.25">
      <c r="A468" s="44" t="s">
        <v>5709</v>
      </c>
      <c r="B468" s="22"/>
      <c r="C468" s="22"/>
      <c r="D468" s="22"/>
    </row>
    <row r="469" spans="1:4" ht="15" x14ac:dyDescent="0.25">
      <c r="A469" s="44" t="s">
        <v>5710</v>
      </c>
      <c r="B469" s="22"/>
      <c r="C469" s="22"/>
      <c r="D469" s="22"/>
    </row>
    <row r="470" spans="1:4" ht="15" x14ac:dyDescent="0.25">
      <c r="A470" s="44" t="s">
        <v>5711</v>
      </c>
      <c r="B470" s="22"/>
      <c r="C470" s="22"/>
      <c r="D470" s="22"/>
    </row>
    <row r="471" spans="1:4" ht="15" x14ac:dyDescent="0.25">
      <c r="A471" s="44" t="s">
        <v>5712</v>
      </c>
      <c r="B471" s="22"/>
      <c r="C471" s="22"/>
      <c r="D471" s="22"/>
    </row>
    <row r="472" spans="1:4" ht="15" x14ac:dyDescent="0.25">
      <c r="A472" s="44" t="s">
        <v>5713</v>
      </c>
      <c r="B472" s="22"/>
      <c r="C472" s="22"/>
      <c r="D472" s="22"/>
    </row>
    <row r="473" spans="1:4" ht="15" x14ac:dyDescent="0.25">
      <c r="A473" s="44" t="s">
        <v>5714</v>
      </c>
      <c r="B473" s="22"/>
      <c r="C473" s="22"/>
      <c r="D473" s="22"/>
    </row>
    <row r="474" spans="1:4" ht="15" x14ac:dyDescent="0.25">
      <c r="A474" s="44" t="s">
        <v>5715</v>
      </c>
      <c r="B474" s="22"/>
      <c r="C474" s="22"/>
      <c r="D474" s="22"/>
    </row>
    <row r="475" spans="1:4" ht="15" x14ac:dyDescent="0.25">
      <c r="A475" s="44" t="s">
        <v>5716</v>
      </c>
      <c r="B475" s="22"/>
      <c r="C475" s="22"/>
      <c r="D475" s="22"/>
    </row>
    <row r="476" spans="1:4" ht="15" x14ac:dyDescent="0.25">
      <c r="A476" s="44" t="s">
        <v>5717</v>
      </c>
      <c r="B476" s="22"/>
      <c r="C476" s="22"/>
      <c r="D476" s="22"/>
    </row>
    <row r="477" spans="1:4" ht="15" x14ac:dyDescent="0.25">
      <c r="A477" s="44" t="s">
        <v>5718</v>
      </c>
      <c r="B477" s="22"/>
      <c r="C477" s="22"/>
      <c r="D477" s="22"/>
    </row>
    <row r="478" spans="1:4" ht="15" x14ac:dyDescent="0.25">
      <c r="A478" s="44" t="s">
        <v>5719</v>
      </c>
      <c r="B478" s="22"/>
      <c r="C478" s="22"/>
      <c r="D478" s="22"/>
    </row>
    <row r="479" spans="1:4" ht="15" x14ac:dyDescent="0.25">
      <c r="A479" s="44" t="s">
        <v>5718</v>
      </c>
      <c r="B479" s="22"/>
      <c r="C479" s="22"/>
      <c r="D479" s="22"/>
    </row>
    <row r="480" spans="1:4" ht="15" x14ac:dyDescent="0.25">
      <c r="A480" s="44" t="s">
        <v>5720</v>
      </c>
      <c r="B480" s="22"/>
      <c r="C480" s="22"/>
      <c r="D480" s="22"/>
    </row>
    <row r="481" spans="1:4" ht="15" x14ac:dyDescent="0.25">
      <c r="A481" s="44" t="s">
        <v>5721</v>
      </c>
      <c r="B481" s="22"/>
      <c r="C481" s="22"/>
      <c r="D481" s="22"/>
    </row>
    <row r="482" spans="1:4" ht="15" x14ac:dyDescent="0.25">
      <c r="A482" s="44" t="s">
        <v>5722</v>
      </c>
      <c r="B482" s="22"/>
      <c r="C482" s="22"/>
      <c r="D482" s="22"/>
    </row>
    <row r="483" spans="1:4" ht="15" x14ac:dyDescent="0.25">
      <c r="A483" s="44" t="s">
        <v>5723</v>
      </c>
      <c r="B483" s="22"/>
      <c r="C483" s="22"/>
      <c r="D483" s="22"/>
    </row>
    <row r="484" spans="1:4" ht="15" x14ac:dyDescent="0.25">
      <c r="A484" s="44" t="s">
        <v>5724</v>
      </c>
      <c r="B484" s="22"/>
      <c r="C484" s="22"/>
      <c r="D484" s="22"/>
    </row>
    <row r="485" spans="1:4" ht="15" x14ac:dyDescent="0.25">
      <c r="A485" s="44" t="s">
        <v>5725</v>
      </c>
      <c r="B485" s="22"/>
      <c r="C485" s="22"/>
      <c r="D485" s="22"/>
    </row>
    <row r="486" spans="1:4" ht="15" x14ac:dyDescent="0.25">
      <c r="A486" s="44" t="s">
        <v>5726</v>
      </c>
      <c r="B486" s="22"/>
      <c r="C486" s="22"/>
      <c r="D486" s="22"/>
    </row>
    <row r="487" spans="1:4" ht="15" x14ac:dyDescent="0.25">
      <c r="A487" s="44" t="s">
        <v>5727</v>
      </c>
      <c r="B487" s="22"/>
      <c r="C487" s="22"/>
      <c r="D487" s="22"/>
    </row>
    <row r="488" spans="1:4" ht="15" x14ac:dyDescent="0.25">
      <c r="A488" s="44" t="s">
        <v>5728</v>
      </c>
      <c r="B488" s="22"/>
      <c r="C488" s="22"/>
      <c r="D488" s="22"/>
    </row>
    <row r="489" spans="1:4" ht="15" x14ac:dyDescent="0.25">
      <c r="A489" s="44" t="s">
        <v>5729</v>
      </c>
      <c r="B489" s="22"/>
      <c r="C489" s="22"/>
      <c r="D489" s="22"/>
    </row>
    <row r="490" spans="1:4" ht="15" x14ac:dyDescent="0.25">
      <c r="A490" s="44" t="s">
        <v>5730</v>
      </c>
      <c r="B490" s="22"/>
      <c r="C490" s="22"/>
      <c r="D490" s="22"/>
    </row>
    <row r="491" spans="1:4" ht="15" x14ac:dyDescent="0.25">
      <c r="A491" s="44" t="s">
        <v>5731</v>
      </c>
      <c r="B491" s="22"/>
      <c r="C491" s="22"/>
      <c r="D491" s="22"/>
    </row>
    <row r="492" spans="1:4" ht="15" x14ac:dyDescent="0.25">
      <c r="A492" s="44" t="s">
        <v>5732</v>
      </c>
      <c r="B492" s="22"/>
      <c r="C492" s="22"/>
      <c r="D492" s="22"/>
    </row>
    <row r="493" spans="1:4" ht="15" x14ac:dyDescent="0.25">
      <c r="A493" s="44" t="s">
        <v>5733</v>
      </c>
      <c r="B493" s="22"/>
      <c r="C493" s="22"/>
      <c r="D493" s="22"/>
    </row>
    <row r="494" spans="1:4" ht="15" x14ac:dyDescent="0.25">
      <c r="A494" s="44" t="s">
        <v>5734</v>
      </c>
      <c r="B494" s="22"/>
      <c r="C494" s="22"/>
      <c r="D494" s="22"/>
    </row>
    <row r="495" spans="1:4" ht="15" x14ac:dyDescent="0.25">
      <c r="A495" s="44" t="s">
        <v>5735</v>
      </c>
      <c r="B495" s="22"/>
      <c r="C495" s="22"/>
      <c r="D495" s="22"/>
    </row>
    <row r="496" spans="1:4" ht="15" x14ac:dyDescent="0.25">
      <c r="A496" s="44" t="s">
        <v>5736</v>
      </c>
      <c r="B496" s="22"/>
      <c r="C496" s="22"/>
      <c r="D496" s="22"/>
    </row>
    <row r="497" spans="1:4" ht="15" x14ac:dyDescent="0.25">
      <c r="A497" s="44" t="s">
        <v>5737</v>
      </c>
      <c r="B497" s="22"/>
      <c r="C497" s="22"/>
      <c r="D497" s="22"/>
    </row>
    <row r="498" spans="1:4" ht="15" x14ac:dyDescent="0.25">
      <c r="A498" s="44" t="s">
        <v>5738</v>
      </c>
      <c r="B498" s="22"/>
      <c r="C498" s="22"/>
      <c r="D498" s="22"/>
    </row>
    <row r="499" spans="1:4" ht="15" x14ac:dyDescent="0.25">
      <c r="A499" s="44" t="s">
        <v>5739</v>
      </c>
      <c r="B499" s="22"/>
      <c r="C499" s="22"/>
      <c r="D499" s="22"/>
    </row>
    <row r="500" spans="1:4" ht="15" x14ac:dyDescent="0.25">
      <c r="A500" s="44" t="s">
        <v>5740</v>
      </c>
      <c r="B500" s="22"/>
      <c r="C500" s="22"/>
      <c r="D500" s="22"/>
    </row>
    <row r="501" spans="1:4" ht="15" x14ac:dyDescent="0.25">
      <c r="A501" s="44" t="s">
        <v>5741</v>
      </c>
      <c r="B501" s="22"/>
      <c r="C501" s="22"/>
      <c r="D501" s="22"/>
    </row>
    <row r="502" spans="1:4" ht="15" x14ac:dyDescent="0.25">
      <c r="A502" s="44" t="s">
        <v>5742</v>
      </c>
      <c r="B502" s="22"/>
      <c r="C502" s="22"/>
      <c r="D502" s="22"/>
    </row>
    <row r="503" spans="1:4" ht="15" x14ac:dyDescent="0.25">
      <c r="A503" s="44" t="s">
        <v>5743</v>
      </c>
      <c r="B503" s="22"/>
      <c r="C503" s="22"/>
      <c r="D503" s="22"/>
    </row>
    <row r="504" spans="1:4" ht="15" x14ac:dyDescent="0.25">
      <c r="A504" s="44" t="s">
        <v>5744</v>
      </c>
      <c r="B504" s="22"/>
      <c r="C504" s="22"/>
      <c r="D504" s="22"/>
    </row>
    <row r="505" spans="1:4" ht="15" x14ac:dyDescent="0.25">
      <c r="A505" s="44" t="s">
        <v>5745</v>
      </c>
      <c r="B505" s="22"/>
      <c r="C505" s="22"/>
      <c r="D505" s="22"/>
    </row>
    <row r="506" spans="1:4" ht="15" x14ac:dyDescent="0.25">
      <c r="A506" s="44" t="s">
        <v>5746</v>
      </c>
      <c r="B506" s="22"/>
      <c r="C506" s="22"/>
      <c r="D506" s="22"/>
    </row>
    <row r="507" spans="1:4" ht="15" x14ac:dyDescent="0.25">
      <c r="A507" s="44" t="s">
        <v>5747</v>
      </c>
      <c r="B507" s="22"/>
      <c r="C507" s="22"/>
      <c r="D507" s="22"/>
    </row>
    <row r="508" spans="1:4" ht="15" x14ac:dyDescent="0.25">
      <c r="A508" s="44" t="s">
        <v>5748</v>
      </c>
      <c r="B508" s="22"/>
      <c r="C508" s="22"/>
      <c r="D508" s="22"/>
    </row>
    <row r="509" spans="1:4" ht="15" x14ac:dyDescent="0.25">
      <c r="A509" s="44" t="s">
        <v>5749</v>
      </c>
      <c r="B509" s="22"/>
      <c r="C509" s="22"/>
      <c r="D509" s="22"/>
    </row>
    <row r="510" spans="1:4" ht="15" x14ac:dyDescent="0.25">
      <c r="A510" s="44" t="s">
        <v>5750</v>
      </c>
      <c r="B510" s="22"/>
      <c r="C510" s="22"/>
      <c r="D510" s="22"/>
    </row>
    <row r="511" spans="1:4" ht="15" x14ac:dyDescent="0.25">
      <c r="A511" s="44" t="s">
        <v>5751</v>
      </c>
      <c r="B511" s="22"/>
      <c r="C511" s="22"/>
      <c r="D511" s="22"/>
    </row>
    <row r="512" spans="1:4" ht="15" x14ac:dyDescent="0.25">
      <c r="A512" s="44" t="s">
        <v>5752</v>
      </c>
      <c r="B512" s="22"/>
      <c r="C512" s="22"/>
      <c r="D512" s="22"/>
    </row>
    <row r="513" spans="1:4" ht="15" x14ac:dyDescent="0.25">
      <c r="A513" s="44" t="s">
        <v>5753</v>
      </c>
      <c r="B513" s="22"/>
      <c r="C513" s="22"/>
      <c r="D513" s="22"/>
    </row>
    <row r="514" spans="1:4" ht="15" x14ac:dyDescent="0.25">
      <c r="A514" s="44" t="s">
        <v>5754</v>
      </c>
      <c r="B514" s="22"/>
      <c r="C514" s="22"/>
      <c r="D514" s="22"/>
    </row>
    <row r="515" spans="1:4" ht="15" x14ac:dyDescent="0.25">
      <c r="A515" s="44" t="s">
        <v>5755</v>
      </c>
      <c r="B515" s="22"/>
      <c r="C515" s="22"/>
      <c r="D515" s="22"/>
    </row>
    <row r="516" spans="1:4" ht="15" x14ac:dyDescent="0.25">
      <c r="A516" s="44" t="s">
        <v>5756</v>
      </c>
      <c r="B516" s="22"/>
      <c r="C516" s="22"/>
      <c r="D516" s="22"/>
    </row>
    <row r="517" spans="1:4" ht="15" x14ac:dyDescent="0.25">
      <c r="A517" s="44" t="s">
        <v>5757</v>
      </c>
      <c r="B517" s="22"/>
      <c r="C517" s="22"/>
      <c r="D517" s="22"/>
    </row>
    <row r="518" spans="1:4" ht="15" x14ac:dyDescent="0.25">
      <c r="A518" s="44" t="s">
        <v>5758</v>
      </c>
      <c r="B518" s="22"/>
      <c r="C518" s="22"/>
      <c r="D518" s="22"/>
    </row>
    <row r="519" spans="1:4" ht="15" x14ac:dyDescent="0.25">
      <c r="A519" s="44" t="s">
        <v>5759</v>
      </c>
      <c r="B519" s="22"/>
      <c r="C519" s="22"/>
      <c r="D519" s="22"/>
    </row>
    <row r="520" spans="1:4" ht="15" x14ac:dyDescent="0.25">
      <c r="A520" s="44" t="s">
        <v>5760</v>
      </c>
      <c r="B520" s="22"/>
      <c r="C520" s="22"/>
      <c r="D520" s="22"/>
    </row>
    <row r="521" spans="1:4" ht="15" x14ac:dyDescent="0.25">
      <c r="A521" s="44" t="s">
        <v>5761</v>
      </c>
      <c r="B521" s="22"/>
      <c r="C521" s="22"/>
      <c r="D521" s="22"/>
    </row>
    <row r="522" spans="1:4" ht="15" x14ac:dyDescent="0.25">
      <c r="A522" s="44" t="s">
        <v>5762</v>
      </c>
      <c r="B522" s="22"/>
      <c r="C522" s="22"/>
      <c r="D522" s="22"/>
    </row>
    <row r="523" spans="1:4" ht="15" x14ac:dyDescent="0.25">
      <c r="A523" s="44" t="s">
        <v>5763</v>
      </c>
      <c r="B523" s="22"/>
      <c r="C523" s="22"/>
      <c r="D523" s="22"/>
    </row>
    <row r="524" spans="1:4" ht="15" x14ac:dyDescent="0.25">
      <c r="A524" s="44" t="s">
        <v>5764</v>
      </c>
      <c r="B524" s="22"/>
      <c r="C524" s="22"/>
      <c r="D524" s="22"/>
    </row>
    <row r="525" spans="1:4" ht="15" x14ac:dyDescent="0.25">
      <c r="A525" s="44" t="s">
        <v>5765</v>
      </c>
      <c r="B525" s="22"/>
      <c r="C525" s="22"/>
      <c r="D525" s="22"/>
    </row>
    <row r="526" spans="1:4" ht="15" x14ac:dyDescent="0.25">
      <c r="A526" s="44" t="s">
        <v>5766</v>
      </c>
      <c r="B526" s="22"/>
      <c r="C526" s="22"/>
      <c r="D526" s="22"/>
    </row>
    <row r="527" spans="1:4" ht="15" x14ac:dyDescent="0.25">
      <c r="A527" s="44" t="s">
        <v>5767</v>
      </c>
      <c r="B527" s="22"/>
      <c r="C527" s="22"/>
      <c r="D527" s="22"/>
    </row>
    <row r="528" spans="1:4" ht="15" x14ac:dyDescent="0.25">
      <c r="A528" s="44" t="s">
        <v>5768</v>
      </c>
      <c r="B528" s="22"/>
      <c r="C528" s="22"/>
      <c r="D528" s="22"/>
    </row>
    <row r="529" spans="1:4" ht="15" x14ac:dyDescent="0.25">
      <c r="A529" s="44" t="s">
        <v>5769</v>
      </c>
      <c r="B529" s="22"/>
      <c r="C529" s="22"/>
      <c r="D529" s="22"/>
    </row>
    <row r="530" spans="1:4" ht="15" x14ac:dyDescent="0.25">
      <c r="A530" s="44" t="s">
        <v>5770</v>
      </c>
      <c r="B530" s="22"/>
      <c r="C530" s="22"/>
      <c r="D530" s="22"/>
    </row>
    <row r="531" spans="1:4" ht="15" x14ac:dyDescent="0.25">
      <c r="A531" s="44" t="s">
        <v>5771</v>
      </c>
      <c r="B531" s="22"/>
      <c r="C531" s="22"/>
      <c r="D531" s="22"/>
    </row>
    <row r="532" spans="1:4" ht="15" x14ac:dyDescent="0.25">
      <c r="A532" s="44" t="s">
        <v>5772</v>
      </c>
      <c r="B532" s="22"/>
      <c r="C532" s="22"/>
      <c r="D532" s="22"/>
    </row>
    <row r="533" spans="1:4" ht="15" x14ac:dyDescent="0.25">
      <c r="A533" s="44" t="s">
        <v>5773</v>
      </c>
      <c r="B533" s="22"/>
      <c r="C533" s="22"/>
      <c r="D533" s="22"/>
    </row>
    <row r="534" spans="1:4" ht="15" x14ac:dyDescent="0.25">
      <c r="A534" s="44" t="s">
        <v>5774</v>
      </c>
      <c r="B534" s="22"/>
      <c r="C534" s="22"/>
      <c r="D534" s="22"/>
    </row>
    <row r="535" spans="1:4" ht="15" x14ac:dyDescent="0.25">
      <c r="A535" s="44" t="s">
        <v>5775</v>
      </c>
      <c r="B535" s="22"/>
      <c r="C535" s="22"/>
      <c r="D535" s="22"/>
    </row>
    <row r="536" spans="1:4" ht="15" x14ac:dyDescent="0.25">
      <c r="A536" s="44" t="s">
        <v>5776</v>
      </c>
      <c r="B536" s="22"/>
      <c r="C536" s="22"/>
      <c r="D536" s="22"/>
    </row>
    <row r="537" spans="1:4" ht="15" x14ac:dyDescent="0.25">
      <c r="A537" s="44" t="s">
        <v>4874</v>
      </c>
      <c r="B537" s="22"/>
      <c r="C537" s="22"/>
      <c r="D537" s="22"/>
    </row>
    <row r="538" spans="1:4" ht="15" x14ac:dyDescent="0.25">
      <c r="A538" s="44" t="s">
        <v>4798</v>
      </c>
      <c r="B538" s="22"/>
      <c r="C538" s="22"/>
      <c r="D538" s="22"/>
    </row>
    <row r="539" spans="1:4" ht="15" x14ac:dyDescent="0.25">
      <c r="A539" s="22"/>
      <c r="B539" s="22"/>
      <c r="C539" s="22"/>
      <c r="D539" s="22"/>
    </row>
    <row r="540" spans="1:4" ht="15" x14ac:dyDescent="0.25">
      <c r="A540" s="42" t="s">
        <v>5072</v>
      </c>
      <c r="B540" s="22"/>
      <c r="C540" s="22"/>
      <c r="D540" s="22"/>
    </row>
    <row r="541" spans="1:4" ht="15" x14ac:dyDescent="0.25">
      <c r="A541" s="44" t="s">
        <v>5606</v>
      </c>
      <c r="B541" s="22"/>
      <c r="C541" s="22"/>
      <c r="D541" s="22"/>
    </row>
    <row r="542" spans="1:4" ht="15" x14ac:dyDescent="0.25">
      <c r="A542" s="44" t="s">
        <v>5607</v>
      </c>
      <c r="B542" s="22"/>
      <c r="C542" s="22"/>
      <c r="D542" s="22"/>
    </row>
    <row r="543" spans="1:4" ht="15" x14ac:dyDescent="0.25">
      <c r="A543" s="44" t="s">
        <v>5608</v>
      </c>
      <c r="B543" s="22"/>
      <c r="C543" s="22"/>
      <c r="D543" s="22"/>
    </row>
    <row r="544" spans="1:4" ht="15" x14ac:dyDescent="0.25">
      <c r="A544" s="44" t="s">
        <v>5609</v>
      </c>
      <c r="B544" s="22"/>
      <c r="C544" s="22"/>
      <c r="D544" s="22"/>
    </row>
    <row r="545" spans="1:4" ht="15" x14ac:dyDescent="0.25">
      <c r="A545" s="44" t="s">
        <v>5610</v>
      </c>
      <c r="B545" s="22"/>
      <c r="C545" s="22"/>
      <c r="D545" s="22"/>
    </row>
    <row r="546" spans="1:4" ht="15" x14ac:dyDescent="0.25">
      <c r="A546" s="44" t="s">
        <v>5611</v>
      </c>
      <c r="B546" s="22"/>
      <c r="C546" s="22"/>
      <c r="D546" s="22"/>
    </row>
    <row r="547" spans="1:4" ht="15" x14ac:dyDescent="0.25">
      <c r="A547" s="44" t="s">
        <v>5612</v>
      </c>
      <c r="B547" s="22"/>
      <c r="C547" s="22"/>
      <c r="D547" s="22"/>
    </row>
    <row r="548" spans="1:4" ht="15" x14ac:dyDescent="0.25">
      <c r="A548" s="44" t="s">
        <v>5613</v>
      </c>
      <c r="B548" s="22"/>
      <c r="C548" s="22"/>
      <c r="D548" s="22"/>
    </row>
    <row r="549" spans="1:4" ht="15" x14ac:dyDescent="0.25">
      <c r="A549" s="44" t="s">
        <v>5614</v>
      </c>
      <c r="B549" s="22"/>
      <c r="C549" s="22"/>
      <c r="D549" s="22"/>
    </row>
    <row r="550" spans="1:4" ht="15" x14ac:dyDescent="0.25">
      <c r="A550" s="44" t="s">
        <v>5615</v>
      </c>
      <c r="B550" s="22"/>
      <c r="C550" s="22"/>
      <c r="D550" s="22"/>
    </row>
    <row r="551" spans="1:4" ht="15" x14ac:dyDescent="0.25">
      <c r="A551" s="44" t="s">
        <v>5616</v>
      </c>
      <c r="B551" s="22"/>
      <c r="C551" s="22"/>
      <c r="D551" s="22"/>
    </row>
    <row r="552" spans="1:4" ht="15" x14ac:dyDescent="0.25">
      <c r="A552" s="44" t="s">
        <v>5617</v>
      </c>
      <c r="B552" s="22"/>
      <c r="C552" s="22"/>
      <c r="D552" s="22"/>
    </row>
    <row r="553" spans="1:4" ht="15" x14ac:dyDescent="0.25">
      <c r="A553" s="44" t="s">
        <v>5618</v>
      </c>
      <c r="B553" s="22"/>
      <c r="C553" s="22"/>
      <c r="D553" s="22"/>
    </row>
    <row r="554" spans="1:4" ht="15" x14ac:dyDescent="0.25">
      <c r="A554" s="44" t="s">
        <v>5619</v>
      </c>
      <c r="B554" s="22"/>
      <c r="C554" s="22"/>
      <c r="D554" s="22"/>
    </row>
    <row r="555" spans="1:4" ht="15" x14ac:dyDescent="0.25">
      <c r="A555" s="44" t="s">
        <v>5620</v>
      </c>
      <c r="B555" s="22"/>
      <c r="C555" s="22"/>
      <c r="D555" s="22"/>
    </row>
    <row r="556" spans="1:4" ht="15" x14ac:dyDescent="0.25">
      <c r="A556" s="44" t="s">
        <v>5621</v>
      </c>
      <c r="B556" s="22"/>
      <c r="C556" s="22"/>
      <c r="D556" s="22"/>
    </row>
    <row r="557" spans="1:4" ht="15" x14ac:dyDescent="0.25">
      <c r="A557" s="44" t="s">
        <v>5622</v>
      </c>
      <c r="B557" s="22"/>
      <c r="C557" s="22"/>
      <c r="D557" s="22"/>
    </row>
    <row r="558" spans="1:4" ht="15" x14ac:dyDescent="0.25">
      <c r="A558" s="44" t="s">
        <v>5623</v>
      </c>
      <c r="B558" s="22"/>
      <c r="C558" s="22"/>
      <c r="D558" s="22"/>
    </row>
    <row r="559" spans="1:4" ht="15" x14ac:dyDescent="0.25">
      <c r="A559" s="44" t="s">
        <v>5624</v>
      </c>
      <c r="B559" s="22"/>
      <c r="C559" s="22"/>
      <c r="D559" s="22"/>
    </row>
    <row r="560" spans="1:4" ht="15" x14ac:dyDescent="0.25">
      <c r="A560" s="44" t="s">
        <v>5625</v>
      </c>
      <c r="B560" s="22"/>
      <c r="C560" s="22"/>
      <c r="D560" s="22"/>
    </row>
    <row r="561" spans="1:4" ht="15" x14ac:dyDescent="0.25">
      <c r="A561" s="44" t="s">
        <v>5626</v>
      </c>
      <c r="B561" s="22"/>
      <c r="C561" s="22"/>
      <c r="D561" s="22"/>
    </row>
    <row r="562" spans="1:4" ht="15" x14ac:dyDescent="0.25">
      <c r="A562" s="44" t="s">
        <v>5627</v>
      </c>
      <c r="B562" s="22"/>
      <c r="C562" s="22"/>
      <c r="D562" s="22"/>
    </row>
    <row r="563" spans="1:4" ht="15" x14ac:dyDescent="0.25">
      <c r="A563" s="44" t="s">
        <v>5628</v>
      </c>
      <c r="B563" s="22"/>
      <c r="C563" s="22"/>
      <c r="D563" s="22"/>
    </row>
    <row r="564" spans="1:4" ht="15" x14ac:dyDescent="0.25">
      <c r="A564" s="44" t="s">
        <v>5629</v>
      </c>
      <c r="B564" s="22"/>
      <c r="C564" s="22"/>
      <c r="D564" s="22"/>
    </row>
    <row r="565" spans="1:4" ht="15" x14ac:dyDescent="0.25">
      <c r="A565" s="44" t="s">
        <v>5630</v>
      </c>
      <c r="B565" s="22"/>
      <c r="C565" s="22"/>
      <c r="D565" s="22"/>
    </row>
    <row r="566" spans="1:4" ht="15" x14ac:dyDescent="0.25">
      <c r="A566" s="44" t="s">
        <v>5631</v>
      </c>
      <c r="B566" s="22"/>
      <c r="C566" s="22"/>
      <c r="D566" s="22"/>
    </row>
    <row r="567" spans="1:4" ht="15" x14ac:dyDescent="0.25">
      <c r="A567" s="44" t="s">
        <v>4874</v>
      </c>
      <c r="B567" s="22"/>
      <c r="C567" s="22"/>
      <c r="D567" s="22"/>
    </row>
    <row r="568" spans="1:4" ht="15" x14ac:dyDescent="0.25">
      <c r="A568" s="44" t="s">
        <v>4798</v>
      </c>
      <c r="B568" s="22"/>
      <c r="C568" s="22"/>
      <c r="D568" s="22"/>
    </row>
    <row r="569" spans="1:4" ht="15" x14ac:dyDescent="0.25">
      <c r="A569" s="22"/>
      <c r="B569" s="22"/>
      <c r="C569" s="22"/>
      <c r="D569" s="22"/>
    </row>
    <row r="570" spans="1:4" ht="15" x14ac:dyDescent="0.25">
      <c r="A570" s="42" t="s">
        <v>5099</v>
      </c>
      <c r="B570" s="22"/>
      <c r="C570" s="22"/>
      <c r="D570" s="22"/>
    </row>
    <row r="571" spans="1:4" ht="15" x14ac:dyDescent="0.25">
      <c r="A571" s="44" t="s">
        <v>4798</v>
      </c>
      <c r="B571" s="22"/>
      <c r="C571" s="22"/>
      <c r="D571" s="22"/>
    </row>
    <row r="572" spans="1:4" ht="15" x14ac:dyDescent="0.25">
      <c r="A572" s="44" t="s">
        <v>5599</v>
      </c>
      <c r="B572" s="22"/>
      <c r="C572" s="22"/>
      <c r="D572" s="22"/>
    </row>
    <row r="573" spans="1:4" ht="15" x14ac:dyDescent="0.25">
      <c r="A573" s="44" t="s">
        <v>5597</v>
      </c>
      <c r="B573" s="22"/>
      <c r="C573" s="22"/>
      <c r="D573" s="22"/>
    </row>
    <row r="574" spans="1:4" ht="15" x14ac:dyDescent="0.25">
      <c r="A574" s="44" t="s">
        <v>5596</v>
      </c>
      <c r="B574" s="22"/>
      <c r="C574" s="22"/>
      <c r="D574" s="22"/>
    </row>
    <row r="575" spans="1:4" ht="15" x14ac:dyDescent="0.25">
      <c r="A575" s="44" t="s">
        <v>5595</v>
      </c>
      <c r="B575" s="22"/>
      <c r="C575" s="22"/>
      <c r="D575" s="22"/>
    </row>
    <row r="576" spans="1:4" ht="15" x14ac:dyDescent="0.25">
      <c r="A576" s="44" t="s">
        <v>5598</v>
      </c>
      <c r="B576" s="22"/>
      <c r="C576" s="22"/>
      <c r="D576" s="22"/>
    </row>
    <row r="577" spans="1:4" ht="15" x14ac:dyDescent="0.25">
      <c r="A577" s="44" t="s">
        <v>5594</v>
      </c>
      <c r="B577" s="22"/>
      <c r="C577" s="22"/>
      <c r="D577" s="22"/>
    </row>
    <row r="578" spans="1:4" ht="15" x14ac:dyDescent="0.25">
      <c r="A578" s="44" t="s">
        <v>5997</v>
      </c>
      <c r="B578" s="22"/>
      <c r="C578" s="22"/>
      <c r="D578" s="22"/>
    </row>
    <row r="579" spans="1:4" ht="15" x14ac:dyDescent="0.25">
      <c r="A579" s="44" t="s">
        <v>5604</v>
      </c>
      <c r="B579" s="22"/>
      <c r="C579" s="22"/>
      <c r="D579" s="22"/>
    </row>
    <row r="580" spans="1:4" ht="15" x14ac:dyDescent="0.25">
      <c r="A580" s="44" t="s">
        <v>5604</v>
      </c>
      <c r="B580" s="22"/>
      <c r="C580" s="22"/>
      <c r="D580" s="22"/>
    </row>
    <row r="581" spans="1:4" ht="15" x14ac:dyDescent="0.25">
      <c r="A581" s="44" t="s">
        <v>5603</v>
      </c>
      <c r="B581" s="22"/>
      <c r="C581" s="22"/>
      <c r="D581" s="22"/>
    </row>
    <row r="582" spans="1:4" ht="15" x14ac:dyDescent="0.25">
      <c r="A582" s="44" t="s">
        <v>5602</v>
      </c>
      <c r="B582" s="22"/>
      <c r="C582" s="22"/>
      <c r="D582" s="22"/>
    </row>
    <row r="583" spans="1:4" ht="15" x14ac:dyDescent="0.25">
      <c r="A583" s="44" t="s">
        <v>5601</v>
      </c>
      <c r="B583" s="22"/>
      <c r="C583" s="22"/>
      <c r="D583" s="22"/>
    </row>
    <row r="584" spans="1:4" ht="15" x14ac:dyDescent="0.25">
      <c r="A584" s="44" t="s">
        <v>5600</v>
      </c>
      <c r="B584" s="22"/>
      <c r="C584" s="22"/>
      <c r="D584" s="22"/>
    </row>
    <row r="585" spans="1:4" ht="15" x14ac:dyDescent="0.25">
      <c r="A585" s="44" t="s">
        <v>5996</v>
      </c>
      <c r="B585" s="22"/>
      <c r="C585" s="22"/>
      <c r="D585" s="22"/>
    </row>
    <row r="586" spans="1:4" ht="15" x14ac:dyDescent="0.25">
      <c r="A586" s="22"/>
      <c r="B586" s="22"/>
      <c r="C586" s="22"/>
      <c r="D586" s="22"/>
    </row>
    <row r="587" spans="1:4" ht="15" x14ac:dyDescent="0.25">
      <c r="A587" s="42" t="s">
        <v>5126</v>
      </c>
      <c r="B587" s="22"/>
      <c r="C587" s="22"/>
      <c r="D587" s="22"/>
    </row>
    <row r="588" spans="1:4" ht="15" x14ac:dyDescent="0.25">
      <c r="A588" s="44" t="s">
        <v>5127</v>
      </c>
      <c r="B588" s="22" t="s">
        <v>5128</v>
      </c>
      <c r="C588" s="22"/>
      <c r="D588" s="22"/>
    </row>
    <row r="589" spans="1:4" ht="15" x14ac:dyDescent="0.25">
      <c r="A589" s="44" t="s">
        <v>5129</v>
      </c>
      <c r="B589" s="22"/>
      <c r="C589" s="22"/>
      <c r="D589" s="22"/>
    </row>
    <row r="590" spans="1:4" ht="15" x14ac:dyDescent="0.25">
      <c r="A590" s="44" t="s">
        <v>5124</v>
      </c>
      <c r="B590" s="22"/>
      <c r="C590" s="22"/>
      <c r="D590" s="22"/>
    </row>
    <row r="591" spans="1:4" ht="15" x14ac:dyDescent="0.25">
      <c r="A591" s="44" t="s">
        <v>5125</v>
      </c>
      <c r="B591" s="22"/>
      <c r="C591" s="22"/>
      <c r="D591" s="22"/>
    </row>
    <row r="592" spans="1:4" ht="15" x14ac:dyDescent="0.25">
      <c r="A592" s="44" t="s">
        <v>5122</v>
      </c>
      <c r="B592" s="22"/>
      <c r="C592" s="22"/>
      <c r="D592" s="22"/>
    </row>
    <row r="593" spans="1:4" ht="15" x14ac:dyDescent="0.25">
      <c r="A593" s="44" t="s">
        <v>5123</v>
      </c>
      <c r="B593" s="22"/>
      <c r="C593" s="22"/>
      <c r="D593" s="22"/>
    </row>
    <row r="594" spans="1:4" ht="15" x14ac:dyDescent="0.25">
      <c r="A594" s="44" t="s">
        <v>4798</v>
      </c>
      <c r="B594" s="22"/>
      <c r="C594" s="22"/>
      <c r="D594" s="22"/>
    </row>
    <row r="595" spans="1:4" ht="15" x14ac:dyDescent="0.25">
      <c r="A595" s="22"/>
      <c r="B595" s="22"/>
      <c r="C595" s="22"/>
      <c r="D595" s="22"/>
    </row>
    <row r="596" spans="1:4" ht="15" x14ac:dyDescent="0.25">
      <c r="A596" s="42" t="s">
        <v>5130</v>
      </c>
      <c r="B596" s="22" t="s">
        <v>5131</v>
      </c>
      <c r="C596" s="22"/>
      <c r="D596" s="22"/>
    </row>
    <row r="597" spans="1:4" ht="15" x14ac:dyDescent="0.25">
      <c r="A597" s="44" t="s">
        <v>5124</v>
      </c>
      <c r="B597" s="22"/>
      <c r="C597" s="22"/>
      <c r="D597" s="22"/>
    </row>
    <row r="598" spans="1:4" ht="15" x14ac:dyDescent="0.25">
      <c r="A598" s="44" t="s">
        <v>5125</v>
      </c>
      <c r="B598" s="22"/>
      <c r="C598" s="22"/>
      <c r="D598" s="22"/>
    </row>
    <row r="599" spans="1:4" ht="15" x14ac:dyDescent="0.25">
      <c r="A599" s="44" t="s">
        <v>5122</v>
      </c>
      <c r="B599" s="22"/>
      <c r="C599" s="22"/>
      <c r="D599" s="22"/>
    </row>
    <row r="600" spans="1:4" ht="15" x14ac:dyDescent="0.25">
      <c r="A600" s="44" t="s">
        <v>5123</v>
      </c>
      <c r="B600" s="22"/>
      <c r="C600" s="22"/>
      <c r="D600" s="22"/>
    </row>
    <row r="601" spans="1:4" ht="15" x14ac:dyDescent="0.25">
      <c r="A601" s="44" t="s">
        <v>4874</v>
      </c>
      <c r="B601" s="22"/>
      <c r="C601" s="22"/>
      <c r="D601" s="22"/>
    </row>
    <row r="602" spans="1:4" ht="15" x14ac:dyDescent="0.25">
      <c r="A602" s="44" t="s">
        <v>4798</v>
      </c>
      <c r="B602" s="22"/>
      <c r="C602" s="22"/>
      <c r="D602" s="22"/>
    </row>
    <row r="603" spans="1:4" ht="15" x14ac:dyDescent="0.25">
      <c r="A603" s="22"/>
      <c r="B603" s="22"/>
      <c r="C603" s="22"/>
      <c r="D603" s="22"/>
    </row>
    <row r="604" spans="1:4" ht="15" x14ac:dyDescent="0.25">
      <c r="A604" s="42" t="s">
        <v>5132</v>
      </c>
      <c r="B604" s="22" t="s">
        <v>5133</v>
      </c>
      <c r="C604" s="22"/>
      <c r="D604" s="22"/>
    </row>
    <row r="605" spans="1:4" ht="15" x14ac:dyDescent="0.25">
      <c r="A605" s="44" t="s">
        <v>5134</v>
      </c>
      <c r="B605" s="22" t="s">
        <v>5135</v>
      </c>
      <c r="C605" s="22"/>
      <c r="D605" s="22"/>
    </row>
    <row r="606" spans="1:4" ht="15" x14ac:dyDescent="0.25">
      <c r="A606" s="44" t="s">
        <v>5136</v>
      </c>
      <c r="B606" s="22" t="s">
        <v>5137</v>
      </c>
      <c r="C606" s="22"/>
      <c r="D606" s="22"/>
    </row>
    <row r="607" spans="1:4" ht="15" x14ac:dyDescent="0.25">
      <c r="A607" s="44" t="s">
        <v>5138</v>
      </c>
      <c r="B607" s="22" t="s">
        <v>5139</v>
      </c>
      <c r="C607" s="22"/>
      <c r="D607" s="22"/>
    </row>
    <row r="608" spans="1:4" ht="15" x14ac:dyDescent="0.25">
      <c r="A608" s="44" t="s">
        <v>5140</v>
      </c>
      <c r="B608" s="22" t="s">
        <v>5141</v>
      </c>
      <c r="C608" s="22"/>
      <c r="D608" s="22"/>
    </row>
    <row r="609" spans="1:4" ht="15" x14ac:dyDescent="0.25">
      <c r="A609" s="44" t="s">
        <v>5142</v>
      </c>
      <c r="B609" s="22" t="s">
        <v>5143</v>
      </c>
      <c r="C609" s="22"/>
      <c r="D609" s="22"/>
    </row>
    <row r="610" spans="1:4" ht="15" x14ac:dyDescent="0.25">
      <c r="A610" s="44" t="s">
        <v>5144</v>
      </c>
      <c r="B610" s="22"/>
      <c r="C610" s="22"/>
      <c r="D610" s="22"/>
    </row>
    <row r="611" spans="1:4" ht="15" x14ac:dyDescent="0.25">
      <c r="A611" s="44" t="s">
        <v>4874</v>
      </c>
      <c r="B611" s="22"/>
      <c r="C611" s="22"/>
      <c r="D611" s="22"/>
    </row>
    <row r="612" spans="1:4" ht="15" x14ac:dyDescent="0.25">
      <c r="A612" s="44" t="s">
        <v>4798</v>
      </c>
      <c r="B612" s="22"/>
      <c r="C612" s="22"/>
      <c r="D612" s="22"/>
    </row>
    <row r="613" spans="1:4" ht="15" x14ac:dyDescent="0.25">
      <c r="A613" s="22"/>
      <c r="B613" s="22"/>
      <c r="C613" s="22"/>
      <c r="D613" s="22"/>
    </row>
    <row r="614" spans="1:4" ht="15" x14ac:dyDescent="0.25">
      <c r="A614" s="42" t="s">
        <v>5145</v>
      </c>
      <c r="B614" s="22"/>
      <c r="C614" s="22"/>
      <c r="D614" s="22"/>
    </row>
    <row r="615" spans="1:4" ht="15" x14ac:dyDescent="0.25">
      <c r="A615" s="45" t="s">
        <v>5146</v>
      </c>
      <c r="B615" s="22" t="s">
        <v>5147</v>
      </c>
      <c r="C615" s="22"/>
      <c r="D615" s="22"/>
    </row>
    <row r="616" spans="1:4" ht="15" x14ac:dyDescent="0.25">
      <c r="A616" s="45" t="s">
        <v>5148</v>
      </c>
      <c r="B616" s="22" t="s">
        <v>5147</v>
      </c>
      <c r="C616" s="22"/>
      <c r="D616" s="22"/>
    </row>
    <row r="617" spans="1:4" ht="15" x14ac:dyDescent="0.25">
      <c r="A617" s="45" t="s">
        <v>5149</v>
      </c>
      <c r="B617" s="22" t="s">
        <v>5147</v>
      </c>
      <c r="C617" s="22"/>
      <c r="D617" s="22"/>
    </row>
    <row r="618" spans="1:4" ht="15" x14ac:dyDescent="0.25">
      <c r="A618" s="45" t="s">
        <v>5150</v>
      </c>
      <c r="B618" s="22" t="s">
        <v>5147</v>
      </c>
      <c r="C618" s="22"/>
      <c r="D618" s="22"/>
    </row>
    <row r="619" spans="1:4" ht="15" x14ac:dyDescent="0.25">
      <c r="A619" s="45" t="s">
        <v>5151</v>
      </c>
      <c r="B619" s="22" t="s">
        <v>5152</v>
      </c>
      <c r="C619" s="22"/>
      <c r="D619" s="22"/>
    </row>
    <row r="620" spans="1:4" ht="15" x14ac:dyDescent="0.25">
      <c r="A620" s="45" t="s">
        <v>5153</v>
      </c>
      <c r="B620" s="22" t="s">
        <v>5152</v>
      </c>
      <c r="C620" s="22"/>
      <c r="D620" s="22"/>
    </row>
    <row r="621" spans="1:4" ht="15" x14ac:dyDescent="0.25">
      <c r="A621" s="45" t="s">
        <v>5154</v>
      </c>
      <c r="B621" s="22" t="s">
        <v>5152</v>
      </c>
      <c r="C621" s="22"/>
      <c r="D621" s="22"/>
    </row>
    <row r="622" spans="1:4" ht="15" x14ac:dyDescent="0.25">
      <c r="A622" s="45" t="s">
        <v>5155</v>
      </c>
      <c r="B622" s="22"/>
      <c r="C622" s="22"/>
      <c r="D622" s="22"/>
    </row>
    <row r="623" spans="1:4" ht="15" x14ac:dyDescent="0.25">
      <c r="A623" s="45" t="s">
        <v>4874</v>
      </c>
      <c r="B623" s="22" t="s">
        <v>5156</v>
      </c>
      <c r="C623" s="22"/>
      <c r="D623" s="22"/>
    </row>
    <row r="624" spans="1:4" ht="15" x14ac:dyDescent="0.25">
      <c r="A624" s="45" t="s">
        <v>4798</v>
      </c>
      <c r="B624" s="22"/>
      <c r="C624" s="22"/>
      <c r="D624" s="22"/>
    </row>
    <row r="625" spans="1:4" ht="15" x14ac:dyDescent="0.25">
      <c r="A625" s="22"/>
      <c r="B625" s="22"/>
      <c r="C625" s="22"/>
      <c r="D625" s="22"/>
    </row>
    <row r="626" spans="1:4" ht="15" x14ac:dyDescent="0.25">
      <c r="A626" s="42" t="s">
        <v>5157</v>
      </c>
      <c r="B626" s="22" t="s">
        <v>5158</v>
      </c>
      <c r="C626" s="22"/>
      <c r="D626" s="22"/>
    </row>
    <row r="627" spans="1:4" ht="15" x14ac:dyDescent="0.25">
      <c r="A627" s="45" t="s">
        <v>5159</v>
      </c>
      <c r="B627" s="22"/>
      <c r="C627" s="22"/>
      <c r="D627" s="22"/>
    </row>
    <row r="628" spans="1:4" ht="15" x14ac:dyDescent="0.25">
      <c r="A628" s="45" t="s">
        <v>5160</v>
      </c>
      <c r="B628" s="22"/>
      <c r="C628" s="22"/>
      <c r="D628" s="22"/>
    </row>
    <row r="629" spans="1:4" ht="15" x14ac:dyDescent="0.25">
      <c r="A629" s="45" t="s">
        <v>4874</v>
      </c>
      <c r="B629" s="22"/>
      <c r="C629" s="22"/>
      <c r="D629" s="22"/>
    </row>
    <row r="630" spans="1:4" ht="15" x14ac:dyDescent="0.25">
      <c r="A630" s="45" t="s">
        <v>4798</v>
      </c>
      <c r="B630" s="22"/>
      <c r="C630" s="22"/>
      <c r="D630" s="22"/>
    </row>
    <row r="631" spans="1:4" ht="15" x14ac:dyDescent="0.25">
      <c r="A631" s="22"/>
      <c r="B631" s="22"/>
      <c r="C631" s="22"/>
      <c r="D631" s="22"/>
    </row>
    <row r="632" spans="1:4" ht="15" x14ac:dyDescent="0.25">
      <c r="A632" s="42" t="s">
        <v>5589</v>
      </c>
      <c r="B632" s="22" t="s">
        <v>5161</v>
      </c>
      <c r="C632" s="22"/>
      <c r="D632" s="22"/>
    </row>
    <row r="633" spans="1:4" ht="15" x14ac:dyDescent="0.25">
      <c r="A633" s="45" t="s">
        <v>5159</v>
      </c>
      <c r="B633" s="22"/>
      <c r="C633" s="22"/>
      <c r="D633" s="22"/>
    </row>
    <row r="634" spans="1:4" ht="15" x14ac:dyDescent="0.25">
      <c r="A634" s="45" t="s">
        <v>4798</v>
      </c>
      <c r="B634" s="22"/>
      <c r="C634" s="22"/>
      <c r="D634" s="22"/>
    </row>
    <row r="635" spans="1:4" ht="15" x14ac:dyDescent="0.25">
      <c r="A635" s="22"/>
      <c r="B635" s="22"/>
      <c r="C635" s="22"/>
      <c r="D635" s="22"/>
    </row>
    <row r="636" spans="1:4" ht="15" x14ac:dyDescent="0.25">
      <c r="A636" s="42" t="s">
        <v>5162</v>
      </c>
      <c r="B636" s="22"/>
      <c r="C636" s="22"/>
      <c r="D636" s="22"/>
    </row>
    <row r="637" spans="1:4" ht="15" x14ac:dyDescent="0.25">
      <c r="A637" s="45" t="s">
        <v>5163</v>
      </c>
      <c r="B637" s="22" t="s">
        <v>5164</v>
      </c>
      <c r="C637" s="22"/>
      <c r="D637" s="22"/>
    </row>
    <row r="638" spans="1:4" ht="15" x14ac:dyDescent="0.25">
      <c r="A638" s="45" t="s">
        <v>5165</v>
      </c>
      <c r="B638" s="22" t="s">
        <v>5166</v>
      </c>
      <c r="C638" s="22"/>
      <c r="D638" s="22"/>
    </row>
    <row r="639" spans="1:4" ht="15" x14ac:dyDescent="0.25">
      <c r="A639" s="45" t="s">
        <v>4874</v>
      </c>
      <c r="B639" s="22"/>
      <c r="C639" s="22"/>
      <c r="D639" s="22"/>
    </row>
    <row r="640" spans="1:4" ht="15" x14ac:dyDescent="0.25">
      <c r="A640" s="45" t="s">
        <v>4798</v>
      </c>
      <c r="B640" s="22" t="s">
        <v>5166</v>
      </c>
      <c r="C640" s="22"/>
      <c r="D640" s="22"/>
    </row>
    <row r="641" spans="1:4" ht="15" x14ac:dyDescent="0.25">
      <c r="A641" s="22"/>
      <c r="B641" s="22"/>
      <c r="C641" s="22"/>
      <c r="D641" s="22"/>
    </row>
    <row r="642" spans="1:4" ht="15" x14ac:dyDescent="0.25">
      <c r="A642" s="42" t="s">
        <v>5167</v>
      </c>
      <c r="B642" s="22" t="s">
        <v>5168</v>
      </c>
      <c r="C642" s="22"/>
      <c r="D642" s="22"/>
    </row>
    <row r="643" spans="1:4" ht="15" x14ac:dyDescent="0.25">
      <c r="A643" s="45" t="s">
        <v>5159</v>
      </c>
      <c r="B643" s="22"/>
      <c r="C643" s="22"/>
      <c r="D643" s="22"/>
    </row>
    <row r="644" spans="1:4" ht="15" x14ac:dyDescent="0.25">
      <c r="A644" s="45" t="s">
        <v>5160</v>
      </c>
      <c r="B644" s="22"/>
      <c r="C644" s="22"/>
      <c r="D644" s="22"/>
    </row>
    <row r="645" spans="1:4" ht="15" x14ac:dyDescent="0.25">
      <c r="A645" s="45" t="s">
        <v>4874</v>
      </c>
      <c r="B645" s="22"/>
      <c r="C645" s="22"/>
      <c r="D645" s="22"/>
    </row>
    <row r="646" spans="1:4" ht="15" x14ac:dyDescent="0.25">
      <c r="A646" s="45" t="s">
        <v>4798</v>
      </c>
      <c r="B646" s="22"/>
      <c r="C646" s="22"/>
      <c r="D646" s="22"/>
    </row>
    <row r="647" spans="1:4" ht="15" x14ac:dyDescent="0.25">
      <c r="A647" s="22"/>
      <c r="B647" s="22"/>
      <c r="C647" s="22"/>
      <c r="D647" s="22"/>
    </row>
    <row r="648" spans="1:4" ht="15" x14ac:dyDescent="0.25">
      <c r="A648" s="42" t="s">
        <v>5169</v>
      </c>
      <c r="B648" s="22" t="s">
        <v>5168</v>
      </c>
      <c r="C648" s="22"/>
      <c r="D648" s="22"/>
    </row>
    <row r="649" spans="1:4" ht="15" x14ac:dyDescent="0.25">
      <c r="A649" s="45" t="s">
        <v>5159</v>
      </c>
      <c r="B649" s="22"/>
      <c r="C649" s="22"/>
      <c r="D649" s="22"/>
    </row>
    <row r="650" spans="1:4" ht="15" x14ac:dyDescent="0.25">
      <c r="A650" s="45" t="s">
        <v>5160</v>
      </c>
      <c r="B650" s="22"/>
      <c r="C650" s="22"/>
      <c r="D650" s="22"/>
    </row>
    <row r="651" spans="1:4" ht="15" x14ac:dyDescent="0.25">
      <c r="A651" s="45" t="s">
        <v>4874</v>
      </c>
      <c r="B651" s="22"/>
      <c r="C651" s="22"/>
      <c r="D651" s="22"/>
    </row>
    <row r="652" spans="1:4" ht="15" x14ac:dyDescent="0.25">
      <c r="A652" s="45" t="s">
        <v>4798</v>
      </c>
      <c r="B652" s="22"/>
      <c r="C652" s="22"/>
      <c r="D652" s="22"/>
    </row>
    <row r="653" spans="1:4" ht="15" x14ac:dyDescent="0.25">
      <c r="A653" s="22"/>
      <c r="B653" s="22"/>
      <c r="C653" s="22"/>
      <c r="D653" s="22"/>
    </row>
    <row r="654" spans="1:4" ht="15" x14ac:dyDescent="0.25">
      <c r="A654" s="42" t="s">
        <v>5170</v>
      </c>
      <c r="B654" s="22" t="s">
        <v>5168</v>
      </c>
      <c r="C654" s="22"/>
      <c r="D654" s="22"/>
    </row>
    <row r="655" spans="1:4" ht="15" x14ac:dyDescent="0.25">
      <c r="A655" s="45" t="s">
        <v>5159</v>
      </c>
      <c r="B655" s="22"/>
      <c r="C655" s="22"/>
      <c r="D655" s="22"/>
    </row>
    <row r="656" spans="1:4" ht="15" x14ac:dyDescent="0.25">
      <c r="A656" s="45" t="s">
        <v>5160</v>
      </c>
      <c r="B656" s="22"/>
      <c r="C656" s="22"/>
      <c r="D656" s="22"/>
    </row>
    <row r="657" spans="1:4" ht="15" x14ac:dyDescent="0.25">
      <c r="A657" s="45" t="s">
        <v>4874</v>
      </c>
      <c r="B657" s="22"/>
      <c r="C657" s="22"/>
      <c r="D657" s="22"/>
    </row>
    <row r="658" spans="1:4" ht="15" x14ac:dyDescent="0.25">
      <c r="A658" s="45" t="s">
        <v>4798</v>
      </c>
      <c r="B658" s="22"/>
      <c r="C658" s="22"/>
      <c r="D658" s="22"/>
    </row>
    <row r="659" spans="1:4" ht="15" x14ac:dyDescent="0.25">
      <c r="A659" s="22"/>
      <c r="B659" s="22"/>
      <c r="C659" s="22"/>
      <c r="D659" s="22"/>
    </row>
    <row r="660" spans="1:4" ht="15" x14ac:dyDescent="0.25">
      <c r="A660" s="42" t="s">
        <v>5171</v>
      </c>
      <c r="B660" s="22" t="s">
        <v>5168</v>
      </c>
      <c r="C660" s="22"/>
      <c r="D660" s="22"/>
    </row>
    <row r="661" spans="1:4" ht="15" x14ac:dyDescent="0.25">
      <c r="A661" s="45" t="s">
        <v>5159</v>
      </c>
      <c r="B661" s="22"/>
      <c r="C661" s="22"/>
      <c r="D661" s="22"/>
    </row>
    <row r="662" spans="1:4" ht="15" x14ac:dyDescent="0.25">
      <c r="A662" s="45" t="s">
        <v>5160</v>
      </c>
      <c r="B662" s="22"/>
      <c r="C662" s="22"/>
      <c r="D662" s="22"/>
    </row>
    <row r="663" spans="1:4" ht="15" x14ac:dyDescent="0.25">
      <c r="A663" s="45" t="s">
        <v>4798</v>
      </c>
      <c r="B663" s="22"/>
      <c r="C663" s="22"/>
      <c r="D663" s="22"/>
    </row>
    <row r="664" spans="1:4" ht="15" x14ac:dyDescent="0.25">
      <c r="A664" s="22"/>
      <c r="B664" s="22"/>
      <c r="C664" s="22"/>
      <c r="D664" s="22"/>
    </row>
    <row r="665" spans="1:4" ht="15" x14ac:dyDescent="0.25">
      <c r="A665" s="42" t="s">
        <v>5172</v>
      </c>
      <c r="B665" s="22" t="s">
        <v>5168</v>
      </c>
      <c r="C665" s="22"/>
      <c r="D665" s="22"/>
    </row>
    <row r="666" spans="1:4" ht="15" x14ac:dyDescent="0.25">
      <c r="A666" s="45" t="s">
        <v>5159</v>
      </c>
      <c r="B666" s="22"/>
      <c r="C666" s="22"/>
      <c r="D666" s="22"/>
    </row>
    <row r="667" spans="1:4" ht="15" x14ac:dyDescent="0.25">
      <c r="A667" s="45" t="s">
        <v>5160</v>
      </c>
      <c r="B667" s="22"/>
      <c r="C667" s="22"/>
      <c r="D667" s="22"/>
    </row>
    <row r="668" spans="1:4" ht="15" x14ac:dyDescent="0.25">
      <c r="A668" s="45" t="s">
        <v>4874</v>
      </c>
      <c r="B668" s="22"/>
      <c r="C668" s="22"/>
      <c r="D668" s="22"/>
    </row>
    <row r="669" spans="1:4" ht="15" x14ac:dyDescent="0.25">
      <c r="A669" s="45" t="s">
        <v>4798</v>
      </c>
      <c r="B669" s="22"/>
      <c r="C669" s="22"/>
      <c r="D669" s="22"/>
    </row>
    <row r="670" spans="1:4" ht="15" x14ac:dyDescent="0.25">
      <c r="A670" s="22"/>
      <c r="B670" s="22"/>
      <c r="C670" s="22"/>
      <c r="D670" s="22"/>
    </row>
    <row r="671" spans="1:4" ht="15" x14ac:dyDescent="0.25">
      <c r="A671" s="42" t="s">
        <v>5173</v>
      </c>
      <c r="B671" s="22" t="s">
        <v>5168</v>
      </c>
      <c r="C671" s="22"/>
      <c r="D671" s="22"/>
    </row>
    <row r="672" spans="1:4" ht="15" x14ac:dyDescent="0.25">
      <c r="A672" s="45" t="s">
        <v>5159</v>
      </c>
      <c r="B672" s="22"/>
      <c r="C672" s="22"/>
      <c r="D672" s="22"/>
    </row>
    <row r="673" spans="1:4" ht="15" x14ac:dyDescent="0.25">
      <c r="A673" s="45" t="s">
        <v>5160</v>
      </c>
      <c r="B673" s="22"/>
      <c r="C673" s="22"/>
      <c r="D673" s="22"/>
    </row>
    <row r="674" spans="1:4" ht="15" x14ac:dyDescent="0.25">
      <c r="A674" s="45" t="s">
        <v>4874</v>
      </c>
      <c r="B674" s="22"/>
      <c r="C674" s="22"/>
      <c r="D674" s="22"/>
    </row>
    <row r="675" spans="1:4" ht="15" x14ac:dyDescent="0.25">
      <c r="A675" s="45" t="s">
        <v>4798</v>
      </c>
      <c r="B675" s="22"/>
      <c r="C675" s="22"/>
      <c r="D675" s="22"/>
    </row>
    <row r="676" spans="1:4" ht="15" x14ac:dyDescent="0.25">
      <c r="A676" s="22"/>
      <c r="B676" s="22"/>
      <c r="C676" s="22"/>
      <c r="D676" s="22"/>
    </row>
    <row r="677" spans="1:4" ht="15" x14ac:dyDescent="0.25">
      <c r="A677" s="42" t="s">
        <v>5174</v>
      </c>
      <c r="B677" s="22" t="s">
        <v>5168</v>
      </c>
      <c r="C677" s="22"/>
      <c r="D677" s="22"/>
    </row>
    <row r="678" spans="1:4" ht="15" x14ac:dyDescent="0.25">
      <c r="A678" s="45" t="s">
        <v>5159</v>
      </c>
      <c r="B678" s="22"/>
      <c r="C678" s="22"/>
      <c r="D678" s="22"/>
    </row>
    <row r="679" spans="1:4" ht="15" x14ac:dyDescent="0.25">
      <c r="A679" s="45" t="s">
        <v>5160</v>
      </c>
      <c r="B679" s="22"/>
      <c r="C679" s="22"/>
      <c r="D679" s="22"/>
    </row>
    <row r="680" spans="1:4" ht="15" x14ac:dyDescent="0.25">
      <c r="A680" s="45" t="s">
        <v>4874</v>
      </c>
      <c r="B680" s="22"/>
      <c r="C680" s="22"/>
      <c r="D680" s="22"/>
    </row>
    <row r="681" spans="1:4" ht="15" x14ac:dyDescent="0.25">
      <c r="A681" s="45" t="s">
        <v>4798</v>
      </c>
      <c r="B681" s="22"/>
      <c r="C681" s="22"/>
      <c r="D681" s="22"/>
    </row>
    <row r="682" spans="1:4" ht="15" x14ac:dyDescent="0.25">
      <c r="A682" s="22"/>
      <c r="B682" s="22"/>
      <c r="C682" s="22"/>
      <c r="D682" s="22"/>
    </row>
    <row r="683" spans="1:4" ht="15" x14ac:dyDescent="0.25">
      <c r="A683" s="42" t="s">
        <v>5588</v>
      </c>
      <c r="B683" s="46" t="s">
        <v>6064</v>
      </c>
      <c r="C683" s="46"/>
      <c r="D683" s="46"/>
    </row>
    <row r="684" spans="1:4" ht="15" x14ac:dyDescent="0.25">
      <c r="A684" s="45" t="s">
        <v>6065</v>
      </c>
      <c r="B684" s="46"/>
      <c r="C684" s="46"/>
      <c r="D684" s="46"/>
    </row>
    <row r="685" spans="1:4" ht="15" x14ac:dyDescent="0.25">
      <c r="A685" s="45" t="s">
        <v>4923</v>
      </c>
      <c r="B685" s="46"/>
      <c r="C685" s="46"/>
      <c r="D685" s="46"/>
    </row>
    <row r="686" spans="1:4" ht="15" x14ac:dyDescent="0.25">
      <c r="A686" s="45" t="s">
        <v>6060</v>
      </c>
      <c r="B686" s="46"/>
      <c r="C686" s="46"/>
      <c r="D686" s="46"/>
    </row>
    <row r="687" spans="1:4" ht="15" x14ac:dyDescent="0.25">
      <c r="A687" s="45" t="s">
        <v>6059</v>
      </c>
      <c r="B687" s="46"/>
      <c r="C687" s="46"/>
      <c r="D687" s="46"/>
    </row>
    <row r="688" spans="1:4" ht="15" x14ac:dyDescent="0.25">
      <c r="A688" s="45" t="s">
        <v>6067</v>
      </c>
      <c r="B688" s="46"/>
      <c r="C688" s="46"/>
      <c r="D688" s="46"/>
    </row>
    <row r="689" spans="1:4" ht="15" x14ac:dyDescent="0.25">
      <c r="A689" s="45" t="s">
        <v>6068</v>
      </c>
      <c r="B689" s="46"/>
      <c r="C689" s="46"/>
      <c r="D689" s="46"/>
    </row>
    <row r="690" spans="1:4" ht="15" x14ac:dyDescent="0.25">
      <c r="A690" s="45" t="s">
        <v>6069</v>
      </c>
      <c r="B690" s="46"/>
      <c r="C690" s="46"/>
      <c r="D690" s="46"/>
    </row>
    <row r="691" spans="1:4" ht="15" x14ac:dyDescent="0.25">
      <c r="A691" s="45" t="s">
        <v>4924</v>
      </c>
      <c r="B691" s="46"/>
      <c r="C691" s="46"/>
      <c r="D691" s="46"/>
    </row>
    <row r="692" spans="1:4" ht="15" x14ac:dyDescent="0.25">
      <c r="A692" s="45" t="s">
        <v>6061</v>
      </c>
      <c r="B692" s="46"/>
      <c r="C692" s="46"/>
      <c r="D692" s="46"/>
    </row>
    <row r="693" spans="1:4" ht="15" x14ac:dyDescent="0.25">
      <c r="A693" s="45" t="s">
        <v>6070</v>
      </c>
      <c r="B693" s="46"/>
      <c r="C693" s="46"/>
      <c r="D693" s="46"/>
    </row>
    <row r="694" spans="1:4" ht="15" x14ac:dyDescent="0.25">
      <c r="A694" s="45" t="s">
        <v>6071</v>
      </c>
      <c r="B694" s="46"/>
      <c r="C694" s="46"/>
      <c r="D694" s="46"/>
    </row>
    <row r="695" spans="1:4" ht="15" x14ac:dyDescent="0.25">
      <c r="A695" s="45" t="s">
        <v>6072</v>
      </c>
      <c r="B695" s="46"/>
      <c r="C695" s="46"/>
      <c r="D695" s="46"/>
    </row>
    <row r="696" spans="1:4" ht="15" x14ac:dyDescent="0.25">
      <c r="A696" s="45" t="s">
        <v>6073</v>
      </c>
      <c r="B696" s="46"/>
      <c r="C696" s="46"/>
      <c r="D696" s="46"/>
    </row>
    <row r="697" spans="1:4" ht="15" x14ac:dyDescent="0.25">
      <c r="A697" s="45" t="s">
        <v>6075</v>
      </c>
      <c r="B697" s="46"/>
      <c r="C697" s="46"/>
      <c r="D697" s="46"/>
    </row>
    <row r="698" spans="1:4" ht="15" x14ac:dyDescent="0.25">
      <c r="A698" s="45" t="s">
        <v>6076</v>
      </c>
      <c r="B698" s="46"/>
      <c r="C698" s="46"/>
      <c r="D698" s="46"/>
    </row>
    <row r="699" spans="1:4" ht="15" x14ac:dyDescent="0.25">
      <c r="A699" s="45" t="s">
        <v>6077</v>
      </c>
      <c r="B699" s="46"/>
      <c r="C699" s="46"/>
      <c r="D699" s="46"/>
    </row>
    <row r="700" spans="1:4" ht="15" x14ac:dyDescent="0.25">
      <c r="A700" s="45" t="s">
        <v>6078</v>
      </c>
      <c r="B700" s="46"/>
      <c r="C700" s="46"/>
      <c r="D700" s="46"/>
    </row>
    <row r="701" spans="1:4" ht="15" x14ac:dyDescent="0.25">
      <c r="A701" s="45" t="s">
        <v>6079</v>
      </c>
      <c r="B701" s="46"/>
      <c r="C701" s="46"/>
      <c r="D701" s="46"/>
    </row>
    <row r="702" spans="1:4" ht="15" x14ac:dyDescent="0.25">
      <c r="A702" s="45" t="s">
        <v>6080</v>
      </c>
      <c r="B702" s="46"/>
      <c r="C702" s="46"/>
      <c r="D702" s="46"/>
    </row>
    <row r="703" spans="1:4" ht="15" x14ac:dyDescent="0.25">
      <c r="A703" s="45" t="s">
        <v>6082</v>
      </c>
      <c r="B703" s="46"/>
      <c r="C703" s="46"/>
      <c r="D703" s="46"/>
    </row>
    <row r="704" spans="1:4" ht="15" x14ac:dyDescent="0.25">
      <c r="A704" s="45" t="s">
        <v>6083</v>
      </c>
      <c r="B704" s="46"/>
      <c r="C704" s="46"/>
      <c r="D704" s="46"/>
    </row>
    <row r="705" spans="1:4" ht="15" x14ac:dyDescent="0.25">
      <c r="A705" s="45" t="s">
        <v>6084</v>
      </c>
      <c r="B705" s="46"/>
      <c r="C705" s="46"/>
      <c r="D705" s="46"/>
    </row>
    <row r="706" spans="1:4" ht="15" x14ac:dyDescent="0.25">
      <c r="A706" s="45" t="s">
        <v>6085</v>
      </c>
      <c r="B706" s="46"/>
      <c r="C706" s="46"/>
      <c r="D706" s="46"/>
    </row>
    <row r="707" spans="1:4" ht="15" x14ac:dyDescent="0.25">
      <c r="A707" s="45" t="s">
        <v>6086</v>
      </c>
      <c r="B707" s="46"/>
      <c r="C707" s="46"/>
      <c r="D707" s="46"/>
    </row>
    <row r="708" spans="1:4" ht="15" x14ac:dyDescent="0.25">
      <c r="A708" s="45" t="s">
        <v>6087</v>
      </c>
      <c r="B708" s="46"/>
      <c r="C708" s="46"/>
      <c r="D708" s="46"/>
    </row>
    <row r="709" spans="1:4" ht="12.75" x14ac:dyDescent="0.2">
      <c r="A709" s="149"/>
      <c r="B709" s="46"/>
      <c r="C709" s="46"/>
      <c r="D709" s="46"/>
    </row>
    <row r="710" spans="1:4" ht="15" x14ac:dyDescent="0.25">
      <c r="A710" s="42" t="s">
        <v>5351</v>
      </c>
      <c r="B710" s="46"/>
      <c r="C710" s="46"/>
      <c r="D710" s="46"/>
    </row>
    <row r="711" spans="1:4" ht="15" x14ac:dyDescent="0.25">
      <c r="A711" s="45" t="s">
        <v>6066</v>
      </c>
      <c r="B711" s="46"/>
      <c r="C711" s="46"/>
      <c r="D711" s="46"/>
    </row>
    <row r="712" spans="1:4" ht="15" x14ac:dyDescent="0.25">
      <c r="A712" s="45" t="s">
        <v>6113</v>
      </c>
      <c r="B712" s="46" t="s">
        <v>6158</v>
      </c>
      <c r="C712" s="46"/>
      <c r="D712" s="46"/>
    </row>
    <row r="713" spans="1:4" ht="15" x14ac:dyDescent="0.25">
      <c r="A713" s="45" t="s">
        <v>5303</v>
      </c>
      <c r="B713" s="46"/>
      <c r="C713" s="46"/>
      <c r="D713" s="46"/>
    </row>
    <row r="714" spans="1:4" ht="15" x14ac:dyDescent="0.25">
      <c r="A714" s="45" t="s">
        <v>5302</v>
      </c>
      <c r="B714" s="46"/>
      <c r="C714" s="46"/>
      <c r="D714" s="46"/>
    </row>
    <row r="715" spans="1:4" ht="15" x14ac:dyDescent="0.25">
      <c r="A715" s="45" t="s">
        <v>6114</v>
      </c>
      <c r="B715" s="46"/>
      <c r="C715" s="46"/>
      <c r="D715" s="46"/>
    </row>
    <row r="716" spans="1:4" ht="15" x14ac:dyDescent="0.25">
      <c r="A716" s="45" t="s">
        <v>5983</v>
      </c>
      <c r="B716" s="46"/>
      <c r="C716" s="46"/>
      <c r="D716" s="46"/>
    </row>
    <row r="717" spans="1:4" ht="15" x14ac:dyDescent="0.25">
      <c r="A717" s="45" t="s">
        <v>5981</v>
      </c>
      <c r="B717" s="46"/>
      <c r="C717" s="46"/>
      <c r="D717" s="46"/>
    </row>
    <row r="718" spans="1:4" ht="15" x14ac:dyDescent="0.25">
      <c r="A718" s="45" t="s">
        <v>6115</v>
      </c>
      <c r="B718" s="46"/>
      <c r="C718" s="46"/>
      <c r="D718" s="46"/>
    </row>
    <row r="719" spans="1:4" ht="15" x14ac:dyDescent="0.25">
      <c r="A719" s="45" t="s">
        <v>6116</v>
      </c>
      <c r="B719" s="46"/>
      <c r="C719" s="46"/>
      <c r="D719" s="46"/>
    </row>
    <row r="720" spans="1:4" ht="15" x14ac:dyDescent="0.25">
      <c r="A720" s="45" t="s">
        <v>6117</v>
      </c>
      <c r="B720" s="46"/>
      <c r="C720" s="46"/>
      <c r="D720" s="46"/>
    </row>
    <row r="721" spans="1:4" ht="15" x14ac:dyDescent="0.25">
      <c r="A721" s="45" t="s">
        <v>5305</v>
      </c>
      <c r="B721" s="46"/>
      <c r="C721" s="46"/>
      <c r="D721" s="46"/>
    </row>
    <row r="722" spans="1:4" ht="15" x14ac:dyDescent="0.25">
      <c r="A722" s="45" t="s">
        <v>6118</v>
      </c>
      <c r="B722" s="46"/>
      <c r="C722" s="46"/>
      <c r="D722" s="46"/>
    </row>
    <row r="723" spans="1:4" ht="15" x14ac:dyDescent="0.25">
      <c r="A723" s="45" t="s">
        <v>5994</v>
      </c>
      <c r="B723" s="46"/>
      <c r="C723" s="46"/>
      <c r="D723" s="46"/>
    </row>
    <row r="724" spans="1:4" ht="15" x14ac:dyDescent="0.25">
      <c r="A724" s="45" t="s">
        <v>5987</v>
      </c>
      <c r="B724" s="46"/>
      <c r="C724" s="46"/>
      <c r="D724" s="46"/>
    </row>
    <row r="725" spans="1:4" ht="15" x14ac:dyDescent="0.25">
      <c r="A725" s="45" t="s">
        <v>6119</v>
      </c>
      <c r="B725" s="46"/>
      <c r="C725" s="46"/>
      <c r="D725" s="46"/>
    </row>
    <row r="726" spans="1:4" ht="15" x14ac:dyDescent="0.25">
      <c r="A726" s="45" t="s">
        <v>6120</v>
      </c>
      <c r="B726" s="46"/>
      <c r="C726" s="46"/>
      <c r="D726" s="46"/>
    </row>
    <row r="727" spans="1:4" ht="15" x14ac:dyDescent="0.25">
      <c r="A727" s="45" t="s">
        <v>6121</v>
      </c>
      <c r="B727" s="46"/>
      <c r="C727" s="46"/>
      <c r="D727" s="46"/>
    </row>
    <row r="728" spans="1:4" ht="15" x14ac:dyDescent="0.25">
      <c r="A728" s="45" t="s">
        <v>6122</v>
      </c>
      <c r="B728" s="46"/>
      <c r="C728" s="46"/>
      <c r="D728" s="46"/>
    </row>
    <row r="729" spans="1:4" ht="15" x14ac:dyDescent="0.25">
      <c r="A729" s="45" t="s">
        <v>6123</v>
      </c>
      <c r="B729" s="46"/>
      <c r="C729" s="46"/>
      <c r="D729" s="46"/>
    </row>
    <row r="730" spans="1:4" ht="15" x14ac:dyDescent="0.25">
      <c r="A730" s="45" t="s">
        <v>6124</v>
      </c>
      <c r="B730" s="46"/>
      <c r="C730" s="46"/>
      <c r="D730" s="46"/>
    </row>
    <row r="731" spans="1:4" ht="15" x14ac:dyDescent="0.25">
      <c r="A731" s="45" t="s">
        <v>6125</v>
      </c>
      <c r="B731" s="46"/>
      <c r="C731" s="46"/>
      <c r="D731" s="46"/>
    </row>
    <row r="732" spans="1:4" ht="15" x14ac:dyDescent="0.25">
      <c r="A732" s="45" t="s">
        <v>6126</v>
      </c>
      <c r="B732" s="46"/>
      <c r="C732" s="46"/>
      <c r="D732" s="46"/>
    </row>
    <row r="733" spans="1:4" ht="15" x14ac:dyDescent="0.25">
      <c r="A733" s="45" t="s">
        <v>6127</v>
      </c>
      <c r="B733" s="46"/>
      <c r="C733" s="46"/>
      <c r="D733" s="46"/>
    </row>
    <row r="734" spans="1:4" ht="15" x14ac:dyDescent="0.25">
      <c r="A734" s="45" t="s">
        <v>6128</v>
      </c>
      <c r="B734" s="46"/>
      <c r="C734" s="46"/>
      <c r="D734" s="46"/>
    </row>
    <row r="735" spans="1:4" ht="15" x14ac:dyDescent="0.25">
      <c r="A735" s="45" t="s">
        <v>6129</v>
      </c>
      <c r="B735" s="46"/>
      <c r="C735" s="46"/>
      <c r="D735" s="46"/>
    </row>
    <row r="736" spans="1:4" ht="15" x14ac:dyDescent="0.25">
      <c r="A736" s="45" t="s">
        <v>6130</v>
      </c>
      <c r="B736" s="46"/>
      <c r="C736" s="46"/>
      <c r="D736" s="46"/>
    </row>
    <row r="737" spans="1:4" ht="15" x14ac:dyDescent="0.25">
      <c r="A737" s="45" t="s">
        <v>6131</v>
      </c>
      <c r="B737" s="46"/>
      <c r="C737" s="46"/>
      <c r="D737" s="46"/>
    </row>
    <row r="738" spans="1:4" ht="15" x14ac:dyDescent="0.25">
      <c r="A738" s="45" t="s">
        <v>6132</v>
      </c>
      <c r="B738" s="46"/>
      <c r="C738" s="46"/>
      <c r="D738" s="46"/>
    </row>
    <row r="739" spans="1:4" ht="15" x14ac:dyDescent="0.25">
      <c r="A739" s="45" t="s">
        <v>6133</v>
      </c>
      <c r="B739" s="46"/>
      <c r="C739" s="46"/>
      <c r="D739" s="46"/>
    </row>
    <row r="740" spans="1:4" ht="15" x14ac:dyDescent="0.25">
      <c r="A740" s="45" t="s">
        <v>6134</v>
      </c>
      <c r="B740" s="46"/>
      <c r="C740" s="46"/>
      <c r="D740" s="46"/>
    </row>
    <row r="741" spans="1:4" ht="15" x14ac:dyDescent="0.25">
      <c r="A741" s="45" t="s">
        <v>6135</v>
      </c>
      <c r="B741" s="46"/>
      <c r="C741" s="46"/>
      <c r="D741" s="46"/>
    </row>
    <row r="742" spans="1:4" ht="15" x14ac:dyDescent="0.25">
      <c r="A742" s="45" t="s">
        <v>4918</v>
      </c>
      <c r="B742" s="46"/>
      <c r="C742" s="46"/>
      <c r="D742" s="46"/>
    </row>
    <row r="743" spans="1:4" ht="15" x14ac:dyDescent="0.25">
      <c r="A743" s="45" t="s">
        <v>4919</v>
      </c>
      <c r="B743" s="46"/>
      <c r="C743" s="46"/>
      <c r="D743" s="46"/>
    </row>
    <row r="744" spans="1:4" ht="15" x14ac:dyDescent="0.25">
      <c r="A744" s="45" t="s">
        <v>6136</v>
      </c>
      <c r="B744" s="46"/>
      <c r="C744" s="46"/>
      <c r="D744" s="46"/>
    </row>
    <row r="745" spans="1:4" ht="15" x14ac:dyDescent="0.25">
      <c r="A745" s="45" t="s">
        <v>5984</v>
      </c>
      <c r="B745" s="46"/>
      <c r="C745" s="46"/>
      <c r="D745" s="46"/>
    </row>
    <row r="746" spans="1:4" ht="15" x14ac:dyDescent="0.25">
      <c r="A746" s="45" t="s">
        <v>5982</v>
      </c>
      <c r="B746" s="46"/>
      <c r="C746" s="46"/>
      <c r="D746" s="46"/>
    </row>
    <row r="747" spans="1:4" ht="15" x14ac:dyDescent="0.25">
      <c r="A747" s="45" t="s">
        <v>6137</v>
      </c>
      <c r="B747" s="46"/>
      <c r="C747" s="46"/>
      <c r="D747" s="46"/>
    </row>
    <row r="748" spans="1:4" ht="15" x14ac:dyDescent="0.25">
      <c r="A748" s="45" t="s">
        <v>6138</v>
      </c>
      <c r="B748" s="46"/>
      <c r="C748" s="46"/>
      <c r="D748" s="46"/>
    </row>
    <row r="749" spans="1:4" ht="15" x14ac:dyDescent="0.25">
      <c r="A749" s="45" t="s">
        <v>6139</v>
      </c>
      <c r="B749" s="46"/>
      <c r="C749" s="46"/>
      <c r="D749" s="46"/>
    </row>
    <row r="750" spans="1:4" ht="15" x14ac:dyDescent="0.25">
      <c r="A750" s="45" t="s">
        <v>4920</v>
      </c>
      <c r="B750" s="46"/>
      <c r="C750" s="46"/>
      <c r="D750" s="46"/>
    </row>
    <row r="751" spans="1:4" ht="15" x14ac:dyDescent="0.25">
      <c r="A751" s="45" t="s">
        <v>6140</v>
      </c>
      <c r="B751" s="46"/>
      <c r="C751" s="46"/>
      <c r="D751" s="46"/>
    </row>
    <row r="752" spans="1:4" ht="15" x14ac:dyDescent="0.25">
      <c r="A752" s="45" t="s">
        <v>5995</v>
      </c>
      <c r="B752" s="46"/>
      <c r="C752" s="46"/>
      <c r="D752" s="46"/>
    </row>
    <row r="753" spans="1:4" ht="15" x14ac:dyDescent="0.25">
      <c r="A753" s="45" t="s">
        <v>5988</v>
      </c>
      <c r="B753" s="46"/>
      <c r="C753" s="46"/>
      <c r="D753" s="46"/>
    </row>
    <row r="754" spans="1:4" ht="15" x14ac:dyDescent="0.25">
      <c r="A754" s="45" t="s">
        <v>6141</v>
      </c>
      <c r="B754" s="46"/>
      <c r="C754" s="46"/>
      <c r="D754" s="46"/>
    </row>
    <row r="755" spans="1:4" ht="15" x14ac:dyDescent="0.25">
      <c r="A755" s="45" t="s">
        <v>6142</v>
      </c>
      <c r="B755" s="46"/>
      <c r="C755" s="46"/>
      <c r="D755" s="46"/>
    </row>
    <row r="756" spans="1:4" ht="15" x14ac:dyDescent="0.25">
      <c r="A756" s="45" t="s">
        <v>6143</v>
      </c>
      <c r="B756" s="46"/>
      <c r="C756" s="46"/>
      <c r="D756" s="46"/>
    </row>
    <row r="757" spans="1:4" ht="15" x14ac:dyDescent="0.25">
      <c r="A757" s="45" t="s">
        <v>6144</v>
      </c>
      <c r="B757" s="46"/>
      <c r="C757" s="46"/>
      <c r="D757" s="46"/>
    </row>
    <row r="758" spans="1:4" ht="15" x14ac:dyDescent="0.25">
      <c r="A758" s="45" t="s">
        <v>6145</v>
      </c>
      <c r="B758" s="46"/>
      <c r="C758" s="46"/>
      <c r="D758" s="46"/>
    </row>
    <row r="759" spans="1:4" ht="15" x14ac:dyDescent="0.25">
      <c r="A759" s="45" t="s">
        <v>6146</v>
      </c>
      <c r="B759" s="46"/>
      <c r="C759" s="46"/>
      <c r="D759" s="46"/>
    </row>
    <row r="760" spans="1:4" ht="15" x14ac:dyDescent="0.25">
      <c r="A760" s="45" t="s">
        <v>6147</v>
      </c>
      <c r="B760" s="46"/>
      <c r="C760" s="46"/>
      <c r="D760" s="46"/>
    </row>
    <row r="761" spans="1:4" ht="15" x14ac:dyDescent="0.25">
      <c r="A761" s="45" t="s">
        <v>6148</v>
      </c>
      <c r="B761" s="46"/>
      <c r="C761" s="46"/>
      <c r="D761" s="46"/>
    </row>
    <row r="762" spans="1:4" ht="15" x14ac:dyDescent="0.25">
      <c r="A762" s="45" t="s">
        <v>6149</v>
      </c>
      <c r="B762" s="46"/>
      <c r="C762" s="46"/>
      <c r="D762" s="46"/>
    </row>
    <row r="763" spans="1:4" ht="15" x14ac:dyDescent="0.25">
      <c r="A763" s="45" t="s">
        <v>6150</v>
      </c>
      <c r="B763" s="46"/>
      <c r="C763" s="46"/>
      <c r="D763" s="46"/>
    </row>
    <row r="764" spans="1:4" ht="15" x14ac:dyDescent="0.25">
      <c r="A764" s="45" t="s">
        <v>6151</v>
      </c>
      <c r="B764" s="46"/>
      <c r="C764" s="46"/>
      <c r="D764" s="46"/>
    </row>
    <row r="765" spans="1:4" ht="15" x14ac:dyDescent="0.25">
      <c r="A765" s="45" t="s">
        <v>6152</v>
      </c>
      <c r="B765" s="46"/>
      <c r="C765" s="46"/>
      <c r="D765" s="46"/>
    </row>
    <row r="766" spans="1:4" ht="15" x14ac:dyDescent="0.25">
      <c r="A766" s="45" t="s">
        <v>6153</v>
      </c>
      <c r="B766" s="46"/>
      <c r="C766" s="46"/>
      <c r="D766" s="46"/>
    </row>
    <row r="767" spans="1:4" ht="15" x14ac:dyDescent="0.25">
      <c r="A767" s="45" t="s">
        <v>6154</v>
      </c>
      <c r="B767" s="46"/>
      <c r="C767" s="46"/>
      <c r="D767" s="46"/>
    </row>
    <row r="768" spans="1:4" ht="15" x14ac:dyDescent="0.25">
      <c r="A768" s="45" t="s">
        <v>6155</v>
      </c>
      <c r="B768" s="46"/>
      <c r="C768" s="46"/>
      <c r="D768" s="46"/>
    </row>
    <row r="769" spans="1:5" ht="15" x14ac:dyDescent="0.25">
      <c r="A769" s="45" t="s">
        <v>6156</v>
      </c>
      <c r="B769" s="46"/>
      <c r="C769" s="46"/>
      <c r="D769" s="46"/>
    </row>
    <row r="770" spans="1:5" ht="15" x14ac:dyDescent="0.25">
      <c r="A770" s="45"/>
      <c r="B770" s="46"/>
      <c r="C770" s="46"/>
      <c r="D770" s="46"/>
    </row>
    <row r="771" spans="1:5" ht="15" x14ac:dyDescent="0.25">
      <c r="A771" s="45"/>
      <c r="B771" s="46"/>
      <c r="C771" s="46"/>
      <c r="D771" s="46"/>
    </row>
    <row r="773" spans="1:5" ht="12.75" x14ac:dyDescent="0.2">
      <c r="A773" s="150" t="s">
        <v>59</v>
      </c>
      <c r="B773" s="150" t="s">
        <v>47</v>
      </c>
      <c r="C773" s="150" t="s">
        <v>42</v>
      </c>
      <c r="D773" s="46"/>
      <c r="E773" s="46"/>
    </row>
    <row r="774" spans="1:5" ht="12.75" x14ac:dyDescent="0.2">
      <c r="A774" s="151" t="s">
        <v>130</v>
      </c>
      <c r="B774" s="152">
        <f>lkg_vdd_screen_pct</f>
        <v>0.8</v>
      </c>
      <c r="C774" s="153" t="s">
        <v>4707</v>
      </c>
      <c r="D774" s="46"/>
      <c r="E774" s="46"/>
    </row>
    <row r="775" spans="1:5" ht="12.75" x14ac:dyDescent="0.2">
      <c r="A775" s="151" t="s">
        <v>131</v>
      </c>
      <c r="B775" s="152">
        <f>lkg_vdd_screen_pct</f>
        <v>0.8</v>
      </c>
      <c r="C775" s="153" t="s">
        <v>4707</v>
      </c>
      <c r="D775" s="46"/>
      <c r="E775" s="46"/>
    </row>
    <row r="776" spans="1:5" ht="12.75" x14ac:dyDescent="0.2">
      <c r="A776" s="151" t="s">
        <v>132</v>
      </c>
      <c r="B776" s="152">
        <f>lkg_vdd_screen_pct</f>
        <v>0.8</v>
      </c>
      <c r="C776" s="153" t="s">
        <v>4707</v>
      </c>
      <c r="D776" s="46"/>
      <c r="E776" s="46"/>
    </row>
    <row r="777" spans="1:5" ht="12.75" x14ac:dyDescent="0.2">
      <c r="A777" s="151" t="s">
        <v>4682</v>
      </c>
      <c r="B777" s="152">
        <f>lkg_vdd_screen_pct</f>
        <v>0.8</v>
      </c>
      <c r="C777" s="153" t="s">
        <v>4707</v>
      </c>
      <c r="D777" s="46"/>
      <c r="E777" s="46"/>
    </row>
    <row r="778" spans="1:5" ht="12.75" x14ac:dyDescent="0.2">
      <c r="A778" s="151" t="s">
        <v>133</v>
      </c>
      <c r="B778" s="152">
        <v>1</v>
      </c>
      <c r="C778" s="153" t="s">
        <v>4708</v>
      </c>
      <c r="D778" s="46"/>
      <c r="E778" s="46"/>
    </row>
    <row r="779" spans="1:5" ht="12.75" x14ac:dyDescent="0.2">
      <c r="A779" s="151" t="s">
        <v>134</v>
      </c>
      <c r="B779" s="152">
        <v>1</v>
      </c>
      <c r="C779" s="153" t="s">
        <v>4708</v>
      </c>
      <c r="D779" s="46"/>
      <c r="E779" s="46"/>
    </row>
    <row r="780" spans="1:5" ht="12.75" x14ac:dyDescent="0.2">
      <c r="A780" s="151" t="s">
        <v>135</v>
      </c>
      <c r="B780" s="152">
        <v>1</v>
      </c>
      <c r="C780" s="153" t="s">
        <v>4708</v>
      </c>
      <c r="D780" s="46"/>
      <c r="E780" s="46"/>
    </row>
    <row r="781" spans="1:5" ht="12.75" x14ac:dyDescent="0.2">
      <c r="A781" s="151" t="s">
        <v>4683</v>
      </c>
      <c r="B781" s="152">
        <v>1</v>
      </c>
      <c r="C781" s="153" t="s">
        <v>4708</v>
      </c>
      <c r="D781" s="46"/>
      <c r="E781" s="46"/>
    </row>
    <row r="782" spans="1:5" ht="12.75" x14ac:dyDescent="0.2">
      <c r="A782" s="151" t="s">
        <v>136</v>
      </c>
      <c r="B782" s="152">
        <v>1</v>
      </c>
      <c r="C782" s="153" t="s">
        <v>4708</v>
      </c>
      <c r="D782" s="46"/>
      <c r="E782" s="46"/>
    </row>
    <row r="783" spans="1:5" ht="12.75" x14ac:dyDescent="0.2">
      <c r="A783" s="151" t="s">
        <v>137</v>
      </c>
      <c r="B783" s="152">
        <v>1</v>
      </c>
      <c r="C783" s="153" t="s">
        <v>4708</v>
      </c>
      <c r="D783" s="46"/>
      <c r="E783" s="46"/>
    </row>
    <row r="784" spans="1:5" ht="12.75" x14ac:dyDescent="0.2">
      <c r="A784" s="151" t="s">
        <v>138</v>
      </c>
      <c r="B784" s="152">
        <v>1</v>
      </c>
      <c r="C784" s="153" t="s">
        <v>4708</v>
      </c>
      <c r="D784" s="46"/>
      <c r="E784" s="46"/>
    </row>
    <row r="785" spans="1:11" ht="12.75" x14ac:dyDescent="0.2">
      <c r="A785" s="151" t="s">
        <v>4684</v>
      </c>
      <c r="B785" s="152">
        <v>1</v>
      </c>
      <c r="C785" s="153" t="s">
        <v>4708</v>
      </c>
      <c r="D785" s="46"/>
      <c r="E785" s="46"/>
    </row>
    <row r="787" spans="1:11" ht="12.75" x14ac:dyDescent="0.2">
      <c r="A787" s="141" t="s">
        <v>4803</v>
      </c>
      <c r="B787" s="140" t="s">
        <v>79</v>
      </c>
    </row>
    <row r="788" spans="1:11" ht="12.75" x14ac:dyDescent="0.2">
      <c r="A788" s="141" t="s">
        <v>6187</v>
      </c>
      <c r="B788" s="142">
        <f>IF((process_corner="strong"),80%,100%)</f>
        <v>0.8</v>
      </c>
    </row>
    <row r="789" spans="1:11" ht="12.75" x14ac:dyDescent="0.2">
      <c r="A789" s="141" t="s">
        <v>6188</v>
      </c>
      <c r="B789" s="142">
        <v>3.8</v>
      </c>
    </row>
    <row r="792" spans="1:11" ht="12.75" x14ac:dyDescent="0.2">
      <c r="A792" s="47" t="s">
        <v>5930</v>
      </c>
      <c r="B792" s="143" t="s">
        <v>36</v>
      </c>
      <c r="C792" s="144" t="s">
        <v>6190</v>
      </c>
      <c r="D792" s="144" t="s">
        <v>127</v>
      </c>
      <c r="E792" s="145" t="s">
        <v>128</v>
      </c>
    </row>
    <row r="793" spans="1:11" ht="12.75" x14ac:dyDescent="0.2">
      <c r="A793" s="139" t="s">
        <v>124</v>
      </c>
      <c r="B793" s="146">
        <f>VLOOKUP(VDD_CORE&amp;"_"&amp;Tj&amp;"_svt_"&amp;process_corner,Scaling_Table,5,0)*((IF(process_corner="strong",1,0)) + (IF(process_corner="typ",2.8,0)) + (IF(process_corner="weak",3,0)))*SVT_Lkg_Adj</f>
        <v>0.24665895970664906</v>
      </c>
      <c r="C793" s="147">
        <f>VLOOKUP(vdd_core_sram_voltage&amp;"_"&amp;Tj&amp;"_svt_"&amp;process_corner,Scaling_Table,5,0)*lkg_vddr_screen_pct</f>
        <v>1.1716300586065829</v>
      </c>
      <c r="D793" s="147">
        <f>VLOOKUP(VDD_CORE&amp;"_"&amp;Tj&amp;"_svt_"&amp;process_corner,Scaling_Table,6,0)*SVT_dyn_int_adj</f>
        <v>0.93290319486309281</v>
      </c>
      <c r="E793" s="147">
        <f>VLOOKUP(VDD_CORE&amp;"_"&amp;Tj&amp;"_svt_"&amp;process_corner,Scaling_Table,7,0)*SVT_dyn_sw_adj</f>
        <v>0.99649246967196925</v>
      </c>
    </row>
    <row r="794" spans="1:11" ht="12.75" x14ac:dyDescent="0.2">
      <c r="A794" s="139" t="s">
        <v>125</v>
      </c>
      <c r="B794" s="146">
        <f>VLOOKUP(VDD_CORE&amp;"_"&amp;Tj&amp;"_xsvt_"&amp;process_corner,Scaling_Table,5,0)*XSVT_Lkg_Adj*((IF(process_corner="strong",1,0)) + (IF(process_corner="typ",2.8,0)) + (IF(process_corner="weak",2,0)))</f>
        <v>0.21798640910944111</v>
      </c>
      <c r="C794" s="147">
        <f>VLOOKUP(vdd_core_sram_voltage&amp;"_"&amp;Tj&amp;"_xsvt_"&amp;process_corner,Scaling_Table,5,0)*lkg_vddr_screen_pct</f>
        <v>1.0354354432698452</v>
      </c>
      <c r="D794" s="147">
        <f>VLOOKUP(VDD_CORE&amp;"_"&amp;Tj&amp;"_xsvt_"&amp;process_corner,Scaling_Table,6,0)*XSVT_dyn_int_adj</f>
        <v>0.93496752069954203</v>
      </c>
      <c r="E794" s="147">
        <f>VLOOKUP(VDD_CORE&amp;"_"&amp;Tj&amp;"_xsvt_"&amp;process_corner,Scaling_Table,7,0)*XSVT_dyn_sw_adj</f>
        <v>0.99533671977770544</v>
      </c>
    </row>
    <row r="795" spans="1:11" ht="12.75" x14ac:dyDescent="0.2">
      <c r="A795" s="139" t="s">
        <v>126</v>
      </c>
      <c r="B795" s="146">
        <f>VLOOKUP(VDD_CORE&amp;"_"&amp;Tj&amp;"_osvt_"&amp;process_corner,Scaling_Table,5,0)*OSVT_lkg_adj*((IF(process_corner="strong",1,0)) + (IF(process_corner="typ",2.8,0)) + (IF(process_corner="weak",3,0)))</f>
        <v>0.20210170933282795</v>
      </c>
      <c r="C795" s="147">
        <f>VLOOKUP(vdd_core_sram_voltage&amp;"_"&amp;Tj&amp;"_osvt_"&amp;process_corner,Scaling_Table,5,0)*lkg_vddr_screen_pct</f>
        <v>0.95998311933093261</v>
      </c>
      <c r="D795" s="147">
        <f>VLOOKUP(VDD_CORE&amp;"_"&amp;Tj&amp;"_osvt_"&amp;process_corner,Scaling_Table,6,0)*OSVT_dyn_int_adj</f>
        <v>0.93739096913166442</v>
      </c>
      <c r="E795" s="147">
        <f>VLOOKUP(VDD_CORE&amp;"_"&amp;Tj&amp;"_osvt_"&amp;process_corner,Scaling_Table,7,0)*OSVT_dyn_sw_adj</f>
        <v>0.99344319181254859</v>
      </c>
    </row>
    <row r="796" spans="1:11" ht="12.75" x14ac:dyDescent="0.2">
      <c r="A796" s="139" t="s">
        <v>4681</v>
      </c>
      <c r="B796" s="146">
        <f>VLOOKUP(VDD_CORE&amp;"_"&amp;Tj&amp;"_lvt_"&amp;process_corner,Scaling_Table,5,0)*LVT_lkg_adj*((IF(process_corner="strong",1,0)) + (IF(process_corner="typ",2.8,0)) + (IF(process_corner="weak",3,0)))</f>
        <v>0.36236605225586782</v>
      </c>
      <c r="C796" s="147">
        <f>VLOOKUP(vdd_core_sram_voltage&amp;"_"&amp;Tj&amp;"_lvt_"&amp;process_corner,Scaling_Table,5,0)*lkg_vddr_screen_pct</f>
        <v>1.7212387482153721</v>
      </c>
      <c r="D796" s="147">
        <f>VLOOKUP(VDD_CORE&amp;"_"&amp;Tj&amp;"_lvt_"&amp;process_corner,Scaling_Table,6,0)*LVT_dyn_int_adj</f>
        <v>0.92077335371942715</v>
      </c>
      <c r="E796" s="147">
        <f>VLOOKUP(VDD_CORE&amp;"_"&amp;Tj&amp;"_lvt_"&amp;process_corner,Scaling_Table,7,0)*LVT_dyn_sw_adj</f>
        <v>0.99724885203935509</v>
      </c>
    </row>
    <row r="799" spans="1:11" ht="60" x14ac:dyDescent="0.25">
      <c r="A799" s="26" t="s">
        <v>117</v>
      </c>
      <c r="B799" s="26" t="s">
        <v>100</v>
      </c>
      <c r="C799" s="26" t="s">
        <v>104</v>
      </c>
      <c r="D799" s="26" t="s">
        <v>105</v>
      </c>
      <c r="E799" s="155" t="s">
        <v>121</v>
      </c>
      <c r="F799" s="26" t="s">
        <v>106</v>
      </c>
      <c r="G799" s="26" t="s">
        <v>107</v>
      </c>
      <c r="H799" s="26" t="s">
        <v>108</v>
      </c>
      <c r="I799" s="155" t="s">
        <v>118</v>
      </c>
      <c r="J799" s="155" t="s">
        <v>119</v>
      </c>
      <c r="K799" s="155" t="s">
        <v>120</v>
      </c>
    </row>
    <row r="800" spans="1:11" ht="11.25" x14ac:dyDescent="0.15">
      <c r="A800" s="326">
        <v>0.9</v>
      </c>
      <c r="B800" s="327">
        <v>-40</v>
      </c>
      <c r="C800" s="327" t="s">
        <v>112</v>
      </c>
      <c r="D800" s="327" t="s">
        <v>79</v>
      </c>
      <c r="E800" s="328" t="s">
        <v>140</v>
      </c>
      <c r="F800" s="328">
        <v>4.7035548</v>
      </c>
      <c r="G800" s="328">
        <v>4642.9839000000002</v>
      </c>
      <c r="H800" s="328">
        <v>4485.7106999999996</v>
      </c>
      <c r="I800" s="329">
        <v>5.4049689493753583E-3</v>
      </c>
      <c r="J800" s="329">
        <v>0.53143687201696688</v>
      </c>
      <c r="K800" s="329">
        <v>0.53998488686339041</v>
      </c>
    </row>
    <row r="801" spans="1:11" ht="11.25" x14ac:dyDescent="0.15">
      <c r="A801" s="326">
        <v>0.9</v>
      </c>
      <c r="B801" s="327">
        <v>-40</v>
      </c>
      <c r="C801" s="327" t="s">
        <v>112</v>
      </c>
      <c r="D801" s="327" t="s">
        <v>114</v>
      </c>
      <c r="E801" s="328" t="s">
        <v>141</v>
      </c>
      <c r="F801" s="328">
        <v>2.0253383999999999</v>
      </c>
      <c r="G801" s="328">
        <v>4660.4610000000002</v>
      </c>
      <c r="H801" s="328">
        <v>4414.2659999999996</v>
      </c>
      <c r="I801" s="329">
        <v>2.3273654989578452E-3</v>
      </c>
      <c r="J801" s="329">
        <v>0.53343730440182346</v>
      </c>
      <c r="K801" s="329">
        <v>0.53138445299089643</v>
      </c>
    </row>
    <row r="802" spans="1:11" ht="11.25" x14ac:dyDescent="0.15">
      <c r="A802" s="326">
        <v>0.9</v>
      </c>
      <c r="B802" s="327">
        <v>-40</v>
      </c>
      <c r="C802" s="327" t="s">
        <v>112</v>
      </c>
      <c r="D802" s="327" t="s">
        <v>113</v>
      </c>
      <c r="E802" s="328" t="s">
        <v>142</v>
      </c>
      <c r="F802" s="328">
        <v>1.4225445000000001</v>
      </c>
      <c r="G802" s="328">
        <v>4677.4008000000003</v>
      </c>
      <c r="H802" s="328">
        <v>4344.0947999999999</v>
      </c>
      <c r="I802" s="329">
        <v>1.6346804020662617E-3</v>
      </c>
      <c r="J802" s="329">
        <v>0.53537623732049955</v>
      </c>
      <c r="K802" s="329">
        <v>0.52293732163820617</v>
      </c>
    </row>
    <row r="803" spans="1:11" ht="11.25" x14ac:dyDescent="0.15">
      <c r="A803" s="326">
        <v>0.92500000000000004</v>
      </c>
      <c r="B803" s="327">
        <v>-40</v>
      </c>
      <c r="C803" s="327" t="s">
        <v>112</v>
      </c>
      <c r="D803" s="327" t="s">
        <v>79</v>
      </c>
      <c r="E803" s="328" t="s">
        <v>143</v>
      </c>
      <c r="F803" s="328">
        <v>5.6530560999999997</v>
      </c>
      <c r="G803" s="328">
        <v>4882.2702500000005</v>
      </c>
      <c r="H803" s="328">
        <v>4753.7035749999995</v>
      </c>
      <c r="I803" s="329">
        <v>6.4960639322363071E-3</v>
      </c>
      <c r="J803" s="329">
        <v>0.55882563581611711</v>
      </c>
      <c r="K803" s="329">
        <v>0.57224557239691576</v>
      </c>
    </row>
    <row r="804" spans="1:11" ht="11.25" x14ac:dyDescent="0.15">
      <c r="A804" s="326">
        <v>0.92500000000000004</v>
      </c>
      <c r="B804" s="327">
        <v>-40</v>
      </c>
      <c r="C804" s="327" t="s">
        <v>112</v>
      </c>
      <c r="D804" s="327" t="s">
        <v>114</v>
      </c>
      <c r="E804" s="328" t="s">
        <v>144</v>
      </c>
      <c r="F804" s="328">
        <v>2.4005609250000002</v>
      </c>
      <c r="G804" s="328">
        <v>4899.7333250000001</v>
      </c>
      <c r="H804" s="328">
        <v>4679.7766499999998</v>
      </c>
      <c r="I804" s="329">
        <v>2.7585428069656572E-3</v>
      </c>
      <c r="J804" s="329">
        <v>0.56082446289664978</v>
      </c>
      <c r="K804" s="329">
        <v>0.56334633102758647</v>
      </c>
    </row>
    <row r="805" spans="1:11" ht="11.25" x14ac:dyDescent="0.15">
      <c r="A805" s="326">
        <v>0.92500000000000004</v>
      </c>
      <c r="B805" s="327">
        <v>-40</v>
      </c>
      <c r="C805" s="327" t="s">
        <v>112</v>
      </c>
      <c r="D805" s="327" t="s">
        <v>113</v>
      </c>
      <c r="E805" s="328" t="s">
        <v>145</v>
      </c>
      <c r="F805" s="328">
        <v>1.6847543</v>
      </c>
      <c r="G805" s="328">
        <v>4917.3943500000005</v>
      </c>
      <c r="H805" s="328">
        <v>4607.102175</v>
      </c>
      <c r="I805" s="329">
        <v>1.9359920455963684E-3</v>
      </c>
      <c r="J805" s="329">
        <v>0.56284594737403804</v>
      </c>
      <c r="K805" s="329">
        <v>0.55459785820237029</v>
      </c>
    </row>
    <row r="806" spans="1:11" ht="11.25" x14ac:dyDescent="0.15">
      <c r="A806" s="326">
        <v>0.95</v>
      </c>
      <c r="B806" s="327">
        <v>-40</v>
      </c>
      <c r="C806" s="327" t="s">
        <v>112</v>
      </c>
      <c r="D806" s="327" t="s">
        <v>79</v>
      </c>
      <c r="E806" s="328" t="s">
        <v>146</v>
      </c>
      <c r="F806" s="328">
        <v>6.7602066500000006</v>
      </c>
      <c r="G806" s="328">
        <v>5127.9822000000004</v>
      </c>
      <c r="H806" s="328">
        <v>5029.7854500000003</v>
      </c>
      <c r="I806" s="329">
        <v>7.7683174935286843E-3</v>
      </c>
      <c r="J806" s="329">
        <v>0.58694987508500385</v>
      </c>
      <c r="K806" s="329">
        <v>0.6054800027931756</v>
      </c>
    </row>
    <row r="807" spans="1:11" ht="11.25" x14ac:dyDescent="0.15">
      <c r="A807" s="326">
        <v>0.95</v>
      </c>
      <c r="B807" s="327">
        <v>-40</v>
      </c>
      <c r="C807" s="327" t="s">
        <v>112</v>
      </c>
      <c r="D807" s="327" t="s">
        <v>114</v>
      </c>
      <c r="E807" s="328" t="s">
        <v>147</v>
      </c>
      <c r="F807" s="328">
        <v>2.822336</v>
      </c>
      <c r="G807" s="328">
        <v>5143.2876499999993</v>
      </c>
      <c r="H807" s="328">
        <v>4952.9969500000007</v>
      </c>
      <c r="I807" s="329">
        <v>3.2432147797457895E-3</v>
      </c>
      <c r="J807" s="329">
        <v>0.58870173997361819</v>
      </c>
      <c r="K807" s="329">
        <v>0.59623628819408003</v>
      </c>
    </row>
    <row r="808" spans="1:11" ht="11.25" x14ac:dyDescent="0.15">
      <c r="A808" s="326">
        <v>0.95</v>
      </c>
      <c r="B808" s="327">
        <v>-40</v>
      </c>
      <c r="C808" s="327" t="s">
        <v>112</v>
      </c>
      <c r="D808" s="327" t="s">
        <v>113</v>
      </c>
      <c r="E808" s="328" t="s">
        <v>148</v>
      </c>
      <c r="F808" s="328">
        <v>1.9805324499999999</v>
      </c>
      <c r="G808" s="328">
        <v>5161.4573499999997</v>
      </c>
      <c r="H808" s="328">
        <v>4877.9716500000004</v>
      </c>
      <c r="I808" s="329">
        <v>2.2758778946256357E-3</v>
      </c>
      <c r="J808" s="329">
        <v>0.59078144749392358</v>
      </c>
      <c r="K808" s="329">
        <v>0.58720482565852417</v>
      </c>
    </row>
    <row r="809" spans="1:11" ht="11.25" x14ac:dyDescent="0.15">
      <c r="A809" s="326">
        <v>0.97499999999999998</v>
      </c>
      <c r="B809" s="327">
        <v>-40</v>
      </c>
      <c r="C809" s="327" t="s">
        <v>112</v>
      </c>
      <c r="D809" s="327" t="s">
        <v>79</v>
      </c>
      <c r="E809" s="328" t="s">
        <v>149</v>
      </c>
      <c r="F809" s="328">
        <v>8.0578358249999997</v>
      </c>
      <c r="G809" s="328">
        <v>5379.8559750000004</v>
      </c>
      <c r="H809" s="328">
        <v>5313.3999749999994</v>
      </c>
      <c r="I809" s="329">
        <v>9.2594546646484008E-3</v>
      </c>
      <c r="J809" s="329">
        <v>0.6157793980840186</v>
      </c>
      <c r="K809" s="329">
        <v>0.6396212052552378</v>
      </c>
    </row>
    <row r="810" spans="1:11" ht="11.25" x14ac:dyDescent="0.15">
      <c r="A810" s="326">
        <v>0.97499999999999998</v>
      </c>
      <c r="B810" s="327">
        <v>-40</v>
      </c>
      <c r="C810" s="327" t="s">
        <v>112</v>
      </c>
      <c r="D810" s="327" t="s">
        <v>114</v>
      </c>
      <c r="E810" s="328" t="s">
        <v>150</v>
      </c>
      <c r="F810" s="328">
        <v>3.2985819749999998</v>
      </c>
      <c r="G810" s="328">
        <v>5392.1907000000001</v>
      </c>
      <c r="H810" s="328">
        <v>5233.7726999999995</v>
      </c>
      <c r="I810" s="329">
        <v>3.7904805854168519E-3</v>
      </c>
      <c r="J810" s="329">
        <v>0.61719123319100433</v>
      </c>
      <c r="K810" s="329">
        <v>0.63003576206512868</v>
      </c>
    </row>
    <row r="811" spans="1:11" ht="11.25" x14ac:dyDescent="0.15">
      <c r="A811" s="326">
        <v>0.97499999999999998</v>
      </c>
      <c r="B811" s="327">
        <v>-40</v>
      </c>
      <c r="C811" s="327" t="s">
        <v>112</v>
      </c>
      <c r="D811" s="327" t="s">
        <v>113</v>
      </c>
      <c r="E811" s="328" t="s">
        <v>151</v>
      </c>
      <c r="F811" s="328">
        <v>2.316140775</v>
      </c>
      <c r="G811" s="328">
        <v>5411.225625</v>
      </c>
      <c r="H811" s="328">
        <v>5156.2699499999999</v>
      </c>
      <c r="I811" s="329">
        <v>2.6615335642006721E-3</v>
      </c>
      <c r="J811" s="329">
        <v>0.61936997453901499</v>
      </c>
      <c r="K811" s="329">
        <v>0.62070606684194995</v>
      </c>
    </row>
    <row r="812" spans="1:11" ht="11.25" x14ac:dyDescent="0.15">
      <c r="A812" s="326">
        <v>1</v>
      </c>
      <c r="B812" s="327">
        <v>-40</v>
      </c>
      <c r="C812" s="327" t="s">
        <v>112</v>
      </c>
      <c r="D812" s="327" t="s">
        <v>79</v>
      </c>
      <c r="E812" s="328" t="s">
        <v>152</v>
      </c>
      <c r="F812" s="328">
        <v>9.5887600000000006</v>
      </c>
      <c r="G812" s="328">
        <v>5637.9169999999995</v>
      </c>
      <c r="H812" s="328">
        <v>5604.8869999999997</v>
      </c>
      <c r="I812" s="329">
        <v>1.1018676781019424E-2</v>
      </c>
      <c r="J812" s="329">
        <v>0.6453171149637803</v>
      </c>
      <c r="K812" s="329">
        <v>0.67471009054977349</v>
      </c>
    </row>
    <row r="813" spans="1:11" ht="11.25" x14ac:dyDescent="0.15">
      <c r="A813" s="326">
        <v>1</v>
      </c>
      <c r="B813" s="327">
        <v>-40</v>
      </c>
      <c r="C813" s="327" t="s">
        <v>112</v>
      </c>
      <c r="D813" s="327" t="s">
        <v>114</v>
      </c>
      <c r="E813" s="328" t="s">
        <v>153</v>
      </c>
      <c r="F813" s="328">
        <v>3.8405049999999998</v>
      </c>
      <c r="G813" s="328">
        <v>5646.22</v>
      </c>
      <c r="H813" s="328">
        <v>5522.8389999999999</v>
      </c>
      <c r="I813" s="329">
        <v>4.4132174828537792E-3</v>
      </c>
      <c r="J813" s="329">
        <v>0.64626747801551465</v>
      </c>
      <c r="K813" s="329">
        <v>0.66483324316472769</v>
      </c>
    </row>
    <row r="814" spans="1:11" ht="11.25" x14ac:dyDescent="0.15">
      <c r="A814" s="326">
        <v>1</v>
      </c>
      <c r="B814" s="327">
        <v>-40</v>
      </c>
      <c r="C814" s="327" t="s">
        <v>112</v>
      </c>
      <c r="D814" s="327" t="s">
        <v>113</v>
      </c>
      <c r="E814" s="328" t="s">
        <v>154</v>
      </c>
      <c r="F814" s="328">
        <v>2.7004100000000002</v>
      </c>
      <c r="G814" s="328">
        <v>5664.2629999999999</v>
      </c>
      <c r="H814" s="328">
        <v>5442.1019999999999</v>
      </c>
      <c r="I814" s="329">
        <v>3.1031066546907699E-3</v>
      </c>
      <c r="J814" s="329">
        <v>0.64833268342831007</v>
      </c>
      <c r="K814" s="329">
        <v>0.6551142125079602</v>
      </c>
    </row>
    <row r="815" spans="1:11" ht="11.25" x14ac:dyDescent="0.15">
      <c r="A815" s="326">
        <v>1.0249999999999999</v>
      </c>
      <c r="B815" s="327">
        <v>-40</v>
      </c>
      <c r="C815" s="327" t="s">
        <v>112</v>
      </c>
      <c r="D815" s="327" t="s">
        <v>79</v>
      </c>
      <c r="E815" s="328" t="s">
        <v>155</v>
      </c>
      <c r="F815" s="328">
        <v>11.404334499999999</v>
      </c>
      <c r="G815" s="328">
        <v>5903.4495749999996</v>
      </c>
      <c r="H815" s="328">
        <v>5903.7765499999996</v>
      </c>
      <c r="I815" s="329">
        <v>1.3104997492702785E-2</v>
      </c>
      <c r="J815" s="329">
        <v>0.67571002696087146</v>
      </c>
      <c r="K815" s="329">
        <v>0.71069008360670416</v>
      </c>
    </row>
    <row r="816" spans="1:11" ht="11.25" x14ac:dyDescent="0.15">
      <c r="A816" s="326">
        <v>1.0249999999999999</v>
      </c>
      <c r="B816" s="327">
        <v>-40</v>
      </c>
      <c r="C816" s="327" t="s">
        <v>112</v>
      </c>
      <c r="D816" s="327" t="s">
        <v>114</v>
      </c>
      <c r="E816" s="328" t="s">
        <v>156</v>
      </c>
      <c r="F816" s="328">
        <v>4.4615369749999996</v>
      </c>
      <c r="G816" s="328">
        <v>5905.2750999999998</v>
      </c>
      <c r="H816" s="328">
        <v>5818.7876499999993</v>
      </c>
      <c r="I816" s="329">
        <v>5.1268603942628797E-3</v>
      </c>
      <c r="J816" s="329">
        <v>0.67591897691992442</v>
      </c>
      <c r="K816" s="329">
        <v>0.70045921393623167</v>
      </c>
    </row>
    <row r="817" spans="1:11" ht="11.25" x14ac:dyDescent="0.15">
      <c r="A817" s="326">
        <v>1.0249999999999999</v>
      </c>
      <c r="B817" s="327">
        <v>-40</v>
      </c>
      <c r="C817" s="327" t="s">
        <v>112</v>
      </c>
      <c r="D817" s="327" t="s">
        <v>113</v>
      </c>
      <c r="E817" s="328" t="s">
        <v>157</v>
      </c>
      <c r="F817" s="328">
        <v>3.1440060749999996</v>
      </c>
      <c r="G817" s="328">
        <v>5923.561099999999</v>
      </c>
      <c r="H817" s="328">
        <v>5735.5935249999993</v>
      </c>
      <c r="I817" s="329">
        <v>3.6128536680432623E-3</v>
      </c>
      <c r="J817" s="329">
        <v>0.67801199616164565</v>
      </c>
      <c r="K817" s="329">
        <v>0.69044439729283469</v>
      </c>
    </row>
    <row r="818" spans="1:11" ht="11.25" x14ac:dyDescent="0.15">
      <c r="A818" s="326">
        <v>1.05</v>
      </c>
      <c r="B818" s="327">
        <v>-40</v>
      </c>
      <c r="C818" s="327" t="s">
        <v>112</v>
      </c>
      <c r="D818" s="327" t="s">
        <v>79</v>
      </c>
      <c r="E818" s="328" t="s">
        <v>158</v>
      </c>
      <c r="F818" s="328">
        <v>13.5653805</v>
      </c>
      <c r="G818" s="328">
        <v>6176.9337000000005</v>
      </c>
      <c r="H818" s="328">
        <v>6210.8906999999999</v>
      </c>
      <c r="I818" s="329">
        <v>1.5588307887677203E-2</v>
      </c>
      <c r="J818" s="329">
        <v>0.70701307497193555</v>
      </c>
      <c r="K818" s="329">
        <v>0.74766014490421417</v>
      </c>
    </row>
    <row r="819" spans="1:11" ht="11.25" x14ac:dyDescent="0.15">
      <c r="A819" s="326">
        <v>1.05</v>
      </c>
      <c r="B819" s="327">
        <v>-40</v>
      </c>
      <c r="C819" s="327" t="s">
        <v>112</v>
      </c>
      <c r="D819" s="327" t="s">
        <v>114</v>
      </c>
      <c r="E819" s="328" t="s">
        <v>159</v>
      </c>
      <c r="F819" s="328">
        <v>5.1775059000000008</v>
      </c>
      <c r="G819" s="328">
        <v>6172.2843000000003</v>
      </c>
      <c r="H819" s="328">
        <v>6123.11175</v>
      </c>
      <c r="I819" s="329">
        <v>5.9495976585002735E-3</v>
      </c>
      <c r="J819" s="329">
        <v>0.70648090371182071</v>
      </c>
      <c r="K819" s="329">
        <v>0.73709341210427304</v>
      </c>
    </row>
    <row r="820" spans="1:11" ht="11.25" x14ac:dyDescent="0.15">
      <c r="A820" s="326">
        <v>1.05</v>
      </c>
      <c r="B820" s="327">
        <v>-40</v>
      </c>
      <c r="C820" s="327" t="s">
        <v>112</v>
      </c>
      <c r="D820" s="327" t="s">
        <v>113</v>
      </c>
      <c r="E820" s="328" t="s">
        <v>160</v>
      </c>
      <c r="F820" s="328">
        <v>3.6595314000000001</v>
      </c>
      <c r="G820" s="328">
        <v>6187.57755</v>
      </c>
      <c r="H820" s="328">
        <v>6036.9267</v>
      </c>
      <c r="I820" s="329">
        <v>4.2052563278871836E-3</v>
      </c>
      <c r="J820" s="329">
        <v>0.70823137218597876</v>
      </c>
      <c r="K820" s="329">
        <v>0.7267185512213441</v>
      </c>
    </row>
    <row r="821" spans="1:11" ht="11.25" x14ac:dyDescent="0.15">
      <c r="A821" s="326">
        <v>1.075</v>
      </c>
      <c r="B821" s="327">
        <v>-40</v>
      </c>
      <c r="C821" s="327" t="s">
        <v>112</v>
      </c>
      <c r="D821" s="327" t="s">
        <v>79</v>
      </c>
      <c r="E821" s="328" t="s">
        <v>161</v>
      </c>
      <c r="F821" s="328">
        <v>16.143210499999999</v>
      </c>
      <c r="G821" s="328">
        <v>6458.4151000000002</v>
      </c>
      <c r="H821" s="328">
        <v>6525.4757499999996</v>
      </c>
      <c r="I821" s="329">
        <v>1.8550554890044067E-2</v>
      </c>
      <c r="J821" s="329">
        <v>0.73923149268967869</v>
      </c>
      <c r="K821" s="329">
        <v>0.78552954487090487</v>
      </c>
    </row>
    <row r="822" spans="1:11" ht="11.25" x14ac:dyDescent="0.15">
      <c r="A822" s="326">
        <v>1.075</v>
      </c>
      <c r="B822" s="327">
        <v>-40</v>
      </c>
      <c r="C822" s="327" t="s">
        <v>112</v>
      </c>
      <c r="D822" s="327" t="s">
        <v>114</v>
      </c>
      <c r="E822" s="328" t="s">
        <v>162</v>
      </c>
      <c r="F822" s="328">
        <v>6.0068312499999994</v>
      </c>
      <c r="G822" s="328">
        <v>6445.6311999999998</v>
      </c>
      <c r="H822" s="328">
        <v>6434.9177499999996</v>
      </c>
      <c r="I822" s="329">
        <v>6.9025955412250258E-3</v>
      </c>
      <c r="J822" s="329">
        <v>0.73776824492175563</v>
      </c>
      <c r="K822" s="329">
        <v>0.77462827310931426</v>
      </c>
    </row>
    <row r="823" spans="1:11" ht="11.25" x14ac:dyDescent="0.15">
      <c r="A823" s="326">
        <v>1.075</v>
      </c>
      <c r="B823" s="327">
        <v>-40</v>
      </c>
      <c r="C823" s="327" t="s">
        <v>112</v>
      </c>
      <c r="D823" s="327" t="s">
        <v>113</v>
      </c>
      <c r="E823" s="328" t="s">
        <v>163</v>
      </c>
      <c r="F823" s="328">
        <v>4.2617590249999999</v>
      </c>
      <c r="G823" s="328">
        <v>6457.7862249999998</v>
      </c>
      <c r="H823" s="328">
        <v>6346.3914999999997</v>
      </c>
      <c r="I823" s="329">
        <v>4.8972907044359726E-3</v>
      </c>
      <c r="J823" s="329">
        <v>0.73915951153056036</v>
      </c>
      <c r="K823" s="329">
        <v>0.76397158116288755</v>
      </c>
    </row>
    <row r="824" spans="1:11" ht="11.25" x14ac:dyDescent="0.15">
      <c r="A824" s="326">
        <v>1.1000000000000001</v>
      </c>
      <c r="B824" s="327">
        <v>-40</v>
      </c>
      <c r="C824" s="327" t="s">
        <v>112</v>
      </c>
      <c r="D824" s="327" t="s">
        <v>79</v>
      </c>
      <c r="E824" s="328" t="s">
        <v>164</v>
      </c>
      <c r="F824" s="328">
        <v>19.220861000000003</v>
      </c>
      <c r="G824" s="328">
        <v>6749.0885000000007</v>
      </c>
      <c r="H824" s="328">
        <v>6847.7156000000004</v>
      </c>
      <c r="I824" s="329">
        <v>2.2087157756780003E-2</v>
      </c>
      <c r="J824" s="329">
        <v>0.77250202857814843</v>
      </c>
      <c r="K824" s="329">
        <v>0.82432042118513671</v>
      </c>
    </row>
    <row r="825" spans="1:11" ht="11.25" x14ac:dyDescent="0.15">
      <c r="A825" s="326">
        <v>1.1000000000000001</v>
      </c>
      <c r="B825" s="327">
        <v>-40</v>
      </c>
      <c r="C825" s="327" t="s">
        <v>112</v>
      </c>
      <c r="D825" s="327" t="s">
        <v>114</v>
      </c>
      <c r="E825" s="328" t="s">
        <v>165</v>
      </c>
      <c r="F825" s="328">
        <v>6.9709023999999999</v>
      </c>
      <c r="G825" s="328">
        <v>6724.1317000000008</v>
      </c>
      <c r="H825" s="328">
        <v>6754.0659999999998</v>
      </c>
      <c r="I825" s="329">
        <v>8.0104330922489021E-3</v>
      </c>
      <c r="J825" s="329">
        <v>0.76964546822532165</v>
      </c>
      <c r="K825" s="329">
        <v>0.81304698603899539</v>
      </c>
    </row>
    <row r="826" spans="1:11" ht="11.25" x14ac:dyDescent="0.15">
      <c r="A826" s="326">
        <v>1.1000000000000001</v>
      </c>
      <c r="B826" s="327">
        <v>-40</v>
      </c>
      <c r="C826" s="327" t="s">
        <v>112</v>
      </c>
      <c r="D826" s="327" t="s">
        <v>113</v>
      </c>
      <c r="E826" s="328" t="s">
        <v>166</v>
      </c>
      <c r="F826" s="328">
        <v>4.967886</v>
      </c>
      <c r="G826" s="328">
        <v>6732.7876000000006</v>
      </c>
      <c r="H826" s="328">
        <v>6662.5537000000004</v>
      </c>
      <c r="I826" s="329">
        <v>5.7087183451198552E-3</v>
      </c>
      <c r="J826" s="329">
        <v>0.77063622428210909</v>
      </c>
      <c r="K826" s="329">
        <v>0.80203083670013853</v>
      </c>
    </row>
    <row r="827" spans="1:11" ht="11.25" x14ac:dyDescent="0.15">
      <c r="A827" s="326">
        <v>1.125</v>
      </c>
      <c r="B827" s="327">
        <v>-40</v>
      </c>
      <c r="C827" s="327" t="s">
        <v>112</v>
      </c>
      <c r="D827" s="327" t="s">
        <v>79</v>
      </c>
      <c r="E827" s="328" t="s">
        <v>167</v>
      </c>
      <c r="F827" s="328">
        <v>22.894548750000002</v>
      </c>
      <c r="G827" s="328">
        <v>7049.6212500000001</v>
      </c>
      <c r="H827" s="328">
        <v>7177.7587499999991</v>
      </c>
      <c r="I827" s="329">
        <v>2.6308681489946802E-2</v>
      </c>
      <c r="J827" s="329">
        <v>0.80690106765270919</v>
      </c>
      <c r="K827" s="329">
        <v>0.86405065011246951</v>
      </c>
    </row>
    <row r="828" spans="1:11" ht="11.25" x14ac:dyDescent="0.15">
      <c r="A828" s="326">
        <v>1.125</v>
      </c>
      <c r="B828" s="327">
        <v>-40</v>
      </c>
      <c r="C828" s="327" t="s">
        <v>112</v>
      </c>
      <c r="D828" s="327" t="s">
        <v>114</v>
      </c>
      <c r="E828" s="328" t="s">
        <v>168</v>
      </c>
      <c r="F828" s="328">
        <v>8.0943873750000002</v>
      </c>
      <c r="G828" s="328">
        <v>7009.5453750000006</v>
      </c>
      <c r="H828" s="328">
        <v>7081.62075</v>
      </c>
      <c r="I828" s="329">
        <v>9.301456937652967E-3</v>
      </c>
      <c r="J828" s="329">
        <v>0.80231397493129297</v>
      </c>
      <c r="K828" s="329">
        <v>0.85247766412983084</v>
      </c>
    </row>
    <row r="829" spans="1:11" ht="11.25" x14ac:dyDescent="0.15">
      <c r="A829" s="326">
        <v>1.125</v>
      </c>
      <c r="B829" s="327">
        <v>-40</v>
      </c>
      <c r="C829" s="327" t="s">
        <v>112</v>
      </c>
      <c r="D829" s="327" t="s">
        <v>113</v>
      </c>
      <c r="E829" s="328" t="s">
        <v>169</v>
      </c>
      <c r="F829" s="328">
        <v>5.7978539999999992</v>
      </c>
      <c r="G829" s="328">
        <v>7013.6054999999997</v>
      </c>
      <c r="H829" s="328">
        <v>6988.1085000000003</v>
      </c>
      <c r="I829" s="329">
        <v>6.662454712553092E-3</v>
      </c>
      <c r="J829" s="329">
        <v>0.80277869765626242</v>
      </c>
      <c r="K829" s="329">
        <v>0.8412207630245967</v>
      </c>
    </row>
    <row r="830" spans="1:11" ht="11.25" x14ac:dyDescent="0.15">
      <c r="A830" s="326">
        <v>1.1499999999999999</v>
      </c>
      <c r="B830" s="327">
        <v>-40</v>
      </c>
      <c r="C830" s="327" t="s">
        <v>112</v>
      </c>
      <c r="D830" s="327" t="s">
        <v>79</v>
      </c>
      <c r="E830" s="328" t="s">
        <v>170</v>
      </c>
      <c r="F830" s="328">
        <v>27.275021499999998</v>
      </c>
      <c r="G830" s="328">
        <v>7361.754899999999</v>
      </c>
      <c r="H830" s="328">
        <v>7515.9951999999994</v>
      </c>
      <c r="I830" s="329">
        <v>3.1342389016291529E-2</v>
      </c>
      <c r="J830" s="329">
        <v>0.84262794807700669</v>
      </c>
      <c r="K830" s="329">
        <v>0.90476717942104146</v>
      </c>
    </row>
    <row r="831" spans="1:11" ht="11.25" x14ac:dyDescent="0.15">
      <c r="A831" s="326">
        <v>1.1499999999999999</v>
      </c>
      <c r="B831" s="327">
        <v>-40</v>
      </c>
      <c r="C831" s="327" t="s">
        <v>112</v>
      </c>
      <c r="D831" s="327" t="s">
        <v>114</v>
      </c>
      <c r="E831" s="328" t="s">
        <v>171</v>
      </c>
      <c r="F831" s="328">
        <v>9.4057246499999998</v>
      </c>
      <c r="G831" s="328">
        <v>7302.2239999999993</v>
      </c>
      <c r="H831" s="328">
        <v>7416.6248500000002</v>
      </c>
      <c r="I831" s="329">
        <v>1.0808346419100806E-2</v>
      </c>
      <c r="J831" s="329">
        <v>0.83581402927699644</v>
      </c>
      <c r="K831" s="329">
        <v>0.89280508672471026</v>
      </c>
    </row>
    <row r="832" spans="1:11" ht="11.25" x14ac:dyDescent="0.15">
      <c r="A832" s="326">
        <v>1.1499999999999999</v>
      </c>
      <c r="B832" s="327">
        <v>-40</v>
      </c>
      <c r="C832" s="327" t="s">
        <v>112</v>
      </c>
      <c r="D832" s="327" t="s">
        <v>113</v>
      </c>
      <c r="E832" s="328" t="s">
        <v>172</v>
      </c>
      <c r="F832" s="328">
        <v>6.7746672500000003</v>
      </c>
      <c r="G832" s="328">
        <v>7299.0039999999999</v>
      </c>
      <c r="H832" s="328">
        <v>7319.8960499999985</v>
      </c>
      <c r="I832" s="329">
        <v>7.7849345198657298E-3</v>
      </c>
      <c r="J832" s="329">
        <v>0.83544546742867853</v>
      </c>
      <c r="K832" s="329">
        <v>0.88116098089228723</v>
      </c>
    </row>
    <row r="833" spans="1:11" ht="11.25" x14ac:dyDescent="0.15">
      <c r="A833" s="326">
        <v>1.175</v>
      </c>
      <c r="B833" s="327">
        <v>-40</v>
      </c>
      <c r="C833" s="327" t="s">
        <v>112</v>
      </c>
      <c r="D833" s="327" t="s">
        <v>79</v>
      </c>
      <c r="E833" s="328" t="s">
        <v>173</v>
      </c>
      <c r="F833" s="328">
        <v>32.489149500000003</v>
      </c>
      <c r="G833" s="328">
        <v>7685.3554000000004</v>
      </c>
      <c r="H833" s="328">
        <v>7861.8392250000006</v>
      </c>
      <c r="I833" s="329">
        <v>3.7334070018513223E-2</v>
      </c>
      <c r="J833" s="329">
        <v>0.87966732646105128</v>
      </c>
      <c r="K833" s="329">
        <v>0.94639950018394881</v>
      </c>
    </row>
    <row r="834" spans="1:11" ht="11.25" x14ac:dyDescent="0.15">
      <c r="A834" s="326">
        <v>1.175</v>
      </c>
      <c r="B834" s="327">
        <v>-40</v>
      </c>
      <c r="C834" s="327" t="s">
        <v>112</v>
      </c>
      <c r="D834" s="327" t="s">
        <v>114</v>
      </c>
      <c r="E834" s="328" t="s">
        <v>174</v>
      </c>
      <c r="F834" s="328">
        <v>10.937445200000001</v>
      </c>
      <c r="G834" s="328">
        <v>7603.0184499999996</v>
      </c>
      <c r="H834" s="328">
        <v>7758.9421250000005</v>
      </c>
      <c r="I834" s="329">
        <v>1.2568483669307852E-2</v>
      </c>
      <c r="J834" s="329">
        <v>0.8702430225862483</v>
      </c>
      <c r="K834" s="329">
        <v>0.93401286122792537</v>
      </c>
    </row>
    <row r="835" spans="1:11" ht="11.25" x14ac:dyDescent="0.15">
      <c r="A835" s="326">
        <v>1.175</v>
      </c>
      <c r="B835" s="327">
        <v>-40</v>
      </c>
      <c r="C835" s="327" t="s">
        <v>112</v>
      </c>
      <c r="D835" s="327" t="s">
        <v>113</v>
      </c>
      <c r="E835" s="328" t="s">
        <v>175</v>
      </c>
      <c r="F835" s="328">
        <v>7.9247228750000014</v>
      </c>
      <c r="G835" s="328">
        <v>7590.4224500000009</v>
      </c>
      <c r="H835" s="328">
        <v>7659.0730000000003</v>
      </c>
      <c r="I835" s="329">
        <v>9.106491343904323E-3</v>
      </c>
      <c r="J835" s="329">
        <v>0.86880128189015737</v>
      </c>
      <c r="K835" s="329">
        <v>0.92199072654940695</v>
      </c>
    </row>
    <row r="836" spans="1:11" ht="11.25" x14ac:dyDescent="0.15">
      <c r="A836" s="326">
        <v>1.2</v>
      </c>
      <c r="B836" s="327">
        <v>-40</v>
      </c>
      <c r="C836" s="327" t="s">
        <v>112</v>
      </c>
      <c r="D836" s="327" t="s">
        <v>79</v>
      </c>
      <c r="E836" s="328" t="s">
        <v>176</v>
      </c>
      <c r="F836" s="328">
        <v>38.681555999999993</v>
      </c>
      <c r="G836" s="328">
        <v>8023.474799999999</v>
      </c>
      <c r="H836" s="328">
        <v>8215.5059999999994</v>
      </c>
      <c r="I836" s="329">
        <v>4.4449914582375877E-2</v>
      </c>
      <c r="J836" s="329">
        <v>0.91836854106234522</v>
      </c>
      <c r="K836" s="329">
        <v>0.98897351492941921</v>
      </c>
    </row>
    <row r="837" spans="1:11" ht="11.25" x14ac:dyDescent="0.15">
      <c r="A837" s="326">
        <v>1.2</v>
      </c>
      <c r="B837" s="327">
        <v>-40</v>
      </c>
      <c r="C837" s="327" t="s">
        <v>112</v>
      </c>
      <c r="D837" s="327" t="s">
        <v>114</v>
      </c>
      <c r="E837" s="328" t="s">
        <v>177</v>
      </c>
      <c r="F837" s="328">
        <v>12.726744</v>
      </c>
      <c r="G837" s="328">
        <v>7912.7915999999987</v>
      </c>
      <c r="H837" s="328">
        <v>8108.9328000000005</v>
      </c>
      <c r="I837" s="329">
        <v>1.4624610336558456E-2</v>
      </c>
      <c r="J837" s="329">
        <v>0.90569971970528029</v>
      </c>
      <c r="K837" s="329">
        <v>0.976144351126085</v>
      </c>
    </row>
    <row r="838" spans="1:11" ht="11.25" x14ac:dyDescent="0.15">
      <c r="A838" s="326">
        <v>1.2</v>
      </c>
      <c r="B838" s="327">
        <v>-40</v>
      </c>
      <c r="C838" s="327" t="s">
        <v>112</v>
      </c>
      <c r="D838" s="327" t="s">
        <v>113</v>
      </c>
      <c r="E838" s="328" t="s">
        <v>178</v>
      </c>
      <c r="F838" s="328">
        <v>9.2781996000000007</v>
      </c>
      <c r="G838" s="328">
        <v>7889.1119999999992</v>
      </c>
      <c r="H838" s="328">
        <v>8006.2356</v>
      </c>
      <c r="I838" s="329">
        <v>1.0661804289833484E-2</v>
      </c>
      <c r="J838" s="329">
        <v>0.90298934792160634</v>
      </c>
      <c r="K838" s="329">
        <v>0.96378177591070446</v>
      </c>
    </row>
    <row r="839" spans="1:11" ht="11.25" x14ac:dyDescent="0.15">
      <c r="A839" s="326">
        <v>1.2250000000000001</v>
      </c>
      <c r="B839" s="327">
        <v>-40</v>
      </c>
      <c r="C839" s="327" t="s">
        <v>112</v>
      </c>
      <c r="D839" s="327" t="s">
        <v>79</v>
      </c>
      <c r="E839" s="328" t="s">
        <v>179</v>
      </c>
      <c r="F839" s="328">
        <v>46.01624300000001</v>
      </c>
      <c r="G839" s="328">
        <v>8376.4924250000004</v>
      </c>
      <c r="H839" s="328">
        <v>8576.7872750000006</v>
      </c>
      <c r="I839" s="329">
        <v>5.2878381385481302E-2</v>
      </c>
      <c r="J839" s="329">
        <v>0.95877500949676286</v>
      </c>
      <c r="K839" s="329">
        <v>1.0324641547530569</v>
      </c>
    </row>
    <row r="840" spans="1:11" ht="11.25" x14ac:dyDescent="0.15">
      <c r="A840" s="326">
        <v>1.2250000000000001</v>
      </c>
      <c r="B840" s="327">
        <v>-40</v>
      </c>
      <c r="C840" s="327" t="s">
        <v>112</v>
      </c>
      <c r="D840" s="327" t="s">
        <v>114</v>
      </c>
      <c r="E840" s="328" t="s">
        <v>180</v>
      </c>
      <c r="F840" s="328">
        <v>14.815848250000002</v>
      </c>
      <c r="G840" s="328">
        <v>8231.5822750000007</v>
      </c>
      <c r="H840" s="328">
        <v>8466.996650000001</v>
      </c>
      <c r="I840" s="329">
        <v>1.7025250720988146E-2</v>
      </c>
      <c r="J840" s="329">
        <v>0.94218856455141009</v>
      </c>
      <c r="K840" s="329">
        <v>1.0192476808910029</v>
      </c>
    </row>
    <row r="841" spans="1:11" ht="11.25" x14ac:dyDescent="0.15">
      <c r="A841" s="326">
        <v>1.2250000000000001</v>
      </c>
      <c r="B841" s="327">
        <v>-40</v>
      </c>
      <c r="C841" s="327" t="s">
        <v>112</v>
      </c>
      <c r="D841" s="327" t="s">
        <v>113</v>
      </c>
      <c r="E841" s="328" t="s">
        <v>181</v>
      </c>
      <c r="F841" s="328">
        <v>10.869449499999998</v>
      </c>
      <c r="G841" s="328">
        <v>8196.0548250000011</v>
      </c>
      <c r="H841" s="328">
        <v>8361.5719250000002</v>
      </c>
      <c r="I841" s="329">
        <v>1.2490348160566451E-2</v>
      </c>
      <c r="J841" s="329">
        <v>0.93812208547127829</v>
      </c>
      <c r="K841" s="329">
        <v>1.0065567692364172</v>
      </c>
    </row>
    <row r="842" spans="1:11" ht="11.25" x14ac:dyDescent="0.15">
      <c r="A842" s="326">
        <v>1.25</v>
      </c>
      <c r="B842" s="327">
        <v>-40</v>
      </c>
      <c r="C842" s="327" t="s">
        <v>112</v>
      </c>
      <c r="D842" s="327" t="s">
        <v>79</v>
      </c>
      <c r="E842" s="328" t="s">
        <v>182</v>
      </c>
      <c r="F842" s="328">
        <v>54.678474999999992</v>
      </c>
      <c r="G842" s="328">
        <v>8747.4174999999996</v>
      </c>
      <c r="H842" s="328">
        <v>8945.9312499999996</v>
      </c>
      <c r="I842" s="329">
        <v>6.2832362360101923E-2</v>
      </c>
      <c r="J842" s="329">
        <v>1.0012311682636841</v>
      </c>
      <c r="K842" s="329">
        <v>1.0769012976960193</v>
      </c>
    </row>
    <row r="843" spans="1:11" ht="11.25" x14ac:dyDescent="0.15">
      <c r="A843" s="326">
        <v>1.25</v>
      </c>
      <c r="B843" s="327">
        <v>-40</v>
      </c>
      <c r="C843" s="327" t="s">
        <v>112</v>
      </c>
      <c r="D843" s="327" t="s">
        <v>114</v>
      </c>
      <c r="E843" s="328" t="s">
        <v>183</v>
      </c>
      <c r="F843" s="328">
        <v>17.2527875</v>
      </c>
      <c r="G843" s="328">
        <v>8561.0375000000004</v>
      </c>
      <c r="H843" s="328">
        <v>8832.2162499999995</v>
      </c>
      <c r="I843" s="329">
        <v>1.9825596743907676E-2</v>
      </c>
      <c r="J843" s="329">
        <v>0.97989807593775069</v>
      </c>
      <c r="K843" s="329">
        <v>1.0632124119170789</v>
      </c>
    </row>
    <row r="844" spans="1:11" ht="11.25" x14ac:dyDescent="0.15">
      <c r="A844" s="326">
        <v>1.25</v>
      </c>
      <c r="B844" s="327">
        <v>-40</v>
      </c>
      <c r="C844" s="327" t="s">
        <v>112</v>
      </c>
      <c r="D844" s="327" t="s">
        <v>113</v>
      </c>
      <c r="E844" s="328" t="s">
        <v>184</v>
      </c>
      <c r="F844" s="328">
        <v>12.737412500000001</v>
      </c>
      <c r="G844" s="328">
        <v>8507.23</v>
      </c>
      <c r="H844" s="328">
        <v>8723.9549999999999</v>
      </c>
      <c r="I844" s="329">
        <v>1.4636869768772666E-2</v>
      </c>
      <c r="J844" s="329">
        <v>0.97373925865409539</v>
      </c>
      <c r="K844" s="329">
        <v>1.0501800425239884</v>
      </c>
    </row>
    <row r="845" spans="1:11" ht="11.25" x14ac:dyDescent="0.15">
      <c r="A845" s="326">
        <v>1.2749999999999999</v>
      </c>
      <c r="B845" s="327">
        <v>-40</v>
      </c>
      <c r="C845" s="327" t="s">
        <v>112</v>
      </c>
      <c r="D845" s="327" t="s">
        <v>79</v>
      </c>
      <c r="E845" s="328" t="s">
        <v>185</v>
      </c>
      <c r="F845" s="328">
        <v>64.876704750000002</v>
      </c>
      <c r="G845" s="328">
        <v>9134.9516999999996</v>
      </c>
      <c r="H845" s="328">
        <v>9323.0486249999994</v>
      </c>
      <c r="I845" s="329">
        <v>7.4551395619233102E-2</v>
      </c>
      <c r="J845" s="329">
        <v>1.0455884108222029</v>
      </c>
      <c r="K845" s="329">
        <v>1.122298269701725</v>
      </c>
    </row>
    <row r="846" spans="1:11" ht="11.25" x14ac:dyDescent="0.15">
      <c r="A846" s="326">
        <v>1.2749999999999999</v>
      </c>
      <c r="B846" s="327">
        <v>-40</v>
      </c>
      <c r="C846" s="327" t="s">
        <v>112</v>
      </c>
      <c r="D846" s="327" t="s">
        <v>114</v>
      </c>
      <c r="E846" s="328" t="s">
        <v>186</v>
      </c>
      <c r="F846" s="328">
        <v>20.091717749999997</v>
      </c>
      <c r="G846" s="328">
        <v>8902.1596499999978</v>
      </c>
      <c r="H846" s="328">
        <v>9206.0839499999984</v>
      </c>
      <c r="I846" s="329">
        <v>2.3087880378977136E-2</v>
      </c>
      <c r="J846" s="329">
        <v>1.0189429859086212</v>
      </c>
      <c r="K846" s="329">
        <v>1.1082181916447764</v>
      </c>
    </row>
    <row r="847" spans="1:11" ht="11.25" x14ac:dyDescent="0.15">
      <c r="A847" s="326">
        <v>1.2749999999999999</v>
      </c>
      <c r="B847" s="327">
        <v>-40</v>
      </c>
      <c r="C847" s="327" t="s">
        <v>112</v>
      </c>
      <c r="D847" s="327" t="s">
        <v>113</v>
      </c>
      <c r="E847" s="328" t="s">
        <v>187</v>
      </c>
      <c r="F847" s="328">
        <v>14.926118999999998</v>
      </c>
      <c r="G847" s="328">
        <v>8829.8276249999999</v>
      </c>
      <c r="H847" s="328">
        <v>9094.8988499999996</v>
      </c>
      <c r="I847" s="329">
        <v>1.7151965515461106E-2</v>
      </c>
      <c r="J847" s="329">
        <v>1.01066384776372</v>
      </c>
      <c r="K847" s="329">
        <v>1.0948338524263792</v>
      </c>
    </row>
    <row r="848" spans="1:11" ht="11.25" x14ac:dyDescent="0.15">
      <c r="A848" s="326">
        <v>1.3</v>
      </c>
      <c r="B848" s="327">
        <v>-40</v>
      </c>
      <c r="C848" s="327" t="s">
        <v>112</v>
      </c>
      <c r="D848" s="327" t="s">
        <v>79</v>
      </c>
      <c r="E848" s="328" t="s">
        <v>188</v>
      </c>
      <c r="F848" s="328">
        <v>76.845015000000004</v>
      </c>
      <c r="G848" s="328">
        <v>9544.4076000000005</v>
      </c>
      <c r="H848" s="328">
        <v>9708.5092000000004</v>
      </c>
      <c r="I848" s="329">
        <v>8.8304471330765327E-2</v>
      </c>
      <c r="J848" s="329">
        <v>1.0924548155764584</v>
      </c>
      <c r="K848" s="329">
        <v>1.1686995868846795</v>
      </c>
    </row>
    <row r="849" spans="1:11" ht="11.25" x14ac:dyDescent="0.15">
      <c r="A849" s="326">
        <v>1.3</v>
      </c>
      <c r="B849" s="327">
        <v>-40</v>
      </c>
      <c r="C849" s="327" t="s">
        <v>112</v>
      </c>
      <c r="D849" s="327" t="s">
        <v>114</v>
      </c>
      <c r="E849" s="328" t="s">
        <v>189</v>
      </c>
      <c r="F849" s="328">
        <v>23.393812</v>
      </c>
      <c r="G849" s="328">
        <v>9255.0990999999995</v>
      </c>
      <c r="H849" s="328">
        <v>9587.1229999999996</v>
      </c>
      <c r="I849" s="329">
        <v>2.6882397004819557E-2</v>
      </c>
      <c r="J849" s="329">
        <v>1.0593405064167991</v>
      </c>
      <c r="K849" s="329">
        <v>1.1540872505443582</v>
      </c>
    </row>
    <row r="850" spans="1:11" ht="11.25" x14ac:dyDescent="0.15">
      <c r="A850" s="326">
        <v>1.3</v>
      </c>
      <c r="B850" s="327">
        <v>-40</v>
      </c>
      <c r="C850" s="327" t="s">
        <v>112</v>
      </c>
      <c r="D850" s="327" t="s">
        <v>113</v>
      </c>
      <c r="E850" s="328" t="s">
        <v>190</v>
      </c>
      <c r="F850" s="328">
        <v>17.485104</v>
      </c>
      <c r="G850" s="328">
        <v>9157.7499000000007</v>
      </c>
      <c r="H850" s="328">
        <v>9472.6944000000003</v>
      </c>
      <c r="I850" s="329">
        <v>2.0092557271066316E-2</v>
      </c>
      <c r="J850" s="329">
        <v>1.048197897384415</v>
      </c>
      <c r="K850" s="329">
        <v>1.1403124623876151</v>
      </c>
    </row>
    <row r="851" spans="1:11" ht="11.25" x14ac:dyDescent="0.15">
      <c r="A851" s="326">
        <v>1.325</v>
      </c>
      <c r="B851" s="327">
        <v>-40</v>
      </c>
      <c r="C851" s="327" t="s">
        <v>112</v>
      </c>
      <c r="D851" s="327" t="s">
        <v>79</v>
      </c>
      <c r="E851" s="328" t="s">
        <v>191</v>
      </c>
      <c r="F851" s="328">
        <v>90.844729499999985</v>
      </c>
      <c r="G851" s="328">
        <v>9974.4092000000001</v>
      </c>
      <c r="H851" s="328">
        <v>10101.602574999999</v>
      </c>
      <c r="I851" s="329">
        <v>0.10439188295667429</v>
      </c>
      <c r="J851" s="329">
        <v>1.1416728852894054</v>
      </c>
      <c r="K851" s="329">
        <v>1.2160197320795361</v>
      </c>
    </row>
    <row r="852" spans="1:11" ht="11.25" x14ac:dyDescent="0.15">
      <c r="A852" s="326">
        <v>1.325</v>
      </c>
      <c r="B852" s="327">
        <v>-40</v>
      </c>
      <c r="C852" s="327" t="s">
        <v>112</v>
      </c>
      <c r="D852" s="327" t="s">
        <v>114</v>
      </c>
      <c r="E852" s="328" t="s">
        <v>192</v>
      </c>
      <c r="F852" s="328">
        <v>27.227915249999999</v>
      </c>
      <c r="G852" s="328">
        <v>9623.0178749999995</v>
      </c>
      <c r="H852" s="328">
        <v>9975.9846249999991</v>
      </c>
      <c r="I852" s="329">
        <v>3.1288258081414042E-2</v>
      </c>
      <c r="J852" s="329">
        <v>1.1014525634804289</v>
      </c>
      <c r="K852" s="329">
        <v>1.2008979823601971</v>
      </c>
    </row>
    <row r="853" spans="1:11" ht="11.25" x14ac:dyDescent="0.15">
      <c r="A853" s="326">
        <v>1.325</v>
      </c>
      <c r="B853" s="327">
        <v>-40</v>
      </c>
      <c r="C853" s="327" t="s">
        <v>112</v>
      </c>
      <c r="D853" s="327" t="s">
        <v>113</v>
      </c>
      <c r="E853" s="328" t="s">
        <v>193</v>
      </c>
      <c r="F853" s="328">
        <v>20.470097249999998</v>
      </c>
      <c r="G853" s="328">
        <v>9496.769225</v>
      </c>
      <c r="H853" s="328">
        <v>9858.3974999999991</v>
      </c>
      <c r="I853" s="329">
        <v>2.3522685443559392E-2</v>
      </c>
      <c r="J853" s="329">
        <v>1.087002117582401</v>
      </c>
      <c r="K853" s="329">
        <v>1.1867429744615121</v>
      </c>
    </row>
    <row r="854" spans="1:11" ht="11.25" x14ac:dyDescent="0.15">
      <c r="A854" s="326">
        <v>1.35</v>
      </c>
      <c r="B854" s="327">
        <v>-40</v>
      </c>
      <c r="C854" s="327" t="s">
        <v>112</v>
      </c>
      <c r="D854" s="327" t="s">
        <v>79</v>
      </c>
      <c r="E854" s="328" t="s">
        <v>194</v>
      </c>
      <c r="F854" s="328">
        <v>107.16721200000002</v>
      </c>
      <c r="G854" s="328">
        <v>10428.880950000001</v>
      </c>
      <c r="H854" s="328">
        <v>10503.2565</v>
      </c>
      <c r="I854" s="329">
        <v>0.12314844365183678</v>
      </c>
      <c r="J854" s="329">
        <v>1.1936918132981968</v>
      </c>
      <c r="K854" s="329">
        <v>1.264370386803962</v>
      </c>
    </row>
    <row r="855" spans="1:11" ht="11.25" x14ac:dyDescent="0.15">
      <c r="A855" s="326">
        <v>1.35</v>
      </c>
      <c r="B855" s="327">
        <v>-40</v>
      </c>
      <c r="C855" s="327" t="s">
        <v>112</v>
      </c>
      <c r="D855" s="327" t="s">
        <v>114</v>
      </c>
      <c r="E855" s="328" t="s">
        <v>195</v>
      </c>
      <c r="F855" s="328">
        <v>31.671256500000002</v>
      </c>
      <c r="G855" s="328">
        <v>10006.291799999999</v>
      </c>
      <c r="H855" s="328">
        <v>10372.710150000001</v>
      </c>
      <c r="I855" s="329">
        <v>3.6394209326572002E-2</v>
      </c>
      <c r="J855" s="329">
        <v>1.1453221741046795</v>
      </c>
      <c r="K855" s="329">
        <v>1.2486553617500327</v>
      </c>
    </row>
    <row r="856" spans="1:11" ht="11.25" x14ac:dyDescent="0.15">
      <c r="A856" s="326">
        <v>1.35</v>
      </c>
      <c r="B856" s="327">
        <v>-40</v>
      </c>
      <c r="C856" s="327" t="s">
        <v>112</v>
      </c>
      <c r="D856" s="327" t="s">
        <v>113</v>
      </c>
      <c r="E856" s="328" t="s">
        <v>196</v>
      </c>
      <c r="F856" s="328">
        <v>23.943424499999999</v>
      </c>
      <c r="G856" s="328">
        <v>9843.3063000000002</v>
      </c>
      <c r="H856" s="328">
        <v>10251.6219</v>
      </c>
      <c r="I856" s="329">
        <v>2.7513970064559089E-2</v>
      </c>
      <c r="J856" s="329">
        <v>1.126666820959018</v>
      </c>
      <c r="K856" s="329">
        <v>1.2340788923007799</v>
      </c>
    </row>
    <row r="857" spans="1:11" ht="11.25" x14ac:dyDescent="0.15">
      <c r="A857" s="326">
        <v>1.375</v>
      </c>
      <c r="B857" s="327">
        <v>-40</v>
      </c>
      <c r="C857" s="327" t="s">
        <v>112</v>
      </c>
      <c r="D857" s="327" t="s">
        <v>79</v>
      </c>
      <c r="E857" s="328" t="s">
        <v>197</v>
      </c>
      <c r="F857" s="328">
        <v>126.13646374999999</v>
      </c>
      <c r="G857" s="328">
        <v>10905.680499999999</v>
      </c>
      <c r="H857" s="328">
        <v>10911.971125000002</v>
      </c>
      <c r="I857" s="329">
        <v>0.14494647111430708</v>
      </c>
      <c r="J857" s="329">
        <v>1.2482663857904892</v>
      </c>
      <c r="K857" s="329">
        <v>1.313571000775799</v>
      </c>
    </row>
    <row r="858" spans="1:11" ht="11.25" x14ac:dyDescent="0.15">
      <c r="A858" s="326">
        <v>1.375</v>
      </c>
      <c r="B858" s="327">
        <v>-40</v>
      </c>
      <c r="C858" s="327" t="s">
        <v>112</v>
      </c>
      <c r="D858" s="327" t="s">
        <v>114</v>
      </c>
      <c r="E858" s="328" t="s">
        <v>198</v>
      </c>
      <c r="F858" s="328">
        <v>36.810427500000003</v>
      </c>
      <c r="G858" s="328">
        <v>10406.732875</v>
      </c>
      <c r="H858" s="328">
        <v>10777.19225</v>
      </c>
      <c r="I858" s="329">
        <v>4.2299755421310883E-2</v>
      </c>
      <c r="J858" s="329">
        <v>1.1911567401743814</v>
      </c>
      <c r="K858" s="329">
        <v>1.2973464690492098</v>
      </c>
    </row>
    <row r="859" spans="1:11" ht="11.25" x14ac:dyDescent="0.15">
      <c r="A859" s="326">
        <v>1.375</v>
      </c>
      <c r="B859" s="327">
        <v>-40</v>
      </c>
      <c r="C859" s="327" t="s">
        <v>112</v>
      </c>
      <c r="D859" s="327" t="s">
        <v>113</v>
      </c>
      <c r="E859" s="328" t="s">
        <v>199</v>
      </c>
      <c r="F859" s="328">
        <v>27.974815</v>
      </c>
      <c r="G859" s="328">
        <v>10202.54125</v>
      </c>
      <c r="H859" s="328">
        <v>10652.19925</v>
      </c>
      <c r="I859" s="329">
        <v>3.2146538707175265E-2</v>
      </c>
      <c r="J859" s="329">
        <v>1.1677849256647379</v>
      </c>
      <c r="K859" s="329">
        <v>1.282299950118839</v>
      </c>
    </row>
    <row r="860" spans="1:11" ht="11.25" x14ac:dyDescent="0.15">
      <c r="A860" s="326">
        <v>1.4</v>
      </c>
      <c r="B860" s="327">
        <v>-40</v>
      </c>
      <c r="C860" s="327" t="s">
        <v>112</v>
      </c>
      <c r="D860" s="327" t="s">
        <v>79</v>
      </c>
      <c r="E860" s="328" t="s">
        <v>200</v>
      </c>
      <c r="F860" s="328">
        <v>148.11202</v>
      </c>
      <c r="G860" s="328">
        <v>11409.064799999998</v>
      </c>
      <c r="H860" s="328">
        <v>11329.389399999998</v>
      </c>
      <c r="I860" s="329">
        <v>0.17019911602374913</v>
      </c>
      <c r="J860" s="329">
        <v>1.3058838541203817</v>
      </c>
      <c r="K860" s="329">
        <v>1.363819350496744</v>
      </c>
    </row>
    <row r="861" spans="1:11" ht="11.25" x14ac:dyDescent="0.15">
      <c r="A861" s="326">
        <v>1.4</v>
      </c>
      <c r="B861" s="327">
        <v>-40</v>
      </c>
      <c r="C861" s="327" t="s">
        <v>112</v>
      </c>
      <c r="D861" s="327" t="s">
        <v>114</v>
      </c>
      <c r="E861" s="328" t="s">
        <v>201</v>
      </c>
      <c r="F861" s="328">
        <v>42.742378000000002</v>
      </c>
      <c r="G861" s="328">
        <v>10825.504199999999</v>
      </c>
      <c r="H861" s="328">
        <v>11189.893400000001</v>
      </c>
      <c r="I861" s="329">
        <v>4.9116303675778253E-2</v>
      </c>
      <c r="J861" s="329">
        <v>1.2390893903497138</v>
      </c>
      <c r="K861" s="329">
        <v>1.3470269764861118</v>
      </c>
    </row>
    <row r="862" spans="1:11" ht="11.25" x14ac:dyDescent="0.15">
      <c r="A862" s="326">
        <v>1.4</v>
      </c>
      <c r="B862" s="327">
        <v>-40</v>
      </c>
      <c r="C862" s="327" t="s">
        <v>112</v>
      </c>
      <c r="D862" s="327" t="s">
        <v>113</v>
      </c>
      <c r="E862" s="328" t="s">
        <v>202</v>
      </c>
      <c r="F862" s="328">
        <v>32.642063999999998</v>
      </c>
      <c r="G862" s="328">
        <v>10573.870999999999</v>
      </c>
      <c r="H862" s="328">
        <v>11061.311800000001</v>
      </c>
      <c r="I862" s="329">
        <v>3.7509787780834018E-2</v>
      </c>
      <c r="J862" s="329">
        <v>1.2102874036136366</v>
      </c>
      <c r="K862" s="329">
        <v>1.3315484658615382</v>
      </c>
    </row>
    <row r="863" spans="1:11" ht="11.25" x14ac:dyDescent="0.15">
      <c r="A863" s="326">
        <v>0.9</v>
      </c>
      <c r="B863" s="327">
        <v>-20</v>
      </c>
      <c r="C863" s="327" t="s">
        <v>112</v>
      </c>
      <c r="D863" s="327" t="s">
        <v>79</v>
      </c>
      <c r="E863" s="328" t="s">
        <v>203</v>
      </c>
      <c r="F863" s="328">
        <v>5.6095704</v>
      </c>
      <c r="G863" s="328">
        <v>4626.625500000001</v>
      </c>
      <c r="H863" s="328">
        <v>4493.3427000000001</v>
      </c>
      <c r="I863" s="329">
        <v>6.4460934592141051E-3</v>
      </c>
      <c r="J863" s="329">
        <v>0.52956448625935049</v>
      </c>
      <c r="K863" s="329">
        <v>0.54090361857217895</v>
      </c>
    </row>
    <row r="864" spans="1:11" ht="11.25" x14ac:dyDescent="0.15">
      <c r="A864" s="326">
        <v>0.9</v>
      </c>
      <c r="B864" s="327">
        <v>-20</v>
      </c>
      <c r="C864" s="327" t="s">
        <v>112</v>
      </c>
      <c r="D864" s="327" t="s">
        <v>114</v>
      </c>
      <c r="E864" s="328" t="s">
        <v>204</v>
      </c>
      <c r="F864" s="328">
        <v>2.2179275999999999</v>
      </c>
      <c r="G864" s="328">
        <v>4640.1345000000001</v>
      </c>
      <c r="H864" s="328">
        <v>4422.4092000000001</v>
      </c>
      <c r="I864" s="329">
        <v>2.5486744217294139E-3</v>
      </c>
      <c r="J864" s="329">
        <v>0.53111072911926582</v>
      </c>
      <c r="K864" s="329">
        <v>0.53236472238961319</v>
      </c>
    </row>
    <row r="865" spans="1:11" ht="11.25" x14ac:dyDescent="0.15">
      <c r="A865" s="326">
        <v>0.9</v>
      </c>
      <c r="B865" s="327">
        <v>-20</v>
      </c>
      <c r="C865" s="327" t="s">
        <v>112</v>
      </c>
      <c r="D865" s="327" t="s">
        <v>113</v>
      </c>
      <c r="E865" s="328" t="s">
        <v>205</v>
      </c>
      <c r="F865" s="328">
        <v>1.5160788000000001</v>
      </c>
      <c r="G865" s="328">
        <v>4655.4552000000003</v>
      </c>
      <c r="H865" s="328">
        <v>4352.8653000000004</v>
      </c>
      <c r="I865" s="329">
        <v>1.7421629357451632E-3</v>
      </c>
      <c r="J865" s="329">
        <v>0.53286433952595069</v>
      </c>
      <c r="K865" s="329">
        <v>0.52399310471628913</v>
      </c>
    </row>
    <row r="866" spans="1:11" ht="11.25" x14ac:dyDescent="0.15">
      <c r="A866" s="326">
        <v>0.92500000000000004</v>
      </c>
      <c r="B866" s="327">
        <v>-20</v>
      </c>
      <c r="C866" s="327" t="s">
        <v>112</v>
      </c>
      <c r="D866" s="327" t="s">
        <v>79</v>
      </c>
      <c r="E866" s="328" t="s">
        <v>206</v>
      </c>
      <c r="F866" s="328">
        <v>6.6550679000000006</v>
      </c>
      <c r="G866" s="328">
        <v>4867.4027249999999</v>
      </c>
      <c r="H866" s="328">
        <v>4761.7760500000004</v>
      </c>
      <c r="I866" s="329">
        <v>7.6475000047803582E-3</v>
      </c>
      <c r="J866" s="329">
        <v>0.55712389591117484</v>
      </c>
      <c r="K866" s="329">
        <v>0.57321732799844916</v>
      </c>
    </row>
    <row r="867" spans="1:11" ht="11.25" x14ac:dyDescent="0.15">
      <c r="A867" s="326">
        <v>0.92500000000000004</v>
      </c>
      <c r="B867" s="327">
        <v>-20</v>
      </c>
      <c r="C867" s="327" t="s">
        <v>112</v>
      </c>
      <c r="D867" s="327" t="s">
        <v>114</v>
      </c>
      <c r="E867" s="328" t="s">
        <v>207</v>
      </c>
      <c r="F867" s="328">
        <v>2.6139889500000004</v>
      </c>
      <c r="G867" s="328">
        <v>4878.4629500000001</v>
      </c>
      <c r="H867" s="328">
        <v>4688.0183999999999</v>
      </c>
      <c r="I867" s="329">
        <v>3.0037981291852491E-3</v>
      </c>
      <c r="J867" s="329">
        <v>0.55838985149155151</v>
      </c>
      <c r="K867" s="329">
        <v>0.56433846376617491</v>
      </c>
    </row>
    <row r="868" spans="1:11" ht="11.25" x14ac:dyDescent="0.15">
      <c r="A868" s="326">
        <v>0.92500000000000004</v>
      </c>
      <c r="B868" s="327">
        <v>-20</v>
      </c>
      <c r="C868" s="327" t="s">
        <v>112</v>
      </c>
      <c r="D868" s="327" t="s">
        <v>113</v>
      </c>
      <c r="E868" s="328" t="s">
        <v>208</v>
      </c>
      <c r="F868" s="328">
        <v>1.7898167250000001</v>
      </c>
      <c r="G868" s="328">
        <v>4895.8807000000006</v>
      </c>
      <c r="H868" s="328">
        <v>4616.1644000000006</v>
      </c>
      <c r="I868" s="329">
        <v>2.0567218274352189E-3</v>
      </c>
      <c r="J868" s="329">
        <v>0.56038349066345849</v>
      </c>
      <c r="K868" s="329">
        <v>0.5556887588129148</v>
      </c>
    </row>
    <row r="869" spans="1:11" ht="11.25" x14ac:dyDescent="0.15">
      <c r="A869" s="326">
        <v>0.95</v>
      </c>
      <c r="B869" s="327">
        <v>-20</v>
      </c>
      <c r="C869" s="327" t="s">
        <v>112</v>
      </c>
      <c r="D869" s="327" t="s">
        <v>79</v>
      </c>
      <c r="E869" s="328" t="s">
        <v>209</v>
      </c>
      <c r="F869" s="328">
        <v>7.8676159499999994</v>
      </c>
      <c r="G869" s="328">
        <v>5114.3307000000004</v>
      </c>
      <c r="H869" s="328">
        <v>5037.7131999999992</v>
      </c>
      <c r="I869" s="329">
        <v>9.0408683907244602E-3</v>
      </c>
      <c r="J869" s="329">
        <v>0.5853873216463974</v>
      </c>
      <c r="K869" s="329">
        <v>0.60643433655946843</v>
      </c>
    </row>
    <row r="870" spans="1:11" ht="11.25" x14ac:dyDescent="0.15">
      <c r="A870" s="326">
        <v>0.95</v>
      </c>
      <c r="B870" s="327">
        <v>-20</v>
      </c>
      <c r="C870" s="327" t="s">
        <v>112</v>
      </c>
      <c r="D870" s="327" t="s">
        <v>114</v>
      </c>
      <c r="E870" s="328" t="s">
        <v>210</v>
      </c>
      <c r="F870" s="328">
        <v>3.0587178499999998</v>
      </c>
      <c r="G870" s="328">
        <v>5123.0545499999998</v>
      </c>
      <c r="H870" s="328">
        <v>4961.8794499999995</v>
      </c>
      <c r="I870" s="329">
        <v>3.5148468992325026E-3</v>
      </c>
      <c r="J870" s="329">
        <v>0.58638585527386589</v>
      </c>
      <c r="K870" s="329">
        <v>0.59730555370814087</v>
      </c>
    </row>
    <row r="871" spans="1:11" ht="11.25" x14ac:dyDescent="0.15">
      <c r="A871" s="326">
        <v>0.95</v>
      </c>
      <c r="B871" s="327">
        <v>-20</v>
      </c>
      <c r="C871" s="327" t="s">
        <v>112</v>
      </c>
      <c r="D871" s="327" t="s">
        <v>113</v>
      </c>
      <c r="E871" s="328" t="s">
        <v>211</v>
      </c>
      <c r="F871" s="328">
        <v>2.0983923</v>
      </c>
      <c r="G871" s="328">
        <v>5138.83025</v>
      </c>
      <c r="H871" s="328">
        <v>4886.7296999999999</v>
      </c>
      <c r="I871" s="329">
        <v>2.4113135080531733E-3</v>
      </c>
      <c r="J871" s="329">
        <v>0.58819154507216098</v>
      </c>
      <c r="K871" s="329">
        <v>0.58825911001939335</v>
      </c>
    </row>
    <row r="872" spans="1:11" ht="11.25" x14ac:dyDescent="0.15">
      <c r="A872" s="326">
        <v>0.97499999999999998</v>
      </c>
      <c r="B872" s="327">
        <v>-20</v>
      </c>
      <c r="C872" s="327" t="s">
        <v>112</v>
      </c>
      <c r="D872" s="327" t="s">
        <v>79</v>
      </c>
      <c r="E872" s="328" t="s">
        <v>212</v>
      </c>
      <c r="F872" s="328">
        <v>9.2809499249999998</v>
      </c>
      <c r="G872" s="328">
        <v>5368.7448749999994</v>
      </c>
      <c r="H872" s="328">
        <v>5321.8824750000003</v>
      </c>
      <c r="I872" s="329">
        <v>1.0664964755025829E-2</v>
      </c>
      <c r="J872" s="329">
        <v>0.6145076193408987</v>
      </c>
      <c r="K872" s="329">
        <v>0.64064231921223447</v>
      </c>
    </row>
    <row r="873" spans="1:11" ht="11.25" x14ac:dyDescent="0.15">
      <c r="A873" s="326">
        <v>0.97499999999999998</v>
      </c>
      <c r="B873" s="327">
        <v>-20</v>
      </c>
      <c r="C873" s="327" t="s">
        <v>112</v>
      </c>
      <c r="D873" s="327" t="s">
        <v>114</v>
      </c>
      <c r="E873" s="328" t="s">
        <v>213</v>
      </c>
      <c r="F873" s="328">
        <v>3.5602349250000001</v>
      </c>
      <c r="G873" s="328">
        <v>5372.9753999999994</v>
      </c>
      <c r="H873" s="328">
        <v>5242.7446499999996</v>
      </c>
      <c r="I873" s="329">
        <v>4.0911523391003561E-3</v>
      </c>
      <c r="J873" s="329">
        <v>0.61499184608417679</v>
      </c>
      <c r="K873" s="329">
        <v>0.63111579547113805</v>
      </c>
    </row>
    <row r="874" spans="1:11" ht="11.25" x14ac:dyDescent="0.15">
      <c r="A874" s="326">
        <v>0.97499999999999998</v>
      </c>
      <c r="B874" s="327">
        <v>-20</v>
      </c>
      <c r="C874" s="327" t="s">
        <v>112</v>
      </c>
      <c r="D874" s="327" t="s">
        <v>113</v>
      </c>
      <c r="E874" s="328" t="s">
        <v>214</v>
      </c>
      <c r="F874" s="328">
        <v>2.4482006250000001</v>
      </c>
      <c r="G874" s="328">
        <v>5388.2136749999991</v>
      </c>
      <c r="H874" s="328">
        <v>5165.2643250000001</v>
      </c>
      <c r="I874" s="329">
        <v>2.8132867421819655E-3</v>
      </c>
      <c r="J874" s="329">
        <v>0.6167360221087661</v>
      </c>
      <c r="K874" s="329">
        <v>0.62178879974462731</v>
      </c>
    </row>
    <row r="875" spans="1:11" ht="11.25" x14ac:dyDescent="0.15">
      <c r="A875" s="326">
        <v>1</v>
      </c>
      <c r="B875" s="327">
        <v>-20</v>
      </c>
      <c r="C875" s="327" t="s">
        <v>112</v>
      </c>
      <c r="D875" s="327" t="s">
        <v>79</v>
      </c>
      <c r="E875" s="328" t="s">
        <v>215</v>
      </c>
      <c r="F875" s="328">
        <v>10.93886</v>
      </c>
      <c r="G875" s="328">
        <v>5629.5839999999998</v>
      </c>
      <c r="H875" s="328">
        <v>5613.3579999999993</v>
      </c>
      <c r="I875" s="329">
        <v>1.2570109450317052E-2</v>
      </c>
      <c r="J875" s="329">
        <v>0.64436331810600589</v>
      </c>
      <c r="K875" s="329">
        <v>0.67572982014950445</v>
      </c>
    </row>
    <row r="876" spans="1:11" ht="11.25" x14ac:dyDescent="0.15">
      <c r="A876" s="326">
        <v>1</v>
      </c>
      <c r="B876" s="327">
        <v>-20</v>
      </c>
      <c r="C876" s="327" t="s">
        <v>112</v>
      </c>
      <c r="D876" s="327" t="s">
        <v>114</v>
      </c>
      <c r="E876" s="328" t="s">
        <v>216</v>
      </c>
      <c r="F876" s="328">
        <v>4.1299849999999996</v>
      </c>
      <c r="G876" s="328">
        <v>5628.2599999999993</v>
      </c>
      <c r="H876" s="328">
        <v>5531.5990000000002</v>
      </c>
      <c r="I876" s="329">
        <v>4.7458659748975361E-3</v>
      </c>
      <c r="J876" s="329">
        <v>0.64421177279943043</v>
      </c>
      <c r="K876" s="329">
        <v>0.66588776226443758</v>
      </c>
    </row>
    <row r="877" spans="1:11" ht="11.25" x14ac:dyDescent="0.15">
      <c r="A877" s="326">
        <v>1</v>
      </c>
      <c r="B877" s="327">
        <v>-20</v>
      </c>
      <c r="C877" s="327" t="s">
        <v>112</v>
      </c>
      <c r="D877" s="327" t="s">
        <v>113</v>
      </c>
      <c r="E877" s="328" t="s">
        <v>217</v>
      </c>
      <c r="F877" s="328">
        <v>2.84822</v>
      </c>
      <c r="G877" s="328">
        <v>5642.3059999999996</v>
      </c>
      <c r="H877" s="328">
        <v>5451.3870000000006</v>
      </c>
      <c r="I877" s="329">
        <v>3.2729587122042E-3</v>
      </c>
      <c r="J877" s="329">
        <v>0.64581948078746598</v>
      </c>
      <c r="K877" s="329">
        <v>0.65623193052631723</v>
      </c>
    </row>
    <row r="878" spans="1:11" ht="11.25" x14ac:dyDescent="0.15">
      <c r="A878" s="326">
        <v>1.0249999999999999</v>
      </c>
      <c r="B878" s="327">
        <v>-20</v>
      </c>
      <c r="C878" s="327" t="s">
        <v>112</v>
      </c>
      <c r="D878" s="327" t="s">
        <v>79</v>
      </c>
      <c r="E878" s="328" t="s">
        <v>218</v>
      </c>
      <c r="F878" s="328">
        <v>12.893843999999998</v>
      </c>
      <c r="G878" s="328">
        <v>5898.3737749999991</v>
      </c>
      <c r="H878" s="328">
        <v>5912.8928999999989</v>
      </c>
      <c r="I878" s="329">
        <v>1.4816629001131178E-2</v>
      </c>
      <c r="J878" s="329">
        <v>0.67512904987090483</v>
      </c>
      <c r="K878" s="329">
        <v>0.71178749972481381</v>
      </c>
    </row>
    <row r="879" spans="1:11" ht="11.25" x14ac:dyDescent="0.15">
      <c r="A879" s="326">
        <v>1.0249999999999999</v>
      </c>
      <c r="B879" s="327">
        <v>-20</v>
      </c>
      <c r="C879" s="327" t="s">
        <v>112</v>
      </c>
      <c r="D879" s="327" t="s">
        <v>114</v>
      </c>
      <c r="E879" s="328" t="s">
        <v>219</v>
      </c>
      <c r="F879" s="328">
        <v>4.7816813749999989</v>
      </c>
      <c r="G879" s="328">
        <v>5889.1508249999997</v>
      </c>
      <c r="H879" s="328">
        <v>5828.1018249999997</v>
      </c>
      <c r="I879" s="329">
        <v>5.4947460923983416E-3</v>
      </c>
      <c r="J879" s="329">
        <v>0.67407338915694703</v>
      </c>
      <c r="K879" s="329">
        <v>0.70158044400878206</v>
      </c>
    </row>
    <row r="880" spans="1:11" ht="11.25" x14ac:dyDescent="0.15">
      <c r="A880" s="326">
        <v>1.0249999999999999</v>
      </c>
      <c r="B880" s="327">
        <v>-20</v>
      </c>
      <c r="C880" s="327" t="s">
        <v>112</v>
      </c>
      <c r="D880" s="327" t="s">
        <v>113</v>
      </c>
      <c r="E880" s="328" t="s">
        <v>220</v>
      </c>
      <c r="F880" s="328">
        <v>3.3092780999999998</v>
      </c>
      <c r="G880" s="328">
        <v>5901.9151499999998</v>
      </c>
      <c r="H880" s="328">
        <v>5745.6241749999999</v>
      </c>
      <c r="I880" s="329">
        <v>3.8027717621888623E-3</v>
      </c>
      <c r="J880" s="329">
        <v>0.67553439636642876</v>
      </c>
      <c r="K880" s="329">
        <v>0.69165187583250443</v>
      </c>
    </row>
    <row r="881" spans="1:11" ht="11.25" x14ac:dyDescent="0.15">
      <c r="A881" s="326">
        <v>1.05</v>
      </c>
      <c r="B881" s="327">
        <v>-20</v>
      </c>
      <c r="C881" s="327" t="s">
        <v>112</v>
      </c>
      <c r="D881" s="327" t="s">
        <v>79</v>
      </c>
      <c r="E881" s="328" t="s">
        <v>221</v>
      </c>
      <c r="F881" s="328">
        <v>15.207864000000001</v>
      </c>
      <c r="G881" s="328">
        <v>6175.942500000001</v>
      </c>
      <c r="H881" s="328">
        <v>6219.9249000000009</v>
      </c>
      <c r="I881" s="329">
        <v>1.7475725531320128E-2</v>
      </c>
      <c r="J881" s="329">
        <v>0.70689962202036638</v>
      </c>
      <c r="K881" s="329">
        <v>0.74874767189629188</v>
      </c>
    </row>
    <row r="882" spans="1:11" ht="11.25" x14ac:dyDescent="0.15">
      <c r="A882" s="326">
        <v>1.05</v>
      </c>
      <c r="B882" s="327">
        <v>-20</v>
      </c>
      <c r="C882" s="327" t="s">
        <v>112</v>
      </c>
      <c r="D882" s="327" t="s">
        <v>114</v>
      </c>
      <c r="E882" s="328" t="s">
        <v>222</v>
      </c>
      <c r="F882" s="328">
        <v>5.53142625</v>
      </c>
      <c r="G882" s="328">
        <v>6156.2728499999994</v>
      </c>
      <c r="H882" s="328">
        <v>6132.2089500000011</v>
      </c>
      <c r="I882" s="329">
        <v>6.3562961203321748E-3</v>
      </c>
      <c r="J882" s="329">
        <v>0.70464822992105947</v>
      </c>
      <c r="K882" s="329">
        <v>0.73818852296658843</v>
      </c>
    </row>
    <row r="883" spans="1:11" ht="11.25" x14ac:dyDescent="0.15">
      <c r="A883" s="326">
        <v>1.05</v>
      </c>
      <c r="B883" s="327">
        <v>-20</v>
      </c>
      <c r="C883" s="327" t="s">
        <v>112</v>
      </c>
      <c r="D883" s="327" t="s">
        <v>113</v>
      </c>
      <c r="E883" s="328" t="s">
        <v>223</v>
      </c>
      <c r="F883" s="328">
        <v>3.8441613000000001</v>
      </c>
      <c r="G883" s="328">
        <v>6165.9948000000004</v>
      </c>
      <c r="H883" s="328">
        <v>6046.8450000000003</v>
      </c>
      <c r="I883" s="329">
        <v>4.4174190259015185E-3</v>
      </c>
      <c r="J883" s="329">
        <v>0.70576100627548655</v>
      </c>
      <c r="K883" s="329">
        <v>0.72791250519242323</v>
      </c>
    </row>
    <row r="884" spans="1:11" ht="11.25" x14ac:dyDescent="0.15">
      <c r="A884" s="326">
        <v>1.075</v>
      </c>
      <c r="B884" s="327">
        <v>-20</v>
      </c>
      <c r="C884" s="327" t="s">
        <v>112</v>
      </c>
      <c r="D884" s="327" t="s">
        <v>79</v>
      </c>
      <c r="E884" s="328" t="s">
        <v>224</v>
      </c>
      <c r="F884" s="328">
        <v>17.953574999999997</v>
      </c>
      <c r="G884" s="328">
        <v>6462.3141249999999</v>
      </c>
      <c r="H884" s="328">
        <v>6534.8497500000003</v>
      </c>
      <c r="I884" s="329">
        <v>2.0630888664310169E-2</v>
      </c>
      <c r="J884" s="329">
        <v>0.7396777758762122</v>
      </c>
      <c r="K884" s="329">
        <v>0.78665797661070869</v>
      </c>
    </row>
    <row r="885" spans="1:11" ht="11.25" x14ac:dyDescent="0.15">
      <c r="A885" s="326">
        <v>1.075</v>
      </c>
      <c r="B885" s="327">
        <v>-20</v>
      </c>
      <c r="C885" s="327" t="s">
        <v>112</v>
      </c>
      <c r="D885" s="327" t="s">
        <v>114</v>
      </c>
      <c r="E885" s="328" t="s">
        <v>225</v>
      </c>
      <c r="F885" s="328">
        <v>6.3979764499999998</v>
      </c>
      <c r="G885" s="328">
        <v>6431.5089250000001</v>
      </c>
      <c r="H885" s="328">
        <v>6444.6508000000003</v>
      </c>
      <c r="I885" s="329">
        <v>7.3520699814286807E-3</v>
      </c>
      <c r="J885" s="329">
        <v>0.73615180648186285</v>
      </c>
      <c r="K885" s="329">
        <v>0.77579992689052801</v>
      </c>
    </row>
    <row r="886" spans="1:11" ht="11.25" x14ac:dyDescent="0.15">
      <c r="A886" s="326">
        <v>1.075</v>
      </c>
      <c r="B886" s="327">
        <v>-20</v>
      </c>
      <c r="C886" s="327" t="s">
        <v>112</v>
      </c>
      <c r="D886" s="327" t="s">
        <v>113</v>
      </c>
      <c r="E886" s="328" t="s">
        <v>226</v>
      </c>
      <c r="F886" s="328">
        <v>4.4678408249999988</v>
      </c>
      <c r="G886" s="328">
        <v>6436.6635500000002</v>
      </c>
      <c r="H886" s="328">
        <v>6356.250325</v>
      </c>
      <c r="I886" s="329">
        <v>5.1341043012566954E-3</v>
      </c>
      <c r="J886" s="329">
        <v>0.73674180589720017</v>
      </c>
      <c r="K886" s="329">
        <v>0.76515837559932565</v>
      </c>
    </row>
    <row r="887" spans="1:11" ht="11.25" x14ac:dyDescent="0.15">
      <c r="A887" s="326">
        <v>1.1000000000000001</v>
      </c>
      <c r="B887" s="327">
        <v>-20</v>
      </c>
      <c r="C887" s="327" t="s">
        <v>112</v>
      </c>
      <c r="D887" s="327" t="s">
        <v>79</v>
      </c>
      <c r="E887" s="328" t="s">
        <v>227</v>
      </c>
      <c r="F887" s="328">
        <v>21.215524000000002</v>
      </c>
      <c r="G887" s="328">
        <v>6758.3230000000012</v>
      </c>
      <c r="H887" s="328">
        <v>6857.3604000000005</v>
      </c>
      <c r="I887" s="329">
        <v>2.4379273409279235E-2</v>
      </c>
      <c r="J887" s="329">
        <v>0.77355901130743188</v>
      </c>
      <c r="K887" s="329">
        <v>0.82548145152907304</v>
      </c>
    </row>
    <row r="888" spans="1:11" ht="11.25" x14ac:dyDescent="0.15">
      <c r="A888" s="326">
        <v>1.1000000000000001</v>
      </c>
      <c r="B888" s="327">
        <v>-20</v>
      </c>
      <c r="C888" s="327" t="s">
        <v>112</v>
      </c>
      <c r="D888" s="327" t="s">
        <v>114</v>
      </c>
      <c r="E888" s="328" t="s">
        <v>228</v>
      </c>
      <c r="F888" s="328">
        <v>7.403075900000001</v>
      </c>
      <c r="G888" s="328">
        <v>6712.8677000000007</v>
      </c>
      <c r="H888" s="328">
        <v>6764.0221000000001</v>
      </c>
      <c r="I888" s="329">
        <v>8.5070541475075496E-3</v>
      </c>
      <c r="J888" s="329">
        <v>0.76835618851741672</v>
      </c>
      <c r="K888" s="329">
        <v>0.81424549033221716</v>
      </c>
    </row>
    <row r="889" spans="1:11" ht="11.25" x14ac:dyDescent="0.15">
      <c r="A889" s="326">
        <v>1.1000000000000001</v>
      </c>
      <c r="B889" s="327">
        <v>-20</v>
      </c>
      <c r="C889" s="327" t="s">
        <v>112</v>
      </c>
      <c r="D889" s="327" t="s">
        <v>113</v>
      </c>
      <c r="E889" s="328" t="s">
        <v>229</v>
      </c>
      <c r="F889" s="328">
        <v>5.1977486000000006</v>
      </c>
      <c r="G889" s="328">
        <v>6710.1914000000006</v>
      </c>
      <c r="H889" s="328">
        <v>6673.4580000000014</v>
      </c>
      <c r="I889" s="329">
        <v>5.9728590362462114E-3</v>
      </c>
      <c r="J889" s="329">
        <v>0.76804985868056785</v>
      </c>
      <c r="K889" s="329">
        <v>0.80334348425938151</v>
      </c>
    </row>
    <row r="890" spans="1:11" ht="11.25" x14ac:dyDescent="0.15">
      <c r="A890" s="326">
        <v>1.125</v>
      </c>
      <c r="B890" s="327">
        <v>-20</v>
      </c>
      <c r="C890" s="327" t="s">
        <v>112</v>
      </c>
      <c r="D890" s="327" t="s">
        <v>79</v>
      </c>
      <c r="E890" s="328" t="s">
        <v>230</v>
      </c>
      <c r="F890" s="328">
        <v>25.091426250000001</v>
      </c>
      <c r="G890" s="328">
        <v>7066.1857500000006</v>
      </c>
      <c r="H890" s="328">
        <v>7187.3190000000004</v>
      </c>
      <c r="I890" s="329">
        <v>2.8833166730999241E-2</v>
      </c>
      <c r="J890" s="329">
        <v>0.80879704365782212</v>
      </c>
      <c r="K890" s="329">
        <v>0.86520150242103155</v>
      </c>
    </row>
    <row r="891" spans="1:11" ht="11.25" x14ac:dyDescent="0.15">
      <c r="A891" s="326">
        <v>1.125</v>
      </c>
      <c r="B891" s="327">
        <v>-20</v>
      </c>
      <c r="C891" s="327" t="s">
        <v>112</v>
      </c>
      <c r="D891" s="327" t="s">
        <v>114</v>
      </c>
      <c r="E891" s="328" t="s">
        <v>231</v>
      </c>
      <c r="F891" s="328">
        <v>8.5718385000000001</v>
      </c>
      <c r="G891" s="328">
        <v>7001.3553749999992</v>
      </c>
      <c r="H891" s="328">
        <v>7091.5769999999993</v>
      </c>
      <c r="I891" s="329">
        <v>9.8501076104312094E-3</v>
      </c>
      <c r="J891" s="329">
        <v>0.80137654588231011</v>
      </c>
      <c r="K891" s="329">
        <v>0.85367618647988641</v>
      </c>
    </row>
    <row r="892" spans="1:11" ht="11.25" x14ac:dyDescent="0.15">
      <c r="A892" s="326">
        <v>1.125</v>
      </c>
      <c r="B892" s="327">
        <v>-20</v>
      </c>
      <c r="C892" s="327" t="s">
        <v>112</v>
      </c>
      <c r="D892" s="327" t="s">
        <v>113</v>
      </c>
      <c r="E892" s="328" t="s">
        <v>232</v>
      </c>
      <c r="F892" s="328">
        <v>6.0540772500000006</v>
      </c>
      <c r="G892" s="328">
        <v>6992.3463750000001</v>
      </c>
      <c r="H892" s="328">
        <v>6997.7553749999997</v>
      </c>
      <c r="I892" s="329">
        <v>6.9568870662184614E-3</v>
      </c>
      <c r="J892" s="329">
        <v>0.8003453739284293</v>
      </c>
      <c r="K892" s="329">
        <v>0.84238204315473519</v>
      </c>
    </row>
    <row r="893" spans="1:11" ht="11.25" x14ac:dyDescent="0.15">
      <c r="A893" s="326">
        <v>1.1499999999999999</v>
      </c>
      <c r="B893" s="327">
        <v>-20</v>
      </c>
      <c r="C893" s="327" t="s">
        <v>112</v>
      </c>
      <c r="D893" s="327" t="s">
        <v>79</v>
      </c>
      <c r="E893" s="328" t="s">
        <v>233</v>
      </c>
      <c r="F893" s="328">
        <v>29.693919999999995</v>
      </c>
      <c r="G893" s="328">
        <v>7387.4665999999997</v>
      </c>
      <c r="H893" s="328">
        <v>7525.9208499999995</v>
      </c>
      <c r="I893" s="329">
        <v>3.4122003975639005E-2</v>
      </c>
      <c r="J893" s="329">
        <v>0.84557091443582577</v>
      </c>
      <c r="K893" s="329">
        <v>0.90596201817698174</v>
      </c>
    </row>
    <row r="894" spans="1:11" ht="11.25" x14ac:dyDescent="0.15">
      <c r="A894" s="326">
        <v>1.1499999999999999</v>
      </c>
      <c r="B894" s="327">
        <v>-20</v>
      </c>
      <c r="C894" s="327" t="s">
        <v>112</v>
      </c>
      <c r="D894" s="327" t="s">
        <v>114</v>
      </c>
      <c r="E894" s="328" t="s">
        <v>234</v>
      </c>
      <c r="F894" s="328">
        <v>9.9331226999999984</v>
      </c>
      <c r="G894" s="328">
        <v>7297.7447499999989</v>
      </c>
      <c r="H894" s="328">
        <v>7426.4906999999994</v>
      </c>
      <c r="I894" s="329">
        <v>1.1414392315326169E-2</v>
      </c>
      <c r="J894" s="329">
        <v>0.83530133342013979</v>
      </c>
      <c r="K894" s="329">
        <v>0.89399272682286923</v>
      </c>
    </row>
    <row r="895" spans="1:11" ht="11.25" x14ac:dyDescent="0.15">
      <c r="A895" s="326">
        <v>1.1499999999999999</v>
      </c>
      <c r="B895" s="327">
        <v>-20</v>
      </c>
      <c r="C895" s="327" t="s">
        <v>112</v>
      </c>
      <c r="D895" s="327" t="s">
        <v>113</v>
      </c>
      <c r="E895" s="328" t="s">
        <v>235</v>
      </c>
      <c r="F895" s="328">
        <v>7.0601121999999998</v>
      </c>
      <c r="G895" s="328">
        <v>7279.9818499999992</v>
      </c>
      <c r="H895" s="328">
        <v>7329.7549999999992</v>
      </c>
      <c r="I895" s="329">
        <v>8.1129462380466252E-3</v>
      </c>
      <c r="J895" s="329">
        <v>0.83326818830973992</v>
      </c>
      <c r="K895" s="329">
        <v>0.88234779037608702</v>
      </c>
    </row>
    <row r="896" spans="1:11" ht="11.25" x14ac:dyDescent="0.15">
      <c r="A896" s="326">
        <v>1.175</v>
      </c>
      <c r="B896" s="327">
        <v>-20</v>
      </c>
      <c r="C896" s="327" t="s">
        <v>112</v>
      </c>
      <c r="D896" s="327" t="s">
        <v>79</v>
      </c>
      <c r="E896" s="328" t="s">
        <v>236</v>
      </c>
      <c r="F896" s="328">
        <v>35.151864000000003</v>
      </c>
      <c r="G896" s="328">
        <v>7721.4314250000007</v>
      </c>
      <c r="H896" s="328">
        <v>7872.3554749999994</v>
      </c>
      <c r="I896" s="329">
        <v>4.0393859859497228E-2</v>
      </c>
      <c r="J896" s="329">
        <v>0.88379659554613388</v>
      </c>
      <c r="K896" s="329">
        <v>0.94766543471389442</v>
      </c>
    </row>
    <row r="897" spans="1:11" ht="11.25" x14ac:dyDescent="0.15">
      <c r="A897" s="326">
        <v>1.175</v>
      </c>
      <c r="B897" s="327">
        <v>-20</v>
      </c>
      <c r="C897" s="327" t="s">
        <v>112</v>
      </c>
      <c r="D897" s="327" t="s">
        <v>114</v>
      </c>
      <c r="E897" s="328" t="s">
        <v>237</v>
      </c>
      <c r="F897" s="328">
        <v>11.520007850000001</v>
      </c>
      <c r="G897" s="328">
        <v>7603.2475750000003</v>
      </c>
      <c r="H897" s="328">
        <v>7769.1011750000007</v>
      </c>
      <c r="I897" s="329">
        <v>1.3237920545926325E-2</v>
      </c>
      <c r="J897" s="329">
        <v>0.87026924827988061</v>
      </c>
      <c r="K897" s="329">
        <v>0.93523579641741261</v>
      </c>
    </row>
    <row r="898" spans="1:11" ht="11.25" x14ac:dyDescent="0.15">
      <c r="A898" s="326">
        <v>1.175</v>
      </c>
      <c r="B898" s="327">
        <v>-20</v>
      </c>
      <c r="C898" s="327" t="s">
        <v>112</v>
      </c>
      <c r="D898" s="327" t="s">
        <v>113</v>
      </c>
      <c r="E898" s="328" t="s">
        <v>238</v>
      </c>
      <c r="F898" s="328">
        <v>8.2425756500000009</v>
      </c>
      <c r="G898" s="328">
        <v>7575.3131249999997</v>
      </c>
      <c r="H898" s="328">
        <v>7669.7843000000003</v>
      </c>
      <c r="I898" s="329">
        <v>9.4717436801474951E-3</v>
      </c>
      <c r="J898" s="329">
        <v>0.86707186550853077</v>
      </c>
      <c r="K898" s="329">
        <v>0.92328014098236622</v>
      </c>
    </row>
    <row r="899" spans="1:11" ht="11.25" x14ac:dyDescent="0.15">
      <c r="A899" s="326">
        <v>1.2</v>
      </c>
      <c r="B899" s="327">
        <v>-20</v>
      </c>
      <c r="C899" s="327" t="s">
        <v>112</v>
      </c>
      <c r="D899" s="327" t="s">
        <v>79</v>
      </c>
      <c r="E899" s="328" t="s">
        <v>239</v>
      </c>
      <c r="F899" s="328">
        <v>41.611847999999995</v>
      </c>
      <c r="G899" s="328">
        <v>8071.2251999999989</v>
      </c>
      <c r="H899" s="328">
        <v>8225.6940000000013</v>
      </c>
      <c r="I899" s="329">
        <v>4.7817184221203735E-2</v>
      </c>
      <c r="J899" s="329">
        <v>0.92383406146045799</v>
      </c>
      <c r="K899" s="329">
        <v>0.9901999350878492</v>
      </c>
    </row>
    <row r="900" spans="1:11" ht="11.25" x14ac:dyDescent="0.15">
      <c r="A900" s="326">
        <v>1.2</v>
      </c>
      <c r="B900" s="327">
        <v>-20</v>
      </c>
      <c r="C900" s="327" t="s">
        <v>112</v>
      </c>
      <c r="D900" s="327" t="s">
        <v>114</v>
      </c>
      <c r="E900" s="328" t="s">
        <v>240</v>
      </c>
      <c r="F900" s="328">
        <v>13.370243999999998</v>
      </c>
      <c r="G900" s="328">
        <v>7918.2060000000001</v>
      </c>
      <c r="H900" s="328">
        <v>8119.5972000000002</v>
      </c>
      <c r="I900" s="329">
        <v>1.5364071800667057E-2</v>
      </c>
      <c r="J900" s="329">
        <v>0.90631945301942118</v>
      </c>
      <c r="K900" s="329">
        <v>0.97742811978897848</v>
      </c>
    </row>
    <row r="901" spans="1:11" ht="11.25" x14ac:dyDescent="0.15">
      <c r="A901" s="326">
        <v>1.2</v>
      </c>
      <c r="B901" s="327">
        <v>-20</v>
      </c>
      <c r="C901" s="327" t="s">
        <v>112</v>
      </c>
      <c r="D901" s="327" t="s">
        <v>113</v>
      </c>
      <c r="E901" s="328" t="s">
        <v>241</v>
      </c>
      <c r="F901" s="328">
        <v>9.632028</v>
      </c>
      <c r="G901" s="328">
        <v>7876.8923999999997</v>
      </c>
      <c r="H901" s="328">
        <v>8017.1939999999995</v>
      </c>
      <c r="I901" s="329">
        <v>1.1068397089689277E-2</v>
      </c>
      <c r="J901" s="329">
        <v>0.90159069004530001</v>
      </c>
      <c r="K901" s="329">
        <v>0.96510093596804025</v>
      </c>
    </row>
    <row r="902" spans="1:11" ht="11.25" x14ac:dyDescent="0.15">
      <c r="A902" s="326">
        <v>1.2250000000000001</v>
      </c>
      <c r="B902" s="327">
        <v>-20</v>
      </c>
      <c r="C902" s="327" t="s">
        <v>112</v>
      </c>
      <c r="D902" s="327" t="s">
        <v>79</v>
      </c>
      <c r="E902" s="328" t="s">
        <v>242</v>
      </c>
      <c r="F902" s="328">
        <v>49.240504250000001</v>
      </c>
      <c r="G902" s="328">
        <v>8437.47415</v>
      </c>
      <c r="H902" s="328">
        <v>8587.5464500000016</v>
      </c>
      <c r="I902" s="329">
        <v>5.6583458222456633E-2</v>
      </c>
      <c r="J902" s="329">
        <v>0.96575499001838361</v>
      </c>
      <c r="K902" s="329">
        <v>1.0337593323255023</v>
      </c>
    </row>
    <row r="903" spans="1:11" ht="11.25" x14ac:dyDescent="0.15">
      <c r="A903" s="326">
        <v>1.2250000000000001</v>
      </c>
      <c r="B903" s="327">
        <v>-20</v>
      </c>
      <c r="C903" s="327" t="s">
        <v>112</v>
      </c>
      <c r="D903" s="327" t="s">
        <v>114</v>
      </c>
      <c r="E903" s="328" t="s">
        <v>243</v>
      </c>
      <c r="F903" s="328">
        <v>15.526752500000002</v>
      </c>
      <c r="G903" s="328">
        <v>8243.812675000001</v>
      </c>
      <c r="H903" s="328">
        <v>8477.5108249999994</v>
      </c>
      <c r="I903" s="329">
        <v>1.7842168044291996E-2</v>
      </c>
      <c r="J903" s="329">
        <v>0.94358845859789098</v>
      </c>
      <c r="K903" s="329">
        <v>1.020513365634746</v>
      </c>
    </row>
    <row r="904" spans="1:11" ht="11.25" x14ac:dyDescent="0.15">
      <c r="A904" s="326">
        <v>1.2250000000000001</v>
      </c>
      <c r="B904" s="327">
        <v>-20</v>
      </c>
      <c r="C904" s="327" t="s">
        <v>112</v>
      </c>
      <c r="D904" s="327" t="s">
        <v>113</v>
      </c>
      <c r="E904" s="328" t="s">
        <v>244</v>
      </c>
      <c r="F904" s="328">
        <v>11.263153475000001</v>
      </c>
      <c r="G904" s="328">
        <v>8184.477350000001</v>
      </c>
      <c r="H904" s="328">
        <v>8372.1755250000006</v>
      </c>
      <c r="I904" s="329">
        <v>1.294276295120962E-2</v>
      </c>
      <c r="J904" s="329">
        <v>0.93679692535175796</v>
      </c>
      <c r="K904" s="329">
        <v>1.0078332188626369</v>
      </c>
    </row>
    <row r="905" spans="1:11" ht="11.25" x14ac:dyDescent="0.15">
      <c r="A905" s="326">
        <v>1.25</v>
      </c>
      <c r="B905" s="327">
        <v>-20</v>
      </c>
      <c r="C905" s="327" t="s">
        <v>112</v>
      </c>
      <c r="D905" s="327" t="s">
        <v>79</v>
      </c>
      <c r="E905" s="328" t="s">
        <v>245</v>
      </c>
      <c r="F905" s="328">
        <v>58.225775000000006</v>
      </c>
      <c r="G905" s="328">
        <v>8822.6137499999986</v>
      </c>
      <c r="H905" s="328">
        <v>8957.0962500000005</v>
      </c>
      <c r="I905" s="329">
        <v>6.6908650863027261E-2</v>
      </c>
      <c r="J905" s="329">
        <v>1.0098381461787711</v>
      </c>
      <c r="K905" s="329">
        <v>1.078245328032579</v>
      </c>
    </row>
    <row r="906" spans="1:11" ht="11.25" x14ac:dyDescent="0.15">
      <c r="A906" s="326">
        <v>1.25</v>
      </c>
      <c r="B906" s="327">
        <v>-20</v>
      </c>
      <c r="C906" s="327" t="s">
        <v>112</v>
      </c>
      <c r="D906" s="327" t="s">
        <v>114</v>
      </c>
      <c r="E906" s="328" t="s">
        <v>246</v>
      </c>
      <c r="F906" s="328">
        <v>18.038237500000001</v>
      </c>
      <c r="G906" s="328">
        <v>8580.0437500000007</v>
      </c>
      <c r="H906" s="328">
        <v>8843.0499999999993</v>
      </c>
      <c r="I906" s="329">
        <v>2.0728176397340623E-2</v>
      </c>
      <c r="J906" s="329">
        <v>0.98207353513948792</v>
      </c>
      <c r="K906" s="329">
        <v>1.0645165667454446</v>
      </c>
    </row>
    <row r="907" spans="1:11" ht="11.25" x14ac:dyDescent="0.15">
      <c r="A907" s="326">
        <v>1.25</v>
      </c>
      <c r="B907" s="327">
        <v>-20</v>
      </c>
      <c r="C907" s="327" t="s">
        <v>112</v>
      </c>
      <c r="D907" s="327" t="s">
        <v>113</v>
      </c>
      <c r="E907" s="328" t="s">
        <v>247</v>
      </c>
      <c r="F907" s="328">
        <v>13.175437500000001</v>
      </c>
      <c r="G907" s="328">
        <v>8502.0349999999999</v>
      </c>
      <c r="H907" s="328">
        <v>8735.4674999999988</v>
      </c>
      <c r="I907" s="329">
        <v>1.514021492466415E-2</v>
      </c>
      <c r="J907" s="329">
        <v>0.973144637908129</v>
      </c>
      <c r="K907" s="329">
        <v>1.0515659045257475</v>
      </c>
    </row>
    <row r="908" spans="1:11" ht="11.25" x14ac:dyDescent="0.15">
      <c r="A908" s="326">
        <v>1.2749999999999999</v>
      </c>
      <c r="B908" s="327">
        <v>-20</v>
      </c>
      <c r="C908" s="327" t="s">
        <v>112</v>
      </c>
      <c r="D908" s="327" t="s">
        <v>79</v>
      </c>
      <c r="E908" s="328" t="s">
        <v>248</v>
      </c>
      <c r="F908" s="328">
        <v>68.779186499999994</v>
      </c>
      <c r="G908" s="328">
        <v>9226.9760999999999</v>
      </c>
      <c r="H908" s="328">
        <v>9334.5134249999992</v>
      </c>
      <c r="I908" s="329">
        <v>7.9035832089337371E-2</v>
      </c>
      <c r="J908" s="329">
        <v>1.0561215421744865</v>
      </c>
      <c r="K908" s="329">
        <v>1.1236783896303042</v>
      </c>
    </row>
    <row r="909" spans="1:11" ht="11.25" x14ac:dyDescent="0.15">
      <c r="A909" s="326">
        <v>1.2749999999999999</v>
      </c>
      <c r="B909" s="327">
        <v>-20</v>
      </c>
      <c r="C909" s="327" t="s">
        <v>112</v>
      </c>
      <c r="D909" s="327" t="s">
        <v>114</v>
      </c>
      <c r="E909" s="328" t="s">
        <v>249</v>
      </c>
      <c r="F909" s="328">
        <v>20.959788749999998</v>
      </c>
      <c r="G909" s="328">
        <v>8930.584499999999</v>
      </c>
      <c r="H909" s="328">
        <v>9217.3090499999998</v>
      </c>
      <c r="I909" s="329">
        <v>2.4085401828254863E-2</v>
      </c>
      <c r="J909" s="329">
        <v>1.0221964999627087</v>
      </c>
      <c r="K909" s="329">
        <v>1.1095694567527852</v>
      </c>
    </row>
    <row r="910" spans="1:11" ht="11.25" x14ac:dyDescent="0.15">
      <c r="A910" s="326">
        <v>1.2749999999999999</v>
      </c>
      <c r="B910" s="327">
        <v>-20</v>
      </c>
      <c r="C910" s="327" t="s">
        <v>112</v>
      </c>
      <c r="D910" s="327" t="s">
        <v>113</v>
      </c>
      <c r="E910" s="328" t="s">
        <v>250</v>
      </c>
      <c r="F910" s="328">
        <v>15.4133985</v>
      </c>
      <c r="G910" s="328">
        <v>8827.5096749999993</v>
      </c>
      <c r="H910" s="328">
        <v>9106.0716749999992</v>
      </c>
      <c r="I910" s="329">
        <v>1.7711910212430973E-2</v>
      </c>
      <c r="J910" s="329">
        <v>1.0103985347400215</v>
      </c>
      <c r="K910" s="329">
        <v>1.0961788247277737</v>
      </c>
    </row>
    <row r="911" spans="1:11" ht="11.25" x14ac:dyDescent="0.15">
      <c r="A911" s="326">
        <v>1.3</v>
      </c>
      <c r="B911" s="327">
        <v>-20</v>
      </c>
      <c r="C911" s="327" t="s">
        <v>112</v>
      </c>
      <c r="D911" s="327" t="s">
        <v>79</v>
      </c>
      <c r="E911" s="328" t="s">
        <v>251</v>
      </c>
      <c r="F911" s="328">
        <v>81.13794</v>
      </c>
      <c r="G911" s="328">
        <v>9653.1864000000005</v>
      </c>
      <c r="H911" s="328">
        <v>9720.2131000000008</v>
      </c>
      <c r="I911" s="329">
        <v>9.3237575613295903E-2</v>
      </c>
      <c r="J911" s="329">
        <v>1.1049056589260895</v>
      </c>
      <c r="K911" s="329">
        <v>1.1701084894064939</v>
      </c>
    </row>
    <row r="912" spans="1:11" ht="11.25" x14ac:dyDescent="0.15">
      <c r="A912" s="326">
        <v>1.3</v>
      </c>
      <c r="B912" s="327">
        <v>-20</v>
      </c>
      <c r="C912" s="327" t="s">
        <v>112</v>
      </c>
      <c r="D912" s="327" t="s">
        <v>114</v>
      </c>
      <c r="E912" s="328" t="s">
        <v>252</v>
      </c>
      <c r="F912" s="328">
        <v>24.353407000000001</v>
      </c>
      <c r="G912" s="328">
        <v>9293.8729000000003</v>
      </c>
      <c r="H912" s="328">
        <v>9598.5942000000014</v>
      </c>
      <c r="I912" s="329">
        <v>2.7985090903267566E-2</v>
      </c>
      <c r="J912" s="329">
        <v>1.0637785633715544</v>
      </c>
      <c r="K912" s="329">
        <v>1.1554681408978509</v>
      </c>
    </row>
    <row r="913" spans="1:11" ht="11.25" x14ac:dyDescent="0.15">
      <c r="A913" s="326">
        <v>1.3</v>
      </c>
      <c r="B913" s="327">
        <v>-20</v>
      </c>
      <c r="C913" s="327" t="s">
        <v>112</v>
      </c>
      <c r="D913" s="327" t="s">
        <v>113</v>
      </c>
      <c r="E913" s="328" t="s">
        <v>253</v>
      </c>
      <c r="F913" s="328">
        <v>18.027152000000001</v>
      </c>
      <c r="G913" s="328">
        <v>9161.2937000000002</v>
      </c>
      <c r="H913" s="328">
        <v>9484.419100000001</v>
      </c>
      <c r="I913" s="329">
        <v>2.0715437780308182E-2</v>
      </c>
      <c r="J913" s="329">
        <v>1.0486035214459271</v>
      </c>
      <c r="K913" s="329">
        <v>1.1417238687903972</v>
      </c>
    </row>
    <row r="914" spans="1:11" ht="11.25" x14ac:dyDescent="0.15">
      <c r="A914" s="326">
        <v>1.325</v>
      </c>
      <c r="B914" s="327">
        <v>-20</v>
      </c>
      <c r="C914" s="327" t="s">
        <v>112</v>
      </c>
      <c r="D914" s="327" t="s">
        <v>79</v>
      </c>
      <c r="E914" s="328" t="s">
        <v>254</v>
      </c>
      <c r="F914" s="328">
        <v>95.567109000000002</v>
      </c>
      <c r="G914" s="328">
        <v>10102.909024999999</v>
      </c>
      <c r="H914" s="328">
        <v>10113.652125000001</v>
      </c>
      <c r="I914" s="329">
        <v>0.10981848382558876</v>
      </c>
      <c r="J914" s="329">
        <v>1.156381001131187</v>
      </c>
      <c r="K914" s="329">
        <v>1.2174702435655991</v>
      </c>
    </row>
    <row r="915" spans="1:11" ht="11.25" x14ac:dyDescent="0.15">
      <c r="A915" s="326">
        <v>1.325</v>
      </c>
      <c r="B915" s="327">
        <v>-20</v>
      </c>
      <c r="C915" s="327" t="s">
        <v>112</v>
      </c>
      <c r="D915" s="327" t="s">
        <v>114</v>
      </c>
      <c r="E915" s="328" t="s">
        <v>255</v>
      </c>
      <c r="F915" s="328">
        <v>28.289054749999998</v>
      </c>
      <c r="G915" s="328">
        <v>9673.2101999999995</v>
      </c>
      <c r="H915" s="328">
        <v>9987.5147749999996</v>
      </c>
      <c r="I915" s="329">
        <v>3.250763922872324E-2</v>
      </c>
      <c r="J915" s="329">
        <v>1.1071975871057012</v>
      </c>
      <c r="K915" s="329">
        <v>1.2022859690494119</v>
      </c>
    </row>
    <row r="916" spans="1:11" ht="11.25" x14ac:dyDescent="0.15">
      <c r="A916" s="326">
        <v>1.325</v>
      </c>
      <c r="B916" s="327">
        <v>-20</v>
      </c>
      <c r="C916" s="327" t="s">
        <v>112</v>
      </c>
      <c r="D916" s="327" t="s">
        <v>113</v>
      </c>
      <c r="E916" s="328" t="s">
        <v>256</v>
      </c>
      <c r="F916" s="328">
        <v>21.073091499999997</v>
      </c>
      <c r="G916" s="328">
        <v>9505.8216250000005</v>
      </c>
      <c r="H916" s="328">
        <v>9870.1144750000003</v>
      </c>
      <c r="I916" s="329">
        <v>2.4215600767497337E-2</v>
      </c>
      <c r="J916" s="329">
        <v>1.0880382571090201</v>
      </c>
      <c r="K916" s="329">
        <v>1.1881534509373481</v>
      </c>
    </row>
    <row r="917" spans="1:11" ht="11.25" x14ac:dyDescent="0.15">
      <c r="A917" s="326">
        <v>1.35</v>
      </c>
      <c r="B917" s="327">
        <v>-20</v>
      </c>
      <c r="C917" s="327" t="s">
        <v>112</v>
      </c>
      <c r="D917" s="327" t="s">
        <v>79</v>
      </c>
      <c r="E917" s="328" t="s">
        <v>257</v>
      </c>
      <c r="F917" s="328">
        <v>112.3620525</v>
      </c>
      <c r="G917" s="328">
        <v>10574.867250000001</v>
      </c>
      <c r="H917" s="328">
        <v>10514.873250000001</v>
      </c>
      <c r="I917" s="329">
        <v>0.12911796091980982</v>
      </c>
      <c r="J917" s="329">
        <v>1.2104014345892227</v>
      </c>
      <c r="K917" s="329">
        <v>1.2657687983052812</v>
      </c>
    </row>
    <row r="918" spans="1:11" ht="11.25" x14ac:dyDescent="0.15">
      <c r="A918" s="326">
        <v>1.35</v>
      </c>
      <c r="B918" s="327">
        <v>-20</v>
      </c>
      <c r="C918" s="327" t="s">
        <v>112</v>
      </c>
      <c r="D918" s="327" t="s">
        <v>114</v>
      </c>
      <c r="E918" s="328" t="s">
        <v>258</v>
      </c>
      <c r="F918" s="328">
        <v>32.845176000000002</v>
      </c>
      <c r="G918" s="328">
        <v>10070.416799999999</v>
      </c>
      <c r="H918" s="328">
        <v>10384.75755</v>
      </c>
      <c r="I918" s="329">
        <v>3.7743188708414484E-2</v>
      </c>
      <c r="J918" s="329">
        <v>1.1526619345156703</v>
      </c>
      <c r="K918" s="329">
        <v>1.2501056144214764</v>
      </c>
    </row>
    <row r="919" spans="1:11" ht="11.25" x14ac:dyDescent="0.15">
      <c r="A919" s="326">
        <v>1.35</v>
      </c>
      <c r="B919" s="327">
        <v>-20</v>
      </c>
      <c r="C919" s="327" t="s">
        <v>112</v>
      </c>
      <c r="D919" s="327" t="s">
        <v>113</v>
      </c>
      <c r="E919" s="328" t="s">
        <v>259</v>
      </c>
      <c r="F919" s="328">
        <v>24.614347500000001</v>
      </c>
      <c r="G919" s="328">
        <v>9859.823550000001</v>
      </c>
      <c r="H919" s="328">
        <v>10263.424950000001</v>
      </c>
      <c r="I919" s="329">
        <v>2.8284943963368937E-2</v>
      </c>
      <c r="J919" s="329">
        <v>1.1285573887196176</v>
      </c>
      <c r="K919" s="329">
        <v>1.2354997303898019</v>
      </c>
    </row>
    <row r="920" spans="1:11" ht="11.25" x14ac:dyDescent="0.15">
      <c r="A920" s="326">
        <v>1.375</v>
      </c>
      <c r="B920" s="327">
        <v>-20</v>
      </c>
      <c r="C920" s="327" t="s">
        <v>112</v>
      </c>
      <c r="D920" s="327" t="s">
        <v>79</v>
      </c>
      <c r="E920" s="328" t="s">
        <v>260</v>
      </c>
      <c r="F920" s="328">
        <v>131.85160999999999</v>
      </c>
      <c r="G920" s="328">
        <v>11073.090875</v>
      </c>
      <c r="H920" s="328">
        <v>10924.355749999999</v>
      </c>
      <c r="I920" s="329">
        <v>0.15151388434448546</v>
      </c>
      <c r="J920" s="329">
        <v>1.2674282110195596</v>
      </c>
      <c r="K920" s="329">
        <v>1.3150618482193197</v>
      </c>
    </row>
    <row r="921" spans="1:11" ht="11.25" x14ac:dyDescent="0.15">
      <c r="A921" s="326">
        <v>1.375</v>
      </c>
      <c r="B921" s="327">
        <v>-20</v>
      </c>
      <c r="C921" s="327" t="s">
        <v>112</v>
      </c>
      <c r="D921" s="327" t="s">
        <v>114</v>
      </c>
      <c r="E921" s="328" t="s">
        <v>261</v>
      </c>
      <c r="F921" s="328">
        <v>38.109719999999996</v>
      </c>
      <c r="G921" s="328">
        <v>10484.566124999999</v>
      </c>
      <c r="H921" s="328">
        <v>10789.259250000001</v>
      </c>
      <c r="I921" s="329">
        <v>4.3792803959547585E-2</v>
      </c>
      <c r="J921" s="329">
        <v>1.2000655496404049</v>
      </c>
      <c r="K921" s="329">
        <v>1.2987990811469496</v>
      </c>
    </row>
    <row r="922" spans="1:11" ht="11.25" x14ac:dyDescent="0.15">
      <c r="A922" s="326">
        <v>1.375</v>
      </c>
      <c r="B922" s="327">
        <v>-20</v>
      </c>
      <c r="C922" s="327" t="s">
        <v>112</v>
      </c>
      <c r="D922" s="327" t="s">
        <v>113</v>
      </c>
      <c r="E922" s="328" t="s">
        <v>262</v>
      </c>
      <c r="F922" s="328">
        <v>28.721453749999998</v>
      </c>
      <c r="G922" s="328">
        <v>10227.174374999999</v>
      </c>
      <c r="H922" s="328">
        <v>10664.884999999998</v>
      </c>
      <c r="I922" s="329">
        <v>3.3004519411503494E-2</v>
      </c>
      <c r="J922" s="329">
        <v>1.1706044381118954</v>
      </c>
      <c r="K922" s="329">
        <v>1.2838270466564126</v>
      </c>
    </row>
    <row r="923" spans="1:11" ht="11.25" x14ac:dyDescent="0.15">
      <c r="A923" s="326">
        <v>1.4</v>
      </c>
      <c r="B923" s="327">
        <v>-20</v>
      </c>
      <c r="C923" s="327" t="s">
        <v>112</v>
      </c>
      <c r="D923" s="327" t="s">
        <v>79</v>
      </c>
      <c r="E923" s="328" t="s">
        <v>263</v>
      </c>
      <c r="F923" s="328">
        <v>154.40025999999997</v>
      </c>
      <c r="G923" s="328">
        <v>11596.873399999999</v>
      </c>
      <c r="H923" s="328">
        <v>11341.7556</v>
      </c>
      <c r="I923" s="329">
        <v>0.17742508518779923</v>
      </c>
      <c r="J923" s="329">
        <v>1.3273804642899507</v>
      </c>
      <c r="K923" s="329">
        <v>1.3653079799591681</v>
      </c>
    </row>
    <row r="924" spans="1:11" ht="11.25" x14ac:dyDescent="0.15">
      <c r="A924" s="326">
        <v>1.4</v>
      </c>
      <c r="B924" s="327">
        <v>-20</v>
      </c>
      <c r="C924" s="327" t="s">
        <v>112</v>
      </c>
      <c r="D924" s="327" t="s">
        <v>114</v>
      </c>
      <c r="E924" s="328" t="s">
        <v>264</v>
      </c>
      <c r="F924" s="328">
        <v>44.181157999999996</v>
      </c>
      <c r="G924" s="328">
        <v>10919.887999999999</v>
      </c>
      <c r="H924" s="328">
        <v>11202.4066</v>
      </c>
      <c r="I924" s="329">
        <v>5.0769640684838344E-2</v>
      </c>
      <c r="J924" s="329">
        <v>1.2498925791010413</v>
      </c>
      <c r="K924" s="329">
        <v>1.3485333016457568</v>
      </c>
    </row>
    <row r="925" spans="1:11" ht="11.25" x14ac:dyDescent="0.15">
      <c r="A925" s="326">
        <v>1.4</v>
      </c>
      <c r="B925" s="327">
        <v>-20</v>
      </c>
      <c r="C925" s="327" t="s">
        <v>112</v>
      </c>
      <c r="D925" s="327" t="s">
        <v>113</v>
      </c>
      <c r="E925" s="328" t="s">
        <v>265</v>
      </c>
      <c r="F925" s="328">
        <v>33.473216000000001</v>
      </c>
      <c r="G925" s="328">
        <v>10607.9764</v>
      </c>
      <c r="H925" s="328">
        <v>11073.873999999998</v>
      </c>
      <c r="I925" s="329">
        <v>3.8464884711396245E-2</v>
      </c>
      <c r="J925" s="329">
        <v>1.2141911145644515</v>
      </c>
      <c r="K925" s="329">
        <v>1.3330606895869233</v>
      </c>
    </row>
    <row r="926" spans="1:11" ht="11.25" x14ac:dyDescent="0.15">
      <c r="A926" s="326">
        <v>0.9</v>
      </c>
      <c r="B926" s="327">
        <v>0</v>
      </c>
      <c r="C926" s="327" t="s">
        <v>112</v>
      </c>
      <c r="D926" s="327" t="s">
        <v>79</v>
      </c>
      <c r="E926" s="328" t="s">
        <v>266</v>
      </c>
      <c r="F926" s="328">
        <v>7.8134706000000005</v>
      </c>
      <c r="G926" s="328">
        <v>4614.0192000000006</v>
      </c>
      <c r="H926" s="328">
        <v>4501.3572000000004</v>
      </c>
      <c r="I926" s="329">
        <v>8.9786486552377899E-3</v>
      </c>
      <c r="J926" s="329">
        <v>0.52812156662318555</v>
      </c>
      <c r="K926" s="329">
        <v>0.54186839520741015</v>
      </c>
    </row>
    <row r="927" spans="1:11" ht="11.25" x14ac:dyDescent="0.15">
      <c r="A927" s="326">
        <v>0.9</v>
      </c>
      <c r="B927" s="327">
        <v>0</v>
      </c>
      <c r="C927" s="327" t="s">
        <v>112</v>
      </c>
      <c r="D927" s="327" t="s">
        <v>114</v>
      </c>
      <c r="E927" s="328" t="s">
        <v>267</v>
      </c>
      <c r="F927" s="328">
        <v>2.6933265</v>
      </c>
      <c r="G927" s="328">
        <v>4621.4739</v>
      </c>
      <c r="H927" s="328">
        <v>4430.8278</v>
      </c>
      <c r="I927" s="329">
        <v>3.0949668329642529E-3</v>
      </c>
      <c r="J927" s="329">
        <v>0.52897483308612214</v>
      </c>
      <c r="K927" s="329">
        <v>0.53337814413536866</v>
      </c>
    </row>
    <row r="928" spans="1:11" ht="11.25" x14ac:dyDescent="0.15">
      <c r="A928" s="326">
        <v>0.9</v>
      </c>
      <c r="B928" s="327">
        <v>0</v>
      </c>
      <c r="C928" s="327" t="s">
        <v>112</v>
      </c>
      <c r="D928" s="327" t="s">
        <v>113</v>
      </c>
      <c r="E928" s="328" t="s">
        <v>268</v>
      </c>
      <c r="F928" s="328">
        <v>1.7006867999999999</v>
      </c>
      <c r="G928" s="328">
        <v>4635.3222000000005</v>
      </c>
      <c r="H928" s="328">
        <v>4360.9050000000007</v>
      </c>
      <c r="I928" s="329">
        <v>1.9543004679381092E-3</v>
      </c>
      <c r="J928" s="329">
        <v>0.53055991229235266</v>
      </c>
      <c r="K928" s="329">
        <v>0.52496091489961538</v>
      </c>
    </row>
    <row r="929" spans="1:11" ht="11.25" x14ac:dyDescent="0.15">
      <c r="A929" s="326">
        <v>0.92500000000000004</v>
      </c>
      <c r="B929" s="327">
        <v>0</v>
      </c>
      <c r="C929" s="327" t="s">
        <v>112</v>
      </c>
      <c r="D929" s="327" t="s">
        <v>79</v>
      </c>
      <c r="E929" s="328" t="s">
        <v>269</v>
      </c>
      <c r="F929" s="328">
        <v>9.0675678000000008</v>
      </c>
      <c r="G929" s="328">
        <v>4855.8920250000001</v>
      </c>
      <c r="H929" s="328">
        <v>4769.8198499999999</v>
      </c>
      <c r="I929" s="329">
        <v>1.0419762177609971E-2</v>
      </c>
      <c r="J929" s="329">
        <v>0.55580637887159912</v>
      </c>
      <c r="K929" s="329">
        <v>0.57418563173523518</v>
      </c>
    </row>
    <row r="930" spans="1:11" ht="11.25" x14ac:dyDescent="0.15">
      <c r="A930" s="326">
        <v>0.92500000000000004</v>
      </c>
      <c r="B930" s="327">
        <v>0</v>
      </c>
      <c r="C930" s="327" t="s">
        <v>112</v>
      </c>
      <c r="D930" s="327" t="s">
        <v>114</v>
      </c>
      <c r="E930" s="328" t="s">
        <v>270</v>
      </c>
      <c r="F930" s="328">
        <v>3.1338537500000001</v>
      </c>
      <c r="G930" s="328">
        <v>4860.9841500000002</v>
      </c>
      <c r="H930" s="328">
        <v>4696.3175000000001</v>
      </c>
      <c r="I930" s="329">
        <v>3.6011873850462055E-3</v>
      </c>
      <c r="J930" s="329">
        <v>0.55638922452435258</v>
      </c>
      <c r="K930" s="329">
        <v>0.56533750023425744</v>
      </c>
    </row>
    <row r="931" spans="1:11" ht="11.25" x14ac:dyDescent="0.15">
      <c r="A931" s="326">
        <v>0.92500000000000004</v>
      </c>
      <c r="B931" s="327">
        <v>0</v>
      </c>
      <c r="C931" s="327" t="s">
        <v>112</v>
      </c>
      <c r="D931" s="327" t="s">
        <v>113</v>
      </c>
      <c r="E931" s="328" t="s">
        <v>271</v>
      </c>
      <c r="F931" s="328">
        <v>1.994095575</v>
      </c>
      <c r="G931" s="328">
        <v>4875.3253500000001</v>
      </c>
      <c r="H931" s="328">
        <v>4624.5328749999999</v>
      </c>
      <c r="I931" s="329">
        <v>2.291463610663535E-3</v>
      </c>
      <c r="J931" s="329">
        <v>0.55803072116382402</v>
      </c>
      <c r="K931" s="329">
        <v>0.55669614656667554</v>
      </c>
    </row>
    <row r="932" spans="1:11" ht="11.25" x14ac:dyDescent="0.15">
      <c r="A932" s="326">
        <v>0.95</v>
      </c>
      <c r="B932" s="327">
        <v>0</v>
      </c>
      <c r="C932" s="327" t="s">
        <v>112</v>
      </c>
      <c r="D932" s="327" t="s">
        <v>79</v>
      </c>
      <c r="E932" s="328" t="s">
        <v>272</v>
      </c>
      <c r="F932" s="328">
        <v>10.506335</v>
      </c>
      <c r="G932" s="328">
        <v>5105.0691499999994</v>
      </c>
      <c r="H932" s="328">
        <v>5046.2745999999988</v>
      </c>
      <c r="I932" s="329">
        <v>1.2073084477879487E-2</v>
      </c>
      <c r="J932" s="329">
        <v>0.58432724276866765</v>
      </c>
      <c r="K932" s="329">
        <v>0.60746494841109577</v>
      </c>
    </row>
    <row r="933" spans="1:11" ht="11.25" x14ac:dyDescent="0.15">
      <c r="A933" s="326">
        <v>0.95</v>
      </c>
      <c r="B933" s="327">
        <v>0</v>
      </c>
      <c r="C933" s="327" t="s">
        <v>112</v>
      </c>
      <c r="D933" s="327" t="s">
        <v>114</v>
      </c>
      <c r="E933" s="328" t="s">
        <v>273</v>
      </c>
      <c r="F933" s="328">
        <v>3.6267874499999997</v>
      </c>
      <c r="G933" s="328">
        <v>5105.2619999999997</v>
      </c>
      <c r="H933" s="328">
        <v>4970.0779499999999</v>
      </c>
      <c r="I933" s="329">
        <v>4.1676294604315513E-3</v>
      </c>
      <c r="J933" s="329">
        <v>0.5843493164184963</v>
      </c>
      <c r="K933" s="329">
        <v>0.59829248005962166</v>
      </c>
    </row>
    <row r="934" spans="1:11" ht="11.25" x14ac:dyDescent="0.15">
      <c r="A934" s="326">
        <v>0.95</v>
      </c>
      <c r="B934" s="327">
        <v>0</v>
      </c>
      <c r="C934" s="327" t="s">
        <v>112</v>
      </c>
      <c r="D934" s="327" t="s">
        <v>113</v>
      </c>
      <c r="E934" s="328" t="s">
        <v>274</v>
      </c>
      <c r="F934" s="328">
        <v>2.3242063499999999</v>
      </c>
      <c r="G934" s="328">
        <v>5118.95435</v>
      </c>
      <c r="H934" s="328">
        <v>4895.6026999999995</v>
      </c>
      <c r="I934" s="329">
        <v>2.6708019121390986E-3</v>
      </c>
      <c r="J934" s="329">
        <v>0.58591654555632755</v>
      </c>
      <c r="K934" s="329">
        <v>0.58932723193397396</v>
      </c>
    </row>
    <row r="935" spans="1:11" ht="11.25" x14ac:dyDescent="0.15">
      <c r="A935" s="326">
        <v>0.97499999999999998</v>
      </c>
      <c r="B935" s="327">
        <v>0</v>
      </c>
      <c r="C935" s="327" t="s">
        <v>112</v>
      </c>
      <c r="D935" s="327" t="s">
        <v>79</v>
      </c>
      <c r="E935" s="328" t="s">
        <v>275</v>
      </c>
      <c r="F935" s="328">
        <v>12.164957999999999</v>
      </c>
      <c r="G935" s="328">
        <v>5361.5376749999996</v>
      </c>
      <c r="H935" s="328">
        <v>5330.2021500000001</v>
      </c>
      <c r="I935" s="329">
        <v>1.397904841258687E-2</v>
      </c>
      <c r="J935" s="329">
        <v>0.61368268177779395</v>
      </c>
      <c r="K935" s="329">
        <v>0.64164383247603352</v>
      </c>
    </row>
    <row r="936" spans="1:11" ht="11.25" x14ac:dyDescent="0.15">
      <c r="A936" s="326">
        <v>0.97499999999999998</v>
      </c>
      <c r="B936" s="327">
        <v>0</v>
      </c>
      <c r="C936" s="327" t="s">
        <v>112</v>
      </c>
      <c r="D936" s="327" t="s">
        <v>114</v>
      </c>
      <c r="E936" s="328" t="s">
        <v>276</v>
      </c>
      <c r="F936" s="328">
        <v>4.1805679500000004</v>
      </c>
      <c r="G936" s="328">
        <v>5355.3473999999997</v>
      </c>
      <c r="H936" s="328">
        <v>5251.3314750000009</v>
      </c>
      <c r="I936" s="329">
        <v>4.8039920701048915E-3</v>
      </c>
      <c r="J936" s="329">
        <v>0.61297414165493791</v>
      </c>
      <c r="K936" s="329">
        <v>0.6321494679561116</v>
      </c>
    </row>
    <row r="937" spans="1:11" ht="11.25" x14ac:dyDescent="0.15">
      <c r="A937" s="326">
        <v>0.97499999999999998</v>
      </c>
      <c r="B937" s="327">
        <v>0</v>
      </c>
      <c r="C937" s="327" t="s">
        <v>112</v>
      </c>
      <c r="D937" s="327" t="s">
        <v>113</v>
      </c>
      <c r="E937" s="328" t="s">
        <v>277</v>
      </c>
      <c r="F937" s="328">
        <v>2.6975812499999998</v>
      </c>
      <c r="G937" s="328">
        <v>5368.8306749999992</v>
      </c>
      <c r="H937" s="328">
        <v>5174.0715</v>
      </c>
      <c r="I937" s="329">
        <v>3.0998560694279918E-3</v>
      </c>
      <c r="J937" s="329">
        <v>0.6145174400261737</v>
      </c>
      <c r="K937" s="329">
        <v>0.62284899771859858</v>
      </c>
    </row>
    <row r="938" spans="1:11" ht="11.25" x14ac:dyDescent="0.15">
      <c r="A938" s="326">
        <v>1</v>
      </c>
      <c r="B938" s="327">
        <v>0</v>
      </c>
      <c r="C938" s="327" t="s">
        <v>112</v>
      </c>
      <c r="D938" s="327" t="s">
        <v>79</v>
      </c>
      <c r="E938" s="328" t="s">
        <v>278</v>
      </c>
      <c r="F938" s="328">
        <v>14.08877</v>
      </c>
      <c r="G938" s="328">
        <v>5625.54</v>
      </c>
      <c r="H938" s="328">
        <v>5622.0770000000002</v>
      </c>
      <c r="I938" s="329">
        <v>1.6189747461832712E-2</v>
      </c>
      <c r="J938" s="329">
        <v>0.64390044105178301</v>
      </c>
      <c r="K938" s="329">
        <v>0.67677940371461542</v>
      </c>
    </row>
    <row r="939" spans="1:11" ht="11.25" x14ac:dyDescent="0.15">
      <c r="A939" s="326">
        <v>1</v>
      </c>
      <c r="B939" s="327">
        <v>0</v>
      </c>
      <c r="C939" s="327" t="s">
        <v>112</v>
      </c>
      <c r="D939" s="327" t="s">
        <v>114</v>
      </c>
      <c r="E939" s="328" t="s">
        <v>279</v>
      </c>
      <c r="F939" s="328">
        <v>4.8069790000000001</v>
      </c>
      <c r="G939" s="328">
        <v>5611.8329999999996</v>
      </c>
      <c r="H939" s="328">
        <v>5540.3360000000002</v>
      </c>
      <c r="I939" s="329">
        <v>5.523816207116246E-3</v>
      </c>
      <c r="J939" s="329">
        <v>0.64233153507200202</v>
      </c>
      <c r="K939" s="329">
        <v>0.66693951264961637</v>
      </c>
    </row>
    <row r="940" spans="1:11" ht="11.25" x14ac:dyDescent="0.15">
      <c r="A940" s="326">
        <v>1</v>
      </c>
      <c r="B940" s="327">
        <v>0</v>
      </c>
      <c r="C940" s="327" t="s">
        <v>112</v>
      </c>
      <c r="D940" s="327" t="s">
        <v>113</v>
      </c>
      <c r="E940" s="328" t="s">
        <v>280</v>
      </c>
      <c r="F940" s="328">
        <v>3.1233870000000001</v>
      </c>
      <c r="G940" s="328">
        <v>5622.8069999999998</v>
      </c>
      <c r="H940" s="328">
        <v>5460.5779999999995</v>
      </c>
      <c r="I940" s="329">
        <v>3.5891597886523303E-3</v>
      </c>
      <c r="J940" s="329">
        <v>0.64358762132151803</v>
      </c>
      <c r="K940" s="329">
        <v>0.65733833292876398</v>
      </c>
    </row>
    <row r="941" spans="1:11" ht="11.25" x14ac:dyDescent="0.15">
      <c r="A941" s="326">
        <v>1.0249999999999999</v>
      </c>
      <c r="B941" s="327">
        <v>0</v>
      </c>
      <c r="C941" s="327" t="s">
        <v>112</v>
      </c>
      <c r="D941" s="327" t="s">
        <v>79</v>
      </c>
      <c r="E941" s="328" t="s">
        <v>281</v>
      </c>
      <c r="F941" s="328">
        <v>16.331950249999998</v>
      </c>
      <c r="G941" s="328">
        <v>5898.1534000000001</v>
      </c>
      <c r="H941" s="328">
        <v>5921.4639499999994</v>
      </c>
      <c r="I941" s="329">
        <v>1.8767440316416237E-2</v>
      </c>
      <c r="J941" s="329">
        <v>0.67510382570403438</v>
      </c>
      <c r="K941" s="329">
        <v>0.71281927323275551</v>
      </c>
    </row>
    <row r="942" spans="1:11" ht="11.25" x14ac:dyDescent="0.15">
      <c r="A942" s="326">
        <v>1.0249999999999999</v>
      </c>
      <c r="B942" s="327">
        <v>0</v>
      </c>
      <c r="C942" s="327" t="s">
        <v>112</v>
      </c>
      <c r="D942" s="327" t="s">
        <v>114</v>
      </c>
      <c r="E942" s="328" t="s">
        <v>282</v>
      </c>
      <c r="F942" s="328">
        <v>5.5201149499999991</v>
      </c>
      <c r="G942" s="328">
        <v>5875.4445249999999</v>
      </c>
      <c r="H942" s="328">
        <v>5837.34015</v>
      </c>
      <c r="I942" s="329">
        <v>6.3432980310408425E-3</v>
      </c>
      <c r="J942" s="329">
        <v>0.67250456329930697</v>
      </c>
      <c r="K942" s="329">
        <v>0.70269254334232412</v>
      </c>
    </row>
    <row r="943" spans="1:11" ht="11.25" x14ac:dyDescent="0.15">
      <c r="A943" s="326">
        <v>1.0249999999999999</v>
      </c>
      <c r="B943" s="327">
        <v>0</v>
      </c>
      <c r="C943" s="327" t="s">
        <v>112</v>
      </c>
      <c r="D943" s="327" t="s">
        <v>113</v>
      </c>
      <c r="E943" s="328" t="s">
        <v>283</v>
      </c>
      <c r="F943" s="328">
        <v>3.6126555499999999</v>
      </c>
      <c r="G943" s="328">
        <v>5882.3929999999991</v>
      </c>
      <c r="H943" s="328">
        <v>5754.8450749999993</v>
      </c>
      <c r="I943" s="329">
        <v>4.1513901512401979E-3</v>
      </c>
      <c r="J943" s="329">
        <v>0.67329988714681976</v>
      </c>
      <c r="K943" s="329">
        <v>0.69276187756384167</v>
      </c>
    </row>
    <row r="944" spans="1:11" ht="11.25" x14ac:dyDescent="0.15">
      <c r="A944" s="326">
        <v>1.05</v>
      </c>
      <c r="B944" s="327">
        <v>0</v>
      </c>
      <c r="C944" s="327" t="s">
        <v>112</v>
      </c>
      <c r="D944" s="327" t="s">
        <v>79</v>
      </c>
      <c r="E944" s="328" t="s">
        <v>284</v>
      </c>
      <c r="F944" s="328">
        <v>18.958338000000001</v>
      </c>
      <c r="G944" s="328">
        <v>6180.5141999999996</v>
      </c>
      <c r="H944" s="328">
        <v>6228.7133999999996</v>
      </c>
      <c r="I944" s="329">
        <v>2.1785486207530302E-2</v>
      </c>
      <c r="J944" s="329">
        <v>0.70742289972283678</v>
      </c>
      <c r="K944" s="329">
        <v>0.74980562179444255</v>
      </c>
    </row>
    <row r="945" spans="1:11" ht="11.25" x14ac:dyDescent="0.15">
      <c r="A945" s="326">
        <v>1.05</v>
      </c>
      <c r="B945" s="327">
        <v>0</v>
      </c>
      <c r="C945" s="327" t="s">
        <v>112</v>
      </c>
      <c r="D945" s="327" t="s">
        <v>114</v>
      </c>
      <c r="E945" s="328" t="s">
        <v>285</v>
      </c>
      <c r="F945" s="328">
        <v>6.3364896000000002</v>
      </c>
      <c r="G945" s="328">
        <v>6144.4362000000001</v>
      </c>
      <c r="H945" s="328">
        <v>6141.5350500000004</v>
      </c>
      <c r="I945" s="329">
        <v>7.2814139501552926E-3</v>
      </c>
      <c r="J945" s="329">
        <v>0.7032934045788567</v>
      </c>
      <c r="K945" s="329">
        <v>0.73931118855743361</v>
      </c>
    </row>
    <row r="946" spans="1:11" ht="11.25" x14ac:dyDescent="0.15">
      <c r="A946" s="326">
        <v>1.05</v>
      </c>
      <c r="B946" s="327">
        <v>0</v>
      </c>
      <c r="C946" s="327" t="s">
        <v>112</v>
      </c>
      <c r="D946" s="327" t="s">
        <v>113</v>
      </c>
      <c r="E946" s="328" t="s">
        <v>286</v>
      </c>
      <c r="F946" s="328">
        <v>4.1783931000000001</v>
      </c>
      <c r="G946" s="328">
        <v>6147.6744000000008</v>
      </c>
      <c r="H946" s="328">
        <v>6056.8221000000003</v>
      </c>
      <c r="I946" s="329">
        <v>4.8014928971985716E-3</v>
      </c>
      <c r="J946" s="329">
        <v>0.70366404960283913</v>
      </c>
      <c r="K946" s="329">
        <v>0.72911353744239094</v>
      </c>
    </row>
    <row r="947" spans="1:11" ht="11.25" x14ac:dyDescent="0.15">
      <c r="A947" s="326">
        <v>1.075</v>
      </c>
      <c r="B947" s="327">
        <v>0</v>
      </c>
      <c r="C947" s="327" t="s">
        <v>112</v>
      </c>
      <c r="D947" s="327" t="s">
        <v>79</v>
      </c>
      <c r="E947" s="328" t="s">
        <v>287</v>
      </c>
      <c r="F947" s="328">
        <v>22.042541749999998</v>
      </c>
      <c r="G947" s="328">
        <v>6473.5134750000007</v>
      </c>
      <c r="H947" s="328">
        <v>6543.8797500000001</v>
      </c>
      <c r="I947" s="329">
        <v>2.5329619572851573E-2</v>
      </c>
      <c r="J947" s="329">
        <v>0.74095965573210054</v>
      </c>
      <c r="K947" s="329">
        <v>0.78774499801143705</v>
      </c>
    </row>
    <row r="948" spans="1:11" ht="11.25" x14ac:dyDescent="0.15">
      <c r="A948" s="326">
        <v>1.075</v>
      </c>
      <c r="B948" s="327">
        <v>0</v>
      </c>
      <c r="C948" s="327" t="s">
        <v>112</v>
      </c>
      <c r="D948" s="327" t="s">
        <v>114</v>
      </c>
      <c r="E948" s="328" t="s">
        <v>288</v>
      </c>
      <c r="F948" s="328">
        <v>7.2753129749999994</v>
      </c>
      <c r="G948" s="328">
        <v>6421.9758250000004</v>
      </c>
      <c r="H948" s="328">
        <v>6453.9280499999995</v>
      </c>
      <c r="I948" s="329">
        <v>8.3602386703058411E-3</v>
      </c>
      <c r="J948" s="329">
        <v>0.73506064593645914</v>
      </c>
      <c r="K948" s="329">
        <v>0.7769167119724667</v>
      </c>
    </row>
    <row r="949" spans="1:11" ht="11.25" x14ac:dyDescent="0.15">
      <c r="A949" s="326">
        <v>1.075</v>
      </c>
      <c r="B949" s="327">
        <v>0</v>
      </c>
      <c r="C949" s="327" t="s">
        <v>112</v>
      </c>
      <c r="D949" s="327" t="s">
        <v>113</v>
      </c>
      <c r="E949" s="328" t="s">
        <v>289</v>
      </c>
      <c r="F949" s="328">
        <v>4.8358208500000002</v>
      </c>
      <c r="G949" s="328">
        <v>6416.3686250000001</v>
      </c>
      <c r="H949" s="328">
        <v>6366.473575</v>
      </c>
      <c r="I949" s="329">
        <v>5.5569590767799611E-3</v>
      </c>
      <c r="J949" s="329">
        <v>0.7344188446954999</v>
      </c>
      <c r="K949" s="329">
        <v>0.7663890391137218</v>
      </c>
    </row>
    <row r="950" spans="1:11" ht="11.25" x14ac:dyDescent="0.15">
      <c r="A950" s="326">
        <v>1.1000000000000001</v>
      </c>
      <c r="B950" s="327">
        <v>0</v>
      </c>
      <c r="C950" s="327" t="s">
        <v>112</v>
      </c>
      <c r="D950" s="327" t="s">
        <v>79</v>
      </c>
      <c r="E950" s="328" t="s">
        <v>290</v>
      </c>
      <c r="F950" s="328">
        <v>25.671283000000003</v>
      </c>
      <c r="G950" s="328">
        <v>6776.0572000000002</v>
      </c>
      <c r="H950" s="328">
        <v>6866.7950999999994</v>
      </c>
      <c r="I950" s="329">
        <v>2.9499494192270815E-2</v>
      </c>
      <c r="J950" s="329">
        <v>0.77558887141005306</v>
      </c>
      <c r="K950" s="329">
        <v>0.82661719026766123</v>
      </c>
    </row>
    <row r="951" spans="1:11" ht="11.25" x14ac:dyDescent="0.15">
      <c r="A951" s="326">
        <v>1.1000000000000001</v>
      </c>
      <c r="B951" s="327">
        <v>0</v>
      </c>
      <c r="C951" s="327" t="s">
        <v>112</v>
      </c>
      <c r="D951" s="327" t="s">
        <v>114</v>
      </c>
      <c r="E951" s="328" t="s">
        <v>291</v>
      </c>
      <c r="F951" s="328">
        <v>8.3588328999999995</v>
      </c>
      <c r="G951" s="328">
        <v>6705.9630000000006</v>
      </c>
      <c r="H951" s="328">
        <v>6773.8451000000005</v>
      </c>
      <c r="I951" s="329">
        <v>9.605337707028986E-3</v>
      </c>
      <c r="J951" s="329">
        <v>0.76756587516521757</v>
      </c>
      <c r="K951" s="329">
        <v>0.81542797219482577</v>
      </c>
    </row>
    <row r="952" spans="1:11" ht="11.25" x14ac:dyDescent="0.15">
      <c r="A952" s="326">
        <v>1.1000000000000001</v>
      </c>
      <c r="B952" s="327">
        <v>0</v>
      </c>
      <c r="C952" s="327" t="s">
        <v>112</v>
      </c>
      <c r="D952" s="327" t="s">
        <v>113</v>
      </c>
      <c r="E952" s="328" t="s">
        <v>292</v>
      </c>
      <c r="F952" s="328">
        <v>5.6026432000000002</v>
      </c>
      <c r="G952" s="328">
        <v>6693.929000000001</v>
      </c>
      <c r="H952" s="328">
        <v>6682.9224000000004</v>
      </c>
      <c r="I952" s="329">
        <v>6.4381332456101064E-3</v>
      </c>
      <c r="J952" s="329">
        <v>0.76618846110228023</v>
      </c>
      <c r="K952" s="329">
        <v>0.80448279825108171</v>
      </c>
    </row>
    <row r="953" spans="1:11" ht="11.25" x14ac:dyDescent="0.15">
      <c r="A953" s="326">
        <v>1.125</v>
      </c>
      <c r="B953" s="327">
        <v>0</v>
      </c>
      <c r="C953" s="327" t="s">
        <v>112</v>
      </c>
      <c r="D953" s="327" t="s">
        <v>79</v>
      </c>
      <c r="E953" s="328" t="s">
        <v>293</v>
      </c>
      <c r="F953" s="328">
        <v>29.944743749999997</v>
      </c>
      <c r="G953" s="328">
        <v>7093.2071250000008</v>
      </c>
      <c r="H953" s="328">
        <v>7197.3506250000009</v>
      </c>
      <c r="I953" s="329">
        <v>3.4410231632839024E-2</v>
      </c>
      <c r="J953" s="329">
        <v>0.81188991568083246</v>
      </c>
      <c r="K953" s="329">
        <v>0.86640909833012159</v>
      </c>
    </row>
    <row r="954" spans="1:11" ht="11.25" x14ac:dyDescent="0.15">
      <c r="A954" s="326">
        <v>1.125</v>
      </c>
      <c r="B954" s="327">
        <v>0</v>
      </c>
      <c r="C954" s="327" t="s">
        <v>112</v>
      </c>
      <c r="D954" s="327" t="s">
        <v>114</v>
      </c>
      <c r="E954" s="328" t="s">
        <v>294</v>
      </c>
      <c r="F954" s="328">
        <v>9.6127087499999995</v>
      </c>
      <c r="G954" s="328">
        <v>6997.8375000000005</v>
      </c>
      <c r="H954" s="328">
        <v>7101.408375</v>
      </c>
      <c r="I954" s="329">
        <v>1.1046196870745253E-2</v>
      </c>
      <c r="J954" s="329">
        <v>0.80097388920151791</v>
      </c>
      <c r="K954" s="329">
        <v>0.85485967651572103</v>
      </c>
    </row>
    <row r="955" spans="1:11" ht="11.25" x14ac:dyDescent="0.15">
      <c r="A955" s="326">
        <v>1.125</v>
      </c>
      <c r="B955" s="327">
        <v>0</v>
      </c>
      <c r="C955" s="327" t="s">
        <v>112</v>
      </c>
      <c r="D955" s="327" t="s">
        <v>113</v>
      </c>
      <c r="E955" s="328" t="s">
        <v>295</v>
      </c>
      <c r="F955" s="328">
        <v>6.4993590000000001</v>
      </c>
      <c r="G955" s="328">
        <v>6977.5335000000005</v>
      </c>
      <c r="H955" s="328">
        <v>7007.4078750000008</v>
      </c>
      <c r="I955" s="329">
        <v>7.4685711296152606E-3</v>
      </c>
      <c r="J955" s="329">
        <v>0.79864988927349045</v>
      </c>
      <c r="K955" s="329">
        <v>0.84354400041614519</v>
      </c>
    </row>
    <row r="956" spans="1:11" ht="11.25" x14ac:dyDescent="0.15">
      <c r="A956" s="326">
        <v>1.1499999999999999</v>
      </c>
      <c r="B956" s="327">
        <v>0</v>
      </c>
      <c r="C956" s="327" t="s">
        <v>112</v>
      </c>
      <c r="D956" s="327" t="s">
        <v>79</v>
      </c>
      <c r="E956" s="328" t="s">
        <v>296</v>
      </c>
      <c r="F956" s="328">
        <v>34.978009</v>
      </c>
      <c r="G956" s="328">
        <v>7422.6324500000001</v>
      </c>
      <c r="H956" s="328">
        <v>7535.8683499999997</v>
      </c>
      <c r="I956" s="329">
        <v>4.0194078860518817E-2</v>
      </c>
      <c r="J956" s="329">
        <v>0.8495960047071528</v>
      </c>
      <c r="K956" s="329">
        <v>0.90715948721172657</v>
      </c>
    </row>
    <row r="957" spans="1:11" ht="11.25" x14ac:dyDescent="0.15">
      <c r="A957" s="326">
        <v>1.1499999999999999</v>
      </c>
      <c r="B957" s="327">
        <v>0</v>
      </c>
      <c r="C957" s="327" t="s">
        <v>112</v>
      </c>
      <c r="D957" s="327" t="s">
        <v>114</v>
      </c>
      <c r="E957" s="328" t="s">
        <v>297</v>
      </c>
      <c r="F957" s="328">
        <v>11.066420099999998</v>
      </c>
      <c r="G957" s="328">
        <v>7298.2990499999987</v>
      </c>
      <c r="H957" s="328">
        <v>7436.5462999999991</v>
      </c>
      <c r="I957" s="329">
        <v>1.271669185638984E-2</v>
      </c>
      <c r="J957" s="329">
        <v>0.83536477870974302</v>
      </c>
      <c r="K957" s="329">
        <v>0.89520320881591064</v>
      </c>
    </row>
    <row r="958" spans="1:11" ht="11.25" x14ac:dyDescent="0.15">
      <c r="A958" s="326">
        <v>1.1499999999999999</v>
      </c>
      <c r="B958" s="327">
        <v>0</v>
      </c>
      <c r="C958" s="327" t="s">
        <v>112</v>
      </c>
      <c r="D958" s="327" t="s">
        <v>113</v>
      </c>
      <c r="E958" s="328" t="s">
        <v>298</v>
      </c>
      <c r="F958" s="328">
        <v>7.54958785</v>
      </c>
      <c r="G958" s="328">
        <v>7266.8867999999993</v>
      </c>
      <c r="H958" s="328">
        <v>7340.0808499999994</v>
      </c>
      <c r="I958" s="329">
        <v>8.6754145842696407E-3</v>
      </c>
      <c r="J958" s="329">
        <v>0.83176932625016964</v>
      </c>
      <c r="K958" s="329">
        <v>0.88359080476487006</v>
      </c>
    </row>
    <row r="959" spans="1:11" ht="11.25" x14ac:dyDescent="0.15">
      <c r="A959" s="326">
        <v>1.175</v>
      </c>
      <c r="B959" s="327">
        <v>0</v>
      </c>
      <c r="C959" s="327" t="s">
        <v>112</v>
      </c>
      <c r="D959" s="327" t="s">
        <v>79</v>
      </c>
      <c r="E959" s="328" t="s">
        <v>299</v>
      </c>
      <c r="F959" s="328">
        <v>40.902772250000005</v>
      </c>
      <c r="G959" s="328">
        <v>7767.9261750000005</v>
      </c>
      <c r="H959" s="328">
        <v>7882.0233749999998</v>
      </c>
      <c r="I959" s="329">
        <v>4.7002368071617256E-2</v>
      </c>
      <c r="J959" s="329">
        <v>0.88911839399243275</v>
      </c>
      <c r="K959" s="329">
        <v>0.9488292458102513</v>
      </c>
    </row>
    <row r="960" spans="1:11" ht="11.25" x14ac:dyDescent="0.15">
      <c r="A960" s="326">
        <v>1.175</v>
      </c>
      <c r="B960" s="327">
        <v>0</v>
      </c>
      <c r="C960" s="327" t="s">
        <v>112</v>
      </c>
      <c r="D960" s="327" t="s">
        <v>114</v>
      </c>
      <c r="E960" s="328" t="s">
        <v>300</v>
      </c>
      <c r="F960" s="328">
        <v>12.7537085</v>
      </c>
      <c r="G960" s="328">
        <v>7609.6160750000008</v>
      </c>
      <c r="H960" s="328">
        <v>7779.5269500000004</v>
      </c>
      <c r="I960" s="329">
        <v>1.4655595897784496E-2</v>
      </c>
      <c r="J960" s="329">
        <v>0.87099818807212082</v>
      </c>
      <c r="K960" s="329">
        <v>0.93649083966704483</v>
      </c>
    </row>
    <row r="961" spans="1:11" ht="11.25" x14ac:dyDescent="0.15">
      <c r="A961" s="326">
        <v>1.175</v>
      </c>
      <c r="B961" s="327">
        <v>0</v>
      </c>
      <c r="C961" s="327" t="s">
        <v>112</v>
      </c>
      <c r="D961" s="327" t="s">
        <v>113</v>
      </c>
      <c r="E961" s="328" t="s">
        <v>301</v>
      </c>
      <c r="F961" s="328">
        <v>8.7804295500000009</v>
      </c>
      <c r="G961" s="328">
        <v>7563.9309000000003</v>
      </c>
      <c r="H961" s="328">
        <v>7680.2653</v>
      </c>
      <c r="I961" s="329">
        <v>1.0089804647312253E-2</v>
      </c>
      <c r="J961" s="329">
        <v>0.86576905374332247</v>
      </c>
      <c r="K961" s="329">
        <v>0.92454183215634567</v>
      </c>
    </row>
    <row r="962" spans="1:11" ht="11.25" x14ac:dyDescent="0.15">
      <c r="A962" s="326">
        <v>1.2</v>
      </c>
      <c r="B962" s="327">
        <v>0</v>
      </c>
      <c r="C962" s="327" t="s">
        <v>112</v>
      </c>
      <c r="D962" s="327" t="s">
        <v>79</v>
      </c>
      <c r="E962" s="328" t="s">
        <v>302</v>
      </c>
      <c r="F962" s="328">
        <v>47.868876000000007</v>
      </c>
      <c r="G962" s="328">
        <v>8129.2403999999988</v>
      </c>
      <c r="H962" s="328">
        <v>8236.3523999999998</v>
      </c>
      <c r="I962" s="329">
        <v>5.5007286918715044E-2</v>
      </c>
      <c r="J962" s="329">
        <v>0.93047449293329565</v>
      </c>
      <c r="K962" s="329">
        <v>0.99148298147738656</v>
      </c>
    </row>
    <row r="963" spans="1:11" ht="11.25" x14ac:dyDescent="0.15">
      <c r="A963" s="326">
        <v>1.2</v>
      </c>
      <c r="B963" s="327">
        <v>0</v>
      </c>
      <c r="C963" s="327" t="s">
        <v>112</v>
      </c>
      <c r="D963" s="327" t="s">
        <v>114</v>
      </c>
      <c r="E963" s="328" t="s">
        <v>303</v>
      </c>
      <c r="F963" s="328">
        <v>14.713079999999998</v>
      </c>
      <c r="G963" s="328">
        <v>7931.2043999999987</v>
      </c>
      <c r="H963" s="328">
        <v>8130.1343999999999</v>
      </c>
      <c r="I963" s="329">
        <v>1.6907157231308454E-2</v>
      </c>
      <c r="J963" s="329">
        <v>0.90780725250053174</v>
      </c>
      <c r="K963" s="329">
        <v>0.97869657625672546</v>
      </c>
    </row>
    <row r="964" spans="1:11" ht="11.25" x14ac:dyDescent="0.15">
      <c r="A964" s="326">
        <v>1.2</v>
      </c>
      <c r="B964" s="327">
        <v>0</v>
      </c>
      <c r="C964" s="327" t="s">
        <v>112</v>
      </c>
      <c r="D964" s="327" t="s">
        <v>113</v>
      </c>
      <c r="E964" s="328" t="s">
        <v>304</v>
      </c>
      <c r="F964" s="328">
        <v>10.2228396</v>
      </c>
      <c r="G964" s="328">
        <v>7867.6127999999999</v>
      </c>
      <c r="H964" s="328">
        <v>8027.7047999999995</v>
      </c>
      <c r="I964" s="329">
        <v>1.1747313034908153E-2</v>
      </c>
      <c r="J964" s="329">
        <v>0.90052854516093628</v>
      </c>
      <c r="K964" s="329">
        <v>0.96636621443302095</v>
      </c>
    </row>
    <row r="965" spans="1:11" ht="11.25" x14ac:dyDescent="0.15">
      <c r="A965" s="326">
        <v>1.2250000000000001</v>
      </c>
      <c r="B965" s="327">
        <v>0</v>
      </c>
      <c r="C965" s="327" t="s">
        <v>112</v>
      </c>
      <c r="D965" s="327" t="s">
        <v>79</v>
      </c>
      <c r="E965" s="328" t="s">
        <v>305</v>
      </c>
      <c r="F965" s="328">
        <v>56.046138750000004</v>
      </c>
      <c r="G965" s="328">
        <v>8509.7932500000006</v>
      </c>
      <c r="H965" s="328">
        <v>8598.0643000000018</v>
      </c>
      <c r="I965" s="329">
        <v>6.4403977960697537E-2</v>
      </c>
      <c r="J965" s="329">
        <v>0.97403264876518281</v>
      </c>
      <c r="K965" s="329">
        <v>1.0350254594616763</v>
      </c>
    </row>
    <row r="966" spans="1:11" ht="11.25" x14ac:dyDescent="0.15">
      <c r="A966" s="326">
        <v>1.2250000000000001</v>
      </c>
      <c r="B966" s="327">
        <v>0</v>
      </c>
      <c r="C966" s="327" t="s">
        <v>112</v>
      </c>
      <c r="D966" s="327" t="s">
        <v>114</v>
      </c>
      <c r="E966" s="328" t="s">
        <v>306</v>
      </c>
      <c r="F966" s="328">
        <v>16.988300000000002</v>
      </c>
      <c r="G966" s="328">
        <v>8263.0353750000013</v>
      </c>
      <c r="H966" s="328">
        <v>8488.2271250000013</v>
      </c>
      <c r="I966" s="329">
        <v>1.9521667740040664E-2</v>
      </c>
      <c r="J966" s="329">
        <v>0.94578869271020838</v>
      </c>
      <c r="K966" s="329">
        <v>1.0218033819621688</v>
      </c>
    </row>
    <row r="967" spans="1:11" ht="11.25" x14ac:dyDescent="0.15">
      <c r="A967" s="326">
        <v>1.2250000000000001</v>
      </c>
      <c r="B967" s="327">
        <v>0</v>
      </c>
      <c r="C967" s="327" t="s">
        <v>112</v>
      </c>
      <c r="D967" s="327" t="s">
        <v>113</v>
      </c>
      <c r="E967" s="328" t="s">
        <v>307</v>
      </c>
      <c r="F967" s="328">
        <v>11.912043325000003</v>
      </c>
      <c r="G967" s="328">
        <v>8181.2470250000015</v>
      </c>
      <c r="H967" s="328">
        <v>8383.6415250000009</v>
      </c>
      <c r="I967" s="329">
        <v>1.3688418022734425E-2</v>
      </c>
      <c r="J967" s="329">
        <v>0.93642718170186123</v>
      </c>
      <c r="K967" s="329">
        <v>1.0092134832458874</v>
      </c>
    </row>
    <row r="968" spans="1:11" ht="11.25" x14ac:dyDescent="0.15">
      <c r="A968" s="326">
        <v>1.25</v>
      </c>
      <c r="B968" s="327">
        <v>0</v>
      </c>
      <c r="C968" s="327" t="s">
        <v>112</v>
      </c>
      <c r="D968" s="327" t="s">
        <v>79</v>
      </c>
      <c r="E968" s="328" t="s">
        <v>308</v>
      </c>
      <c r="F968" s="328">
        <v>65.626249999999999</v>
      </c>
      <c r="G968" s="328">
        <v>8909.8037499999991</v>
      </c>
      <c r="H968" s="328">
        <v>8967.8737500000007</v>
      </c>
      <c r="I968" s="329">
        <v>7.5412716253235659E-2</v>
      </c>
      <c r="J968" s="329">
        <v>1.0198179311336919</v>
      </c>
      <c r="K968" s="329">
        <v>1.0795427115482323</v>
      </c>
    </row>
    <row r="969" spans="1:11" ht="11.25" x14ac:dyDescent="0.15">
      <c r="A969" s="326">
        <v>1.25</v>
      </c>
      <c r="B969" s="327">
        <v>0</v>
      </c>
      <c r="C969" s="327" t="s">
        <v>112</v>
      </c>
      <c r="D969" s="327" t="s">
        <v>114</v>
      </c>
      <c r="E969" s="328" t="s">
        <v>309</v>
      </c>
      <c r="F969" s="328">
        <v>19.628987500000001</v>
      </c>
      <c r="G969" s="328">
        <v>8607.8474999999999</v>
      </c>
      <c r="H969" s="328">
        <v>8854.57</v>
      </c>
      <c r="I969" s="329">
        <v>2.2556145820853846E-2</v>
      </c>
      <c r="J969" s="329">
        <v>0.9852559579625223</v>
      </c>
      <c r="K969" s="329">
        <v>1.0659033315888988</v>
      </c>
    </row>
    <row r="970" spans="1:11" ht="11.25" x14ac:dyDescent="0.15">
      <c r="A970" s="326">
        <v>1.25</v>
      </c>
      <c r="B970" s="327">
        <v>0</v>
      </c>
      <c r="C970" s="327" t="s">
        <v>112</v>
      </c>
      <c r="D970" s="327" t="s">
        <v>113</v>
      </c>
      <c r="E970" s="328" t="s">
        <v>310</v>
      </c>
      <c r="F970" s="328">
        <v>13.887975000000001</v>
      </c>
      <c r="G970" s="328">
        <v>8501.4475000000002</v>
      </c>
      <c r="H970" s="328">
        <v>8746.6287499999999</v>
      </c>
      <c r="I970" s="329">
        <v>1.5959009055172748E-2</v>
      </c>
      <c r="J970" s="329">
        <v>0.97307739253984116</v>
      </c>
      <c r="K970" s="329">
        <v>1.0529094834414596</v>
      </c>
    </row>
    <row r="971" spans="1:11" ht="11.25" x14ac:dyDescent="0.15">
      <c r="A971" s="326">
        <v>1.2749999999999999</v>
      </c>
      <c r="B971" s="327">
        <v>0</v>
      </c>
      <c r="C971" s="327" t="s">
        <v>112</v>
      </c>
      <c r="D971" s="327" t="s">
        <v>79</v>
      </c>
      <c r="E971" s="328" t="s">
        <v>311</v>
      </c>
      <c r="F971" s="328">
        <v>76.824767999999992</v>
      </c>
      <c r="G971" s="328">
        <v>9329.9119499999979</v>
      </c>
      <c r="H971" s="328">
        <v>9345.728325</v>
      </c>
      <c r="I971" s="329">
        <v>8.8281205011785047E-2</v>
      </c>
      <c r="J971" s="329">
        <v>1.0679036002906921</v>
      </c>
      <c r="K971" s="329">
        <v>1.1250284268736075</v>
      </c>
    </row>
    <row r="972" spans="1:11" ht="11.25" x14ac:dyDescent="0.15">
      <c r="A972" s="326">
        <v>1.2749999999999999</v>
      </c>
      <c r="B972" s="327">
        <v>0</v>
      </c>
      <c r="C972" s="327" t="s">
        <v>112</v>
      </c>
      <c r="D972" s="327" t="s">
        <v>114</v>
      </c>
      <c r="E972" s="328" t="s">
        <v>312</v>
      </c>
      <c r="F972" s="328">
        <v>22.691238749999997</v>
      </c>
      <c r="G972" s="328">
        <v>8967.8948249999994</v>
      </c>
      <c r="H972" s="328">
        <v>9228.3938999999991</v>
      </c>
      <c r="I972" s="329">
        <v>2.6075053035761995E-2</v>
      </c>
      <c r="J972" s="329">
        <v>1.0264670472743065</v>
      </c>
      <c r="K972" s="329">
        <v>1.1109038387210977</v>
      </c>
    </row>
    <row r="973" spans="1:11" ht="11.25" x14ac:dyDescent="0.15">
      <c r="A973" s="326">
        <v>1.2749999999999999</v>
      </c>
      <c r="B973" s="327">
        <v>0</v>
      </c>
      <c r="C973" s="327" t="s">
        <v>112</v>
      </c>
      <c r="D973" s="327" t="s">
        <v>113</v>
      </c>
      <c r="E973" s="328" t="s">
        <v>313</v>
      </c>
      <c r="F973" s="328">
        <v>16.195764</v>
      </c>
      <c r="G973" s="328">
        <v>8830.9024499999996</v>
      </c>
      <c r="H973" s="328">
        <v>9117.4306499999984</v>
      </c>
      <c r="I973" s="329">
        <v>1.8610945392070536E-2</v>
      </c>
      <c r="J973" s="329">
        <v>1.0107868724496263</v>
      </c>
      <c r="K973" s="329">
        <v>1.0975462055600371</v>
      </c>
    </row>
    <row r="974" spans="1:11" ht="11.25" x14ac:dyDescent="0.15">
      <c r="A974" s="326">
        <v>1.3</v>
      </c>
      <c r="B974" s="327">
        <v>0</v>
      </c>
      <c r="C974" s="327" t="s">
        <v>112</v>
      </c>
      <c r="D974" s="327" t="s">
        <v>79</v>
      </c>
      <c r="E974" s="328" t="s">
        <v>314</v>
      </c>
      <c r="F974" s="328">
        <v>89.883325999999997</v>
      </c>
      <c r="G974" s="328">
        <v>9773.6352999999999</v>
      </c>
      <c r="H974" s="328">
        <v>9731.4671999999991</v>
      </c>
      <c r="I974" s="329">
        <v>0.10328711086699421</v>
      </c>
      <c r="J974" s="329">
        <v>1.1186922642713899</v>
      </c>
      <c r="K974" s="329">
        <v>1.1714632455023894</v>
      </c>
    </row>
    <row r="975" spans="1:11" ht="11.25" x14ac:dyDescent="0.15">
      <c r="A975" s="326">
        <v>1.3</v>
      </c>
      <c r="B975" s="327">
        <v>0</v>
      </c>
      <c r="C975" s="327" t="s">
        <v>112</v>
      </c>
      <c r="D975" s="327" t="s">
        <v>114</v>
      </c>
      <c r="E975" s="328" t="s">
        <v>315</v>
      </c>
      <c r="F975" s="328">
        <v>26.238302999999998</v>
      </c>
      <c r="G975" s="328">
        <v>9343.3847000000005</v>
      </c>
      <c r="H975" s="328">
        <v>9610.0238000000008</v>
      </c>
      <c r="I975" s="329">
        <v>3.0151070632641996E-2</v>
      </c>
      <c r="J975" s="329">
        <v>1.069445693968309</v>
      </c>
      <c r="K975" s="329">
        <v>1.1568440234894084</v>
      </c>
    </row>
    <row r="976" spans="1:11" ht="11.25" x14ac:dyDescent="0.15">
      <c r="A976" s="326">
        <v>1.3</v>
      </c>
      <c r="B976" s="327">
        <v>0</v>
      </c>
      <c r="C976" s="327" t="s">
        <v>112</v>
      </c>
      <c r="D976" s="327" t="s">
        <v>113</v>
      </c>
      <c r="E976" s="328" t="s">
        <v>316</v>
      </c>
      <c r="F976" s="328">
        <v>18.886231000000002</v>
      </c>
      <c r="G976" s="328">
        <v>9170.5275999999994</v>
      </c>
      <c r="H976" s="328">
        <v>9495.9071999999996</v>
      </c>
      <c r="I976" s="329">
        <v>2.1702626304200886E-2</v>
      </c>
      <c r="J976" s="329">
        <v>1.0496604354990897</v>
      </c>
      <c r="K976" s="329">
        <v>1.1431067935471753</v>
      </c>
    </row>
    <row r="977" spans="1:11" ht="11.25" x14ac:dyDescent="0.15">
      <c r="A977" s="326">
        <v>1.325</v>
      </c>
      <c r="B977" s="327">
        <v>0</v>
      </c>
      <c r="C977" s="327" t="s">
        <v>112</v>
      </c>
      <c r="D977" s="327" t="s">
        <v>79</v>
      </c>
      <c r="E977" s="328" t="s">
        <v>317</v>
      </c>
      <c r="F977" s="328">
        <v>105.07189050000001</v>
      </c>
      <c r="G977" s="328">
        <v>10240.87995</v>
      </c>
      <c r="H977" s="328">
        <v>10125.240575</v>
      </c>
      <c r="I977" s="329">
        <v>0.12074065887457455</v>
      </c>
      <c r="J977" s="329">
        <v>1.1721731809858897</v>
      </c>
      <c r="K977" s="329">
        <v>1.2188652483442559</v>
      </c>
    </row>
    <row r="978" spans="1:11" ht="11.25" x14ac:dyDescent="0.15">
      <c r="A978" s="326">
        <v>1.325</v>
      </c>
      <c r="B978" s="327">
        <v>0</v>
      </c>
      <c r="C978" s="327" t="s">
        <v>112</v>
      </c>
      <c r="D978" s="327" t="s">
        <v>114</v>
      </c>
      <c r="E978" s="328" t="s">
        <v>318</v>
      </c>
      <c r="F978" s="328">
        <v>30.341347249999998</v>
      </c>
      <c r="G978" s="328">
        <v>9734.5842000000011</v>
      </c>
      <c r="H978" s="328">
        <v>9999.3549750000002</v>
      </c>
      <c r="I978" s="329">
        <v>3.4865978338014775E-2</v>
      </c>
      <c r="J978" s="329">
        <v>1.1142224675028032</v>
      </c>
      <c r="K978" s="329">
        <v>1.2037112792142961</v>
      </c>
    </row>
    <row r="979" spans="1:11" ht="11.25" x14ac:dyDescent="0.15">
      <c r="A979" s="326">
        <v>1.325</v>
      </c>
      <c r="B979" s="327">
        <v>0</v>
      </c>
      <c r="C979" s="327" t="s">
        <v>112</v>
      </c>
      <c r="D979" s="327" t="s">
        <v>113</v>
      </c>
      <c r="E979" s="328" t="s">
        <v>319</v>
      </c>
      <c r="F979" s="328">
        <v>22.016478249999999</v>
      </c>
      <c r="G979" s="328">
        <v>9520.7411250000005</v>
      </c>
      <c r="H979" s="328">
        <v>9881.7943499999983</v>
      </c>
      <c r="I979" s="329">
        <v>2.5299669372587711E-2</v>
      </c>
      <c r="J979" s="329">
        <v>1.0897459460829269</v>
      </c>
      <c r="K979" s="329">
        <v>1.1895594613562663</v>
      </c>
    </row>
    <row r="980" spans="1:11" ht="11.25" x14ac:dyDescent="0.15">
      <c r="A980" s="326">
        <v>1.35</v>
      </c>
      <c r="B980" s="327">
        <v>0</v>
      </c>
      <c r="C980" s="327" t="s">
        <v>112</v>
      </c>
      <c r="D980" s="327" t="s">
        <v>79</v>
      </c>
      <c r="E980" s="328" t="s">
        <v>320</v>
      </c>
      <c r="F980" s="328">
        <v>122.69133450000001</v>
      </c>
      <c r="G980" s="328">
        <v>10732.1085</v>
      </c>
      <c r="H980" s="328">
        <v>10526.9733</v>
      </c>
      <c r="I980" s="329">
        <v>0.14098758949931353</v>
      </c>
      <c r="J980" s="329">
        <v>1.2283992997233313</v>
      </c>
      <c r="K980" s="329">
        <v>1.2672253889254232</v>
      </c>
    </row>
    <row r="981" spans="1:11" ht="11.25" x14ac:dyDescent="0.15">
      <c r="A981" s="326">
        <v>1.35</v>
      </c>
      <c r="B981" s="327">
        <v>0</v>
      </c>
      <c r="C981" s="327" t="s">
        <v>112</v>
      </c>
      <c r="D981" s="327" t="s">
        <v>114</v>
      </c>
      <c r="E981" s="328" t="s">
        <v>321</v>
      </c>
      <c r="F981" s="328">
        <v>35.080263000000002</v>
      </c>
      <c r="G981" s="328">
        <v>10145.45385</v>
      </c>
      <c r="H981" s="328">
        <v>10396.75635</v>
      </c>
      <c r="I981" s="329">
        <v>4.0311581413045569E-2</v>
      </c>
      <c r="J981" s="329">
        <v>1.1612506903667044</v>
      </c>
      <c r="K981" s="329">
        <v>1.2515500166787366</v>
      </c>
    </row>
    <row r="982" spans="1:11" ht="11.25" x14ac:dyDescent="0.15">
      <c r="A982" s="326">
        <v>1.35</v>
      </c>
      <c r="B982" s="327">
        <v>0</v>
      </c>
      <c r="C982" s="327" t="s">
        <v>112</v>
      </c>
      <c r="D982" s="327" t="s">
        <v>113</v>
      </c>
      <c r="E982" s="328" t="s">
        <v>322</v>
      </c>
      <c r="F982" s="328">
        <v>25.650459000000005</v>
      </c>
      <c r="G982" s="328">
        <v>9883.4728500000001</v>
      </c>
      <c r="H982" s="328">
        <v>10275.691049999999</v>
      </c>
      <c r="I982" s="329">
        <v>2.9475564828590012E-2</v>
      </c>
      <c r="J982" s="329">
        <v>1.1312642923591909</v>
      </c>
      <c r="K982" s="329">
        <v>1.2369763099250703</v>
      </c>
    </row>
    <row r="983" spans="1:11" ht="11.25" x14ac:dyDescent="0.15">
      <c r="A983" s="326">
        <v>1.375</v>
      </c>
      <c r="B983" s="327">
        <v>0</v>
      </c>
      <c r="C983" s="327" t="s">
        <v>112</v>
      </c>
      <c r="D983" s="327" t="s">
        <v>79</v>
      </c>
      <c r="E983" s="328" t="s">
        <v>323</v>
      </c>
      <c r="F983" s="328">
        <v>143.07617499999998</v>
      </c>
      <c r="G983" s="328">
        <v>11248.738874999999</v>
      </c>
      <c r="H983" s="328">
        <v>10936.352625</v>
      </c>
      <c r="I983" s="329">
        <v>0.16441230434274834</v>
      </c>
      <c r="J983" s="329">
        <v>1.2875329164647014</v>
      </c>
      <c r="K983" s="329">
        <v>1.3165060187472117</v>
      </c>
    </row>
    <row r="984" spans="1:11" ht="11.25" x14ac:dyDescent="0.15">
      <c r="A984" s="326">
        <v>1.375</v>
      </c>
      <c r="B984" s="327">
        <v>0</v>
      </c>
      <c r="C984" s="327" t="s">
        <v>112</v>
      </c>
      <c r="D984" s="327" t="s">
        <v>114</v>
      </c>
      <c r="E984" s="328" t="s">
        <v>324</v>
      </c>
      <c r="F984" s="328">
        <v>40.544625000000003</v>
      </c>
      <c r="G984" s="328">
        <v>10574.851375</v>
      </c>
      <c r="H984" s="328">
        <v>10801.516</v>
      </c>
      <c r="I984" s="329">
        <v>4.6590812376432374E-2</v>
      </c>
      <c r="J984" s="329">
        <v>1.2103996175335263</v>
      </c>
      <c r="K984" s="329">
        <v>1.3002745351395715</v>
      </c>
    </row>
    <row r="985" spans="1:11" ht="11.25" x14ac:dyDescent="0.15">
      <c r="A985" s="326">
        <v>1.375</v>
      </c>
      <c r="B985" s="327">
        <v>0</v>
      </c>
      <c r="C985" s="327" t="s">
        <v>112</v>
      </c>
      <c r="D985" s="327" t="s">
        <v>113</v>
      </c>
      <c r="E985" s="328" t="s">
        <v>325</v>
      </c>
      <c r="F985" s="328">
        <v>29.859692499999998</v>
      </c>
      <c r="G985" s="328">
        <v>10259.728875000001</v>
      </c>
      <c r="H985" s="328">
        <v>10677.101875</v>
      </c>
      <c r="I985" s="329">
        <v>3.4312497177750804E-2</v>
      </c>
      <c r="J985" s="329">
        <v>1.1743306327364509</v>
      </c>
      <c r="K985" s="329">
        <v>1.2852977005406903</v>
      </c>
    </row>
    <row r="986" spans="1:11" ht="11.25" x14ac:dyDescent="0.15">
      <c r="A986" s="326">
        <v>1.4</v>
      </c>
      <c r="B986" s="327">
        <v>0</v>
      </c>
      <c r="C986" s="327" t="s">
        <v>112</v>
      </c>
      <c r="D986" s="327" t="s">
        <v>79</v>
      </c>
      <c r="E986" s="328" t="s">
        <v>326</v>
      </c>
      <c r="F986" s="328">
        <v>166.59761999999998</v>
      </c>
      <c r="G986" s="328">
        <v>11793.178599999997</v>
      </c>
      <c r="H986" s="328">
        <v>11354.039199999999</v>
      </c>
      <c r="I986" s="329">
        <v>0.19144136752479957</v>
      </c>
      <c r="J986" s="329">
        <v>1.3498495970062336</v>
      </c>
      <c r="K986" s="329">
        <v>1.3667866661250581</v>
      </c>
    </row>
    <row r="987" spans="1:11" ht="11.25" x14ac:dyDescent="0.15">
      <c r="A987" s="326">
        <v>1.4</v>
      </c>
      <c r="B987" s="327">
        <v>0</v>
      </c>
      <c r="C987" s="327" t="s">
        <v>112</v>
      </c>
      <c r="D987" s="327" t="s">
        <v>114</v>
      </c>
      <c r="E987" s="328" t="s">
        <v>327</v>
      </c>
      <c r="F987" s="328">
        <v>46.834745999999996</v>
      </c>
      <c r="G987" s="328">
        <v>11025.501199999999</v>
      </c>
      <c r="H987" s="328">
        <v>11214.579600000001</v>
      </c>
      <c r="I987" s="329">
        <v>5.3818943043223766E-2</v>
      </c>
      <c r="J987" s="329">
        <v>1.2619810872373074</v>
      </c>
      <c r="K987" s="329">
        <v>1.3499986739061187</v>
      </c>
    </row>
    <row r="988" spans="1:11" ht="11.25" x14ac:dyDescent="0.15">
      <c r="A988" s="326">
        <v>1.4</v>
      </c>
      <c r="B988" s="327">
        <v>0</v>
      </c>
      <c r="C988" s="327" t="s">
        <v>112</v>
      </c>
      <c r="D988" s="327" t="s">
        <v>113</v>
      </c>
      <c r="E988" s="328" t="s">
        <v>328</v>
      </c>
      <c r="F988" s="328">
        <v>34.724059999999994</v>
      </c>
      <c r="G988" s="328">
        <v>10650.2718</v>
      </c>
      <c r="H988" s="328">
        <v>11086.1198</v>
      </c>
      <c r="I988" s="329">
        <v>3.9902259902711644E-2</v>
      </c>
      <c r="J988" s="329">
        <v>1.2190322545642494</v>
      </c>
      <c r="K988" s="329">
        <v>1.334534825430671</v>
      </c>
    </row>
    <row r="989" spans="1:11" ht="11.25" x14ac:dyDescent="0.15">
      <c r="A989" s="326">
        <v>0.9</v>
      </c>
      <c r="B989" s="327">
        <v>25</v>
      </c>
      <c r="C989" s="327" t="s">
        <v>112</v>
      </c>
      <c r="D989" s="327" t="s">
        <v>79</v>
      </c>
      <c r="E989" s="328" t="s">
        <v>329</v>
      </c>
      <c r="F989" s="328">
        <v>14.659578000000002</v>
      </c>
      <c r="G989" s="328">
        <v>4603.0725000000002</v>
      </c>
      <c r="H989" s="328">
        <v>4510.7757000000001</v>
      </c>
      <c r="I989" s="329">
        <v>1.6845676784917257E-2</v>
      </c>
      <c r="J989" s="329">
        <v>0.52686860513716616</v>
      </c>
      <c r="K989" s="329">
        <v>0.5430021838079373</v>
      </c>
    </row>
    <row r="990" spans="1:11" ht="11.25" x14ac:dyDescent="0.15">
      <c r="A990" s="326">
        <v>0.9</v>
      </c>
      <c r="B990" s="327">
        <v>25</v>
      </c>
      <c r="C990" s="327" t="s">
        <v>112</v>
      </c>
      <c r="D990" s="327" t="s">
        <v>114</v>
      </c>
      <c r="E990" s="328" t="s">
        <v>330</v>
      </c>
      <c r="F990" s="328">
        <v>4.2810236999999995</v>
      </c>
      <c r="G990" s="328">
        <v>4602.5955000000004</v>
      </c>
      <c r="H990" s="328">
        <v>4440.6279000000004</v>
      </c>
      <c r="I990" s="329">
        <v>4.9194282099232706E-3</v>
      </c>
      <c r="J990" s="329">
        <v>0.52681400762112651</v>
      </c>
      <c r="K990" s="329">
        <v>0.53455786932133531</v>
      </c>
    </row>
    <row r="991" spans="1:11" ht="11.25" x14ac:dyDescent="0.15">
      <c r="A991" s="326">
        <v>0.9</v>
      </c>
      <c r="B991" s="327">
        <v>25</v>
      </c>
      <c r="C991" s="327" t="s">
        <v>112</v>
      </c>
      <c r="D991" s="327" t="s">
        <v>113</v>
      </c>
      <c r="E991" s="328" t="s">
        <v>331</v>
      </c>
      <c r="F991" s="328">
        <v>2.2372488000000001</v>
      </c>
      <c r="G991" s="328">
        <v>4614.1785</v>
      </c>
      <c r="H991" s="328">
        <v>4371.3792000000003</v>
      </c>
      <c r="I991" s="329">
        <v>2.5708768814657547E-3</v>
      </c>
      <c r="J991" s="329">
        <v>0.52813980013325912</v>
      </c>
      <c r="K991" s="329">
        <v>0.52622178749712478</v>
      </c>
    </row>
    <row r="992" spans="1:11" ht="11.25" x14ac:dyDescent="0.15">
      <c r="A992" s="326">
        <v>0.92500000000000004</v>
      </c>
      <c r="B992" s="327">
        <v>25</v>
      </c>
      <c r="C992" s="327" t="s">
        <v>112</v>
      </c>
      <c r="D992" s="327" t="s">
        <v>79</v>
      </c>
      <c r="E992" s="328" t="s">
        <v>332</v>
      </c>
      <c r="F992" s="328">
        <v>16.502906500000002</v>
      </c>
      <c r="G992" s="328">
        <v>4847.5466749999996</v>
      </c>
      <c r="H992" s="328">
        <v>4779.5295750000005</v>
      </c>
      <c r="I992" s="329">
        <v>1.8963890291433361E-2</v>
      </c>
      <c r="J992" s="329">
        <v>0.5548511684303381</v>
      </c>
      <c r="K992" s="329">
        <v>0.57535447767877768</v>
      </c>
    </row>
    <row r="993" spans="1:11" ht="11.25" x14ac:dyDescent="0.15">
      <c r="A993" s="326">
        <v>0.92500000000000004</v>
      </c>
      <c r="B993" s="327">
        <v>25</v>
      </c>
      <c r="C993" s="327" t="s">
        <v>112</v>
      </c>
      <c r="D993" s="327" t="s">
        <v>114</v>
      </c>
      <c r="E993" s="328" t="s">
        <v>333</v>
      </c>
      <c r="F993" s="328">
        <v>4.8536396499999999</v>
      </c>
      <c r="G993" s="328">
        <v>4842.4647249999998</v>
      </c>
      <c r="H993" s="328">
        <v>4706.7089500000002</v>
      </c>
      <c r="I993" s="329">
        <v>5.5774350922215433E-3</v>
      </c>
      <c r="J993" s="329">
        <v>0.55426948741013327</v>
      </c>
      <c r="K993" s="329">
        <v>0.56658841147839911</v>
      </c>
    </row>
    <row r="994" spans="1:11" ht="11.25" x14ac:dyDescent="0.15">
      <c r="A994" s="326">
        <v>0.92500000000000004</v>
      </c>
      <c r="B994" s="327">
        <v>25</v>
      </c>
      <c r="C994" s="327" t="s">
        <v>112</v>
      </c>
      <c r="D994" s="327" t="s">
        <v>113</v>
      </c>
      <c r="E994" s="328" t="s">
        <v>334</v>
      </c>
      <c r="F994" s="328">
        <v>2.5794032000000002</v>
      </c>
      <c r="G994" s="328">
        <v>4853.431525</v>
      </c>
      <c r="H994" s="328">
        <v>4635.0094250000002</v>
      </c>
      <c r="I994" s="329">
        <v>2.9640548046595393E-3</v>
      </c>
      <c r="J994" s="329">
        <v>0.55552474954619957</v>
      </c>
      <c r="K994" s="329">
        <v>0.55795730205458272</v>
      </c>
    </row>
    <row r="995" spans="1:11" ht="11.25" x14ac:dyDescent="0.15">
      <c r="A995" s="326">
        <v>0.95</v>
      </c>
      <c r="B995" s="327">
        <v>25</v>
      </c>
      <c r="C995" s="327" t="s">
        <v>112</v>
      </c>
      <c r="D995" s="327" t="s">
        <v>79</v>
      </c>
      <c r="E995" s="328" t="s">
        <v>335</v>
      </c>
      <c r="F995" s="328">
        <v>18.574286000000001</v>
      </c>
      <c r="G995" s="328">
        <v>5099.9761999999992</v>
      </c>
      <c r="H995" s="328">
        <v>5055.8724499999989</v>
      </c>
      <c r="I995" s="329">
        <v>2.1344162735558524E-2</v>
      </c>
      <c r="J995" s="329">
        <v>0.583744302686248</v>
      </c>
      <c r="K995" s="329">
        <v>0.60862032696602175</v>
      </c>
    </row>
    <row r="996" spans="1:11" ht="11.25" x14ac:dyDescent="0.15">
      <c r="A996" s="326">
        <v>0.95</v>
      </c>
      <c r="B996" s="327">
        <v>25</v>
      </c>
      <c r="C996" s="327" t="s">
        <v>112</v>
      </c>
      <c r="D996" s="327" t="s">
        <v>114</v>
      </c>
      <c r="E996" s="328" t="s">
        <v>336</v>
      </c>
      <c r="F996" s="328">
        <v>5.4880720999999992</v>
      </c>
      <c r="G996" s="328">
        <v>5088.3168499999992</v>
      </c>
      <c r="H996" s="328">
        <v>4980.5536000000002</v>
      </c>
      <c r="I996" s="329">
        <v>6.3064768146069462E-3</v>
      </c>
      <c r="J996" s="329">
        <v>0.58240977113774295</v>
      </c>
      <c r="K996" s="329">
        <v>0.59955352720652544</v>
      </c>
    </row>
    <row r="997" spans="1:11" ht="11.25" x14ac:dyDescent="0.15">
      <c r="A997" s="326">
        <v>0.95</v>
      </c>
      <c r="B997" s="327">
        <v>25</v>
      </c>
      <c r="C997" s="327" t="s">
        <v>112</v>
      </c>
      <c r="D997" s="327" t="s">
        <v>113</v>
      </c>
      <c r="E997" s="328" t="s">
        <v>337</v>
      </c>
      <c r="F997" s="328">
        <v>2.9621180499999999</v>
      </c>
      <c r="G997" s="328">
        <v>5097.2496999999994</v>
      </c>
      <c r="H997" s="328">
        <v>4906.0346499999996</v>
      </c>
      <c r="I997" s="329">
        <v>3.403841725121239E-3</v>
      </c>
      <c r="J997" s="329">
        <v>0.5834322269472918</v>
      </c>
      <c r="K997" s="329">
        <v>0.59058301852326844</v>
      </c>
    </row>
    <row r="998" spans="1:11" ht="11.25" x14ac:dyDescent="0.15">
      <c r="A998" s="326">
        <v>0.97499999999999998</v>
      </c>
      <c r="B998" s="327">
        <v>25</v>
      </c>
      <c r="C998" s="327" t="s">
        <v>112</v>
      </c>
      <c r="D998" s="327" t="s">
        <v>79</v>
      </c>
      <c r="E998" s="328" t="s">
        <v>338</v>
      </c>
      <c r="F998" s="328">
        <v>20.911848750000001</v>
      </c>
      <c r="G998" s="328">
        <v>5359.1986499999994</v>
      </c>
      <c r="H998" s="328">
        <v>5340.5020500000001</v>
      </c>
      <c r="I998" s="329">
        <v>2.4030312811021977E-2</v>
      </c>
      <c r="J998" s="329">
        <v>0.61341495650535227</v>
      </c>
      <c r="K998" s="329">
        <v>0.64288372303255203</v>
      </c>
    </row>
    <row r="999" spans="1:11" ht="11.25" x14ac:dyDescent="0.15">
      <c r="A999" s="326">
        <v>0.97499999999999998</v>
      </c>
      <c r="B999" s="327">
        <v>25</v>
      </c>
      <c r="C999" s="327" t="s">
        <v>112</v>
      </c>
      <c r="D999" s="327" t="s">
        <v>114</v>
      </c>
      <c r="E999" s="328" t="s">
        <v>339</v>
      </c>
      <c r="F999" s="328">
        <v>6.1934037750000002</v>
      </c>
      <c r="G999" s="328">
        <v>5340.037949999999</v>
      </c>
      <c r="H999" s="328">
        <v>5261.9540999999999</v>
      </c>
      <c r="I999" s="329">
        <v>7.1169905567633925E-3</v>
      </c>
      <c r="J999" s="329">
        <v>0.61122181892551797</v>
      </c>
      <c r="K999" s="329">
        <v>0.63342820779076403</v>
      </c>
    </row>
    <row r="1000" spans="1:11" ht="11.25" x14ac:dyDescent="0.15">
      <c r="A1000" s="326">
        <v>0.97499999999999998</v>
      </c>
      <c r="B1000" s="327">
        <v>25</v>
      </c>
      <c r="C1000" s="327" t="s">
        <v>112</v>
      </c>
      <c r="D1000" s="327" t="s">
        <v>113</v>
      </c>
      <c r="E1000" s="328" t="s">
        <v>340</v>
      </c>
      <c r="F1000" s="328">
        <v>3.3922521749999999</v>
      </c>
      <c r="G1000" s="328">
        <v>5346.3549750000002</v>
      </c>
      <c r="H1000" s="328">
        <v>5185.7276249999995</v>
      </c>
      <c r="I1000" s="329">
        <v>3.8981192850832784E-3</v>
      </c>
      <c r="J1000" s="329">
        <v>0.61194486687889416</v>
      </c>
      <c r="K1000" s="329">
        <v>0.62425214913881621</v>
      </c>
    </row>
    <row r="1001" spans="1:11" ht="11.25" x14ac:dyDescent="0.15">
      <c r="A1001" s="326">
        <v>1</v>
      </c>
      <c r="B1001" s="327">
        <v>25</v>
      </c>
      <c r="C1001" s="327" t="s">
        <v>112</v>
      </c>
      <c r="D1001" s="327" t="s">
        <v>79</v>
      </c>
      <c r="E1001" s="328" t="s">
        <v>341</v>
      </c>
      <c r="F1001" s="328">
        <v>23.564170000000001</v>
      </c>
      <c r="G1001" s="328">
        <v>5628.3810000000003</v>
      </c>
      <c r="H1001" s="328">
        <v>5632.3530000000001</v>
      </c>
      <c r="I1001" s="329">
        <v>2.707815951624553E-2</v>
      </c>
      <c r="J1001" s="329">
        <v>0.64422562248379278</v>
      </c>
      <c r="K1001" s="329">
        <v>0.67801641721559935</v>
      </c>
    </row>
    <row r="1002" spans="1:11" ht="11.25" x14ac:dyDescent="0.15">
      <c r="A1002" s="326">
        <v>1</v>
      </c>
      <c r="B1002" s="327">
        <v>25</v>
      </c>
      <c r="C1002" s="327" t="s">
        <v>112</v>
      </c>
      <c r="D1002" s="327" t="s">
        <v>114</v>
      </c>
      <c r="E1002" s="328" t="s">
        <v>342</v>
      </c>
      <c r="F1002" s="328">
        <v>6.9821150000000003</v>
      </c>
      <c r="G1002" s="328">
        <v>5598.5389999999998</v>
      </c>
      <c r="H1002" s="328">
        <v>5551.4629999999997</v>
      </c>
      <c r="I1002" s="329">
        <v>8.0233177629753412E-3</v>
      </c>
      <c r="J1002" s="329">
        <v>0.64080990115537495</v>
      </c>
      <c r="K1002" s="329">
        <v>0.66827896858825475</v>
      </c>
    </row>
    <row r="1003" spans="1:11" ht="11.25" x14ac:dyDescent="0.15">
      <c r="A1003" s="326">
        <v>1</v>
      </c>
      <c r="B1003" s="327">
        <v>25</v>
      </c>
      <c r="C1003" s="327" t="s">
        <v>112</v>
      </c>
      <c r="D1003" s="327" t="s">
        <v>113</v>
      </c>
      <c r="E1003" s="328" t="s">
        <v>343</v>
      </c>
      <c r="F1003" s="328">
        <v>3.8792850000000003</v>
      </c>
      <c r="G1003" s="328">
        <v>5600.9970000000003</v>
      </c>
      <c r="H1003" s="328">
        <v>5472.1729999999998</v>
      </c>
      <c r="I1003" s="329">
        <v>4.4577805218252347E-3</v>
      </c>
      <c r="J1003" s="329">
        <v>0.6410912443302712</v>
      </c>
      <c r="K1003" s="329">
        <v>0.65873412618916771</v>
      </c>
    </row>
    <row r="1004" spans="1:11" ht="11.25" x14ac:dyDescent="0.15">
      <c r="A1004" s="326">
        <v>1.0249999999999999</v>
      </c>
      <c r="B1004" s="327">
        <v>25</v>
      </c>
      <c r="C1004" s="327" t="s">
        <v>112</v>
      </c>
      <c r="D1004" s="327" t="s">
        <v>79</v>
      </c>
      <c r="E1004" s="328" t="s">
        <v>344</v>
      </c>
      <c r="F1004" s="328">
        <v>26.588981749999999</v>
      </c>
      <c r="G1004" s="328">
        <v>5907.3045999999995</v>
      </c>
      <c r="H1004" s="328">
        <v>5932.5349749999996</v>
      </c>
      <c r="I1004" s="329">
        <v>3.0554044093258587E-2</v>
      </c>
      <c r="J1004" s="329">
        <v>0.6761512738985459</v>
      </c>
      <c r="K1004" s="329">
        <v>0.71415199096287729</v>
      </c>
    </row>
    <row r="1005" spans="1:11" ht="11.25" x14ac:dyDescent="0.15">
      <c r="A1005" s="326">
        <v>1.0249999999999999</v>
      </c>
      <c r="B1005" s="327">
        <v>25</v>
      </c>
      <c r="C1005" s="327" t="s">
        <v>112</v>
      </c>
      <c r="D1005" s="327" t="s">
        <v>114</v>
      </c>
      <c r="E1005" s="328" t="s">
        <v>345</v>
      </c>
      <c r="F1005" s="328">
        <v>7.8690541499999993</v>
      </c>
      <c r="G1005" s="328">
        <v>5864.1182749999989</v>
      </c>
      <c r="H1005" s="328">
        <v>5848.3752999999997</v>
      </c>
      <c r="I1005" s="329">
        <v>9.0425210612414472E-3</v>
      </c>
      <c r="J1005" s="329">
        <v>0.6712081584438685</v>
      </c>
      <c r="K1005" s="329">
        <v>0.70402094247967162</v>
      </c>
    </row>
    <row r="1006" spans="1:11" ht="11.25" x14ac:dyDescent="0.15">
      <c r="A1006" s="326">
        <v>1.0249999999999999</v>
      </c>
      <c r="B1006" s="327">
        <v>25</v>
      </c>
      <c r="C1006" s="327" t="s">
        <v>112</v>
      </c>
      <c r="D1006" s="327" t="s">
        <v>113</v>
      </c>
      <c r="E1006" s="328" t="s">
        <v>346</v>
      </c>
      <c r="F1006" s="328">
        <v>4.4345938249999994</v>
      </c>
      <c r="G1006" s="328">
        <v>5862.7160749999994</v>
      </c>
      <c r="H1006" s="328">
        <v>5766.4962499999992</v>
      </c>
      <c r="I1006" s="329">
        <v>5.0958993668398841E-3</v>
      </c>
      <c r="J1006" s="329">
        <v>0.67104766234954827</v>
      </c>
      <c r="K1006" s="329">
        <v>0.6941644331085407</v>
      </c>
    </row>
    <row r="1007" spans="1:11" ht="11.25" x14ac:dyDescent="0.15">
      <c r="A1007" s="326">
        <v>1.05</v>
      </c>
      <c r="B1007" s="327">
        <v>25</v>
      </c>
      <c r="C1007" s="327" t="s">
        <v>112</v>
      </c>
      <c r="D1007" s="327" t="s">
        <v>79</v>
      </c>
      <c r="E1007" s="328" t="s">
        <v>347</v>
      </c>
      <c r="F1007" s="328">
        <v>30.053698499999999</v>
      </c>
      <c r="G1007" s="328">
        <v>6196.2925500000001</v>
      </c>
      <c r="H1007" s="328">
        <v>6240.1048500000006</v>
      </c>
      <c r="I1007" s="329">
        <v>3.4535434179780104E-2</v>
      </c>
      <c r="J1007" s="329">
        <v>0.70922889284066548</v>
      </c>
      <c r="K1007" s="329">
        <v>0.75117691193124525</v>
      </c>
    </row>
    <row r="1008" spans="1:11" ht="11.25" x14ac:dyDescent="0.15">
      <c r="A1008" s="326">
        <v>1.05</v>
      </c>
      <c r="B1008" s="327">
        <v>25</v>
      </c>
      <c r="C1008" s="327" t="s">
        <v>112</v>
      </c>
      <c r="D1008" s="327" t="s">
        <v>114</v>
      </c>
      <c r="E1008" s="328" t="s">
        <v>348</v>
      </c>
      <c r="F1008" s="328">
        <v>8.8715350500000003</v>
      </c>
      <c r="G1008" s="328">
        <v>6135.4944000000005</v>
      </c>
      <c r="H1008" s="328">
        <v>6153.0776999999998</v>
      </c>
      <c r="I1008" s="329">
        <v>1.0194496187977903E-2</v>
      </c>
      <c r="J1008" s="329">
        <v>0.70226992435050595</v>
      </c>
      <c r="K1008" s="329">
        <v>0.74070067998280653</v>
      </c>
    </row>
    <row r="1009" spans="1:11" ht="11.25" x14ac:dyDescent="0.15">
      <c r="A1009" s="326">
        <v>1.05</v>
      </c>
      <c r="B1009" s="327">
        <v>25</v>
      </c>
      <c r="C1009" s="327" t="s">
        <v>112</v>
      </c>
      <c r="D1009" s="327" t="s">
        <v>113</v>
      </c>
      <c r="E1009" s="328" t="s">
        <v>349</v>
      </c>
      <c r="F1009" s="328">
        <v>5.0715609000000006</v>
      </c>
      <c r="G1009" s="328">
        <v>6126.8571000000002</v>
      </c>
      <c r="H1009" s="328">
        <v>6068.5254000000004</v>
      </c>
      <c r="I1009" s="329">
        <v>5.8278536883138157E-3</v>
      </c>
      <c r="J1009" s="329">
        <v>0.70128129725346333</v>
      </c>
      <c r="K1009" s="329">
        <v>0.73052236773686985</v>
      </c>
    </row>
    <row r="1010" spans="1:11" ht="11.25" x14ac:dyDescent="0.15">
      <c r="A1010" s="326">
        <v>1.075</v>
      </c>
      <c r="B1010" s="327">
        <v>25</v>
      </c>
      <c r="C1010" s="327" t="s">
        <v>112</v>
      </c>
      <c r="D1010" s="327" t="s">
        <v>79</v>
      </c>
      <c r="E1010" s="328" t="s">
        <v>350</v>
      </c>
      <c r="F1010" s="328">
        <v>34.036983249999999</v>
      </c>
      <c r="G1010" s="328">
        <v>6497.0645749999994</v>
      </c>
      <c r="H1010" s="328">
        <v>6555.4660999999996</v>
      </c>
      <c r="I1010" s="329">
        <v>3.9112723337816575E-2</v>
      </c>
      <c r="J1010" s="329">
        <v>0.74365531937990215</v>
      </c>
      <c r="K1010" s="329">
        <v>0.78913974999441927</v>
      </c>
    </row>
    <row r="1011" spans="1:11" ht="11.25" x14ac:dyDescent="0.15">
      <c r="A1011" s="326">
        <v>1.075</v>
      </c>
      <c r="B1011" s="327">
        <v>25</v>
      </c>
      <c r="C1011" s="327" t="s">
        <v>112</v>
      </c>
      <c r="D1011" s="327" t="s">
        <v>114</v>
      </c>
      <c r="E1011" s="328" t="s">
        <v>351</v>
      </c>
      <c r="F1011" s="328">
        <v>10.009696949999999</v>
      </c>
      <c r="G1011" s="328">
        <v>6415.7902750000003</v>
      </c>
      <c r="H1011" s="328">
        <v>6465.5971749999999</v>
      </c>
      <c r="I1011" s="329">
        <v>1.1502385644025498E-2</v>
      </c>
      <c r="J1011" s="329">
        <v>0.73435264663805433</v>
      </c>
      <c r="K1011" s="329">
        <v>0.77832142831828899</v>
      </c>
    </row>
    <row r="1012" spans="1:11" ht="11.25" x14ac:dyDescent="0.15">
      <c r="A1012" s="326">
        <v>1.075</v>
      </c>
      <c r="B1012" s="327">
        <v>25</v>
      </c>
      <c r="C1012" s="327" t="s">
        <v>112</v>
      </c>
      <c r="D1012" s="327" t="s">
        <v>113</v>
      </c>
      <c r="E1012" s="328" t="s">
        <v>352</v>
      </c>
      <c r="F1012" s="328">
        <v>5.8058191500000005</v>
      </c>
      <c r="G1012" s="328">
        <v>6399.3363250000002</v>
      </c>
      <c r="H1012" s="328">
        <v>6378.3007250000001</v>
      </c>
      <c r="I1012" s="329">
        <v>6.6716076596872731E-3</v>
      </c>
      <c r="J1012" s="329">
        <v>0.73246932420819977</v>
      </c>
      <c r="K1012" s="329">
        <v>0.76781277833405681</v>
      </c>
    </row>
    <row r="1013" spans="1:11" ht="11.25" x14ac:dyDescent="0.15">
      <c r="A1013" s="326">
        <v>1.1000000000000001</v>
      </c>
      <c r="B1013" s="327">
        <v>25</v>
      </c>
      <c r="C1013" s="327" t="s">
        <v>112</v>
      </c>
      <c r="D1013" s="327" t="s">
        <v>79</v>
      </c>
      <c r="E1013" s="328" t="s">
        <v>353</v>
      </c>
      <c r="F1013" s="328">
        <v>38.629711999999998</v>
      </c>
      <c r="G1013" s="328">
        <v>6810.0010000000002</v>
      </c>
      <c r="H1013" s="328">
        <v>6878.3484000000008</v>
      </c>
      <c r="I1013" s="329">
        <v>4.4390339384014973E-2</v>
      </c>
      <c r="J1013" s="329">
        <v>0.77947408559233133</v>
      </c>
      <c r="K1013" s="329">
        <v>0.82800796372824126</v>
      </c>
    </row>
    <row r="1014" spans="1:11" ht="11.25" x14ac:dyDescent="0.15">
      <c r="A1014" s="326">
        <v>1.1000000000000001</v>
      </c>
      <c r="B1014" s="327">
        <v>25</v>
      </c>
      <c r="C1014" s="327" t="s">
        <v>112</v>
      </c>
      <c r="D1014" s="327" t="s">
        <v>114</v>
      </c>
      <c r="E1014" s="328" t="s">
        <v>354</v>
      </c>
      <c r="F1014" s="328">
        <v>11.306614000000001</v>
      </c>
      <c r="G1014" s="328">
        <v>6704.3031000000001</v>
      </c>
      <c r="H1014" s="328">
        <v>6785.6008000000011</v>
      </c>
      <c r="I1014" s="329">
        <v>1.2992704495028469E-2</v>
      </c>
      <c r="J1014" s="329">
        <v>0.76737588267701162</v>
      </c>
      <c r="K1014" s="329">
        <v>0.81684311034328017</v>
      </c>
    </row>
    <row r="1015" spans="1:11" ht="11.25" x14ac:dyDescent="0.15">
      <c r="A1015" s="326">
        <v>1.1000000000000001</v>
      </c>
      <c r="B1015" s="327">
        <v>25</v>
      </c>
      <c r="C1015" s="327" t="s">
        <v>112</v>
      </c>
      <c r="D1015" s="327" t="s">
        <v>113</v>
      </c>
      <c r="E1015" s="328" t="s">
        <v>355</v>
      </c>
      <c r="F1015" s="328">
        <v>6.6554950000000002</v>
      </c>
      <c r="G1015" s="328">
        <v>6677.7007000000012</v>
      </c>
      <c r="H1015" s="328">
        <v>6695.1577000000007</v>
      </c>
      <c r="I1015" s="329">
        <v>7.6479907957536612E-3</v>
      </c>
      <c r="J1015" s="329">
        <v>0.76433096661685829</v>
      </c>
      <c r="K1015" s="329">
        <v>0.8059556701164563</v>
      </c>
    </row>
    <row r="1016" spans="1:11" ht="11.25" x14ac:dyDescent="0.15">
      <c r="A1016" s="326">
        <v>1.125</v>
      </c>
      <c r="B1016" s="327">
        <v>25</v>
      </c>
      <c r="C1016" s="327" t="s">
        <v>112</v>
      </c>
      <c r="D1016" s="327" t="s">
        <v>79</v>
      </c>
      <c r="E1016" s="328" t="s">
        <v>356</v>
      </c>
      <c r="F1016" s="328">
        <v>43.93668375</v>
      </c>
      <c r="G1016" s="328">
        <v>7137.5546250000007</v>
      </c>
      <c r="H1016" s="328">
        <v>7209.4961249999997</v>
      </c>
      <c r="I1016" s="329">
        <v>5.0488709392154822E-2</v>
      </c>
      <c r="J1016" s="329">
        <v>0.81696593945980189</v>
      </c>
      <c r="K1016" s="329">
        <v>0.86787116017093502</v>
      </c>
    </row>
    <row r="1017" spans="1:11" ht="11.25" x14ac:dyDescent="0.15">
      <c r="A1017" s="326">
        <v>1.125</v>
      </c>
      <c r="B1017" s="327">
        <v>25</v>
      </c>
      <c r="C1017" s="327" t="s">
        <v>112</v>
      </c>
      <c r="D1017" s="327" t="s">
        <v>114</v>
      </c>
      <c r="E1017" s="328" t="s">
        <v>357</v>
      </c>
      <c r="F1017" s="328">
        <v>12.7891125</v>
      </c>
      <c r="G1017" s="328">
        <v>7001.582625</v>
      </c>
      <c r="H1017" s="328">
        <v>7113.4605000000001</v>
      </c>
      <c r="I1017" s="329">
        <v>1.469627949323951E-2</v>
      </c>
      <c r="J1017" s="329">
        <v>0.80140255696306495</v>
      </c>
      <c r="K1017" s="329">
        <v>0.85631049797743253</v>
      </c>
    </row>
    <row r="1018" spans="1:11" ht="11.25" x14ac:dyDescent="0.15">
      <c r="A1018" s="326">
        <v>1.125</v>
      </c>
      <c r="B1018" s="327">
        <v>25</v>
      </c>
      <c r="C1018" s="327" t="s">
        <v>112</v>
      </c>
      <c r="D1018" s="327" t="s">
        <v>113</v>
      </c>
      <c r="E1018" s="328" t="s">
        <v>358</v>
      </c>
      <c r="F1018" s="328">
        <v>7.6416007500000012</v>
      </c>
      <c r="G1018" s="328">
        <v>6962.7408750000004</v>
      </c>
      <c r="H1018" s="328">
        <v>7020.0506249999999</v>
      </c>
      <c r="I1018" s="329">
        <v>8.7811488402927632E-3</v>
      </c>
      <c r="J1018" s="329">
        <v>0.79695672243762872</v>
      </c>
      <c r="K1018" s="329">
        <v>0.84506592066133435</v>
      </c>
    </row>
    <row r="1019" spans="1:11" ht="11.25" x14ac:dyDescent="0.15">
      <c r="A1019" s="326">
        <v>1.1499999999999999</v>
      </c>
      <c r="B1019" s="327">
        <v>25</v>
      </c>
      <c r="C1019" s="327" t="s">
        <v>112</v>
      </c>
      <c r="D1019" s="327" t="s">
        <v>79</v>
      </c>
      <c r="E1019" s="328" t="s">
        <v>359</v>
      </c>
      <c r="F1019" s="328">
        <v>50.077968999999996</v>
      </c>
      <c r="G1019" s="328">
        <v>7479.3883999999989</v>
      </c>
      <c r="H1019" s="328">
        <v>7547.9893499999998</v>
      </c>
      <c r="I1019" s="329">
        <v>5.7545809287218627E-2</v>
      </c>
      <c r="J1019" s="329">
        <v>0.85609230217145182</v>
      </c>
      <c r="K1019" s="329">
        <v>0.90861859976966997</v>
      </c>
    </row>
    <row r="1020" spans="1:11" ht="11.25" x14ac:dyDescent="0.15">
      <c r="A1020" s="326">
        <v>1.1499999999999999</v>
      </c>
      <c r="B1020" s="327">
        <v>25</v>
      </c>
      <c r="C1020" s="327" t="s">
        <v>112</v>
      </c>
      <c r="D1020" s="327" t="s">
        <v>114</v>
      </c>
      <c r="E1020" s="328" t="s">
        <v>360</v>
      </c>
      <c r="F1020" s="328">
        <v>14.487745999999998</v>
      </c>
      <c r="G1020" s="328">
        <v>7309.9899499999992</v>
      </c>
      <c r="H1020" s="328">
        <v>7448.8973000000005</v>
      </c>
      <c r="I1020" s="329">
        <v>1.6648220464325628E-2</v>
      </c>
      <c r="J1020" s="329">
        <v>0.8367029214776005</v>
      </c>
      <c r="K1020" s="329">
        <v>0.89669000851916625</v>
      </c>
    </row>
    <row r="1021" spans="1:11" ht="11.25" x14ac:dyDescent="0.15">
      <c r="A1021" s="326">
        <v>1.1499999999999999</v>
      </c>
      <c r="B1021" s="327">
        <v>25</v>
      </c>
      <c r="C1021" s="327" t="s">
        <v>112</v>
      </c>
      <c r="D1021" s="327" t="s">
        <v>113</v>
      </c>
      <c r="E1021" s="328" t="s">
        <v>361</v>
      </c>
      <c r="F1021" s="328">
        <v>8.7882850499999989</v>
      </c>
      <c r="G1021" s="328">
        <v>7254.6347000000005</v>
      </c>
      <c r="H1021" s="328">
        <v>7352.6963500000002</v>
      </c>
      <c r="I1021" s="329">
        <v>1.0098831592970845E-2</v>
      </c>
      <c r="J1021" s="329">
        <v>0.83036694841731995</v>
      </c>
      <c r="K1021" s="329">
        <v>0.88510944468523445</v>
      </c>
    </row>
    <row r="1022" spans="1:11" ht="11.25" x14ac:dyDescent="0.15">
      <c r="A1022" s="326">
        <v>1.175</v>
      </c>
      <c r="B1022" s="327">
        <v>25</v>
      </c>
      <c r="C1022" s="327" t="s">
        <v>112</v>
      </c>
      <c r="D1022" s="327" t="s">
        <v>79</v>
      </c>
      <c r="E1022" s="328" t="s">
        <v>362</v>
      </c>
      <c r="F1022" s="328">
        <v>57.190504750000002</v>
      </c>
      <c r="G1022" s="328">
        <v>7839.1487999999999</v>
      </c>
      <c r="H1022" s="328">
        <v>7894.6264250000004</v>
      </c>
      <c r="I1022" s="329">
        <v>6.5718996698593574E-2</v>
      </c>
      <c r="J1022" s="329">
        <v>0.89727054998996636</v>
      </c>
      <c r="K1022" s="329">
        <v>0.95034638701340191</v>
      </c>
    </row>
    <row r="1023" spans="1:11" ht="11.25" x14ac:dyDescent="0.15">
      <c r="A1023" s="326">
        <v>1.175</v>
      </c>
      <c r="B1023" s="327">
        <v>25</v>
      </c>
      <c r="C1023" s="327" t="s">
        <v>112</v>
      </c>
      <c r="D1023" s="327" t="s">
        <v>114</v>
      </c>
      <c r="E1023" s="328" t="s">
        <v>363</v>
      </c>
      <c r="F1023" s="328">
        <v>16.437439250000001</v>
      </c>
      <c r="G1023" s="328">
        <v>7626.7334750000009</v>
      </c>
      <c r="H1023" s="328">
        <v>7792.1182500000004</v>
      </c>
      <c r="I1023" s="329">
        <v>1.8888660285938157E-2</v>
      </c>
      <c r="J1023" s="329">
        <v>0.87295744912255502</v>
      </c>
      <c r="K1023" s="329">
        <v>0.93800656641820668</v>
      </c>
    </row>
    <row r="1024" spans="1:11" ht="11.25" x14ac:dyDescent="0.15">
      <c r="A1024" s="326">
        <v>1.175</v>
      </c>
      <c r="B1024" s="327">
        <v>25</v>
      </c>
      <c r="C1024" s="327" t="s">
        <v>112</v>
      </c>
      <c r="D1024" s="327" t="s">
        <v>113</v>
      </c>
      <c r="E1024" s="328" t="s">
        <v>364</v>
      </c>
      <c r="F1024" s="328">
        <v>10.123238350000001</v>
      </c>
      <c r="G1024" s="328">
        <v>7555.4485750000003</v>
      </c>
      <c r="H1024" s="328">
        <v>7693.0915999999997</v>
      </c>
      <c r="I1024" s="329">
        <v>1.1632858821773661E-2</v>
      </c>
      <c r="J1024" s="329">
        <v>0.86479816511598273</v>
      </c>
      <c r="K1024" s="329">
        <v>0.92608584794728288</v>
      </c>
    </row>
    <row r="1025" spans="1:11" ht="11.25" x14ac:dyDescent="0.15">
      <c r="A1025" s="326">
        <v>1.2</v>
      </c>
      <c r="B1025" s="327">
        <v>25</v>
      </c>
      <c r="C1025" s="327" t="s">
        <v>112</v>
      </c>
      <c r="D1025" s="327" t="s">
        <v>79</v>
      </c>
      <c r="E1025" s="328" t="s">
        <v>365</v>
      </c>
      <c r="F1025" s="328">
        <v>65.429891999999995</v>
      </c>
      <c r="G1025" s="328">
        <v>8216.4743999999992</v>
      </c>
      <c r="H1025" s="328">
        <v>8249.0280000000002</v>
      </c>
      <c r="I1025" s="329">
        <v>7.5187076510936604E-2</v>
      </c>
      <c r="J1025" s="329">
        <v>0.94045931413707551</v>
      </c>
      <c r="K1025" s="329">
        <v>0.99300885616919976</v>
      </c>
    </row>
    <row r="1026" spans="1:11" ht="11.25" x14ac:dyDescent="0.15">
      <c r="A1026" s="326">
        <v>1.2</v>
      </c>
      <c r="B1026" s="327">
        <v>25</v>
      </c>
      <c r="C1026" s="327" t="s">
        <v>112</v>
      </c>
      <c r="D1026" s="327" t="s">
        <v>114</v>
      </c>
      <c r="E1026" s="328" t="s">
        <v>366</v>
      </c>
      <c r="F1026" s="328">
        <v>18.678096</v>
      </c>
      <c r="G1026" s="328">
        <v>7956.1319999999996</v>
      </c>
      <c r="H1026" s="328">
        <v>8143.0367999999999</v>
      </c>
      <c r="I1026" s="329">
        <v>2.1463453325440598E-2</v>
      </c>
      <c r="J1026" s="329">
        <v>0.91066047061547939</v>
      </c>
      <c r="K1026" s="329">
        <v>0.98024975288139404</v>
      </c>
    </row>
    <row r="1027" spans="1:11" ht="11.25" x14ac:dyDescent="0.15">
      <c r="A1027" s="326">
        <v>1.2</v>
      </c>
      <c r="B1027" s="327">
        <v>25</v>
      </c>
      <c r="C1027" s="327" t="s">
        <v>112</v>
      </c>
      <c r="D1027" s="327" t="s">
        <v>113</v>
      </c>
      <c r="E1027" s="328" t="s">
        <v>367</v>
      </c>
      <c r="F1027" s="328">
        <v>11.678061600000001</v>
      </c>
      <c r="G1027" s="328">
        <v>7863.877199999999</v>
      </c>
      <c r="H1027" s="328">
        <v>8041.2492000000002</v>
      </c>
      <c r="I1027" s="329">
        <v>1.3419543945122681E-2</v>
      </c>
      <c r="J1027" s="329">
        <v>0.90010096763280678</v>
      </c>
      <c r="K1027" s="329">
        <v>0.96799667430677805</v>
      </c>
    </row>
    <row r="1028" spans="1:11" ht="11.25" x14ac:dyDescent="0.15">
      <c r="A1028" s="326">
        <v>1.2250000000000001</v>
      </c>
      <c r="B1028" s="327">
        <v>25</v>
      </c>
      <c r="C1028" s="327" t="s">
        <v>112</v>
      </c>
      <c r="D1028" s="327" t="s">
        <v>79</v>
      </c>
      <c r="E1028" s="328" t="s">
        <v>368</v>
      </c>
      <c r="F1028" s="328">
        <v>74.972192750000005</v>
      </c>
      <c r="G1028" s="328">
        <v>8614.0272750000004</v>
      </c>
      <c r="H1028" s="328">
        <v>8611.164450000002</v>
      </c>
      <c r="I1028" s="329">
        <v>8.6152365840477585E-2</v>
      </c>
      <c r="J1028" s="329">
        <v>0.98596329625326429</v>
      </c>
      <c r="K1028" s="329">
        <v>1.0366024410123686</v>
      </c>
    </row>
    <row r="1029" spans="1:11" ht="11.25" x14ac:dyDescent="0.15">
      <c r="A1029" s="326">
        <v>1.2250000000000001</v>
      </c>
      <c r="B1029" s="327">
        <v>25</v>
      </c>
      <c r="C1029" s="327" t="s">
        <v>112</v>
      </c>
      <c r="D1029" s="327" t="s">
        <v>114</v>
      </c>
      <c r="E1029" s="328" t="s">
        <v>369</v>
      </c>
      <c r="F1029" s="328">
        <v>21.254962750000001</v>
      </c>
      <c r="G1029" s="328">
        <v>8299.9372750000002</v>
      </c>
      <c r="H1029" s="328">
        <v>8501.8724000000002</v>
      </c>
      <c r="I1029" s="329">
        <v>2.4424593433859828E-2</v>
      </c>
      <c r="J1029" s="329">
        <v>0.95001249161407331</v>
      </c>
      <c r="K1029" s="329">
        <v>1.023445985056723</v>
      </c>
    </row>
    <row r="1030" spans="1:11" ht="11.25" x14ac:dyDescent="0.15">
      <c r="A1030" s="326">
        <v>1.2250000000000001</v>
      </c>
      <c r="B1030" s="327">
        <v>25</v>
      </c>
      <c r="C1030" s="327" t="s">
        <v>112</v>
      </c>
      <c r="D1030" s="327" t="s">
        <v>113</v>
      </c>
      <c r="E1030" s="328" t="s">
        <v>370</v>
      </c>
      <c r="F1030" s="328">
        <v>13.48870775</v>
      </c>
      <c r="G1030" s="328">
        <v>8180.0710250000002</v>
      </c>
      <c r="H1030" s="328">
        <v>8396.8310999999994</v>
      </c>
      <c r="I1030" s="329">
        <v>1.5500201370237837E-2</v>
      </c>
      <c r="J1030" s="329">
        <v>0.93629257650508413</v>
      </c>
      <c r="K1030" s="329">
        <v>1.0108012296790558</v>
      </c>
    </row>
    <row r="1031" spans="1:11" ht="11.25" x14ac:dyDescent="0.15">
      <c r="A1031" s="326">
        <v>1.25</v>
      </c>
      <c r="B1031" s="327">
        <v>25</v>
      </c>
      <c r="C1031" s="327" t="s">
        <v>112</v>
      </c>
      <c r="D1031" s="327" t="s">
        <v>79</v>
      </c>
      <c r="E1031" s="328" t="s">
        <v>371</v>
      </c>
      <c r="F1031" s="328">
        <v>86.015587500000009</v>
      </c>
      <c r="G1031" s="328">
        <v>9031.4825000000001</v>
      </c>
      <c r="H1031" s="328">
        <v>8981.3312500000011</v>
      </c>
      <c r="I1031" s="329">
        <v>9.88425987084873E-2</v>
      </c>
      <c r="J1031" s="329">
        <v>1.0337453053576118</v>
      </c>
      <c r="K1031" s="329">
        <v>1.0811627104962174</v>
      </c>
    </row>
    <row r="1032" spans="1:11" ht="11.25" x14ac:dyDescent="0.15">
      <c r="A1032" s="326">
        <v>1.25</v>
      </c>
      <c r="B1032" s="327">
        <v>25</v>
      </c>
      <c r="C1032" s="327" t="s">
        <v>112</v>
      </c>
      <c r="D1032" s="327" t="s">
        <v>114</v>
      </c>
      <c r="E1032" s="328" t="s">
        <v>372</v>
      </c>
      <c r="F1032" s="328">
        <v>24.219149999999999</v>
      </c>
      <c r="G1032" s="328">
        <v>8656.15625</v>
      </c>
      <c r="H1032" s="328">
        <v>8868.1362499999996</v>
      </c>
      <c r="I1032" s="329">
        <v>2.7830812926908859E-2</v>
      </c>
      <c r="J1032" s="329">
        <v>0.99078538721405374</v>
      </c>
      <c r="K1032" s="329">
        <v>1.0675364217414605</v>
      </c>
    </row>
    <row r="1033" spans="1:11" ht="11.25" x14ac:dyDescent="0.15">
      <c r="A1033" s="326">
        <v>1.25</v>
      </c>
      <c r="B1033" s="327">
        <v>25</v>
      </c>
      <c r="C1033" s="327" t="s">
        <v>112</v>
      </c>
      <c r="D1033" s="327" t="s">
        <v>113</v>
      </c>
      <c r="E1033" s="328" t="s">
        <v>373</v>
      </c>
      <c r="F1033" s="328">
        <v>15.595912500000001</v>
      </c>
      <c r="G1033" s="328">
        <v>8507.4424999999992</v>
      </c>
      <c r="H1033" s="328">
        <v>8760.53125</v>
      </c>
      <c r="I1033" s="329">
        <v>1.7921641478414373E-2</v>
      </c>
      <c r="J1033" s="329">
        <v>0.97376358144688024</v>
      </c>
      <c r="K1033" s="329">
        <v>1.0545830509966787</v>
      </c>
    </row>
    <row r="1034" spans="1:11" ht="11.25" x14ac:dyDescent="0.15">
      <c r="A1034" s="326">
        <v>1.2749999999999999</v>
      </c>
      <c r="B1034" s="327">
        <v>25</v>
      </c>
      <c r="C1034" s="327" t="s">
        <v>112</v>
      </c>
      <c r="D1034" s="327" t="s">
        <v>79</v>
      </c>
      <c r="E1034" s="328" t="s">
        <v>374</v>
      </c>
      <c r="F1034" s="328">
        <v>98.783468249999999</v>
      </c>
      <c r="G1034" s="328">
        <v>9471.9469499999996</v>
      </c>
      <c r="H1034" s="328">
        <v>9359.6525999999994</v>
      </c>
      <c r="I1034" s="329">
        <v>0.11351448028262721</v>
      </c>
      <c r="J1034" s="329">
        <v>1.0841609549881595</v>
      </c>
      <c r="K1034" s="329">
        <v>1.126704615679214</v>
      </c>
    </row>
    <row r="1035" spans="1:11" ht="11.25" x14ac:dyDescent="0.15">
      <c r="A1035" s="326">
        <v>1.2749999999999999</v>
      </c>
      <c r="B1035" s="327">
        <v>25</v>
      </c>
      <c r="C1035" s="327" t="s">
        <v>112</v>
      </c>
      <c r="D1035" s="327" t="s">
        <v>114</v>
      </c>
      <c r="E1035" s="328" t="s">
        <v>375</v>
      </c>
      <c r="F1035" s="328">
        <v>27.628612499999996</v>
      </c>
      <c r="G1035" s="328">
        <v>9028.3119749999987</v>
      </c>
      <c r="H1035" s="328">
        <v>9242.2429499999998</v>
      </c>
      <c r="I1035" s="329">
        <v>3.1748709014046965E-2</v>
      </c>
      <c r="J1035" s="329">
        <v>1.033382406427755</v>
      </c>
      <c r="K1035" s="329">
        <v>1.1125709720245041</v>
      </c>
    </row>
    <row r="1036" spans="1:11" ht="11.25" x14ac:dyDescent="0.15">
      <c r="A1036" s="326">
        <v>1.2749999999999999</v>
      </c>
      <c r="B1036" s="327">
        <v>25</v>
      </c>
      <c r="C1036" s="327" t="s">
        <v>112</v>
      </c>
      <c r="D1036" s="327" t="s">
        <v>113</v>
      </c>
      <c r="E1036" s="328" t="s">
        <v>376</v>
      </c>
      <c r="F1036" s="328">
        <v>18.045686999999997</v>
      </c>
      <c r="G1036" s="328">
        <v>8843.5568249999997</v>
      </c>
      <c r="H1036" s="328">
        <v>9131.5576500000006</v>
      </c>
      <c r="I1036" s="329">
        <v>2.0736736798547886E-2</v>
      </c>
      <c r="J1036" s="329">
        <v>1.0122352947599706</v>
      </c>
      <c r="K1036" s="329">
        <v>1.0992467981766587</v>
      </c>
    </row>
    <row r="1037" spans="1:11" ht="11.25" x14ac:dyDescent="0.15">
      <c r="A1037" s="326">
        <v>1.3</v>
      </c>
      <c r="B1037" s="327">
        <v>25</v>
      </c>
      <c r="C1037" s="327" t="s">
        <v>112</v>
      </c>
      <c r="D1037" s="327" t="s">
        <v>79</v>
      </c>
      <c r="E1037" s="328" t="s">
        <v>377</v>
      </c>
      <c r="F1037" s="328">
        <v>113.524164</v>
      </c>
      <c r="G1037" s="328">
        <v>9935.6634000000013</v>
      </c>
      <c r="H1037" s="328">
        <v>9745.4578000000001</v>
      </c>
      <c r="I1037" s="329">
        <v>0.13045337144233887</v>
      </c>
      <c r="J1037" s="329">
        <v>1.137238033220288</v>
      </c>
      <c r="K1037" s="329">
        <v>1.1731474184380519</v>
      </c>
    </row>
    <row r="1038" spans="1:11" ht="11.25" x14ac:dyDescent="0.15">
      <c r="A1038" s="326">
        <v>1.3</v>
      </c>
      <c r="B1038" s="327">
        <v>25</v>
      </c>
      <c r="C1038" s="327" t="s">
        <v>112</v>
      </c>
      <c r="D1038" s="327" t="s">
        <v>114</v>
      </c>
      <c r="E1038" s="328" t="s">
        <v>378</v>
      </c>
      <c r="F1038" s="328">
        <v>31.548503999999998</v>
      </c>
      <c r="G1038" s="328">
        <v>9417.6680000000015</v>
      </c>
      <c r="H1038" s="328">
        <v>9624.0326000000005</v>
      </c>
      <c r="I1038" s="329">
        <v>3.6253151450312493E-2</v>
      </c>
      <c r="J1038" s="329">
        <v>1.0779481754425821</v>
      </c>
      <c r="K1038" s="329">
        <v>1.1585303873209172</v>
      </c>
    </row>
    <row r="1039" spans="1:11" ht="11.25" x14ac:dyDescent="0.15">
      <c r="A1039" s="326">
        <v>1.3</v>
      </c>
      <c r="B1039" s="327">
        <v>25</v>
      </c>
      <c r="C1039" s="327" t="s">
        <v>112</v>
      </c>
      <c r="D1039" s="327" t="s">
        <v>113</v>
      </c>
      <c r="E1039" s="328" t="s">
        <v>379</v>
      </c>
      <c r="F1039" s="328">
        <v>20.88983</v>
      </c>
      <c r="G1039" s="328">
        <v>9192.0920000000006</v>
      </c>
      <c r="H1039" s="328">
        <v>9510.1786000000011</v>
      </c>
      <c r="I1039" s="329">
        <v>2.4005010531126338E-2</v>
      </c>
      <c r="J1039" s="329">
        <v>1.0521287010648874</v>
      </c>
      <c r="K1039" s="329">
        <v>1.144824768875897</v>
      </c>
    </row>
    <row r="1040" spans="1:11" ht="11.25" x14ac:dyDescent="0.15">
      <c r="A1040" s="326">
        <v>1.325</v>
      </c>
      <c r="B1040" s="327">
        <v>25</v>
      </c>
      <c r="C1040" s="327" t="s">
        <v>112</v>
      </c>
      <c r="D1040" s="327" t="s">
        <v>79</v>
      </c>
      <c r="E1040" s="328" t="s">
        <v>380</v>
      </c>
      <c r="F1040" s="328">
        <v>130.51700499999998</v>
      </c>
      <c r="G1040" s="328">
        <v>10424.067825</v>
      </c>
      <c r="H1040" s="328">
        <v>10139.479024999999</v>
      </c>
      <c r="I1040" s="329">
        <v>0.14998025735566392</v>
      </c>
      <c r="J1040" s="329">
        <v>1.1931409020416175</v>
      </c>
      <c r="K1040" s="329">
        <v>1.2205792571884642</v>
      </c>
    </row>
    <row r="1041" spans="1:11" ht="11.25" x14ac:dyDescent="0.15">
      <c r="A1041" s="326">
        <v>1.325</v>
      </c>
      <c r="B1041" s="327">
        <v>25</v>
      </c>
      <c r="C1041" s="327" t="s">
        <v>112</v>
      </c>
      <c r="D1041" s="327" t="s">
        <v>114</v>
      </c>
      <c r="E1041" s="328" t="s">
        <v>381</v>
      </c>
      <c r="F1041" s="328">
        <v>36.05212375</v>
      </c>
      <c r="G1041" s="328">
        <v>9825.4606499999991</v>
      </c>
      <c r="H1041" s="328">
        <v>10013.800125</v>
      </c>
      <c r="I1041" s="329">
        <v>4.1428370182439014E-2</v>
      </c>
      <c r="J1041" s="329">
        <v>1.1246242042669572</v>
      </c>
      <c r="K1041" s="329">
        <v>1.2054501703756175</v>
      </c>
    </row>
    <row r="1042" spans="1:11" ht="11.25" x14ac:dyDescent="0.15">
      <c r="A1042" s="326">
        <v>1.325</v>
      </c>
      <c r="B1042" s="327">
        <v>25</v>
      </c>
      <c r="C1042" s="327" t="s">
        <v>112</v>
      </c>
      <c r="D1042" s="327" t="s">
        <v>113</v>
      </c>
      <c r="E1042" s="328" t="s">
        <v>382</v>
      </c>
      <c r="F1042" s="328">
        <v>24.186549999999997</v>
      </c>
      <c r="G1042" s="328">
        <v>9550.6238499999999</v>
      </c>
      <c r="H1042" s="328">
        <v>9896.6237500000007</v>
      </c>
      <c r="I1042" s="329">
        <v>2.7793351475891077E-2</v>
      </c>
      <c r="J1042" s="329">
        <v>1.0931663288030442</v>
      </c>
      <c r="K1042" s="329">
        <v>1.1913446081070931</v>
      </c>
    </row>
    <row r="1043" spans="1:11" ht="11.25" x14ac:dyDescent="0.15">
      <c r="A1043" s="326">
        <v>1.35</v>
      </c>
      <c r="B1043" s="327">
        <v>25</v>
      </c>
      <c r="C1043" s="327" t="s">
        <v>112</v>
      </c>
      <c r="D1043" s="327" t="s">
        <v>79</v>
      </c>
      <c r="E1043" s="328" t="s">
        <v>383</v>
      </c>
      <c r="F1043" s="328">
        <v>150.07207500000001</v>
      </c>
      <c r="G1043" s="328">
        <v>10938.034799999999</v>
      </c>
      <c r="H1043" s="328">
        <v>10541.597850000002</v>
      </c>
      <c r="I1043" s="329">
        <v>0.17245146278370777</v>
      </c>
      <c r="J1043" s="329">
        <v>1.2519696654827359</v>
      </c>
      <c r="K1043" s="329">
        <v>1.2689858760600883</v>
      </c>
    </row>
    <row r="1044" spans="1:11" ht="11.25" x14ac:dyDescent="0.15">
      <c r="A1044" s="326">
        <v>1.35</v>
      </c>
      <c r="B1044" s="327">
        <v>25</v>
      </c>
      <c r="C1044" s="327" t="s">
        <v>112</v>
      </c>
      <c r="D1044" s="327" t="s">
        <v>114</v>
      </c>
      <c r="E1044" s="328" t="s">
        <v>384</v>
      </c>
      <c r="F1044" s="328">
        <v>41.2216965</v>
      </c>
      <c r="G1044" s="328">
        <v>10253.7009</v>
      </c>
      <c r="H1044" s="328">
        <v>10412.016750000001</v>
      </c>
      <c r="I1044" s="329">
        <v>4.7368851665781565E-2</v>
      </c>
      <c r="J1044" s="329">
        <v>1.1736406695042723</v>
      </c>
      <c r="K1044" s="329">
        <v>1.2533870467322998</v>
      </c>
    </row>
    <row r="1045" spans="1:11" ht="11.25" x14ac:dyDescent="0.15">
      <c r="A1045" s="326">
        <v>1.35</v>
      </c>
      <c r="B1045" s="327">
        <v>25</v>
      </c>
      <c r="C1045" s="327" t="s">
        <v>112</v>
      </c>
      <c r="D1045" s="327" t="s">
        <v>113</v>
      </c>
      <c r="E1045" s="328" t="s">
        <v>385</v>
      </c>
      <c r="F1045" s="328">
        <v>28.001052000000005</v>
      </c>
      <c r="G1045" s="328">
        <v>9922.846950000001</v>
      </c>
      <c r="H1045" s="328">
        <v>10290.315600000002</v>
      </c>
      <c r="I1045" s="329">
        <v>3.2176688280498994E-2</v>
      </c>
      <c r="J1045" s="329">
        <v>1.1357710597728112</v>
      </c>
      <c r="K1045" s="329">
        <v>1.2387367970597354</v>
      </c>
    </row>
    <row r="1046" spans="1:11" ht="11.25" x14ac:dyDescent="0.15">
      <c r="A1046" s="326">
        <v>1.375</v>
      </c>
      <c r="B1046" s="327">
        <v>25</v>
      </c>
      <c r="C1046" s="327" t="s">
        <v>112</v>
      </c>
      <c r="D1046" s="327" t="s">
        <v>79</v>
      </c>
      <c r="E1046" s="328" t="s">
        <v>386</v>
      </c>
      <c r="F1046" s="328">
        <v>172.53389999999999</v>
      </c>
      <c r="G1046" s="328">
        <v>11478.662250000001</v>
      </c>
      <c r="H1046" s="328">
        <v>10951.968500000001</v>
      </c>
      <c r="I1046" s="329">
        <v>0.19826289091276944</v>
      </c>
      <c r="J1046" s="329">
        <v>1.3138499922602012</v>
      </c>
      <c r="K1046" s="329">
        <v>1.3183858404876438</v>
      </c>
    </row>
    <row r="1047" spans="1:11" ht="11.25" x14ac:dyDescent="0.15">
      <c r="A1047" s="326">
        <v>1.375</v>
      </c>
      <c r="B1047" s="327">
        <v>25</v>
      </c>
      <c r="C1047" s="327" t="s">
        <v>112</v>
      </c>
      <c r="D1047" s="327" t="s">
        <v>114</v>
      </c>
      <c r="E1047" s="328" t="s">
        <v>387</v>
      </c>
      <c r="F1047" s="328">
        <v>47.149492500000001</v>
      </c>
      <c r="G1047" s="328">
        <v>10702.241</v>
      </c>
      <c r="H1047" s="328">
        <v>10817.3505</v>
      </c>
      <c r="I1047" s="329">
        <v>5.4180625883492706E-2</v>
      </c>
      <c r="J1047" s="329">
        <v>1.2249806596597794</v>
      </c>
      <c r="K1047" s="329">
        <v>1.3021806747154114</v>
      </c>
    </row>
    <row r="1048" spans="1:11" ht="11.25" x14ac:dyDescent="0.15">
      <c r="A1048" s="326">
        <v>1.375</v>
      </c>
      <c r="B1048" s="327">
        <v>25</v>
      </c>
      <c r="C1048" s="327" t="s">
        <v>112</v>
      </c>
      <c r="D1048" s="327" t="s">
        <v>113</v>
      </c>
      <c r="E1048" s="328" t="s">
        <v>388</v>
      </c>
      <c r="F1048" s="328">
        <v>32.406233750000006</v>
      </c>
      <c r="G1048" s="328">
        <v>10313.127</v>
      </c>
      <c r="H1048" s="328">
        <v>10692.325875</v>
      </c>
      <c r="I1048" s="329">
        <v>3.7238789518291529E-2</v>
      </c>
      <c r="J1048" s="329">
        <v>1.1804425928751821</v>
      </c>
      <c r="K1048" s="329">
        <v>1.2871303488025605</v>
      </c>
    </row>
    <row r="1049" spans="1:11" ht="11.25" x14ac:dyDescent="0.15">
      <c r="A1049" s="326">
        <v>1.4</v>
      </c>
      <c r="B1049" s="327">
        <v>25</v>
      </c>
      <c r="C1049" s="327" t="s">
        <v>112</v>
      </c>
      <c r="D1049" s="327" t="s">
        <v>79</v>
      </c>
      <c r="E1049" s="328" t="s">
        <v>389</v>
      </c>
      <c r="F1049" s="328">
        <v>198.28396000000001</v>
      </c>
      <c r="G1049" s="328">
        <v>12045.929</v>
      </c>
      <c r="H1049" s="328">
        <v>11369.9236</v>
      </c>
      <c r="I1049" s="329">
        <v>0.22785290966721289</v>
      </c>
      <c r="J1049" s="329">
        <v>1.3787794586792492</v>
      </c>
      <c r="K1049" s="329">
        <v>1.3686988126076418</v>
      </c>
    </row>
    <row r="1050" spans="1:11" ht="11.25" x14ac:dyDescent="0.15">
      <c r="A1050" s="326">
        <v>1.4</v>
      </c>
      <c r="B1050" s="327">
        <v>25</v>
      </c>
      <c r="C1050" s="327" t="s">
        <v>112</v>
      </c>
      <c r="D1050" s="327" t="s">
        <v>114</v>
      </c>
      <c r="E1050" s="328" t="s">
        <v>390</v>
      </c>
      <c r="F1050" s="328">
        <v>53.938499999999991</v>
      </c>
      <c r="G1050" s="328">
        <v>11172.729399999998</v>
      </c>
      <c r="H1050" s="328">
        <v>11230.7552</v>
      </c>
      <c r="I1050" s="329">
        <v>6.1982039132590254E-2</v>
      </c>
      <c r="J1050" s="329">
        <v>1.2788328566523786</v>
      </c>
      <c r="K1050" s="329">
        <v>1.351945874722245</v>
      </c>
    </row>
    <row r="1051" spans="1:11" ht="11.25" x14ac:dyDescent="0.15">
      <c r="A1051" s="326">
        <v>1.4</v>
      </c>
      <c r="B1051" s="327">
        <v>25</v>
      </c>
      <c r="C1051" s="327" t="s">
        <v>112</v>
      </c>
      <c r="D1051" s="327" t="s">
        <v>113</v>
      </c>
      <c r="E1051" s="328" t="s">
        <v>391</v>
      </c>
      <c r="F1051" s="328">
        <v>37.483488000000001</v>
      </c>
      <c r="G1051" s="328">
        <v>10716.536599999999</v>
      </c>
      <c r="H1051" s="328">
        <v>11101.8138</v>
      </c>
      <c r="I1051" s="329">
        <v>4.3073185573235771E-2</v>
      </c>
      <c r="J1051" s="329">
        <v>1.2266169369140696</v>
      </c>
      <c r="K1051" s="329">
        <v>1.336424051772092</v>
      </c>
    </row>
    <row r="1052" spans="1:11" ht="11.25" x14ac:dyDescent="0.15">
      <c r="A1052" s="326">
        <v>0.9</v>
      </c>
      <c r="B1052" s="327">
        <v>50</v>
      </c>
      <c r="C1052" s="327" t="s">
        <v>112</v>
      </c>
      <c r="D1052" s="327" t="s">
        <v>79</v>
      </c>
      <c r="E1052" s="328" t="s">
        <v>392</v>
      </c>
      <c r="F1052" s="328">
        <v>30.944483999999999</v>
      </c>
      <c r="G1052" s="328">
        <v>4598.6400000000003</v>
      </c>
      <c r="H1052" s="328">
        <v>4520.1564000000008</v>
      </c>
      <c r="I1052" s="329">
        <v>3.5559057412160387E-2</v>
      </c>
      <c r="J1052" s="329">
        <v>0.52636126029472219</v>
      </c>
      <c r="K1052" s="329">
        <v>0.54413142208632204</v>
      </c>
    </row>
    <row r="1053" spans="1:11" ht="11.25" x14ac:dyDescent="0.15">
      <c r="A1053" s="326">
        <v>0.9</v>
      </c>
      <c r="B1053" s="327">
        <v>50</v>
      </c>
      <c r="C1053" s="327" t="s">
        <v>112</v>
      </c>
      <c r="D1053" s="327" t="s">
        <v>114</v>
      </c>
      <c r="E1053" s="328" t="s">
        <v>393</v>
      </c>
      <c r="F1053" s="328">
        <v>8.4351618000000013</v>
      </c>
      <c r="G1053" s="328">
        <v>4588.2882</v>
      </c>
      <c r="H1053" s="328">
        <v>4450.2785999999996</v>
      </c>
      <c r="I1053" s="329">
        <v>9.6930490980900574E-3</v>
      </c>
      <c r="J1053" s="329">
        <v>0.5251763911824805</v>
      </c>
      <c r="K1053" s="329">
        <v>0.5357196099007383</v>
      </c>
    </row>
    <row r="1054" spans="1:11" ht="11.25" x14ac:dyDescent="0.15">
      <c r="A1054" s="326">
        <v>0.9</v>
      </c>
      <c r="B1054" s="327">
        <v>50</v>
      </c>
      <c r="C1054" s="327" t="s">
        <v>112</v>
      </c>
      <c r="D1054" s="327" t="s">
        <v>113</v>
      </c>
      <c r="E1054" s="328" t="s">
        <v>394</v>
      </c>
      <c r="F1054" s="328">
        <v>3.5910558000000004</v>
      </c>
      <c r="G1054" s="328">
        <v>4595.4035999999996</v>
      </c>
      <c r="H1054" s="328">
        <v>4381.2719999999999</v>
      </c>
      <c r="I1054" s="329">
        <v>4.126569354411325E-3</v>
      </c>
      <c r="J1054" s="329">
        <v>0.52599082129910213</v>
      </c>
      <c r="K1054" s="329">
        <v>0.52741267180644091</v>
      </c>
    </row>
    <row r="1055" spans="1:11" ht="11.25" x14ac:dyDescent="0.15">
      <c r="A1055" s="326">
        <v>0.92500000000000004</v>
      </c>
      <c r="B1055" s="327">
        <v>50</v>
      </c>
      <c r="C1055" s="327" t="s">
        <v>112</v>
      </c>
      <c r="D1055" s="327" t="s">
        <v>79</v>
      </c>
      <c r="E1055" s="328" t="s">
        <v>395</v>
      </c>
      <c r="F1055" s="328">
        <v>34.085334250000002</v>
      </c>
      <c r="G1055" s="328">
        <v>4845.6402500000013</v>
      </c>
      <c r="H1055" s="328">
        <v>4789.1773249999997</v>
      </c>
      <c r="I1055" s="329">
        <v>3.916828464512212E-2</v>
      </c>
      <c r="J1055" s="329">
        <v>0.55463295864099671</v>
      </c>
      <c r="K1055" s="329">
        <v>0.57651586314044723</v>
      </c>
    </row>
    <row r="1056" spans="1:11" ht="11.25" x14ac:dyDescent="0.15">
      <c r="A1056" s="326">
        <v>0.92500000000000004</v>
      </c>
      <c r="B1056" s="327">
        <v>50</v>
      </c>
      <c r="C1056" s="327" t="s">
        <v>112</v>
      </c>
      <c r="D1056" s="327" t="s">
        <v>114</v>
      </c>
      <c r="E1056" s="328" t="s">
        <v>396</v>
      </c>
      <c r="F1056" s="328">
        <v>9.3250267499999993</v>
      </c>
      <c r="G1056" s="328">
        <v>4829.2381500000001</v>
      </c>
      <c r="H1056" s="328">
        <v>4716.5657499999998</v>
      </c>
      <c r="I1056" s="329">
        <v>1.0715614504128794E-2</v>
      </c>
      <c r="J1056" s="329">
        <v>0.55275557097258154</v>
      </c>
      <c r="K1056" s="329">
        <v>0.5677749621475795</v>
      </c>
    </row>
    <row r="1057" spans="1:11" ht="11.25" x14ac:dyDescent="0.15">
      <c r="A1057" s="326">
        <v>0.92500000000000004</v>
      </c>
      <c r="B1057" s="327">
        <v>50</v>
      </c>
      <c r="C1057" s="327" t="s">
        <v>112</v>
      </c>
      <c r="D1057" s="327" t="s">
        <v>113</v>
      </c>
      <c r="E1057" s="328" t="s">
        <v>397</v>
      </c>
      <c r="F1057" s="328">
        <v>4.0409494500000003</v>
      </c>
      <c r="G1057" s="328">
        <v>4835.046225</v>
      </c>
      <c r="H1057" s="328">
        <v>4645.4128999999994</v>
      </c>
      <c r="I1057" s="329">
        <v>4.6435530640028758E-3</v>
      </c>
      <c r="J1057" s="329">
        <v>0.55342036440648512</v>
      </c>
      <c r="K1057" s="329">
        <v>0.55920966085490853</v>
      </c>
    </row>
    <row r="1058" spans="1:11" ht="11.25" x14ac:dyDescent="0.15">
      <c r="A1058" s="326">
        <v>0.95</v>
      </c>
      <c r="B1058" s="327">
        <v>50</v>
      </c>
      <c r="C1058" s="327" t="s">
        <v>112</v>
      </c>
      <c r="D1058" s="327" t="s">
        <v>79</v>
      </c>
      <c r="E1058" s="328" t="s">
        <v>398</v>
      </c>
      <c r="F1058" s="328">
        <v>37.539116999999997</v>
      </c>
      <c r="G1058" s="328">
        <v>5101.3318500000005</v>
      </c>
      <c r="H1058" s="328">
        <v>5066.1371999999992</v>
      </c>
      <c r="I1058" s="329">
        <v>4.3137110206937238E-2</v>
      </c>
      <c r="J1058" s="329">
        <v>0.58389947065819614</v>
      </c>
      <c r="K1058" s="329">
        <v>0.60985598620446335</v>
      </c>
    </row>
    <row r="1059" spans="1:11" ht="11.25" x14ac:dyDescent="0.15">
      <c r="A1059" s="326">
        <v>0.95</v>
      </c>
      <c r="B1059" s="327">
        <v>50</v>
      </c>
      <c r="C1059" s="327" t="s">
        <v>112</v>
      </c>
      <c r="D1059" s="327" t="s">
        <v>114</v>
      </c>
      <c r="E1059" s="328" t="s">
        <v>399</v>
      </c>
      <c r="F1059" s="328">
        <v>10.296460999999999</v>
      </c>
      <c r="G1059" s="328">
        <v>5077.1552999999994</v>
      </c>
      <c r="H1059" s="328">
        <v>4991.0263999999997</v>
      </c>
      <c r="I1059" s="329">
        <v>1.1831913172023497E-2</v>
      </c>
      <c r="J1059" s="329">
        <v>0.5811322178774655</v>
      </c>
      <c r="K1059" s="329">
        <v>0.60081423127358502</v>
      </c>
    </row>
    <row r="1060" spans="1:11" ht="11.25" x14ac:dyDescent="0.15">
      <c r="A1060" s="326">
        <v>0.95</v>
      </c>
      <c r="B1060" s="327">
        <v>50</v>
      </c>
      <c r="C1060" s="327" t="s">
        <v>112</v>
      </c>
      <c r="D1060" s="327" t="s">
        <v>113</v>
      </c>
      <c r="E1060" s="328" t="s">
        <v>400</v>
      </c>
      <c r="F1060" s="328">
        <v>4.5385566000000006</v>
      </c>
      <c r="G1060" s="328">
        <v>5079.4799499999999</v>
      </c>
      <c r="H1060" s="328">
        <v>4917.2779</v>
      </c>
      <c r="I1060" s="329">
        <v>5.2153655141814444E-3</v>
      </c>
      <c r="J1060" s="329">
        <v>0.58139829778451291</v>
      </c>
      <c r="K1060" s="329">
        <v>0.59193646850817871</v>
      </c>
    </row>
    <row r="1061" spans="1:11" ht="11.25" x14ac:dyDescent="0.15">
      <c r="A1061" s="326">
        <v>0.97499999999999998</v>
      </c>
      <c r="B1061" s="327">
        <v>50</v>
      </c>
      <c r="C1061" s="327" t="s">
        <v>112</v>
      </c>
      <c r="D1061" s="327" t="s">
        <v>79</v>
      </c>
      <c r="E1061" s="328" t="s">
        <v>401</v>
      </c>
      <c r="F1061" s="328">
        <v>41.348882249999996</v>
      </c>
      <c r="G1061" s="328">
        <v>5366.1650250000002</v>
      </c>
      <c r="H1061" s="328">
        <v>5350.6186500000003</v>
      </c>
      <c r="I1061" s="329">
        <v>4.7515003897185992E-2</v>
      </c>
      <c r="J1061" s="329">
        <v>0.6142123291904692</v>
      </c>
      <c r="K1061" s="329">
        <v>0.64410154813804588</v>
      </c>
    </row>
    <row r="1062" spans="1:11" ht="11.25" x14ac:dyDescent="0.15">
      <c r="A1062" s="326">
        <v>0.97499999999999998</v>
      </c>
      <c r="B1062" s="327">
        <v>50</v>
      </c>
      <c r="C1062" s="327" t="s">
        <v>112</v>
      </c>
      <c r="D1062" s="327" t="s">
        <v>114</v>
      </c>
      <c r="E1062" s="328" t="s">
        <v>402</v>
      </c>
      <c r="F1062" s="328">
        <v>11.359734749999999</v>
      </c>
      <c r="G1062" s="328">
        <v>5329.7526749999997</v>
      </c>
      <c r="H1062" s="328">
        <v>5272.6849500000008</v>
      </c>
      <c r="I1062" s="329">
        <v>1.3053746837793884E-2</v>
      </c>
      <c r="J1062" s="329">
        <v>0.61004456427817066</v>
      </c>
      <c r="K1062" s="329">
        <v>0.63471997563107496</v>
      </c>
    </row>
    <row r="1063" spans="1:11" ht="11.25" x14ac:dyDescent="0.15">
      <c r="A1063" s="326">
        <v>0.97499999999999998</v>
      </c>
      <c r="B1063" s="327">
        <v>50</v>
      </c>
      <c r="C1063" s="327" t="s">
        <v>112</v>
      </c>
      <c r="D1063" s="327" t="s">
        <v>113</v>
      </c>
      <c r="E1063" s="328" t="s">
        <v>403</v>
      </c>
      <c r="F1063" s="328">
        <v>5.0912091750000004</v>
      </c>
      <c r="G1063" s="328">
        <v>5329.1121000000003</v>
      </c>
      <c r="H1063" s="328">
        <v>5196.3180749999992</v>
      </c>
      <c r="I1063" s="329">
        <v>5.8504319978689174E-3</v>
      </c>
      <c r="J1063" s="329">
        <v>0.60997124393469671</v>
      </c>
      <c r="K1063" s="329">
        <v>0.62552701578259728</v>
      </c>
    </row>
    <row r="1064" spans="1:11" ht="11.25" x14ac:dyDescent="0.15">
      <c r="A1064" s="326">
        <v>1</v>
      </c>
      <c r="B1064" s="327">
        <v>50</v>
      </c>
      <c r="C1064" s="327" t="s">
        <v>112</v>
      </c>
      <c r="D1064" s="327" t="s">
        <v>79</v>
      </c>
      <c r="E1064" s="328" t="s">
        <v>404</v>
      </c>
      <c r="F1064" s="328">
        <v>45.568539999999999</v>
      </c>
      <c r="G1064" s="328">
        <v>5642.076</v>
      </c>
      <c r="H1064" s="328">
        <v>5643.2370000000001</v>
      </c>
      <c r="I1064" s="329">
        <v>5.236391500495944E-2</v>
      </c>
      <c r="J1064" s="329">
        <v>0.64579315494115763</v>
      </c>
      <c r="K1064" s="329">
        <v>0.67932662108332109</v>
      </c>
    </row>
    <row r="1065" spans="1:11" ht="11.25" x14ac:dyDescent="0.15">
      <c r="A1065" s="326">
        <v>1</v>
      </c>
      <c r="B1065" s="327">
        <v>50</v>
      </c>
      <c r="C1065" s="327" t="s">
        <v>112</v>
      </c>
      <c r="D1065" s="327" t="s">
        <v>114</v>
      </c>
      <c r="E1065" s="328" t="s">
        <v>405</v>
      </c>
      <c r="F1065" s="328">
        <v>12.5284</v>
      </c>
      <c r="G1065" s="328">
        <v>5590.3040000000001</v>
      </c>
      <c r="H1065" s="328">
        <v>5562.1359999999995</v>
      </c>
      <c r="I1065" s="329">
        <v>1.4396688433470412E-2</v>
      </c>
      <c r="J1065" s="329">
        <v>0.63986732139733193</v>
      </c>
      <c r="K1065" s="329">
        <v>0.66956377250962507</v>
      </c>
    </row>
    <row r="1066" spans="1:11" ht="11.25" x14ac:dyDescent="0.15">
      <c r="A1066" s="326">
        <v>1</v>
      </c>
      <c r="B1066" s="327">
        <v>50</v>
      </c>
      <c r="C1066" s="327" t="s">
        <v>112</v>
      </c>
      <c r="D1066" s="327" t="s">
        <v>113</v>
      </c>
      <c r="E1066" s="328" t="s">
        <v>406</v>
      </c>
      <c r="F1066" s="328">
        <v>5.7088570000000001</v>
      </c>
      <c r="G1066" s="328">
        <v>5584.2980000000007</v>
      </c>
      <c r="H1066" s="328">
        <v>5483.4769999999999</v>
      </c>
      <c r="I1066" s="329">
        <v>6.560186100398822E-3</v>
      </c>
      <c r="J1066" s="329">
        <v>0.63917987342807803</v>
      </c>
      <c r="K1066" s="329">
        <v>0.66009488919180714</v>
      </c>
    </row>
    <row r="1067" spans="1:11" ht="11.25" x14ac:dyDescent="0.15">
      <c r="A1067" s="326">
        <v>1.0249999999999999</v>
      </c>
      <c r="B1067" s="327">
        <v>50</v>
      </c>
      <c r="C1067" s="327" t="s">
        <v>112</v>
      </c>
      <c r="D1067" s="327" t="s">
        <v>79</v>
      </c>
      <c r="E1067" s="328" t="s">
        <v>407</v>
      </c>
      <c r="F1067" s="328">
        <v>50.261346499999995</v>
      </c>
      <c r="G1067" s="328">
        <v>5926.5120750000006</v>
      </c>
      <c r="H1067" s="328">
        <v>5943.2246999999998</v>
      </c>
      <c r="I1067" s="329">
        <v>5.775653282200429E-2</v>
      </c>
      <c r="J1067" s="329">
        <v>0.67834976535429803</v>
      </c>
      <c r="K1067" s="329">
        <v>0.71543880822122741</v>
      </c>
    </row>
    <row r="1068" spans="1:11" ht="11.25" x14ac:dyDescent="0.15">
      <c r="A1068" s="326">
        <v>1.0249999999999999</v>
      </c>
      <c r="B1068" s="327">
        <v>50</v>
      </c>
      <c r="C1068" s="327" t="s">
        <v>112</v>
      </c>
      <c r="D1068" s="327" t="s">
        <v>114</v>
      </c>
      <c r="E1068" s="328" t="s">
        <v>408</v>
      </c>
      <c r="F1068" s="328">
        <v>13.818650249999999</v>
      </c>
      <c r="G1068" s="328">
        <v>5858.6734749999987</v>
      </c>
      <c r="H1068" s="328">
        <v>5859.5662499999989</v>
      </c>
      <c r="I1068" s="329">
        <v>1.5879346302827817E-2</v>
      </c>
      <c r="J1068" s="329">
        <v>0.67058494553960712</v>
      </c>
      <c r="K1068" s="329">
        <v>0.70536809664849554</v>
      </c>
    </row>
    <row r="1069" spans="1:11" ht="11.25" x14ac:dyDescent="0.15">
      <c r="A1069" s="326">
        <v>1.0249999999999999</v>
      </c>
      <c r="B1069" s="327">
        <v>50</v>
      </c>
      <c r="C1069" s="327" t="s">
        <v>112</v>
      </c>
      <c r="D1069" s="327" t="s">
        <v>113</v>
      </c>
      <c r="E1069" s="328" t="s">
        <v>409</v>
      </c>
      <c r="F1069" s="328">
        <v>6.4033871749999998</v>
      </c>
      <c r="G1069" s="328">
        <v>5845.4048499999999</v>
      </c>
      <c r="H1069" s="328">
        <v>5777.9126999999999</v>
      </c>
      <c r="I1069" s="329">
        <v>7.3582875768139011E-3</v>
      </c>
      <c r="J1069" s="329">
        <v>0.66906621605058914</v>
      </c>
      <c r="K1069" s="329">
        <v>0.69553873271765987</v>
      </c>
    </row>
    <row r="1070" spans="1:11" ht="11.25" x14ac:dyDescent="0.15">
      <c r="A1070" s="326">
        <v>1.05</v>
      </c>
      <c r="B1070" s="327">
        <v>50</v>
      </c>
      <c r="C1070" s="327" t="s">
        <v>112</v>
      </c>
      <c r="D1070" s="327" t="s">
        <v>79</v>
      </c>
      <c r="E1070" s="328" t="s">
        <v>410</v>
      </c>
      <c r="F1070" s="328">
        <v>55.500889500000007</v>
      </c>
      <c r="G1070" s="328">
        <v>6223.4949000000006</v>
      </c>
      <c r="H1070" s="328">
        <v>6251.2065000000011</v>
      </c>
      <c r="I1070" s="329">
        <v>6.3777418817404424E-2</v>
      </c>
      <c r="J1070" s="329">
        <v>0.71234247929861361</v>
      </c>
      <c r="K1070" s="329">
        <v>0.75251331626495488</v>
      </c>
    </row>
    <row r="1071" spans="1:11" ht="11.25" x14ac:dyDescent="0.15">
      <c r="A1071" s="326">
        <v>1.05</v>
      </c>
      <c r="B1071" s="327">
        <v>50</v>
      </c>
      <c r="C1071" s="327" t="s">
        <v>112</v>
      </c>
      <c r="D1071" s="327" t="s">
        <v>114</v>
      </c>
      <c r="E1071" s="328" t="s">
        <v>411</v>
      </c>
      <c r="F1071" s="328">
        <v>15.249223499999999</v>
      </c>
      <c r="G1071" s="328">
        <v>6135.2035500000011</v>
      </c>
      <c r="H1071" s="328">
        <v>6164.3715000000002</v>
      </c>
      <c r="I1071" s="329">
        <v>1.7523252736331471E-2</v>
      </c>
      <c r="J1071" s="329">
        <v>0.7022366336009459</v>
      </c>
      <c r="K1071" s="329">
        <v>0.74206021512074083</v>
      </c>
    </row>
    <row r="1072" spans="1:11" ht="11.25" x14ac:dyDescent="0.15">
      <c r="A1072" s="326">
        <v>1.05</v>
      </c>
      <c r="B1072" s="327">
        <v>50</v>
      </c>
      <c r="C1072" s="327" t="s">
        <v>112</v>
      </c>
      <c r="D1072" s="327" t="s">
        <v>113</v>
      </c>
      <c r="E1072" s="328" t="s">
        <v>412</v>
      </c>
      <c r="F1072" s="328">
        <v>7.1887305000000001</v>
      </c>
      <c r="G1072" s="328">
        <v>6113.7258000000002</v>
      </c>
      <c r="H1072" s="328">
        <v>6080.0648999999994</v>
      </c>
      <c r="I1072" s="329">
        <v>8.2607446474159494E-3</v>
      </c>
      <c r="J1072" s="329">
        <v>0.69977828601159442</v>
      </c>
      <c r="K1072" s="329">
        <v>0.73191147996873074</v>
      </c>
    </row>
    <row r="1073" spans="1:11" ht="11.25" x14ac:dyDescent="0.15">
      <c r="A1073" s="326">
        <v>1.075</v>
      </c>
      <c r="B1073" s="327">
        <v>50</v>
      </c>
      <c r="C1073" s="327" t="s">
        <v>112</v>
      </c>
      <c r="D1073" s="327" t="s">
        <v>79</v>
      </c>
      <c r="E1073" s="328" t="s">
        <v>413</v>
      </c>
      <c r="F1073" s="328">
        <v>61.371835999999995</v>
      </c>
      <c r="G1073" s="328">
        <v>6532.2181499999997</v>
      </c>
      <c r="H1073" s="328">
        <v>6566.6052499999987</v>
      </c>
      <c r="I1073" s="329">
        <v>7.0523865895249435E-2</v>
      </c>
      <c r="J1073" s="329">
        <v>0.74767900465225767</v>
      </c>
      <c r="K1073" s="329">
        <v>0.79048066853660348</v>
      </c>
    </row>
    <row r="1074" spans="1:11" ht="11.25" x14ac:dyDescent="0.15">
      <c r="A1074" s="326">
        <v>1.075</v>
      </c>
      <c r="B1074" s="327">
        <v>50</v>
      </c>
      <c r="C1074" s="327" t="s">
        <v>112</v>
      </c>
      <c r="D1074" s="327" t="s">
        <v>114</v>
      </c>
      <c r="E1074" s="328" t="s">
        <v>414</v>
      </c>
      <c r="F1074" s="328">
        <v>16.841627249999998</v>
      </c>
      <c r="G1074" s="328">
        <v>6418.0370249999996</v>
      </c>
      <c r="H1074" s="328">
        <v>6476.9276749999999</v>
      </c>
      <c r="I1074" s="329">
        <v>1.935312252409686E-2</v>
      </c>
      <c r="J1074" s="329">
        <v>0.73460981009541715</v>
      </c>
      <c r="K1074" s="329">
        <v>0.77968538136158394</v>
      </c>
    </row>
    <row r="1075" spans="1:11" ht="11.25" x14ac:dyDescent="0.15">
      <c r="A1075" s="326">
        <v>1.075</v>
      </c>
      <c r="B1075" s="327">
        <v>50</v>
      </c>
      <c r="C1075" s="327" t="s">
        <v>112</v>
      </c>
      <c r="D1075" s="327" t="s">
        <v>113</v>
      </c>
      <c r="E1075" s="328" t="s">
        <v>415</v>
      </c>
      <c r="F1075" s="328">
        <v>8.0811050250000012</v>
      </c>
      <c r="G1075" s="328">
        <v>6385.8644249999998</v>
      </c>
      <c r="H1075" s="328">
        <v>6389.6624000000002</v>
      </c>
      <c r="I1075" s="329">
        <v>9.2861938669803919E-3</v>
      </c>
      <c r="J1075" s="329">
        <v>0.73092732782175407</v>
      </c>
      <c r="K1075" s="329">
        <v>0.76918048418933038</v>
      </c>
    </row>
    <row r="1076" spans="1:11" ht="11.25" x14ac:dyDescent="0.15">
      <c r="A1076" s="326">
        <v>1.1000000000000001</v>
      </c>
      <c r="B1076" s="327">
        <v>50</v>
      </c>
      <c r="C1076" s="327" t="s">
        <v>112</v>
      </c>
      <c r="D1076" s="327" t="s">
        <v>79</v>
      </c>
      <c r="E1076" s="328" t="s">
        <v>416</v>
      </c>
      <c r="F1076" s="328">
        <v>67.971750000000014</v>
      </c>
      <c r="G1076" s="328">
        <v>6855.7533000000003</v>
      </c>
      <c r="H1076" s="328">
        <v>6889.7708000000002</v>
      </c>
      <c r="I1076" s="329">
        <v>7.8107987215266336E-2</v>
      </c>
      <c r="J1076" s="329">
        <v>0.78471090306214464</v>
      </c>
      <c r="K1076" s="329">
        <v>0.82938297959177165</v>
      </c>
    </row>
    <row r="1077" spans="1:11" ht="11.25" x14ac:dyDescent="0.15">
      <c r="A1077" s="326">
        <v>1.1000000000000001</v>
      </c>
      <c r="B1077" s="327">
        <v>50</v>
      </c>
      <c r="C1077" s="327" t="s">
        <v>112</v>
      </c>
      <c r="D1077" s="327" t="s">
        <v>114</v>
      </c>
      <c r="E1077" s="328" t="s">
        <v>417</v>
      </c>
      <c r="F1077" s="328">
        <v>18.620613000000002</v>
      </c>
      <c r="G1077" s="328">
        <v>6711.547700000001</v>
      </c>
      <c r="H1077" s="328">
        <v>6797.5787000000009</v>
      </c>
      <c r="I1077" s="329">
        <v>2.1397398215353025E-2</v>
      </c>
      <c r="J1077" s="329">
        <v>0.76820510105164663</v>
      </c>
      <c r="K1077" s="329">
        <v>0.81828499668168386</v>
      </c>
    </row>
    <row r="1078" spans="1:11" ht="11.25" x14ac:dyDescent="0.15">
      <c r="A1078" s="326">
        <v>1.1000000000000001</v>
      </c>
      <c r="B1078" s="327">
        <v>50</v>
      </c>
      <c r="C1078" s="327" t="s">
        <v>112</v>
      </c>
      <c r="D1078" s="327" t="s">
        <v>113</v>
      </c>
      <c r="E1078" s="328" t="s">
        <v>418</v>
      </c>
      <c r="F1078" s="328">
        <v>9.0992978999999998</v>
      </c>
      <c r="G1078" s="328">
        <v>6666.5137000000013</v>
      </c>
      <c r="H1078" s="328">
        <v>6707.3083000000006</v>
      </c>
      <c r="I1078" s="329">
        <v>1.0456224005430191E-2</v>
      </c>
      <c r="J1078" s="329">
        <v>0.76305050034445665</v>
      </c>
      <c r="K1078" s="329">
        <v>0.80741834588962247</v>
      </c>
    </row>
    <row r="1079" spans="1:11" ht="11.25" x14ac:dyDescent="0.15">
      <c r="A1079" s="326">
        <v>1.125</v>
      </c>
      <c r="B1079" s="327">
        <v>50</v>
      </c>
      <c r="C1079" s="327" t="s">
        <v>112</v>
      </c>
      <c r="D1079" s="327" t="s">
        <v>79</v>
      </c>
      <c r="E1079" s="328" t="s">
        <v>419</v>
      </c>
      <c r="F1079" s="328">
        <v>75.412811250000004</v>
      </c>
      <c r="G1079" s="328">
        <v>7194.3243750000001</v>
      </c>
      <c r="H1079" s="328">
        <v>7221.3029999999999</v>
      </c>
      <c r="I1079" s="329">
        <v>8.6658691250148662E-2</v>
      </c>
      <c r="J1079" s="329">
        <v>0.82346381647487943</v>
      </c>
      <c r="K1079" s="329">
        <v>0.86929245870922134</v>
      </c>
    </row>
    <row r="1080" spans="1:11" ht="11.25" x14ac:dyDescent="0.15">
      <c r="A1080" s="326">
        <v>1.125</v>
      </c>
      <c r="B1080" s="327">
        <v>50</v>
      </c>
      <c r="C1080" s="327" t="s">
        <v>112</v>
      </c>
      <c r="D1080" s="327" t="s">
        <v>114</v>
      </c>
      <c r="E1080" s="328" t="s">
        <v>420</v>
      </c>
      <c r="F1080" s="328">
        <v>20.61453375</v>
      </c>
      <c r="G1080" s="328">
        <v>7015.5596249999999</v>
      </c>
      <c r="H1080" s="328">
        <v>7125.6352500000003</v>
      </c>
      <c r="I1080" s="329">
        <v>2.3688660930367041E-2</v>
      </c>
      <c r="J1080" s="329">
        <v>0.80300236719720797</v>
      </c>
      <c r="K1080" s="329">
        <v>0.85777608090085644</v>
      </c>
    </row>
    <row r="1081" spans="1:11" ht="11.25" x14ac:dyDescent="0.15">
      <c r="A1081" s="326">
        <v>1.125</v>
      </c>
      <c r="B1081" s="327">
        <v>50</v>
      </c>
      <c r="C1081" s="327" t="s">
        <v>112</v>
      </c>
      <c r="D1081" s="327" t="s">
        <v>113</v>
      </c>
      <c r="E1081" s="328" t="s">
        <v>421</v>
      </c>
      <c r="F1081" s="328">
        <v>10.264986</v>
      </c>
      <c r="G1081" s="328">
        <v>6955.8502500000004</v>
      </c>
      <c r="H1081" s="328">
        <v>7032.7563749999999</v>
      </c>
      <c r="I1081" s="329">
        <v>1.1795744485803113E-2</v>
      </c>
      <c r="J1081" s="329">
        <v>0.79616802011276344</v>
      </c>
      <c r="K1081" s="329">
        <v>0.84659542477676131</v>
      </c>
    </row>
    <row r="1082" spans="1:11" ht="11.25" x14ac:dyDescent="0.15">
      <c r="A1082" s="326">
        <v>1.1499999999999999</v>
      </c>
      <c r="B1082" s="327">
        <v>50</v>
      </c>
      <c r="C1082" s="327" t="s">
        <v>112</v>
      </c>
      <c r="D1082" s="327" t="s">
        <v>79</v>
      </c>
      <c r="E1082" s="328" t="s">
        <v>422</v>
      </c>
      <c r="F1082" s="328">
        <v>83.822821499999989</v>
      </c>
      <c r="G1082" s="328">
        <v>7549.6027999999988</v>
      </c>
      <c r="H1082" s="328">
        <v>7560.1954499999993</v>
      </c>
      <c r="I1082" s="329">
        <v>9.6322838091847704E-2</v>
      </c>
      <c r="J1082" s="329">
        <v>0.86412905653248839</v>
      </c>
      <c r="K1082" s="329">
        <v>0.91008795657137875</v>
      </c>
    </row>
    <row r="1083" spans="1:11" ht="11.25" x14ac:dyDescent="0.15">
      <c r="A1083" s="326">
        <v>1.1499999999999999</v>
      </c>
      <c r="B1083" s="327">
        <v>50</v>
      </c>
      <c r="C1083" s="327" t="s">
        <v>112</v>
      </c>
      <c r="D1083" s="327" t="s">
        <v>114</v>
      </c>
      <c r="E1083" s="328" t="s">
        <v>423</v>
      </c>
      <c r="F1083" s="328">
        <v>22.855778499999996</v>
      </c>
      <c r="G1083" s="328">
        <v>7329.5583500000002</v>
      </c>
      <c r="H1083" s="328">
        <v>7461.28395</v>
      </c>
      <c r="I1083" s="329">
        <v>2.6264129654936918E-2</v>
      </c>
      <c r="J1083" s="329">
        <v>0.83894272448152163</v>
      </c>
      <c r="K1083" s="329">
        <v>0.89818109972994498</v>
      </c>
    </row>
    <row r="1084" spans="1:11" ht="11.25" x14ac:dyDescent="0.15">
      <c r="A1084" s="326">
        <v>1.1499999999999999</v>
      </c>
      <c r="B1084" s="327">
        <v>50</v>
      </c>
      <c r="C1084" s="327" t="s">
        <v>112</v>
      </c>
      <c r="D1084" s="327" t="s">
        <v>113</v>
      </c>
      <c r="E1084" s="328" t="s">
        <v>424</v>
      </c>
      <c r="F1084" s="328">
        <v>11.603074499999998</v>
      </c>
      <c r="G1084" s="328">
        <v>7250.55105</v>
      </c>
      <c r="H1084" s="328">
        <v>7365.4176499999994</v>
      </c>
      <c r="I1084" s="329">
        <v>1.333337444899951E-2</v>
      </c>
      <c r="J1084" s="329">
        <v>0.82989953301611374</v>
      </c>
      <c r="K1084" s="329">
        <v>0.88664082069244221</v>
      </c>
    </row>
    <row r="1085" spans="1:11" ht="11.25" x14ac:dyDescent="0.15">
      <c r="A1085" s="326">
        <v>1.175</v>
      </c>
      <c r="B1085" s="327">
        <v>50</v>
      </c>
      <c r="C1085" s="327" t="s">
        <v>112</v>
      </c>
      <c r="D1085" s="327" t="s">
        <v>79</v>
      </c>
      <c r="E1085" s="328" t="s">
        <v>425</v>
      </c>
      <c r="F1085" s="328">
        <v>93.346335749999994</v>
      </c>
      <c r="G1085" s="328">
        <v>7923.1824500000002</v>
      </c>
      <c r="H1085" s="328">
        <v>7906.9674500000001</v>
      </c>
      <c r="I1085" s="329">
        <v>0.10726653939839649</v>
      </c>
      <c r="J1085" s="329">
        <v>0.90688905848838453</v>
      </c>
      <c r="K1085" s="329">
        <v>0.95183198593720308</v>
      </c>
    </row>
    <row r="1086" spans="1:11" ht="11.25" x14ac:dyDescent="0.15">
      <c r="A1086" s="326">
        <v>1.175</v>
      </c>
      <c r="B1086" s="327">
        <v>50</v>
      </c>
      <c r="C1086" s="327" t="s">
        <v>112</v>
      </c>
      <c r="D1086" s="327" t="s">
        <v>114</v>
      </c>
      <c r="E1086" s="328" t="s">
        <v>426</v>
      </c>
      <c r="F1086" s="328">
        <v>25.381221999999998</v>
      </c>
      <c r="G1086" s="328">
        <v>7656.1272750000007</v>
      </c>
      <c r="H1086" s="328">
        <v>7804.8035500000005</v>
      </c>
      <c r="I1086" s="329">
        <v>2.9166178059029463E-2</v>
      </c>
      <c r="J1086" s="329">
        <v>0.87632186938873169</v>
      </c>
      <c r="K1086" s="329">
        <v>0.9395336087852787</v>
      </c>
    </row>
    <row r="1087" spans="1:11" ht="11.25" x14ac:dyDescent="0.15">
      <c r="A1087" s="326">
        <v>1.175</v>
      </c>
      <c r="B1087" s="327">
        <v>50</v>
      </c>
      <c r="C1087" s="327" t="s">
        <v>112</v>
      </c>
      <c r="D1087" s="327" t="s">
        <v>113</v>
      </c>
      <c r="E1087" s="328" t="s">
        <v>427</v>
      </c>
      <c r="F1087" s="328">
        <v>13.142046000000001</v>
      </c>
      <c r="G1087" s="328">
        <v>7554.4909499999994</v>
      </c>
      <c r="H1087" s="328">
        <v>7706.2269249999999</v>
      </c>
      <c r="I1087" s="329">
        <v>1.5101843941791138E-2</v>
      </c>
      <c r="J1087" s="329">
        <v>0.86468855516567344</v>
      </c>
      <c r="K1087" s="329">
        <v>0.92766706382552455</v>
      </c>
    </row>
    <row r="1088" spans="1:11" ht="11.25" x14ac:dyDescent="0.15">
      <c r="A1088" s="326">
        <v>1.2</v>
      </c>
      <c r="B1088" s="327">
        <v>50</v>
      </c>
      <c r="C1088" s="327" t="s">
        <v>112</v>
      </c>
      <c r="D1088" s="327" t="s">
        <v>79</v>
      </c>
      <c r="E1088" s="328" t="s">
        <v>428</v>
      </c>
      <c r="F1088" s="328">
        <v>104.14822799999999</v>
      </c>
      <c r="G1088" s="328">
        <v>8316.2003999999997</v>
      </c>
      <c r="H1088" s="328">
        <v>8261.8991999999998</v>
      </c>
      <c r="I1088" s="329">
        <v>0.11967925588375525</v>
      </c>
      <c r="J1088" s="329">
        <v>0.95187397217600689</v>
      </c>
      <c r="K1088" s="329">
        <v>0.99455827697241739</v>
      </c>
    </row>
    <row r="1089" spans="1:11" ht="11.25" x14ac:dyDescent="0.15">
      <c r="A1089" s="326">
        <v>1.2</v>
      </c>
      <c r="B1089" s="327">
        <v>50</v>
      </c>
      <c r="C1089" s="327" t="s">
        <v>112</v>
      </c>
      <c r="D1089" s="327" t="s">
        <v>114</v>
      </c>
      <c r="E1089" s="328" t="s">
        <v>429</v>
      </c>
      <c r="F1089" s="328">
        <v>28.232759999999999</v>
      </c>
      <c r="G1089" s="328">
        <v>7993.4687999999987</v>
      </c>
      <c r="H1089" s="328">
        <v>8155.7819999999992</v>
      </c>
      <c r="I1089" s="329">
        <v>3.2442949565542778E-2</v>
      </c>
      <c r="J1089" s="329">
        <v>0.91493404826090752</v>
      </c>
      <c r="K1089" s="329">
        <v>0.9817840059441364</v>
      </c>
    </row>
    <row r="1090" spans="1:11" ht="11.25" x14ac:dyDescent="0.15">
      <c r="A1090" s="326">
        <v>1.2</v>
      </c>
      <c r="B1090" s="327">
        <v>50</v>
      </c>
      <c r="C1090" s="327" t="s">
        <v>112</v>
      </c>
      <c r="D1090" s="327" t="s">
        <v>113</v>
      </c>
      <c r="E1090" s="328" t="s">
        <v>430</v>
      </c>
      <c r="F1090" s="328">
        <v>14.914415999999999</v>
      </c>
      <c r="G1090" s="328">
        <v>7867.6175999999996</v>
      </c>
      <c r="H1090" s="328">
        <v>8054.4839999999995</v>
      </c>
      <c r="I1090" s="329">
        <v>1.7138517314195433E-2</v>
      </c>
      <c r="J1090" s="329">
        <v>0.9005290945699026</v>
      </c>
      <c r="K1090" s="329">
        <v>0.96958986487536714</v>
      </c>
    </row>
    <row r="1091" spans="1:11" ht="11.25" x14ac:dyDescent="0.15">
      <c r="A1091" s="326">
        <v>1.2250000000000001</v>
      </c>
      <c r="B1091" s="327">
        <v>50</v>
      </c>
      <c r="C1091" s="327" t="s">
        <v>112</v>
      </c>
      <c r="D1091" s="327" t="s">
        <v>79</v>
      </c>
      <c r="E1091" s="328" t="s">
        <v>431</v>
      </c>
      <c r="F1091" s="328">
        <v>116.41307300000001</v>
      </c>
      <c r="G1091" s="328">
        <v>8729.7297500000004</v>
      </c>
      <c r="H1091" s="328">
        <v>8624.2927749999999</v>
      </c>
      <c r="I1091" s="329">
        <v>0.13377308687173517</v>
      </c>
      <c r="J1091" s="329">
        <v>0.99920662483741496</v>
      </c>
      <c r="K1091" s="329">
        <v>1.0381828142383616</v>
      </c>
    </row>
    <row r="1092" spans="1:11" ht="11.25" x14ac:dyDescent="0.15">
      <c r="A1092" s="326">
        <v>1.2250000000000001</v>
      </c>
      <c r="B1092" s="327">
        <v>50</v>
      </c>
      <c r="C1092" s="327" t="s">
        <v>112</v>
      </c>
      <c r="D1092" s="327" t="s">
        <v>114</v>
      </c>
      <c r="E1092" s="328" t="s">
        <v>432</v>
      </c>
      <c r="F1092" s="328">
        <v>31.457865250000001</v>
      </c>
      <c r="G1092" s="328">
        <v>8346.7077750000008</v>
      </c>
      <c r="H1092" s="328">
        <v>8514.6062750000001</v>
      </c>
      <c r="I1092" s="329">
        <v>3.614899626339723E-2</v>
      </c>
      <c r="J1092" s="329">
        <v>0.95536585246089212</v>
      </c>
      <c r="K1092" s="329">
        <v>1.024978874828506</v>
      </c>
    </row>
    <row r="1093" spans="1:11" ht="11.25" x14ac:dyDescent="0.15">
      <c r="A1093" s="326">
        <v>1.2250000000000001</v>
      </c>
      <c r="B1093" s="327">
        <v>50</v>
      </c>
      <c r="C1093" s="327" t="s">
        <v>112</v>
      </c>
      <c r="D1093" s="327" t="s">
        <v>113</v>
      </c>
      <c r="E1093" s="328" t="s">
        <v>433</v>
      </c>
      <c r="F1093" s="328">
        <v>16.957062499999999</v>
      </c>
      <c r="G1093" s="328">
        <v>8190.2875249999997</v>
      </c>
      <c r="H1093" s="328">
        <v>8410.6001000000015</v>
      </c>
      <c r="I1093" s="329">
        <v>1.9485771970833055E-2</v>
      </c>
      <c r="J1093" s="329">
        <v>0.93746195915208419</v>
      </c>
      <c r="K1093" s="329">
        <v>1.0124587266521048</v>
      </c>
    </row>
    <row r="1094" spans="1:11" ht="11.25" x14ac:dyDescent="0.15">
      <c r="A1094" s="326">
        <v>1.25</v>
      </c>
      <c r="B1094" s="327">
        <v>50</v>
      </c>
      <c r="C1094" s="327" t="s">
        <v>112</v>
      </c>
      <c r="D1094" s="327" t="s">
        <v>79</v>
      </c>
      <c r="E1094" s="328" t="s">
        <v>434</v>
      </c>
      <c r="F1094" s="328">
        <v>130.349625</v>
      </c>
      <c r="G1094" s="328">
        <v>9164.7775000000001</v>
      </c>
      <c r="H1094" s="328">
        <v>8994.7799999999988</v>
      </c>
      <c r="I1094" s="329">
        <v>0.1497879169362972</v>
      </c>
      <c r="J1094" s="329">
        <v>1.0490022778953589</v>
      </c>
      <c r="K1094" s="329">
        <v>1.082781656128891</v>
      </c>
    </row>
    <row r="1095" spans="1:11" ht="11.25" x14ac:dyDescent="0.15">
      <c r="A1095" s="326">
        <v>1.25</v>
      </c>
      <c r="B1095" s="327">
        <v>50</v>
      </c>
      <c r="C1095" s="327" t="s">
        <v>112</v>
      </c>
      <c r="D1095" s="327" t="s">
        <v>114</v>
      </c>
      <c r="E1095" s="328" t="s">
        <v>435</v>
      </c>
      <c r="F1095" s="328">
        <v>35.110062499999998</v>
      </c>
      <c r="G1095" s="328">
        <v>8715.7587500000009</v>
      </c>
      <c r="H1095" s="328">
        <v>8881.963749999999</v>
      </c>
      <c r="I1095" s="329">
        <v>4.034582474156103E-2</v>
      </c>
      <c r="J1095" s="329">
        <v>0.99760750136448006</v>
      </c>
      <c r="K1095" s="329">
        <v>1.0692009608797297</v>
      </c>
    </row>
    <row r="1096" spans="1:11" ht="11.25" x14ac:dyDescent="0.15">
      <c r="A1096" s="326">
        <v>1.25</v>
      </c>
      <c r="B1096" s="327">
        <v>50</v>
      </c>
      <c r="C1096" s="327" t="s">
        <v>112</v>
      </c>
      <c r="D1096" s="327" t="s">
        <v>113</v>
      </c>
      <c r="E1096" s="328" t="s">
        <v>436</v>
      </c>
      <c r="F1096" s="328">
        <v>19.311799999999998</v>
      </c>
      <c r="G1096" s="328">
        <v>8523.8962499999998</v>
      </c>
      <c r="H1096" s="328">
        <v>8774.4662500000013</v>
      </c>
      <c r="I1096" s="329">
        <v>2.2191657968255635E-2</v>
      </c>
      <c r="J1096" s="329">
        <v>0.97564688098469465</v>
      </c>
      <c r="K1096" s="329">
        <v>1.0562605308659092</v>
      </c>
    </row>
    <row r="1097" spans="1:11" ht="11.25" x14ac:dyDescent="0.15">
      <c r="A1097" s="326">
        <v>1.2749999999999999</v>
      </c>
      <c r="B1097" s="327">
        <v>50</v>
      </c>
      <c r="C1097" s="327" t="s">
        <v>112</v>
      </c>
      <c r="D1097" s="327" t="s">
        <v>79</v>
      </c>
      <c r="E1097" s="328" t="s">
        <v>437</v>
      </c>
      <c r="F1097" s="328">
        <v>146.1906075</v>
      </c>
      <c r="G1097" s="328">
        <v>9623.7089250000008</v>
      </c>
      <c r="H1097" s="328">
        <v>9373.2785249999979</v>
      </c>
      <c r="I1097" s="329">
        <v>0.16799117429817559</v>
      </c>
      <c r="J1097" s="329">
        <v>1.1015316612025656</v>
      </c>
      <c r="K1097" s="329">
        <v>1.128344889442195</v>
      </c>
    </row>
    <row r="1098" spans="1:11" ht="11.25" x14ac:dyDescent="0.15">
      <c r="A1098" s="326">
        <v>1.2749999999999999</v>
      </c>
      <c r="B1098" s="327">
        <v>50</v>
      </c>
      <c r="C1098" s="327" t="s">
        <v>112</v>
      </c>
      <c r="D1098" s="327" t="s">
        <v>114</v>
      </c>
      <c r="E1098" s="328" t="s">
        <v>438</v>
      </c>
      <c r="F1098" s="328">
        <v>39.249880499999996</v>
      </c>
      <c r="G1098" s="328">
        <v>9101.703524999999</v>
      </c>
      <c r="H1098" s="328">
        <v>9256.1009250000006</v>
      </c>
      <c r="I1098" s="329">
        <v>4.5102990055349915E-2</v>
      </c>
      <c r="J1098" s="329">
        <v>1.0417828180174824</v>
      </c>
      <c r="K1098" s="329">
        <v>1.1142391797095272</v>
      </c>
    </row>
    <row r="1099" spans="1:11" ht="11.25" x14ac:dyDescent="0.15">
      <c r="A1099" s="326">
        <v>1.2749999999999999</v>
      </c>
      <c r="B1099" s="327">
        <v>50</v>
      </c>
      <c r="C1099" s="327" t="s">
        <v>112</v>
      </c>
      <c r="D1099" s="327" t="s">
        <v>113</v>
      </c>
      <c r="E1099" s="328" t="s">
        <v>439</v>
      </c>
      <c r="F1099" s="328">
        <v>22.025777999999999</v>
      </c>
      <c r="G1099" s="328">
        <v>8867.3470500000003</v>
      </c>
      <c r="H1099" s="328">
        <v>9145.8044999999984</v>
      </c>
      <c r="I1099" s="329">
        <v>2.5310355940965094E-2</v>
      </c>
      <c r="J1099" s="329">
        <v>1.0149583287034181</v>
      </c>
      <c r="K1099" s="329">
        <v>1.1009618182035652</v>
      </c>
    </row>
    <row r="1100" spans="1:11" ht="11.25" x14ac:dyDescent="0.15">
      <c r="A1100" s="326">
        <v>1.3</v>
      </c>
      <c r="B1100" s="327">
        <v>50</v>
      </c>
      <c r="C1100" s="327" t="s">
        <v>112</v>
      </c>
      <c r="D1100" s="327" t="s">
        <v>79</v>
      </c>
      <c r="E1100" s="328" t="s">
        <v>440</v>
      </c>
      <c r="F1100" s="328">
        <v>164.19766999999999</v>
      </c>
      <c r="G1100" s="328">
        <v>10107.019</v>
      </c>
      <c r="H1100" s="328">
        <v>9759.5432999999994</v>
      </c>
      <c r="I1100" s="329">
        <v>0.1886835267465751</v>
      </c>
      <c r="J1100" s="329">
        <v>1.1568514296971937</v>
      </c>
      <c r="K1100" s="329">
        <v>1.1748430153306277</v>
      </c>
    </row>
    <row r="1101" spans="1:11" ht="11.25" x14ac:dyDescent="0.15">
      <c r="A1101" s="326">
        <v>1.3</v>
      </c>
      <c r="B1101" s="327">
        <v>50</v>
      </c>
      <c r="C1101" s="327" t="s">
        <v>112</v>
      </c>
      <c r="D1101" s="327" t="s">
        <v>114</v>
      </c>
      <c r="E1101" s="328" t="s">
        <v>441</v>
      </c>
      <c r="F1101" s="328">
        <v>43.945252000000004</v>
      </c>
      <c r="G1101" s="328">
        <v>9505.7222000000002</v>
      </c>
      <c r="H1101" s="328">
        <v>9638.2116999999998</v>
      </c>
      <c r="I1101" s="329">
        <v>5.0498555376132834E-2</v>
      </c>
      <c r="J1101" s="329">
        <v>1.0880268769035017</v>
      </c>
      <c r="K1101" s="329">
        <v>1.1602372516778459</v>
      </c>
    </row>
    <row r="1102" spans="1:11" ht="11.25" x14ac:dyDescent="0.15">
      <c r="A1102" s="326">
        <v>1.3</v>
      </c>
      <c r="B1102" s="327">
        <v>50</v>
      </c>
      <c r="C1102" s="327" t="s">
        <v>112</v>
      </c>
      <c r="D1102" s="327" t="s">
        <v>113</v>
      </c>
      <c r="E1102" s="328" t="s">
        <v>442</v>
      </c>
      <c r="F1102" s="328">
        <v>25.152087999999999</v>
      </c>
      <c r="G1102" s="328">
        <v>9223.3206000000009</v>
      </c>
      <c r="H1102" s="328">
        <v>9524.5553</v>
      </c>
      <c r="I1102" s="329">
        <v>2.8902874619842114E-2</v>
      </c>
      <c r="J1102" s="329">
        <v>1.0557031329084845</v>
      </c>
      <c r="K1102" s="329">
        <v>1.1465554201020156</v>
      </c>
    </row>
    <row r="1103" spans="1:11" ht="11.25" x14ac:dyDescent="0.15">
      <c r="A1103" s="326">
        <v>1.325</v>
      </c>
      <c r="B1103" s="327">
        <v>50</v>
      </c>
      <c r="C1103" s="327" t="s">
        <v>112</v>
      </c>
      <c r="D1103" s="327" t="s">
        <v>79</v>
      </c>
      <c r="E1103" s="328" t="s">
        <v>443</v>
      </c>
      <c r="F1103" s="328">
        <v>184.6598175</v>
      </c>
      <c r="G1103" s="328">
        <v>10614.949975</v>
      </c>
      <c r="H1103" s="328">
        <v>10153.76915</v>
      </c>
      <c r="I1103" s="329">
        <v>0.21219707693951401</v>
      </c>
      <c r="J1103" s="329">
        <v>1.2149893113630181</v>
      </c>
      <c r="K1103" s="329">
        <v>1.2222994866119508</v>
      </c>
    </row>
    <row r="1104" spans="1:11" ht="11.25" x14ac:dyDescent="0.15">
      <c r="A1104" s="326">
        <v>1.325</v>
      </c>
      <c r="B1104" s="327">
        <v>50</v>
      </c>
      <c r="C1104" s="327" t="s">
        <v>112</v>
      </c>
      <c r="D1104" s="327" t="s">
        <v>114</v>
      </c>
      <c r="E1104" s="328" t="s">
        <v>444</v>
      </c>
      <c r="F1104" s="328">
        <v>49.272669</v>
      </c>
      <c r="G1104" s="328">
        <v>9929.8428249999997</v>
      </c>
      <c r="H1104" s="328">
        <v>10028.706375</v>
      </c>
      <c r="I1104" s="329">
        <v>5.6620419517138351E-2</v>
      </c>
      <c r="J1104" s="329">
        <v>1.1365718090338675</v>
      </c>
      <c r="K1104" s="329">
        <v>1.2072445682443449</v>
      </c>
    </row>
    <row r="1105" spans="1:11" ht="11.25" x14ac:dyDescent="0.15">
      <c r="A1105" s="326">
        <v>1.325</v>
      </c>
      <c r="B1105" s="327">
        <v>50</v>
      </c>
      <c r="C1105" s="327" t="s">
        <v>112</v>
      </c>
      <c r="D1105" s="327" t="s">
        <v>113</v>
      </c>
      <c r="E1105" s="328" t="s">
        <v>445</v>
      </c>
      <c r="F1105" s="328">
        <v>28.750300499999998</v>
      </c>
      <c r="G1105" s="328">
        <v>9592.2500500000006</v>
      </c>
      <c r="H1105" s="328">
        <v>9910.9045999999998</v>
      </c>
      <c r="I1105" s="329">
        <v>3.3037667911876102E-2</v>
      </c>
      <c r="J1105" s="329">
        <v>1.0979308720361045</v>
      </c>
      <c r="K1105" s="329">
        <v>1.1930637210163502</v>
      </c>
    </row>
    <row r="1106" spans="1:11" ht="11.25" x14ac:dyDescent="0.15">
      <c r="A1106" s="326">
        <v>1.35</v>
      </c>
      <c r="B1106" s="327">
        <v>50</v>
      </c>
      <c r="C1106" s="327" t="s">
        <v>112</v>
      </c>
      <c r="D1106" s="327" t="s">
        <v>79</v>
      </c>
      <c r="E1106" s="328" t="s">
        <v>446</v>
      </c>
      <c r="F1106" s="328">
        <v>207.90161999999998</v>
      </c>
      <c r="G1106" s="328">
        <v>11149.197750000001</v>
      </c>
      <c r="H1106" s="328">
        <v>10556.330400000001</v>
      </c>
      <c r="I1106" s="329">
        <v>0.23890479613947196</v>
      </c>
      <c r="J1106" s="329">
        <v>1.2761394192554931</v>
      </c>
      <c r="K1106" s="329">
        <v>1.2707593641151602</v>
      </c>
    </row>
    <row r="1107" spans="1:11" ht="11.25" x14ac:dyDescent="0.15">
      <c r="A1107" s="326">
        <v>1.35</v>
      </c>
      <c r="B1107" s="327">
        <v>50</v>
      </c>
      <c r="C1107" s="327" t="s">
        <v>112</v>
      </c>
      <c r="D1107" s="327" t="s">
        <v>114</v>
      </c>
      <c r="E1107" s="328" t="s">
        <v>447</v>
      </c>
      <c r="F1107" s="328">
        <v>55.317249000000004</v>
      </c>
      <c r="G1107" s="328">
        <v>10374.297750000002</v>
      </c>
      <c r="H1107" s="328">
        <v>10426.675050000002</v>
      </c>
      <c r="I1107" s="329">
        <v>6.3566393062937224E-2</v>
      </c>
      <c r="J1107" s="329">
        <v>1.1874442092363615</v>
      </c>
      <c r="K1107" s="329">
        <v>1.2551515966545919</v>
      </c>
    </row>
    <row r="1108" spans="1:11" ht="11.25" x14ac:dyDescent="0.15">
      <c r="A1108" s="326">
        <v>1.35</v>
      </c>
      <c r="B1108" s="327">
        <v>50</v>
      </c>
      <c r="C1108" s="327" t="s">
        <v>112</v>
      </c>
      <c r="D1108" s="327" t="s">
        <v>113</v>
      </c>
      <c r="E1108" s="328" t="s">
        <v>448</v>
      </c>
      <c r="F1108" s="328">
        <v>32.887160999999999</v>
      </c>
      <c r="G1108" s="328">
        <v>9977.58</v>
      </c>
      <c r="H1108" s="328">
        <v>10305.635400000003</v>
      </c>
      <c r="I1108" s="329">
        <v>3.7791434690653172E-2</v>
      </c>
      <c r="J1108" s="329">
        <v>1.1420358156958175</v>
      </c>
      <c r="K1108" s="329">
        <v>1.2405809776195227</v>
      </c>
    </row>
    <row r="1109" spans="1:11" ht="11.25" x14ac:dyDescent="0.15">
      <c r="A1109" s="326">
        <v>1.375</v>
      </c>
      <c r="B1109" s="327">
        <v>50</v>
      </c>
      <c r="C1109" s="327" t="s">
        <v>112</v>
      </c>
      <c r="D1109" s="327" t="s">
        <v>79</v>
      </c>
      <c r="E1109" s="328" t="s">
        <v>449</v>
      </c>
      <c r="F1109" s="328">
        <v>234.28088750000001</v>
      </c>
      <c r="G1109" s="328">
        <v>11711.628500000001</v>
      </c>
      <c r="H1109" s="328">
        <v>10966.848750000001</v>
      </c>
      <c r="I1109" s="329">
        <v>0.26921785249947583</v>
      </c>
      <c r="J1109" s="329">
        <v>1.3405153561408563</v>
      </c>
      <c r="K1109" s="329">
        <v>1.3201771085051619</v>
      </c>
    </row>
    <row r="1110" spans="1:11" ht="11.25" x14ac:dyDescent="0.15">
      <c r="A1110" s="326">
        <v>1.375</v>
      </c>
      <c r="B1110" s="327">
        <v>50</v>
      </c>
      <c r="C1110" s="327" t="s">
        <v>112</v>
      </c>
      <c r="D1110" s="327" t="s">
        <v>114</v>
      </c>
      <c r="E1110" s="328" t="s">
        <v>450</v>
      </c>
      <c r="F1110" s="328">
        <v>62.175052500000007</v>
      </c>
      <c r="G1110" s="328">
        <v>10840.751625000001</v>
      </c>
      <c r="H1110" s="328">
        <v>10832.37925</v>
      </c>
      <c r="I1110" s="329">
        <v>7.1446861464924946E-2</v>
      </c>
      <c r="J1110" s="329">
        <v>1.2408346136851456</v>
      </c>
      <c r="K1110" s="329">
        <v>1.3039898189984898</v>
      </c>
    </row>
    <row r="1111" spans="1:11" ht="11.25" x14ac:dyDescent="0.15">
      <c r="A1111" s="326">
        <v>1.375</v>
      </c>
      <c r="B1111" s="327">
        <v>50</v>
      </c>
      <c r="C1111" s="327" t="s">
        <v>112</v>
      </c>
      <c r="D1111" s="327" t="s">
        <v>113</v>
      </c>
      <c r="E1111" s="328" t="s">
        <v>451</v>
      </c>
      <c r="F1111" s="328">
        <v>37.637297500000003</v>
      </c>
      <c r="G1111" s="328">
        <v>10378.333624999999</v>
      </c>
      <c r="H1111" s="328">
        <v>10707.516874999999</v>
      </c>
      <c r="I1111" s="329">
        <v>4.3249931801773167E-2</v>
      </c>
      <c r="J1111" s="329">
        <v>1.1879061563014484</v>
      </c>
      <c r="K1111" s="329">
        <v>1.288959024560973</v>
      </c>
    </row>
    <row r="1112" spans="1:11" ht="11.25" x14ac:dyDescent="0.15">
      <c r="A1112" s="326">
        <v>1.4</v>
      </c>
      <c r="B1112" s="327">
        <v>50</v>
      </c>
      <c r="C1112" s="327" t="s">
        <v>112</v>
      </c>
      <c r="D1112" s="327" t="s">
        <v>79</v>
      </c>
      <c r="E1112" s="328" t="s">
        <v>452</v>
      </c>
      <c r="F1112" s="328">
        <v>264.19511999999997</v>
      </c>
      <c r="G1112" s="328">
        <v>12300.941800000001</v>
      </c>
      <c r="H1112" s="328">
        <v>11385.2858</v>
      </c>
      <c r="I1112" s="329">
        <v>0.30359302291460422</v>
      </c>
      <c r="J1112" s="329">
        <v>1.4079682751117784</v>
      </c>
      <c r="K1112" s="329">
        <v>1.3705480972324777</v>
      </c>
    </row>
    <row r="1113" spans="1:11" ht="11.25" x14ac:dyDescent="0.15">
      <c r="A1113" s="326">
        <v>1.4</v>
      </c>
      <c r="B1113" s="327">
        <v>50</v>
      </c>
      <c r="C1113" s="327" t="s">
        <v>112</v>
      </c>
      <c r="D1113" s="327" t="s">
        <v>114</v>
      </c>
      <c r="E1113" s="328" t="s">
        <v>453</v>
      </c>
      <c r="F1113" s="328">
        <v>69.953226000000001</v>
      </c>
      <c r="G1113" s="328">
        <v>11331.0008</v>
      </c>
      <c r="H1113" s="328">
        <v>11245.968999999997</v>
      </c>
      <c r="I1113" s="329">
        <v>8.0384949366091585E-2</v>
      </c>
      <c r="J1113" s="329">
        <v>1.2969486329628988</v>
      </c>
      <c r="K1113" s="329">
        <v>1.35377729511941</v>
      </c>
    </row>
    <row r="1114" spans="1:11" ht="11.25" x14ac:dyDescent="0.15">
      <c r="A1114" s="326">
        <v>1.4</v>
      </c>
      <c r="B1114" s="327">
        <v>50</v>
      </c>
      <c r="C1114" s="327" t="s">
        <v>112</v>
      </c>
      <c r="D1114" s="327" t="s">
        <v>113</v>
      </c>
      <c r="E1114" s="328" t="s">
        <v>454</v>
      </c>
      <c r="F1114" s="328">
        <v>43.083963999999995</v>
      </c>
      <c r="G1114" s="328">
        <v>10796.527</v>
      </c>
      <c r="H1114" s="328">
        <v>11117.496599999999</v>
      </c>
      <c r="I1114" s="329">
        <v>4.950882843674017E-2</v>
      </c>
      <c r="J1114" s="329">
        <v>1.2357726542034158</v>
      </c>
      <c r="K1114" s="329">
        <v>1.3383119298699151</v>
      </c>
    </row>
    <row r="1115" spans="1:11" ht="11.25" x14ac:dyDescent="0.15">
      <c r="A1115" s="326">
        <v>0.9</v>
      </c>
      <c r="B1115" s="327">
        <v>75</v>
      </c>
      <c r="C1115" s="327" t="s">
        <v>112</v>
      </c>
      <c r="D1115" s="327" t="s">
        <v>79</v>
      </c>
      <c r="E1115" s="328" t="s">
        <v>455</v>
      </c>
      <c r="F1115" s="328">
        <v>65.299644000000001</v>
      </c>
      <c r="G1115" s="328">
        <v>4600.2951000000003</v>
      </c>
      <c r="H1115" s="328">
        <v>4529.4183000000012</v>
      </c>
      <c r="I1115" s="329">
        <v>7.5037405373753682E-2</v>
      </c>
      <c r="J1115" s="329">
        <v>0.5265507033739617</v>
      </c>
      <c r="K1115" s="329">
        <v>0.54524635935225851</v>
      </c>
    </row>
    <row r="1116" spans="1:11" ht="11.25" x14ac:dyDescent="0.15">
      <c r="A1116" s="326">
        <v>0.9</v>
      </c>
      <c r="B1116" s="327">
        <v>75</v>
      </c>
      <c r="C1116" s="327" t="s">
        <v>112</v>
      </c>
      <c r="D1116" s="327" t="s">
        <v>114</v>
      </c>
      <c r="E1116" s="328" t="s">
        <v>456</v>
      </c>
      <c r="F1116" s="328">
        <v>18.052614000000002</v>
      </c>
      <c r="G1116" s="328">
        <v>4578.4637999999995</v>
      </c>
      <c r="H1116" s="328">
        <v>4460.2442999999994</v>
      </c>
      <c r="I1116" s="329">
        <v>2.0744696782327036E-2</v>
      </c>
      <c r="J1116" s="329">
        <v>0.52405188838042605</v>
      </c>
      <c r="K1116" s="329">
        <v>0.53691926983132954</v>
      </c>
    </row>
    <row r="1117" spans="1:11" ht="11.25" x14ac:dyDescent="0.15">
      <c r="A1117" s="326">
        <v>0.9</v>
      </c>
      <c r="B1117" s="327">
        <v>75</v>
      </c>
      <c r="C1117" s="327" t="s">
        <v>112</v>
      </c>
      <c r="D1117" s="327" t="s">
        <v>113</v>
      </c>
      <c r="E1117" s="328" t="s">
        <v>457</v>
      </c>
      <c r="F1117" s="328">
        <v>6.8020991999999998</v>
      </c>
      <c r="G1117" s="328">
        <v>4580.6561999999994</v>
      </c>
      <c r="H1117" s="328">
        <v>4392.0324000000001</v>
      </c>
      <c r="I1117" s="329">
        <v>7.8164572392291388E-3</v>
      </c>
      <c r="J1117" s="329">
        <v>0.52430283092584606</v>
      </c>
      <c r="K1117" s="329">
        <v>0.52870799684302994</v>
      </c>
    </row>
    <row r="1118" spans="1:11" ht="11.25" x14ac:dyDescent="0.15">
      <c r="A1118" s="326">
        <v>0.92500000000000004</v>
      </c>
      <c r="B1118" s="327">
        <v>75</v>
      </c>
      <c r="C1118" s="327" t="s">
        <v>112</v>
      </c>
      <c r="D1118" s="327" t="s">
        <v>79</v>
      </c>
      <c r="E1118" s="328" t="s">
        <v>458</v>
      </c>
      <c r="F1118" s="328">
        <v>71.015663250000003</v>
      </c>
      <c r="G1118" s="328">
        <v>4851.6666250000007</v>
      </c>
      <c r="H1118" s="328">
        <v>4798.8232250000001</v>
      </c>
      <c r="I1118" s="329">
        <v>8.1605821789414834E-2</v>
      </c>
      <c r="J1118" s="329">
        <v>0.55532273873685301</v>
      </c>
      <c r="K1118" s="329">
        <v>0.57767702590116565</v>
      </c>
    </row>
    <row r="1119" spans="1:11" ht="11.25" x14ac:dyDescent="0.15">
      <c r="A1119" s="326">
        <v>0.92500000000000004</v>
      </c>
      <c r="B1119" s="327">
        <v>75</v>
      </c>
      <c r="C1119" s="327" t="s">
        <v>112</v>
      </c>
      <c r="D1119" s="327" t="s">
        <v>114</v>
      </c>
      <c r="E1119" s="328" t="s">
        <v>459</v>
      </c>
      <c r="F1119" s="328">
        <v>19.632486750000002</v>
      </c>
      <c r="G1119" s="328">
        <v>4821.8039250000011</v>
      </c>
      <c r="H1119" s="328">
        <v>4726.7314999999999</v>
      </c>
      <c r="I1119" s="329">
        <v>2.2560166893935869E-2</v>
      </c>
      <c r="J1119" s="329">
        <v>0.55190464808226747</v>
      </c>
      <c r="K1119" s="329">
        <v>0.56899870387564766</v>
      </c>
    </row>
    <row r="1120" spans="1:11" ht="11.25" x14ac:dyDescent="0.15">
      <c r="A1120" s="326">
        <v>0.92500000000000004</v>
      </c>
      <c r="B1120" s="327">
        <v>75</v>
      </c>
      <c r="C1120" s="327" t="s">
        <v>112</v>
      </c>
      <c r="D1120" s="327" t="s">
        <v>113</v>
      </c>
      <c r="E1120" s="328" t="s">
        <v>460</v>
      </c>
      <c r="F1120" s="328">
        <v>7.4850047249999996</v>
      </c>
      <c r="G1120" s="328">
        <v>4819.6560750000008</v>
      </c>
      <c r="H1120" s="328">
        <v>4655.6739250000001</v>
      </c>
      <c r="I1120" s="329">
        <v>8.6012005482646522E-3</v>
      </c>
      <c r="J1120" s="329">
        <v>0.55165880473881723</v>
      </c>
      <c r="K1120" s="329">
        <v>0.56044487168197499</v>
      </c>
    </row>
    <row r="1121" spans="1:11" ht="11.25" x14ac:dyDescent="0.15">
      <c r="A1121" s="326">
        <v>0.95</v>
      </c>
      <c r="B1121" s="327">
        <v>75</v>
      </c>
      <c r="C1121" s="327" t="s">
        <v>112</v>
      </c>
      <c r="D1121" s="327" t="s">
        <v>79</v>
      </c>
      <c r="E1121" s="328" t="s">
        <v>461</v>
      </c>
      <c r="F1121" s="328">
        <v>77.197075999999996</v>
      </c>
      <c r="G1121" s="328">
        <v>5111.9062999999996</v>
      </c>
      <c r="H1121" s="328">
        <v>5076.0779999999995</v>
      </c>
      <c r="I1121" s="329">
        <v>8.8709033168396303E-2</v>
      </c>
      <c r="J1121" s="329">
        <v>0.58510982433426617</v>
      </c>
      <c r="K1121" s="329">
        <v>0.61105264870062737</v>
      </c>
    </row>
    <row r="1122" spans="1:11" ht="11.25" x14ac:dyDescent="0.15">
      <c r="A1122" s="326">
        <v>0.95</v>
      </c>
      <c r="B1122" s="327">
        <v>75</v>
      </c>
      <c r="C1122" s="327" t="s">
        <v>112</v>
      </c>
      <c r="D1122" s="327" t="s">
        <v>114</v>
      </c>
      <c r="E1122" s="328" t="s">
        <v>462</v>
      </c>
      <c r="F1122" s="328">
        <v>21.332686999999996</v>
      </c>
      <c r="G1122" s="328">
        <v>5069.5419999999995</v>
      </c>
      <c r="H1122" s="328">
        <v>5000.9709999999995</v>
      </c>
      <c r="I1122" s="329">
        <v>2.4513908255463155E-2</v>
      </c>
      <c r="J1122" s="329">
        <v>0.58026079802659614</v>
      </c>
      <c r="K1122" s="329">
        <v>0.60201135120954108</v>
      </c>
    </row>
    <row r="1123" spans="1:11" ht="11.25" x14ac:dyDescent="0.15">
      <c r="A1123" s="326">
        <v>0.95</v>
      </c>
      <c r="B1123" s="327">
        <v>75</v>
      </c>
      <c r="C1123" s="327" t="s">
        <v>112</v>
      </c>
      <c r="D1123" s="327" t="s">
        <v>113</v>
      </c>
      <c r="E1123" s="328" t="s">
        <v>463</v>
      </c>
      <c r="F1123" s="328">
        <v>8.2291849999999993</v>
      </c>
      <c r="G1123" s="328">
        <v>5065.3211499999998</v>
      </c>
      <c r="H1123" s="328">
        <v>4927.64905</v>
      </c>
      <c r="I1123" s="329">
        <v>9.4563561593170881E-3</v>
      </c>
      <c r="J1123" s="329">
        <v>0.57977767868576613</v>
      </c>
      <c r="K1123" s="329">
        <v>0.59318493606079936</v>
      </c>
    </row>
    <row r="1124" spans="1:11" ht="11.25" x14ac:dyDescent="0.15">
      <c r="A1124" s="326">
        <v>0.97499999999999998</v>
      </c>
      <c r="B1124" s="327">
        <v>75</v>
      </c>
      <c r="C1124" s="327" t="s">
        <v>112</v>
      </c>
      <c r="D1124" s="327" t="s">
        <v>79</v>
      </c>
      <c r="E1124" s="328" t="s">
        <v>464</v>
      </c>
      <c r="F1124" s="328">
        <v>83.894147999999987</v>
      </c>
      <c r="G1124" s="328">
        <v>5382.47775</v>
      </c>
      <c r="H1124" s="328">
        <v>5360.9712</v>
      </c>
      <c r="I1124" s="329">
        <v>9.6404801103688806E-2</v>
      </c>
      <c r="J1124" s="329">
        <v>0.61607948697838943</v>
      </c>
      <c r="K1124" s="329">
        <v>0.64534777664326293</v>
      </c>
    </row>
    <row r="1125" spans="1:11" ht="11.25" x14ac:dyDescent="0.15">
      <c r="A1125" s="326">
        <v>0.97499999999999998</v>
      </c>
      <c r="B1125" s="327">
        <v>75</v>
      </c>
      <c r="C1125" s="327" t="s">
        <v>112</v>
      </c>
      <c r="D1125" s="327" t="s">
        <v>114</v>
      </c>
      <c r="E1125" s="328" t="s">
        <v>465</v>
      </c>
      <c r="F1125" s="328">
        <v>23.165366250000002</v>
      </c>
      <c r="G1125" s="328">
        <v>5325.7191000000003</v>
      </c>
      <c r="H1125" s="328">
        <v>5283.0745499999994</v>
      </c>
      <c r="I1125" s="329">
        <v>2.6619884450407146E-2</v>
      </c>
      <c r="J1125" s="329">
        <v>0.60958288047154674</v>
      </c>
      <c r="K1125" s="329">
        <v>0.63597066417426507</v>
      </c>
    </row>
    <row r="1126" spans="1:11" ht="11.25" x14ac:dyDescent="0.15">
      <c r="A1126" s="326">
        <v>0.97499999999999998</v>
      </c>
      <c r="B1126" s="327">
        <v>75</v>
      </c>
      <c r="C1126" s="327" t="s">
        <v>112</v>
      </c>
      <c r="D1126" s="327" t="s">
        <v>113</v>
      </c>
      <c r="E1126" s="328" t="s">
        <v>466</v>
      </c>
      <c r="F1126" s="328">
        <v>9.0426374999999997</v>
      </c>
      <c r="G1126" s="328">
        <v>5315.398725</v>
      </c>
      <c r="H1126" s="328">
        <v>5207.3726249999991</v>
      </c>
      <c r="I1126" s="329">
        <v>1.0391114164962469E-2</v>
      </c>
      <c r="J1126" s="329">
        <v>0.60840160827113221</v>
      </c>
      <c r="K1126" s="329">
        <v>0.62685775027046242</v>
      </c>
    </row>
    <row r="1127" spans="1:11" ht="11.25" x14ac:dyDescent="0.15">
      <c r="A1127" s="326">
        <v>1</v>
      </c>
      <c r="B1127" s="327">
        <v>75</v>
      </c>
      <c r="C1127" s="327" t="s">
        <v>112</v>
      </c>
      <c r="D1127" s="327" t="s">
        <v>79</v>
      </c>
      <c r="E1127" s="328" t="s">
        <v>467</v>
      </c>
      <c r="F1127" s="328">
        <v>91.169479999999993</v>
      </c>
      <c r="G1127" s="328">
        <v>5662.826</v>
      </c>
      <c r="H1127" s="328">
        <v>5653.3550000000005</v>
      </c>
      <c r="I1127" s="329">
        <v>0.10476506163608378</v>
      </c>
      <c r="J1127" s="329">
        <v>0.64816820411898313</v>
      </c>
      <c r="K1127" s="329">
        <v>0.68054461471926475</v>
      </c>
    </row>
    <row r="1128" spans="1:11" ht="11.25" x14ac:dyDescent="0.15">
      <c r="A1128" s="326">
        <v>1</v>
      </c>
      <c r="B1128" s="327">
        <v>75</v>
      </c>
      <c r="C1128" s="327" t="s">
        <v>112</v>
      </c>
      <c r="D1128" s="327" t="s">
        <v>114</v>
      </c>
      <c r="E1128" s="328" t="s">
        <v>468</v>
      </c>
      <c r="F1128" s="328">
        <v>25.14622</v>
      </c>
      <c r="G1128" s="328">
        <v>5589.4750000000004</v>
      </c>
      <c r="H1128" s="328">
        <v>5573.0160000000005</v>
      </c>
      <c r="I1128" s="329">
        <v>2.8896131558658916E-2</v>
      </c>
      <c r="J1128" s="329">
        <v>0.63977243389042027</v>
      </c>
      <c r="K1128" s="329">
        <v>0.67087349486177639</v>
      </c>
    </row>
    <row r="1129" spans="1:11" ht="11.25" x14ac:dyDescent="0.15">
      <c r="A1129" s="326">
        <v>1</v>
      </c>
      <c r="B1129" s="327">
        <v>75</v>
      </c>
      <c r="C1129" s="327" t="s">
        <v>112</v>
      </c>
      <c r="D1129" s="327" t="s">
        <v>113</v>
      </c>
      <c r="E1129" s="328" t="s">
        <v>469</v>
      </c>
      <c r="F1129" s="328">
        <v>9.9360780000000002</v>
      </c>
      <c r="G1129" s="328">
        <v>5572.9549999999999</v>
      </c>
      <c r="H1129" s="328">
        <v>5494.2519999999995</v>
      </c>
      <c r="I1129" s="329">
        <v>1.1417788322264602E-2</v>
      </c>
      <c r="J1129" s="329">
        <v>0.63788155136426716</v>
      </c>
      <c r="K1129" s="329">
        <v>0.6613919717602289</v>
      </c>
    </row>
    <row r="1130" spans="1:11" ht="11.25" x14ac:dyDescent="0.15">
      <c r="A1130" s="326">
        <v>1.0249999999999999</v>
      </c>
      <c r="B1130" s="327">
        <v>75</v>
      </c>
      <c r="C1130" s="327" t="s">
        <v>112</v>
      </c>
      <c r="D1130" s="327" t="s">
        <v>79</v>
      </c>
      <c r="E1130" s="328" t="s">
        <v>470</v>
      </c>
      <c r="F1130" s="328">
        <v>99.094765499999994</v>
      </c>
      <c r="G1130" s="328">
        <v>5954.9968249999993</v>
      </c>
      <c r="H1130" s="328">
        <v>5953.7237749999986</v>
      </c>
      <c r="I1130" s="329">
        <v>0.11387219950602732</v>
      </c>
      <c r="J1130" s="329">
        <v>0.68161013557444561</v>
      </c>
      <c r="K1130" s="329">
        <v>0.71670267524369158</v>
      </c>
    </row>
    <row r="1131" spans="1:11" ht="11.25" x14ac:dyDescent="0.15">
      <c r="A1131" s="326">
        <v>1.0249999999999999</v>
      </c>
      <c r="B1131" s="327">
        <v>75</v>
      </c>
      <c r="C1131" s="327" t="s">
        <v>112</v>
      </c>
      <c r="D1131" s="327" t="s">
        <v>114</v>
      </c>
      <c r="E1131" s="328" t="s">
        <v>471</v>
      </c>
      <c r="F1131" s="328">
        <v>27.293474499999999</v>
      </c>
      <c r="G1131" s="328">
        <v>5860.7501249999996</v>
      </c>
      <c r="H1131" s="328">
        <v>5870.4199749999989</v>
      </c>
      <c r="I1131" s="329">
        <v>3.1363593806341565E-2</v>
      </c>
      <c r="J1131" s="329">
        <v>0.67082263931672192</v>
      </c>
      <c r="K1131" s="329">
        <v>0.70667465604524204</v>
      </c>
    </row>
    <row r="1132" spans="1:11" ht="11.25" x14ac:dyDescent="0.15">
      <c r="A1132" s="326">
        <v>1.0249999999999999</v>
      </c>
      <c r="B1132" s="327">
        <v>75</v>
      </c>
      <c r="C1132" s="327" t="s">
        <v>112</v>
      </c>
      <c r="D1132" s="327" t="s">
        <v>113</v>
      </c>
      <c r="E1132" s="328" t="s">
        <v>472</v>
      </c>
      <c r="F1132" s="328">
        <v>10.922174499999999</v>
      </c>
      <c r="G1132" s="328">
        <v>5833.5548249999993</v>
      </c>
      <c r="H1132" s="328">
        <v>5789.0698249999996</v>
      </c>
      <c r="I1132" s="329">
        <v>1.2550935737404255E-2</v>
      </c>
      <c r="J1132" s="329">
        <v>0.66770985980319331</v>
      </c>
      <c r="K1132" s="329">
        <v>0.69688181507043967</v>
      </c>
    </row>
    <row r="1133" spans="1:11" ht="11.25" x14ac:dyDescent="0.15">
      <c r="A1133" s="326">
        <v>1.05</v>
      </c>
      <c r="B1133" s="327">
        <v>75</v>
      </c>
      <c r="C1133" s="327" t="s">
        <v>112</v>
      </c>
      <c r="D1133" s="327" t="s">
        <v>79</v>
      </c>
      <c r="E1133" s="328" t="s">
        <v>473</v>
      </c>
      <c r="F1133" s="328">
        <v>107.75289000000001</v>
      </c>
      <c r="G1133" s="328">
        <v>6259.8007500000003</v>
      </c>
      <c r="H1133" s="328">
        <v>6261.9847500000005</v>
      </c>
      <c r="I1133" s="329">
        <v>0.12382146045273218</v>
      </c>
      <c r="J1133" s="329">
        <v>0.71649805419946921</v>
      </c>
      <c r="K1133" s="329">
        <v>0.75381079006477769</v>
      </c>
    </row>
    <row r="1134" spans="1:11" ht="11.25" x14ac:dyDescent="0.15">
      <c r="A1134" s="326">
        <v>1.05</v>
      </c>
      <c r="B1134" s="327">
        <v>75</v>
      </c>
      <c r="C1134" s="327" t="s">
        <v>112</v>
      </c>
      <c r="D1134" s="327" t="s">
        <v>114</v>
      </c>
      <c r="E1134" s="328" t="s">
        <v>474</v>
      </c>
      <c r="F1134" s="328">
        <v>29.628049500000003</v>
      </c>
      <c r="G1134" s="328">
        <v>6139.7479499999999</v>
      </c>
      <c r="H1134" s="328">
        <v>6175.6170000000002</v>
      </c>
      <c r="I1134" s="329">
        <v>3.4046310585784209E-2</v>
      </c>
      <c r="J1134" s="329">
        <v>0.7027567865399198</v>
      </c>
      <c r="K1134" s="329">
        <v>0.74341393595815952</v>
      </c>
    </row>
    <row r="1135" spans="1:11" ht="11.25" x14ac:dyDescent="0.15">
      <c r="A1135" s="326">
        <v>1.05</v>
      </c>
      <c r="B1135" s="327">
        <v>75</v>
      </c>
      <c r="C1135" s="327" t="s">
        <v>112</v>
      </c>
      <c r="D1135" s="327" t="s">
        <v>113</v>
      </c>
      <c r="E1135" s="328" t="s">
        <v>475</v>
      </c>
      <c r="F1135" s="328">
        <v>12.015717</v>
      </c>
      <c r="G1135" s="328">
        <v>6102.8551500000003</v>
      </c>
      <c r="H1135" s="328">
        <v>6091.42065</v>
      </c>
      <c r="I1135" s="329">
        <v>1.3807551958251158E-2</v>
      </c>
      <c r="J1135" s="329">
        <v>0.69853402922388708</v>
      </c>
      <c r="K1135" s="329">
        <v>0.73327847257906553</v>
      </c>
    </row>
    <row r="1136" spans="1:11" ht="11.25" x14ac:dyDescent="0.15">
      <c r="A1136" s="326">
        <v>1.075</v>
      </c>
      <c r="B1136" s="327">
        <v>75</v>
      </c>
      <c r="C1136" s="327" t="s">
        <v>112</v>
      </c>
      <c r="D1136" s="327" t="s">
        <v>79</v>
      </c>
      <c r="E1136" s="328" t="s">
        <v>476</v>
      </c>
      <c r="F1136" s="328">
        <v>117.23734999999999</v>
      </c>
      <c r="G1136" s="328">
        <v>6578.2388999999994</v>
      </c>
      <c r="H1136" s="328">
        <v>6577.6594750000004</v>
      </c>
      <c r="I1136" s="329">
        <v>0.13472028357297997</v>
      </c>
      <c r="J1136" s="329">
        <v>0.75294654896312097</v>
      </c>
      <c r="K1136" s="329">
        <v>0.79181136390132867</v>
      </c>
    </row>
    <row r="1137" spans="1:11" ht="11.25" x14ac:dyDescent="0.15">
      <c r="A1137" s="326">
        <v>1.075</v>
      </c>
      <c r="B1137" s="327">
        <v>75</v>
      </c>
      <c r="C1137" s="327" t="s">
        <v>112</v>
      </c>
      <c r="D1137" s="327" t="s">
        <v>114</v>
      </c>
      <c r="E1137" s="328" t="s">
        <v>477</v>
      </c>
      <c r="F1137" s="328">
        <v>32.173814749999998</v>
      </c>
      <c r="G1137" s="328">
        <v>6428.8160500000004</v>
      </c>
      <c r="H1137" s="328">
        <v>6488.5602499999995</v>
      </c>
      <c r="I1137" s="329">
        <v>3.6971711205895784E-2</v>
      </c>
      <c r="J1137" s="329">
        <v>0.73584357946717682</v>
      </c>
      <c r="K1137" s="329">
        <v>0.78108569785887938</v>
      </c>
    </row>
    <row r="1138" spans="1:11" ht="11.25" x14ac:dyDescent="0.15">
      <c r="A1138" s="326">
        <v>1.075</v>
      </c>
      <c r="B1138" s="327">
        <v>75</v>
      </c>
      <c r="C1138" s="327" t="s">
        <v>112</v>
      </c>
      <c r="D1138" s="327" t="s">
        <v>113</v>
      </c>
      <c r="E1138" s="328" t="s">
        <v>478</v>
      </c>
      <c r="F1138" s="328">
        <v>13.233787499999998</v>
      </c>
      <c r="G1138" s="328">
        <v>6378.4791749999995</v>
      </c>
      <c r="H1138" s="328">
        <v>6401.4573</v>
      </c>
      <c r="I1138" s="329">
        <v>1.5207266325488912E-2</v>
      </c>
      <c r="J1138" s="329">
        <v>0.73008201061980049</v>
      </c>
      <c r="K1138" s="329">
        <v>0.77060034119037712</v>
      </c>
    </row>
    <row r="1139" spans="1:11" ht="11.25" x14ac:dyDescent="0.15">
      <c r="A1139" s="326">
        <v>1.1000000000000001</v>
      </c>
      <c r="B1139" s="327">
        <v>75</v>
      </c>
      <c r="C1139" s="327" t="s">
        <v>112</v>
      </c>
      <c r="D1139" s="327" t="s">
        <v>79</v>
      </c>
      <c r="E1139" s="328" t="s">
        <v>479</v>
      </c>
      <c r="F1139" s="328">
        <v>127.65665000000001</v>
      </c>
      <c r="G1139" s="328">
        <v>6912.0964000000004</v>
      </c>
      <c r="H1139" s="328">
        <v>6901.1888000000008</v>
      </c>
      <c r="I1139" s="329">
        <v>0.14669335402051187</v>
      </c>
      <c r="J1139" s="329">
        <v>0.79115994563232006</v>
      </c>
      <c r="K1139" s="329">
        <v>0.83075746578817444</v>
      </c>
    </row>
    <row r="1140" spans="1:11" ht="11.25" x14ac:dyDescent="0.15">
      <c r="A1140" s="326">
        <v>1.1000000000000001</v>
      </c>
      <c r="B1140" s="327">
        <v>75</v>
      </c>
      <c r="C1140" s="327" t="s">
        <v>112</v>
      </c>
      <c r="D1140" s="327" t="s">
        <v>114</v>
      </c>
      <c r="E1140" s="328" t="s">
        <v>480</v>
      </c>
      <c r="F1140" s="328">
        <v>34.958066000000002</v>
      </c>
      <c r="G1140" s="328">
        <v>6727.8145000000004</v>
      </c>
      <c r="H1140" s="328">
        <v>6809.0352000000012</v>
      </c>
      <c r="I1140" s="329">
        <v>4.0171161875314908E-2</v>
      </c>
      <c r="J1140" s="329">
        <v>0.77006700225482017</v>
      </c>
      <c r="K1140" s="329">
        <v>0.81966411746545409</v>
      </c>
    </row>
    <row r="1141" spans="1:11" ht="11.25" x14ac:dyDescent="0.15">
      <c r="A1141" s="326">
        <v>1.1000000000000001</v>
      </c>
      <c r="B1141" s="327">
        <v>75</v>
      </c>
      <c r="C1141" s="327" t="s">
        <v>112</v>
      </c>
      <c r="D1141" s="327" t="s">
        <v>113</v>
      </c>
      <c r="E1141" s="328" t="s">
        <v>481</v>
      </c>
      <c r="F1141" s="328">
        <v>14.596175000000001</v>
      </c>
      <c r="G1141" s="328">
        <v>6663.4447</v>
      </c>
      <c r="H1141" s="328">
        <v>6719.6272000000008</v>
      </c>
      <c r="I1141" s="329">
        <v>1.6772818859184732E-2</v>
      </c>
      <c r="J1141" s="329">
        <v>0.76269922198654094</v>
      </c>
      <c r="K1141" s="329">
        <v>0.8089012814304235</v>
      </c>
    </row>
    <row r="1142" spans="1:11" ht="11.25" x14ac:dyDescent="0.15">
      <c r="A1142" s="326">
        <v>1.125</v>
      </c>
      <c r="B1142" s="327">
        <v>75</v>
      </c>
      <c r="C1142" s="327" t="s">
        <v>112</v>
      </c>
      <c r="D1142" s="327" t="s">
        <v>79</v>
      </c>
      <c r="E1142" s="328" t="s">
        <v>482</v>
      </c>
      <c r="F1142" s="328">
        <v>139.1331375</v>
      </c>
      <c r="G1142" s="328">
        <v>7262.6613749999997</v>
      </c>
      <c r="H1142" s="328">
        <v>7232.8725000000004</v>
      </c>
      <c r="I1142" s="329">
        <v>0.15988126427626023</v>
      </c>
      <c r="J1142" s="329">
        <v>0.83128568325391849</v>
      </c>
      <c r="K1142" s="329">
        <v>0.87068518230786229</v>
      </c>
    </row>
    <row r="1143" spans="1:11" ht="11.25" x14ac:dyDescent="0.15">
      <c r="A1143" s="326">
        <v>1.125</v>
      </c>
      <c r="B1143" s="327">
        <v>75</v>
      </c>
      <c r="C1143" s="327" t="s">
        <v>112</v>
      </c>
      <c r="D1143" s="327" t="s">
        <v>114</v>
      </c>
      <c r="E1143" s="328" t="s">
        <v>483</v>
      </c>
      <c r="F1143" s="328">
        <v>38.011848749999999</v>
      </c>
      <c r="G1143" s="328">
        <v>7038</v>
      </c>
      <c r="H1143" s="328">
        <v>7137.5726249999998</v>
      </c>
      <c r="I1143" s="329">
        <v>4.368033773139042E-2</v>
      </c>
      <c r="J1143" s="329">
        <v>0.80557089703787521</v>
      </c>
      <c r="K1143" s="329">
        <v>0.85921308888463499</v>
      </c>
    </row>
    <row r="1144" spans="1:11" ht="11.25" x14ac:dyDescent="0.15">
      <c r="A1144" s="326">
        <v>1.125</v>
      </c>
      <c r="B1144" s="327">
        <v>75</v>
      </c>
      <c r="C1144" s="327" t="s">
        <v>112</v>
      </c>
      <c r="D1144" s="327" t="s">
        <v>113</v>
      </c>
      <c r="E1144" s="328" t="s">
        <v>484</v>
      </c>
      <c r="F1144" s="328">
        <v>16.125525</v>
      </c>
      <c r="G1144" s="328">
        <v>6953.5934999999999</v>
      </c>
      <c r="H1144" s="328">
        <v>7044.8051249999999</v>
      </c>
      <c r="I1144" s="329">
        <v>1.8530232052866923E-2</v>
      </c>
      <c r="J1144" s="329">
        <v>0.79590971205338712</v>
      </c>
      <c r="K1144" s="329">
        <v>0.84804583995970995</v>
      </c>
    </row>
    <row r="1145" spans="1:11" ht="11.25" x14ac:dyDescent="0.15">
      <c r="A1145" s="326">
        <v>1.1499999999999999</v>
      </c>
      <c r="B1145" s="327">
        <v>75</v>
      </c>
      <c r="C1145" s="327" t="s">
        <v>112</v>
      </c>
      <c r="D1145" s="327" t="s">
        <v>79</v>
      </c>
      <c r="E1145" s="328" t="s">
        <v>485</v>
      </c>
      <c r="F1145" s="328">
        <v>151.80563499999997</v>
      </c>
      <c r="G1145" s="328">
        <v>7630.5018499999996</v>
      </c>
      <c r="H1145" s="328">
        <v>7572.4843499999997</v>
      </c>
      <c r="I1145" s="329">
        <v>0.17444353864341264</v>
      </c>
      <c r="J1145" s="329">
        <v>0.87338877808378323</v>
      </c>
      <c r="K1145" s="329">
        <v>0.91156728074540005</v>
      </c>
    </row>
    <row r="1146" spans="1:11" ht="11.25" x14ac:dyDescent="0.15">
      <c r="A1146" s="326">
        <v>1.1499999999999999</v>
      </c>
      <c r="B1146" s="327">
        <v>75</v>
      </c>
      <c r="C1146" s="327" t="s">
        <v>112</v>
      </c>
      <c r="D1146" s="327" t="s">
        <v>114</v>
      </c>
      <c r="E1146" s="328" t="s">
        <v>486</v>
      </c>
      <c r="F1146" s="328">
        <v>41.370318499999996</v>
      </c>
      <c r="G1146" s="328">
        <v>7358.2830499999991</v>
      </c>
      <c r="H1146" s="328">
        <v>7473.380799999999</v>
      </c>
      <c r="I1146" s="329">
        <v>4.7539636812197646E-2</v>
      </c>
      <c r="J1146" s="329">
        <v>0.842230559426981</v>
      </c>
      <c r="K1146" s="329">
        <v>0.89963730513763052</v>
      </c>
    </row>
    <row r="1147" spans="1:11" ht="11.25" x14ac:dyDescent="0.15">
      <c r="A1147" s="326">
        <v>1.1499999999999999</v>
      </c>
      <c r="B1147" s="327">
        <v>75</v>
      </c>
      <c r="C1147" s="327" t="s">
        <v>112</v>
      </c>
      <c r="D1147" s="327" t="s">
        <v>113</v>
      </c>
      <c r="E1147" s="328" t="s">
        <v>487</v>
      </c>
      <c r="F1147" s="328">
        <v>17.847861999999999</v>
      </c>
      <c r="G1147" s="328">
        <v>7253.8733999999995</v>
      </c>
      <c r="H1147" s="328">
        <v>7377.9687499999991</v>
      </c>
      <c r="I1147" s="329">
        <v>2.0509411290953041E-2</v>
      </c>
      <c r="J1147" s="329">
        <v>0.83027980986603889</v>
      </c>
      <c r="K1147" s="329">
        <v>0.88815170821211897</v>
      </c>
    </row>
    <row r="1148" spans="1:11" ht="11.25" x14ac:dyDescent="0.15">
      <c r="A1148" s="326">
        <v>1.175</v>
      </c>
      <c r="B1148" s="327">
        <v>75</v>
      </c>
      <c r="C1148" s="327" t="s">
        <v>112</v>
      </c>
      <c r="D1148" s="327" t="s">
        <v>79</v>
      </c>
      <c r="E1148" s="328" t="s">
        <v>488</v>
      </c>
      <c r="F1148" s="328">
        <v>165.830805</v>
      </c>
      <c r="G1148" s="328">
        <v>8017.8204749999995</v>
      </c>
      <c r="H1148" s="328">
        <v>7919.2556000000004</v>
      </c>
      <c r="I1148" s="329">
        <v>0.19056020180203279</v>
      </c>
      <c r="J1148" s="329">
        <v>0.91772134588439791</v>
      </c>
      <c r="K1148" s="329">
        <v>0.9533112198270548</v>
      </c>
    </row>
    <row r="1149" spans="1:11" ht="11.25" x14ac:dyDescent="0.15">
      <c r="A1149" s="326">
        <v>1.175</v>
      </c>
      <c r="B1149" s="327">
        <v>75</v>
      </c>
      <c r="C1149" s="327" t="s">
        <v>112</v>
      </c>
      <c r="D1149" s="327" t="s">
        <v>114</v>
      </c>
      <c r="E1149" s="328" t="s">
        <v>489</v>
      </c>
      <c r="F1149" s="328">
        <v>45.07334075</v>
      </c>
      <c r="G1149" s="328">
        <v>7692.98585</v>
      </c>
      <c r="H1149" s="328">
        <v>7817.1069750000006</v>
      </c>
      <c r="I1149" s="329">
        <v>5.1794869531096993E-2</v>
      </c>
      <c r="J1149" s="329">
        <v>0.88054070930437356</v>
      </c>
      <c r="K1149" s="329">
        <v>0.94101468146271583</v>
      </c>
    </row>
    <row r="1150" spans="1:11" ht="11.25" x14ac:dyDescent="0.15">
      <c r="A1150" s="326">
        <v>1.175</v>
      </c>
      <c r="B1150" s="327">
        <v>75</v>
      </c>
      <c r="C1150" s="327" t="s">
        <v>112</v>
      </c>
      <c r="D1150" s="327" t="s">
        <v>113</v>
      </c>
      <c r="E1150" s="328" t="s">
        <v>490</v>
      </c>
      <c r="F1150" s="328">
        <v>19.792839750000002</v>
      </c>
      <c r="G1150" s="328">
        <v>7561.3435499999996</v>
      </c>
      <c r="H1150" s="328">
        <v>7718.7865000000011</v>
      </c>
      <c r="I1150" s="329">
        <v>2.2744432417097032E-2</v>
      </c>
      <c r="J1150" s="329">
        <v>0.86547290514138275</v>
      </c>
      <c r="K1150" s="329">
        <v>0.9291789715563169</v>
      </c>
    </row>
    <row r="1151" spans="1:11" ht="11.25" x14ac:dyDescent="0.15">
      <c r="A1151" s="326">
        <v>1.2</v>
      </c>
      <c r="B1151" s="327">
        <v>75</v>
      </c>
      <c r="C1151" s="327" t="s">
        <v>112</v>
      </c>
      <c r="D1151" s="327" t="s">
        <v>79</v>
      </c>
      <c r="E1151" s="328" t="s">
        <v>491</v>
      </c>
      <c r="F1151" s="328">
        <v>181.38539999999998</v>
      </c>
      <c r="G1151" s="328">
        <v>8425.8431999999993</v>
      </c>
      <c r="H1151" s="328">
        <v>8274.6383999999998</v>
      </c>
      <c r="I1151" s="329">
        <v>0.20843436433865489</v>
      </c>
      <c r="J1151" s="329">
        <v>0.96442370913959663</v>
      </c>
      <c r="K1151" s="329">
        <v>0.99609180776180384</v>
      </c>
    </row>
    <row r="1152" spans="1:11" ht="11.25" x14ac:dyDescent="0.15">
      <c r="A1152" s="326">
        <v>1.2</v>
      </c>
      <c r="B1152" s="327">
        <v>75</v>
      </c>
      <c r="C1152" s="327" t="s">
        <v>112</v>
      </c>
      <c r="D1152" s="327" t="s">
        <v>114</v>
      </c>
      <c r="E1152" s="328" t="s">
        <v>492</v>
      </c>
      <c r="F1152" s="328">
        <v>49.165955999999994</v>
      </c>
      <c r="G1152" s="328">
        <v>8041.6703999999991</v>
      </c>
      <c r="H1152" s="328">
        <v>8168.5572000000002</v>
      </c>
      <c r="I1152" s="329">
        <v>5.6497793019516872E-2</v>
      </c>
      <c r="J1152" s="329">
        <v>0.9204512131018654</v>
      </c>
      <c r="K1152" s="329">
        <v>0.9833218703736587</v>
      </c>
    </row>
    <row r="1153" spans="1:11" ht="11.25" x14ac:dyDescent="0.15">
      <c r="A1153" s="326">
        <v>1.2</v>
      </c>
      <c r="B1153" s="327">
        <v>75</v>
      </c>
      <c r="C1153" s="327" t="s">
        <v>112</v>
      </c>
      <c r="D1153" s="327" t="s">
        <v>113</v>
      </c>
      <c r="E1153" s="328" t="s">
        <v>493</v>
      </c>
      <c r="F1153" s="328">
        <v>21.994188000000001</v>
      </c>
      <c r="G1153" s="328">
        <v>7880.0123999999996</v>
      </c>
      <c r="H1153" s="328">
        <v>8067.6383999999998</v>
      </c>
      <c r="I1153" s="329">
        <v>2.5274055105454309E-2</v>
      </c>
      <c r="J1153" s="329">
        <v>0.90194780587348389</v>
      </c>
      <c r="K1153" s="329">
        <v>0.97117337698098649</v>
      </c>
    </row>
    <row r="1154" spans="1:11" ht="11.25" x14ac:dyDescent="0.15">
      <c r="A1154" s="326">
        <v>1.2250000000000001</v>
      </c>
      <c r="B1154" s="327">
        <v>75</v>
      </c>
      <c r="C1154" s="327" t="s">
        <v>112</v>
      </c>
      <c r="D1154" s="327" t="s">
        <v>79</v>
      </c>
      <c r="E1154" s="328" t="s">
        <v>494</v>
      </c>
      <c r="F1154" s="328">
        <v>198.66768250000004</v>
      </c>
      <c r="G1154" s="328">
        <v>8854.6025750000008</v>
      </c>
      <c r="H1154" s="328">
        <v>8637.4272250000013</v>
      </c>
      <c r="I1154" s="329">
        <v>0.22829385450273962</v>
      </c>
      <c r="J1154" s="329">
        <v>1.013499593528933</v>
      </c>
      <c r="K1154" s="329">
        <v>1.0397639247850725</v>
      </c>
    </row>
    <row r="1155" spans="1:11" ht="11.25" x14ac:dyDescent="0.15">
      <c r="A1155" s="326">
        <v>1.2250000000000001</v>
      </c>
      <c r="B1155" s="327">
        <v>75</v>
      </c>
      <c r="C1155" s="327" t="s">
        <v>112</v>
      </c>
      <c r="D1155" s="327" t="s">
        <v>114</v>
      </c>
      <c r="E1155" s="328" t="s">
        <v>495</v>
      </c>
      <c r="F1155" s="328">
        <v>53.699063250000009</v>
      </c>
      <c r="G1155" s="328">
        <v>8406.2525750000004</v>
      </c>
      <c r="H1155" s="328">
        <v>8527.91345</v>
      </c>
      <c r="I1155" s="329">
        <v>6.1706896553388402E-2</v>
      </c>
      <c r="J1155" s="329">
        <v>0.9621813622577009</v>
      </c>
      <c r="K1155" s="329">
        <v>1.0265807778194516</v>
      </c>
    </row>
    <row r="1156" spans="1:11" ht="11.25" x14ac:dyDescent="0.15">
      <c r="A1156" s="326">
        <v>1.2250000000000001</v>
      </c>
      <c r="B1156" s="327">
        <v>75</v>
      </c>
      <c r="C1156" s="327" t="s">
        <v>112</v>
      </c>
      <c r="D1156" s="327" t="s">
        <v>113</v>
      </c>
      <c r="E1156" s="328" t="s">
        <v>496</v>
      </c>
      <c r="F1156" s="328">
        <v>24.490175500000003</v>
      </c>
      <c r="G1156" s="328">
        <v>8208.9479499999998</v>
      </c>
      <c r="H1156" s="328">
        <v>8424.0922499999997</v>
      </c>
      <c r="I1156" s="329">
        <v>2.8142254905216189E-2</v>
      </c>
      <c r="J1156" s="329">
        <v>0.93959783515469264</v>
      </c>
      <c r="K1156" s="329">
        <v>1.0140828967287201</v>
      </c>
    </row>
    <row r="1157" spans="1:11" ht="11.25" x14ac:dyDescent="0.15">
      <c r="A1157" s="326">
        <v>1.25</v>
      </c>
      <c r="B1157" s="327">
        <v>75</v>
      </c>
      <c r="C1157" s="327" t="s">
        <v>112</v>
      </c>
      <c r="D1157" s="327" t="s">
        <v>79</v>
      </c>
      <c r="E1157" s="328" t="s">
        <v>497</v>
      </c>
      <c r="F1157" s="328">
        <v>217.89999999999998</v>
      </c>
      <c r="G1157" s="328">
        <v>9306.4375</v>
      </c>
      <c r="H1157" s="328">
        <v>9008.0125000000007</v>
      </c>
      <c r="I1157" s="329">
        <v>0.25039417720165402</v>
      </c>
      <c r="J1157" s="329">
        <v>1.0652167100173233</v>
      </c>
      <c r="K1157" s="329">
        <v>1.0843745698260272</v>
      </c>
    </row>
    <row r="1158" spans="1:11" ht="11.25" x14ac:dyDescent="0.15">
      <c r="A1158" s="326">
        <v>1.25</v>
      </c>
      <c r="B1158" s="327">
        <v>75</v>
      </c>
      <c r="C1158" s="327" t="s">
        <v>112</v>
      </c>
      <c r="D1158" s="327" t="s">
        <v>114</v>
      </c>
      <c r="E1158" s="328" t="s">
        <v>498</v>
      </c>
      <c r="F1158" s="328">
        <v>58.729199999999999</v>
      </c>
      <c r="G1158" s="328">
        <v>8787.5375000000004</v>
      </c>
      <c r="H1158" s="328">
        <v>8895.35</v>
      </c>
      <c r="I1158" s="329">
        <v>6.7487148745807163E-2</v>
      </c>
      <c r="J1158" s="329">
        <v>1.0058233115414845</v>
      </c>
      <c r="K1158" s="329">
        <v>1.0708123828316125</v>
      </c>
    </row>
    <row r="1159" spans="1:11" ht="11.25" x14ac:dyDescent="0.15">
      <c r="A1159" s="326">
        <v>1.25</v>
      </c>
      <c r="B1159" s="327">
        <v>75</v>
      </c>
      <c r="C1159" s="327" t="s">
        <v>112</v>
      </c>
      <c r="D1159" s="327" t="s">
        <v>113</v>
      </c>
      <c r="E1159" s="328" t="s">
        <v>499</v>
      </c>
      <c r="F1159" s="328">
        <v>27.324100000000001</v>
      </c>
      <c r="G1159" s="328">
        <v>8549.0737499999996</v>
      </c>
      <c r="H1159" s="328">
        <v>8788.1187500000015</v>
      </c>
      <c r="I1159" s="329">
        <v>3.1398786311499387E-2</v>
      </c>
      <c r="J1159" s="329">
        <v>0.97852870270395731</v>
      </c>
      <c r="K1159" s="329">
        <v>1.0579040036979628</v>
      </c>
    </row>
    <row r="1160" spans="1:11" ht="11.25" x14ac:dyDescent="0.15">
      <c r="A1160" s="326">
        <v>1.2749999999999999</v>
      </c>
      <c r="B1160" s="327">
        <v>75</v>
      </c>
      <c r="C1160" s="327" t="s">
        <v>112</v>
      </c>
      <c r="D1160" s="327" t="s">
        <v>79</v>
      </c>
      <c r="E1160" s="328" t="s">
        <v>500</v>
      </c>
      <c r="F1160" s="328">
        <v>239.32935749999999</v>
      </c>
      <c r="G1160" s="328">
        <v>9782.415825</v>
      </c>
      <c r="H1160" s="328">
        <v>9386.9707499999986</v>
      </c>
      <c r="I1160" s="329">
        <v>0.27501917187431396</v>
      </c>
      <c r="J1160" s="329">
        <v>1.1196972849307696</v>
      </c>
      <c r="K1160" s="329">
        <v>1.1299931443257598</v>
      </c>
    </row>
    <row r="1161" spans="1:11" ht="11.25" x14ac:dyDescent="0.15">
      <c r="A1161" s="326">
        <v>1.2749999999999999</v>
      </c>
      <c r="B1161" s="327">
        <v>75</v>
      </c>
      <c r="C1161" s="327" t="s">
        <v>112</v>
      </c>
      <c r="D1161" s="327" t="s">
        <v>114</v>
      </c>
      <c r="E1161" s="328" t="s">
        <v>501</v>
      </c>
      <c r="F1161" s="328">
        <v>64.321378499999994</v>
      </c>
      <c r="G1161" s="328">
        <v>9187.4472750000004</v>
      </c>
      <c r="H1161" s="328">
        <v>9270.2891249999993</v>
      </c>
      <c r="I1161" s="329">
        <v>7.3913256750728143E-2</v>
      </c>
      <c r="J1161" s="329">
        <v>1.0515970649062139</v>
      </c>
      <c r="K1161" s="329">
        <v>1.1159471395143792</v>
      </c>
    </row>
    <row r="1162" spans="1:11" ht="11.25" x14ac:dyDescent="0.15">
      <c r="A1162" s="326">
        <v>1.2749999999999999</v>
      </c>
      <c r="B1162" s="327">
        <v>75</v>
      </c>
      <c r="C1162" s="327" t="s">
        <v>112</v>
      </c>
      <c r="D1162" s="327" t="s">
        <v>113</v>
      </c>
      <c r="E1162" s="328" t="s">
        <v>502</v>
      </c>
      <c r="F1162" s="328">
        <v>30.544499249999998</v>
      </c>
      <c r="G1162" s="328">
        <v>8900.1821249999994</v>
      </c>
      <c r="H1162" s="328">
        <v>9159.4100249999992</v>
      </c>
      <c r="I1162" s="329">
        <v>3.5099425230565806E-2</v>
      </c>
      <c r="J1162" s="329">
        <v>1.0187166379989645</v>
      </c>
      <c r="K1162" s="329">
        <v>1.1025996362371362</v>
      </c>
    </row>
    <row r="1163" spans="1:11" ht="11.25" x14ac:dyDescent="0.15">
      <c r="A1163" s="326">
        <v>1.3</v>
      </c>
      <c r="B1163" s="327">
        <v>75</v>
      </c>
      <c r="C1163" s="327" t="s">
        <v>112</v>
      </c>
      <c r="D1163" s="327" t="s">
        <v>79</v>
      </c>
      <c r="E1163" s="328" t="s">
        <v>503</v>
      </c>
      <c r="F1163" s="328">
        <v>263.23362000000003</v>
      </c>
      <c r="G1163" s="328">
        <v>10283.781300000001</v>
      </c>
      <c r="H1163" s="328">
        <v>9773.5182999999997</v>
      </c>
      <c r="I1163" s="329">
        <v>0.30248813993443269</v>
      </c>
      <c r="J1163" s="329">
        <v>1.1770836781446898</v>
      </c>
      <c r="K1163" s="329">
        <v>1.1765253103555644</v>
      </c>
    </row>
    <row r="1164" spans="1:11" ht="11.25" x14ac:dyDescent="0.15">
      <c r="A1164" s="326">
        <v>1.3</v>
      </c>
      <c r="B1164" s="327">
        <v>75</v>
      </c>
      <c r="C1164" s="327" t="s">
        <v>112</v>
      </c>
      <c r="D1164" s="327" t="s">
        <v>114</v>
      </c>
      <c r="E1164" s="328" t="s">
        <v>504</v>
      </c>
      <c r="F1164" s="328">
        <v>70.547308000000001</v>
      </c>
      <c r="G1164" s="328">
        <v>9605.7156000000014</v>
      </c>
      <c r="H1164" s="328">
        <v>9652.6677</v>
      </c>
      <c r="I1164" s="329">
        <v>8.1067623407304584E-2</v>
      </c>
      <c r="J1164" s="329">
        <v>1.0994721416002717</v>
      </c>
      <c r="K1164" s="329">
        <v>1.1619774489501526</v>
      </c>
    </row>
    <row r="1165" spans="1:11" ht="11.25" x14ac:dyDescent="0.15">
      <c r="A1165" s="326">
        <v>1.3</v>
      </c>
      <c r="B1165" s="327">
        <v>75</v>
      </c>
      <c r="C1165" s="327" t="s">
        <v>112</v>
      </c>
      <c r="D1165" s="327" t="s">
        <v>113</v>
      </c>
      <c r="E1165" s="328" t="s">
        <v>505</v>
      </c>
      <c r="F1165" s="328">
        <v>34.206354000000005</v>
      </c>
      <c r="G1165" s="328">
        <v>9265.3704000000016</v>
      </c>
      <c r="H1165" s="328">
        <v>9538.4406000000017</v>
      </c>
      <c r="I1165" s="329">
        <v>3.9307351376312576E-2</v>
      </c>
      <c r="J1165" s="329">
        <v>1.0605161614828329</v>
      </c>
      <c r="K1165" s="329">
        <v>1.148226917140281</v>
      </c>
    </row>
    <row r="1166" spans="1:11" ht="11.25" x14ac:dyDescent="0.15">
      <c r="A1166" s="326">
        <v>1.325</v>
      </c>
      <c r="B1166" s="327">
        <v>75</v>
      </c>
      <c r="C1166" s="327" t="s">
        <v>112</v>
      </c>
      <c r="D1166" s="327" t="s">
        <v>79</v>
      </c>
      <c r="E1166" s="328" t="s">
        <v>506</v>
      </c>
      <c r="F1166" s="328">
        <v>289.91808249999997</v>
      </c>
      <c r="G1166" s="328">
        <v>10809.8058</v>
      </c>
      <c r="H1166" s="328">
        <v>10168.125525000001</v>
      </c>
      <c r="I1166" s="329">
        <v>0.33315190327429445</v>
      </c>
      <c r="J1166" s="329">
        <v>1.2372925483249826</v>
      </c>
      <c r="K1166" s="329">
        <v>1.2240276911370764</v>
      </c>
    </row>
    <row r="1167" spans="1:11" ht="11.25" x14ac:dyDescent="0.15">
      <c r="A1167" s="326">
        <v>1.325</v>
      </c>
      <c r="B1167" s="327">
        <v>75</v>
      </c>
      <c r="C1167" s="327" t="s">
        <v>112</v>
      </c>
      <c r="D1167" s="327" t="s">
        <v>114</v>
      </c>
      <c r="E1167" s="328" t="s">
        <v>507</v>
      </c>
      <c r="F1167" s="328">
        <v>77.487696</v>
      </c>
      <c r="G1167" s="328">
        <v>10044.439424999999</v>
      </c>
      <c r="H1167" s="328">
        <v>10043.008425</v>
      </c>
      <c r="I1167" s="329">
        <v>8.9042991662101431E-2</v>
      </c>
      <c r="J1167" s="329">
        <v>1.14968855894286</v>
      </c>
      <c r="K1167" s="329">
        <v>1.2089662331861264</v>
      </c>
    </row>
    <row r="1168" spans="1:11" ht="11.25" x14ac:dyDescent="0.15">
      <c r="A1168" s="326">
        <v>1.325</v>
      </c>
      <c r="B1168" s="327">
        <v>75</v>
      </c>
      <c r="C1168" s="327" t="s">
        <v>112</v>
      </c>
      <c r="D1168" s="327" t="s">
        <v>113</v>
      </c>
      <c r="E1168" s="328" t="s">
        <v>508</v>
      </c>
      <c r="F1168" s="328">
        <v>38.371032749999998</v>
      </c>
      <c r="G1168" s="328">
        <v>9646.1113000000005</v>
      </c>
      <c r="H1168" s="328">
        <v>9925.4901999999984</v>
      </c>
      <c r="I1168" s="329">
        <v>4.4093084781156359E-2</v>
      </c>
      <c r="J1168" s="329">
        <v>1.1040958415555819</v>
      </c>
      <c r="K1168" s="329">
        <v>1.1948195193931455</v>
      </c>
    </row>
    <row r="1169" spans="1:11" ht="11.25" x14ac:dyDescent="0.15">
      <c r="A1169" s="326">
        <v>1.35</v>
      </c>
      <c r="B1169" s="327">
        <v>75</v>
      </c>
      <c r="C1169" s="327" t="s">
        <v>112</v>
      </c>
      <c r="D1169" s="327" t="s">
        <v>79</v>
      </c>
      <c r="E1169" s="328" t="s">
        <v>509</v>
      </c>
      <c r="F1169" s="328">
        <v>319.72468500000002</v>
      </c>
      <c r="G1169" s="328">
        <v>11364.980400000002</v>
      </c>
      <c r="H1169" s="328">
        <v>10571.196599999999</v>
      </c>
      <c r="I1169" s="329">
        <v>0.36740339344485101</v>
      </c>
      <c r="J1169" s="329">
        <v>1.3008379448203853</v>
      </c>
      <c r="K1169" s="329">
        <v>1.2725489408092363</v>
      </c>
    </row>
    <row r="1170" spans="1:11" ht="11.25" x14ac:dyDescent="0.15">
      <c r="A1170" s="326">
        <v>1.35</v>
      </c>
      <c r="B1170" s="327">
        <v>75</v>
      </c>
      <c r="C1170" s="327" t="s">
        <v>112</v>
      </c>
      <c r="D1170" s="327" t="s">
        <v>114</v>
      </c>
      <c r="E1170" s="328" t="s">
        <v>510</v>
      </c>
      <c r="F1170" s="328">
        <v>85.232992500000009</v>
      </c>
      <c r="G1170" s="328">
        <v>10505.174850000001</v>
      </c>
      <c r="H1170" s="328">
        <v>10441.360350000001</v>
      </c>
      <c r="I1170" s="329">
        <v>9.7943299804829076E-2</v>
      </c>
      <c r="J1170" s="329">
        <v>1.2024244284532861</v>
      </c>
      <c r="K1170" s="329">
        <v>1.2569193968069858</v>
      </c>
    </row>
    <row r="1171" spans="1:11" ht="11.25" x14ac:dyDescent="0.15">
      <c r="A1171" s="326">
        <v>1.35</v>
      </c>
      <c r="B1171" s="327">
        <v>75</v>
      </c>
      <c r="C1171" s="327" t="s">
        <v>112</v>
      </c>
      <c r="D1171" s="327" t="s">
        <v>113</v>
      </c>
      <c r="E1171" s="328" t="s">
        <v>511</v>
      </c>
      <c r="F1171" s="328">
        <v>43.107295500000006</v>
      </c>
      <c r="G1171" s="328">
        <v>10042.101900000001</v>
      </c>
      <c r="H1171" s="328">
        <v>10320.0183</v>
      </c>
      <c r="I1171" s="329">
        <v>4.9535639229513845E-2</v>
      </c>
      <c r="J1171" s="329">
        <v>1.1494210053607208</v>
      </c>
      <c r="K1171" s="329">
        <v>1.2423123751947756</v>
      </c>
    </row>
    <row r="1172" spans="1:11" ht="11.25" x14ac:dyDescent="0.15">
      <c r="A1172" s="326">
        <v>1.375</v>
      </c>
      <c r="B1172" s="327">
        <v>75</v>
      </c>
      <c r="C1172" s="327" t="s">
        <v>112</v>
      </c>
      <c r="D1172" s="327" t="s">
        <v>79</v>
      </c>
      <c r="E1172" s="328" t="s">
        <v>512</v>
      </c>
      <c r="F1172" s="328">
        <v>353.03042500000004</v>
      </c>
      <c r="G1172" s="328">
        <v>11945.624625</v>
      </c>
      <c r="H1172" s="328">
        <v>10981.757874999999</v>
      </c>
      <c r="I1172" s="329">
        <v>0.40567582742095115</v>
      </c>
      <c r="J1172" s="329">
        <v>1.3672985997213671</v>
      </c>
      <c r="K1172" s="329">
        <v>1.3219718524632056</v>
      </c>
    </row>
    <row r="1173" spans="1:11" ht="11.25" x14ac:dyDescent="0.15">
      <c r="A1173" s="326">
        <v>1.375</v>
      </c>
      <c r="B1173" s="327">
        <v>75</v>
      </c>
      <c r="C1173" s="327" t="s">
        <v>112</v>
      </c>
      <c r="D1173" s="327" t="s">
        <v>114</v>
      </c>
      <c r="E1173" s="328" t="s">
        <v>513</v>
      </c>
      <c r="F1173" s="328">
        <v>93.883391250000003</v>
      </c>
      <c r="G1173" s="328">
        <v>10989.407000000001</v>
      </c>
      <c r="H1173" s="328">
        <v>10847.321375</v>
      </c>
      <c r="I1173" s="329">
        <v>0.1078836829047486</v>
      </c>
      <c r="J1173" s="329">
        <v>1.2578497378380658</v>
      </c>
      <c r="K1173" s="329">
        <v>1.3057885354599912</v>
      </c>
    </row>
    <row r="1174" spans="1:11" ht="11.25" x14ac:dyDescent="0.15">
      <c r="A1174" s="326">
        <v>1.375</v>
      </c>
      <c r="B1174" s="327">
        <v>75</v>
      </c>
      <c r="C1174" s="327" t="s">
        <v>112</v>
      </c>
      <c r="D1174" s="327" t="s">
        <v>113</v>
      </c>
      <c r="E1174" s="328" t="s">
        <v>514</v>
      </c>
      <c r="F1174" s="328">
        <v>48.491973749999993</v>
      </c>
      <c r="G1174" s="328">
        <v>10455.31025</v>
      </c>
      <c r="H1174" s="328">
        <v>10722.30775</v>
      </c>
      <c r="I1174" s="329">
        <v>5.5723303662301313E-2</v>
      </c>
      <c r="J1174" s="329">
        <v>1.1967169162974982</v>
      </c>
      <c r="K1174" s="329">
        <v>1.2907395337149596</v>
      </c>
    </row>
    <row r="1175" spans="1:11" ht="11.25" x14ac:dyDescent="0.15">
      <c r="A1175" s="326">
        <v>1.4</v>
      </c>
      <c r="B1175" s="327">
        <v>75</v>
      </c>
      <c r="C1175" s="327" t="s">
        <v>112</v>
      </c>
      <c r="D1175" s="327" t="s">
        <v>79</v>
      </c>
      <c r="E1175" s="328" t="s">
        <v>515</v>
      </c>
      <c r="F1175" s="328">
        <v>390.2518199999999</v>
      </c>
      <c r="G1175" s="328">
        <v>12553.535399999999</v>
      </c>
      <c r="H1175" s="328">
        <v>11400.6592</v>
      </c>
      <c r="I1175" s="329">
        <v>0.44844783556837076</v>
      </c>
      <c r="J1175" s="329">
        <v>1.4368801894252232</v>
      </c>
      <c r="K1175" s="329">
        <v>1.3723987301009117</v>
      </c>
    </row>
    <row r="1176" spans="1:11" ht="11.25" x14ac:dyDescent="0.15">
      <c r="A1176" s="326">
        <v>1.4</v>
      </c>
      <c r="B1176" s="327">
        <v>75</v>
      </c>
      <c r="C1176" s="327" t="s">
        <v>112</v>
      </c>
      <c r="D1176" s="327" t="s">
        <v>114</v>
      </c>
      <c r="E1176" s="328" t="s">
        <v>516</v>
      </c>
      <c r="F1176" s="328">
        <v>103.5517</v>
      </c>
      <c r="G1176" s="328">
        <v>11496.2246</v>
      </c>
      <c r="H1176" s="328">
        <v>11260.9112</v>
      </c>
      <c r="I1176" s="329">
        <v>0.11899377108459165</v>
      </c>
      <c r="J1176" s="329">
        <v>1.315860182377222</v>
      </c>
      <c r="K1176" s="329">
        <v>1.3555760206093288</v>
      </c>
    </row>
    <row r="1177" spans="1:11" ht="11.25" x14ac:dyDescent="0.15">
      <c r="A1177" s="326">
        <v>1.4</v>
      </c>
      <c r="B1177" s="327">
        <v>75</v>
      </c>
      <c r="C1177" s="327" t="s">
        <v>112</v>
      </c>
      <c r="D1177" s="327" t="s">
        <v>113</v>
      </c>
      <c r="E1177" s="328" t="s">
        <v>517</v>
      </c>
      <c r="F1177" s="328">
        <v>54.610751999999998</v>
      </c>
      <c r="G1177" s="328">
        <v>10887.4262</v>
      </c>
      <c r="H1177" s="328">
        <v>11133.254999999999</v>
      </c>
      <c r="I1177" s="329">
        <v>6.2754540217547422E-2</v>
      </c>
      <c r="J1177" s="329">
        <v>1.2461769949371506</v>
      </c>
      <c r="K1177" s="329">
        <v>1.3402089086120235</v>
      </c>
    </row>
    <row r="1178" spans="1:11" ht="11.25" x14ac:dyDescent="0.15">
      <c r="A1178" s="326">
        <v>0.9</v>
      </c>
      <c r="B1178" s="327">
        <v>85</v>
      </c>
      <c r="C1178" s="327" t="s">
        <v>112</v>
      </c>
      <c r="D1178" s="327" t="s">
        <v>79</v>
      </c>
      <c r="E1178" s="328" t="s">
        <v>518</v>
      </c>
      <c r="F1178" s="328">
        <v>91.677902400000008</v>
      </c>
      <c r="G1178" s="328">
        <v>4603.7748600000004</v>
      </c>
      <c r="H1178" s="328">
        <v>4533.3239400000011</v>
      </c>
      <c r="I1178" s="329">
        <v>0.10534930215246237</v>
      </c>
      <c r="J1178" s="329">
        <v>0.52694899740418</v>
      </c>
      <c r="K1178" s="329">
        <v>0.5457165159705909</v>
      </c>
    </row>
    <row r="1179" spans="1:11" ht="11.25" x14ac:dyDescent="0.15">
      <c r="A1179" s="326">
        <v>0.9</v>
      </c>
      <c r="B1179" s="327">
        <v>85</v>
      </c>
      <c r="C1179" s="327" t="s">
        <v>112</v>
      </c>
      <c r="D1179" s="327" t="s">
        <v>114</v>
      </c>
      <c r="E1179" s="328" t="s">
        <v>519</v>
      </c>
      <c r="F1179" s="328">
        <v>26.037025200000002</v>
      </c>
      <c r="G1179" s="328">
        <v>4576.5446400000001</v>
      </c>
      <c r="H1179" s="328">
        <v>4464.0653400000001</v>
      </c>
      <c r="I1179" s="329">
        <v>2.9919777428787209E-2</v>
      </c>
      <c r="J1179" s="329">
        <v>0.52383222094042059</v>
      </c>
      <c r="K1179" s="329">
        <v>0.53737924239534285</v>
      </c>
    </row>
    <row r="1180" spans="1:11" ht="11.25" x14ac:dyDescent="0.15">
      <c r="A1180" s="326">
        <v>0.9</v>
      </c>
      <c r="B1180" s="327">
        <v>85</v>
      </c>
      <c r="C1180" s="327" t="s">
        <v>112</v>
      </c>
      <c r="D1180" s="327" t="s">
        <v>113</v>
      </c>
      <c r="E1180" s="328" t="s">
        <v>520</v>
      </c>
      <c r="F1180" s="328">
        <v>9.5955919200000004</v>
      </c>
      <c r="G1180" s="328">
        <v>4575.7378799999997</v>
      </c>
      <c r="H1180" s="328">
        <v>4395.8620799999999</v>
      </c>
      <c r="I1180" s="329">
        <v>1.1026527506063515E-2</v>
      </c>
      <c r="J1180" s="329">
        <v>0.5237398790283867</v>
      </c>
      <c r="K1180" s="329">
        <v>0.52916900948067569</v>
      </c>
    </row>
    <row r="1181" spans="1:11" ht="11.25" x14ac:dyDescent="0.15">
      <c r="A1181" s="326">
        <v>0.92500000000000004</v>
      </c>
      <c r="B1181" s="327">
        <v>85</v>
      </c>
      <c r="C1181" s="327" t="s">
        <v>112</v>
      </c>
      <c r="D1181" s="327" t="s">
        <v>79</v>
      </c>
      <c r="E1181" s="328" t="s">
        <v>521</v>
      </c>
      <c r="F1181" s="328">
        <v>99.265388950000016</v>
      </c>
      <c r="G1181" s="328">
        <v>4856.9098950000007</v>
      </c>
      <c r="H1181" s="328">
        <v>4802.7393050000001</v>
      </c>
      <c r="I1181" s="329">
        <v>0.11406826705248929</v>
      </c>
      <c r="J1181" s="329">
        <v>0.5559228844767381</v>
      </c>
      <c r="K1181" s="329">
        <v>0.57814843927513737</v>
      </c>
    </row>
    <row r="1182" spans="1:11" ht="11.25" x14ac:dyDescent="0.15">
      <c r="A1182" s="326">
        <v>0.92500000000000004</v>
      </c>
      <c r="B1182" s="327">
        <v>85</v>
      </c>
      <c r="C1182" s="327" t="s">
        <v>112</v>
      </c>
      <c r="D1182" s="327" t="s">
        <v>114</v>
      </c>
      <c r="E1182" s="328" t="s">
        <v>522</v>
      </c>
      <c r="F1182" s="328">
        <v>28.161723050000003</v>
      </c>
      <c r="G1182" s="328">
        <v>4820.0837950000005</v>
      </c>
      <c r="H1182" s="328">
        <v>4730.6893900000005</v>
      </c>
      <c r="I1182" s="329">
        <v>3.2361319282632431E-2</v>
      </c>
      <c r="J1182" s="329">
        <v>0.55170776165613478</v>
      </c>
      <c r="K1182" s="329">
        <v>0.5694751502911215</v>
      </c>
    </row>
    <row r="1183" spans="1:11" ht="11.25" x14ac:dyDescent="0.15">
      <c r="A1183" s="326">
        <v>0.92500000000000004</v>
      </c>
      <c r="B1183" s="327">
        <v>85</v>
      </c>
      <c r="C1183" s="327" t="s">
        <v>112</v>
      </c>
      <c r="D1183" s="327" t="s">
        <v>113</v>
      </c>
      <c r="E1183" s="328" t="s">
        <v>523</v>
      </c>
      <c r="F1183" s="328">
        <v>10.468230734999999</v>
      </c>
      <c r="G1183" s="328">
        <v>4815.2493750000003</v>
      </c>
      <c r="H1183" s="328">
        <v>4659.927815</v>
      </c>
      <c r="I1183" s="329">
        <v>1.2029297942392801E-2</v>
      </c>
      <c r="J1183" s="329">
        <v>0.5511544129695678</v>
      </c>
      <c r="K1183" s="329">
        <v>0.56095695024967651</v>
      </c>
    </row>
    <row r="1184" spans="1:11" ht="11.25" x14ac:dyDescent="0.15">
      <c r="A1184" s="326">
        <v>0.95</v>
      </c>
      <c r="B1184" s="327">
        <v>85</v>
      </c>
      <c r="C1184" s="327" t="s">
        <v>112</v>
      </c>
      <c r="D1184" s="327" t="s">
        <v>79</v>
      </c>
      <c r="E1184" s="328" t="s">
        <v>524</v>
      </c>
      <c r="F1184" s="328">
        <v>107.41874959999998</v>
      </c>
      <c r="G1184" s="328">
        <v>5119.1460599999991</v>
      </c>
      <c r="H1184" s="328">
        <v>5079.9650199999996</v>
      </c>
      <c r="I1184" s="329">
        <v>0.12343749161139286</v>
      </c>
      <c r="J1184" s="329">
        <v>0.58593848872152654</v>
      </c>
      <c r="K1184" s="329">
        <v>0.61152056386397835</v>
      </c>
    </row>
    <row r="1185" spans="1:11" ht="11.25" x14ac:dyDescent="0.15">
      <c r="A1185" s="326">
        <v>0.95</v>
      </c>
      <c r="B1185" s="327">
        <v>85</v>
      </c>
      <c r="C1185" s="327" t="s">
        <v>112</v>
      </c>
      <c r="D1185" s="327" t="s">
        <v>114</v>
      </c>
      <c r="E1185" s="328" t="s">
        <v>525</v>
      </c>
      <c r="F1185" s="328">
        <v>30.434925799999998</v>
      </c>
      <c r="G1185" s="328">
        <v>5069.2478799999999</v>
      </c>
      <c r="H1185" s="328">
        <v>5005.0841199999995</v>
      </c>
      <c r="I1185" s="329">
        <v>3.4973511720442371E-2</v>
      </c>
      <c r="J1185" s="329">
        <v>0.58022713299217776</v>
      </c>
      <c r="K1185" s="329">
        <v>0.60250648404052276</v>
      </c>
    </row>
    <row r="1186" spans="1:11" ht="11.25" x14ac:dyDescent="0.15">
      <c r="A1186" s="326">
        <v>0.95</v>
      </c>
      <c r="B1186" s="327">
        <v>85</v>
      </c>
      <c r="C1186" s="327" t="s">
        <v>112</v>
      </c>
      <c r="D1186" s="327" t="s">
        <v>113</v>
      </c>
      <c r="E1186" s="328" t="s">
        <v>526</v>
      </c>
      <c r="F1186" s="328">
        <v>11.412076399999998</v>
      </c>
      <c r="G1186" s="328">
        <v>5060.7299899999998</v>
      </c>
      <c r="H1186" s="328">
        <v>4931.8271500000001</v>
      </c>
      <c r="I1186" s="329">
        <v>1.3113893897844947E-2</v>
      </c>
      <c r="J1186" s="329">
        <v>0.57925217358777736</v>
      </c>
      <c r="K1186" s="329">
        <v>0.59368789111222608</v>
      </c>
    </row>
    <row r="1187" spans="1:11" ht="11.25" x14ac:dyDescent="0.15">
      <c r="A1187" s="326">
        <v>0.97499999999999998</v>
      </c>
      <c r="B1187" s="327">
        <v>85</v>
      </c>
      <c r="C1187" s="327" t="s">
        <v>112</v>
      </c>
      <c r="D1187" s="327" t="s">
        <v>79</v>
      </c>
      <c r="E1187" s="328" t="s">
        <v>527</v>
      </c>
      <c r="F1187" s="328">
        <v>116.19360479999999</v>
      </c>
      <c r="G1187" s="328">
        <v>5392.0733099999998</v>
      </c>
      <c r="H1187" s="328">
        <v>5365.0794599999999</v>
      </c>
      <c r="I1187" s="329">
        <v>0.13352089063786213</v>
      </c>
      <c r="J1187" s="329">
        <v>0.61717779670796891</v>
      </c>
      <c r="K1187" s="329">
        <v>0.6458423244328263</v>
      </c>
    </row>
    <row r="1188" spans="1:11" ht="11.25" x14ac:dyDescent="0.15">
      <c r="A1188" s="326">
        <v>0.97499999999999998</v>
      </c>
      <c r="B1188" s="327">
        <v>85</v>
      </c>
      <c r="C1188" s="327" t="s">
        <v>112</v>
      </c>
      <c r="D1188" s="327" t="s">
        <v>114</v>
      </c>
      <c r="E1188" s="328" t="s">
        <v>528</v>
      </c>
      <c r="F1188" s="328">
        <v>32.869946850000005</v>
      </c>
      <c r="G1188" s="328">
        <v>5326.4238299999997</v>
      </c>
      <c r="H1188" s="328">
        <v>5287.2452099999991</v>
      </c>
      <c r="I1188" s="329">
        <v>3.777165349319804E-2</v>
      </c>
      <c r="J1188" s="329">
        <v>0.60966354400923772</v>
      </c>
      <c r="K1188" s="329">
        <v>0.63647272360673035</v>
      </c>
    </row>
    <row r="1189" spans="1:11" ht="11.25" x14ac:dyDescent="0.15">
      <c r="A1189" s="326">
        <v>0.97499999999999998</v>
      </c>
      <c r="B1189" s="327">
        <v>85</v>
      </c>
      <c r="C1189" s="327" t="s">
        <v>112</v>
      </c>
      <c r="D1189" s="327" t="s">
        <v>113</v>
      </c>
      <c r="E1189" s="328" t="s">
        <v>529</v>
      </c>
      <c r="F1189" s="328">
        <v>12.4354932</v>
      </c>
      <c r="G1189" s="328">
        <v>5311.5599549999997</v>
      </c>
      <c r="H1189" s="328">
        <v>5211.7226849999997</v>
      </c>
      <c r="I1189" s="329">
        <v>1.4289926975267389E-2</v>
      </c>
      <c r="J1189" s="329">
        <v>0.60796222188403037</v>
      </c>
      <c r="K1189" s="329">
        <v>0.62738140567627121</v>
      </c>
    </row>
    <row r="1190" spans="1:11" ht="11.25" x14ac:dyDescent="0.15">
      <c r="A1190" s="326">
        <v>1</v>
      </c>
      <c r="B1190" s="327">
        <v>85</v>
      </c>
      <c r="C1190" s="327" t="s">
        <v>112</v>
      </c>
      <c r="D1190" s="327" t="s">
        <v>79</v>
      </c>
      <c r="E1190" s="328" t="s">
        <v>530</v>
      </c>
      <c r="F1190" s="328">
        <v>125.657488</v>
      </c>
      <c r="G1190" s="328">
        <v>5674.9675999999999</v>
      </c>
      <c r="H1190" s="328">
        <v>5657.6646000000001</v>
      </c>
      <c r="I1190" s="329">
        <v>0.14439606845794731</v>
      </c>
      <c r="J1190" s="329">
        <v>0.64955793409958484</v>
      </c>
      <c r="K1190" s="329">
        <v>0.68106339959507634</v>
      </c>
    </row>
    <row r="1191" spans="1:11" ht="11.25" x14ac:dyDescent="0.15">
      <c r="A1191" s="326">
        <v>1</v>
      </c>
      <c r="B1191" s="327">
        <v>85</v>
      </c>
      <c r="C1191" s="327" t="s">
        <v>112</v>
      </c>
      <c r="D1191" s="327" t="s">
        <v>114</v>
      </c>
      <c r="E1191" s="328" t="s">
        <v>531</v>
      </c>
      <c r="F1191" s="328">
        <v>35.483739999999997</v>
      </c>
      <c r="G1191" s="328">
        <v>5591.1217999999999</v>
      </c>
      <c r="H1191" s="328">
        <v>5577.2368000000006</v>
      </c>
      <c r="I1191" s="329">
        <v>4.0775226623852315E-2</v>
      </c>
      <c r="J1191" s="329">
        <v>0.63996092694998863</v>
      </c>
      <c r="K1191" s="329">
        <v>0.67138159009191978</v>
      </c>
    </row>
    <row r="1192" spans="1:11" ht="11.25" x14ac:dyDescent="0.15">
      <c r="A1192" s="326">
        <v>1</v>
      </c>
      <c r="B1192" s="327">
        <v>85</v>
      </c>
      <c r="C1192" s="327" t="s">
        <v>112</v>
      </c>
      <c r="D1192" s="327" t="s">
        <v>113</v>
      </c>
      <c r="E1192" s="328" t="s">
        <v>532</v>
      </c>
      <c r="F1192" s="328">
        <v>13.549742800000001</v>
      </c>
      <c r="G1192" s="328">
        <v>5569.2281999999996</v>
      </c>
      <c r="H1192" s="328">
        <v>5498.7471999999998</v>
      </c>
      <c r="I1192" s="329">
        <v>1.5570338227168594E-2</v>
      </c>
      <c r="J1192" s="329">
        <v>0.63745498108590948</v>
      </c>
      <c r="K1192" s="329">
        <v>0.66193309895851848</v>
      </c>
    </row>
    <row r="1193" spans="1:11" ht="11.25" x14ac:dyDescent="0.15">
      <c r="A1193" s="326">
        <v>1.0249999999999999</v>
      </c>
      <c r="B1193" s="327">
        <v>85</v>
      </c>
      <c r="C1193" s="327" t="s">
        <v>112</v>
      </c>
      <c r="D1193" s="327" t="s">
        <v>79</v>
      </c>
      <c r="E1193" s="328" t="s">
        <v>533</v>
      </c>
      <c r="F1193" s="328">
        <v>135.88618929999998</v>
      </c>
      <c r="G1193" s="328">
        <v>5969.7601049999994</v>
      </c>
      <c r="H1193" s="328">
        <v>5958.0792049999991</v>
      </c>
      <c r="I1193" s="329">
        <v>0.15615011731455578</v>
      </c>
      <c r="J1193" s="329">
        <v>0.68329994357569901</v>
      </c>
      <c r="K1193" s="329">
        <v>0.71722697708415395</v>
      </c>
    </row>
    <row r="1194" spans="1:11" ht="11.25" x14ac:dyDescent="0.15">
      <c r="A1194" s="326">
        <v>1.0249999999999999</v>
      </c>
      <c r="B1194" s="327">
        <v>85</v>
      </c>
      <c r="C1194" s="327" t="s">
        <v>112</v>
      </c>
      <c r="D1194" s="327" t="s">
        <v>114</v>
      </c>
      <c r="E1194" s="328" t="s">
        <v>534</v>
      </c>
      <c r="F1194" s="328">
        <v>38.295902400000003</v>
      </c>
      <c r="G1194" s="328">
        <v>5864.0580049999999</v>
      </c>
      <c r="H1194" s="328">
        <v>5874.843464999999</v>
      </c>
      <c r="I1194" s="329">
        <v>4.4006750672982334E-2</v>
      </c>
      <c r="J1194" s="329">
        <v>0.67120125992753388</v>
      </c>
      <c r="K1194" s="329">
        <v>0.7072071508731389</v>
      </c>
    </row>
    <row r="1195" spans="1:11" ht="11.25" x14ac:dyDescent="0.15">
      <c r="A1195" s="326">
        <v>1.0249999999999999</v>
      </c>
      <c r="B1195" s="327">
        <v>85</v>
      </c>
      <c r="C1195" s="327" t="s">
        <v>112</v>
      </c>
      <c r="D1195" s="327" t="s">
        <v>113</v>
      </c>
      <c r="E1195" s="328" t="s">
        <v>535</v>
      </c>
      <c r="F1195" s="328">
        <v>14.767978599999999</v>
      </c>
      <c r="G1195" s="328">
        <v>5831.2395549999992</v>
      </c>
      <c r="H1195" s="328">
        <v>5793.5457949999991</v>
      </c>
      <c r="I1195" s="329">
        <v>1.6970242544647247E-2</v>
      </c>
      <c r="J1195" s="329">
        <v>0.66744485353283456</v>
      </c>
      <c r="K1195" s="329">
        <v>0.69742062738262334</v>
      </c>
    </row>
    <row r="1196" spans="1:11" ht="11.25" x14ac:dyDescent="0.15">
      <c r="A1196" s="326">
        <v>1.05</v>
      </c>
      <c r="B1196" s="327">
        <v>85</v>
      </c>
      <c r="C1196" s="327" t="s">
        <v>112</v>
      </c>
      <c r="D1196" s="327" t="s">
        <v>79</v>
      </c>
      <c r="E1196" s="328" t="s">
        <v>536</v>
      </c>
      <c r="F1196" s="328">
        <v>146.96883600000001</v>
      </c>
      <c r="G1196" s="328">
        <v>6278.0959499999999</v>
      </c>
      <c r="H1196" s="328">
        <v>6266.3859300000004</v>
      </c>
      <c r="I1196" s="329">
        <v>0.16888545555073353</v>
      </c>
      <c r="J1196" s="329">
        <v>0.71859212647504289</v>
      </c>
      <c r="K1196" s="329">
        <v>0.75434059923957919</v>
      </c>
    </row>
    <row r="1197" spans="1:11" ht="11.25" x14ac:dyDescent="0.15">
      <c r="A1197" s="326">
        <v>1.05</v>
      </c>
      <c r="B1197" s="327">
        <v>85</v>
      </c>
      <c r="C1197" s="327" t="s">
        <v>112</v>
      </c>
      <c r="D1197" s="327" t="s">
        <v>114</v>
      </c>
      <c r="E1197" s="328" t="s">
        <v>537</v>
      </c>
      <c r="F1197" s="328">
        <v>41.328749700000003</v>
      </c>
      <c r="G1197" s="328">
        <v>6145.24323</v>
      </c>
      <c r="H1197" s="328">
        <v>6180.1240200000002</v>
      </c>
      <c r="I1197" s="329">
        <v>4.7491869095477778E-2</v>
      </c>
      <c r="J1197" s="329">
        <v>0.70338577739514496</v>
      </c>
      <c r="K1197" s="329">
        <v>0.74395648603496034</v>
      </c>
    </row>
    <row r="1198" spans="1:11" ht="11.25" x14ac:dyDescent="0.15">
      <c r="A1198" s="326">
        <v>1.05</v>
      </c>
      <c r="B1198" s="327">
        <v>85</v>
      </c>
      <c r="C1198" s="327" t="s">
        <v>112</v>
      </c>
      <c r="D1198" s="327" t="s">
        <v>113</v>
      </c>
      <c r="E1198" s="328" t="s">
        <v>538</v>
      </c>
      <c r="F1198" s="328">
        <v>16.105458599999999</v>
      </c>
      <c r="G1198" s="328">
        <v>6101.4057300000004</v>
      </c>
      <c r="H1198" s="328">
        <v>6096.0570299999999</v>
      </c>
      <c r="I1198" s="329">
        <v>1.8507173265728788E-2</v>
      </c>
      <c r="J1198" s="329">
        <v>0.69836812831885942</v>
      </c>
      <c r="K1198" s="329">
        <v>0.73383659486942088</v>
      </c>
    </row>
    <row r="1199" spans="1:11" ht="11.25" x14ac:dyDescent="0.15">
      <c r="A1199" s="326">
        <v>1.075</v>
      </c>
      <c r="B1199" s="327">
        <v>85</v>
      </c>
      <c r="C1199" s="327" t="s">
        <v>112</v>
      </c>
      <c r="D1199" s="327" t="s">
        <v>79</v>
      </c>
      <c r="E1199" s="328" t="s">
        <v>539</v>
      </c>
      <c r="F1199" s="328">
        <v>159.00333599999999</v>
      </c>
      <c r="G1199" s="328">
        <v>6600.4178699999993</v>
      </c>
      <c r="H1199" s="328">
        <v>6582.1873750000004</v>
      </c>
      <c r="I1199" s="329">
        <v>0.18271459151004193</v>
      </c>
      <c r="J1199" s="329">
        <v>0.75548515833485663</v>
      </c>
      <c r="K1199" s="329">
        <v>0.79235642748940815</v>
      </c>
    </row>
    <row r="1200" spans="1:11" ht="11.25" x14ac:dyDescent="0.15">
      <c r="A1200" s="326">
        <v>1.075</v>
      </c>
      <c r="B1200" s="327">
        <v>85</v>
      </c>
      <c r="C1200" s="327" t="s">
        <v>112</v>
      </c>
      <c r="D1200" s="327" t="s">
        <v>114</v>
      </c>
      <c r="E1200" s="328" t="s">
        <v>540</v>
      </c>
      <c r="F1200" s="328">
        <v>44.60763455</v>
      </c>
      <c r="G1200" s="328">
        <v>6436.4197400000003</v>
      </c>
      <c r="H1200" s="328">
        <v>6493.1324400000003</v>
      </c>
      <c r="I1200" s="329">
        <v>5.1259715236619215E-2</v>
      </c>
      <c r="J1200" s="329">
        <v>0.73671389935551124</v>
      </c>
      <c r="K1200" s="329">
        <v>0.78163609302811499</v>
      </c>
    </row>
    <row r="1201" spans="1:11" ht="11.25" x14ac:dyDescent="0.15">
      <c r="A1201" s="326">
        <v>1.075</v>
      </c>
      <c r="B1201" s="327">
        <v>85</v>
      </c>
      <c r="C1201" s="327" t="s">
        <v>112</v>
      </c>
      <c r="D1201" s="327" t="s">
        <v>113</v>
      </c>
      <c r="E1201" s="328" t="s">
        <v>541</v>
      </c>
      <c r="F1201" s="328">
        <v>17.5798706</v>
      </c>
      <c r="G1201" s="328">
        <v>6378.3682349999999</v>
      </c>
      <c r="H1201" s="328">
        <v>6406.2195499999998</v>
      </c>
      <c r="I1201" s="329">
        <v>2.0201455870576174E-2</v>
      </c>
      <c r="J1201" s="329">
        <v>0.73006931240506379</v>
      </c>
      <c r="K1201" s="329">
        <v>0.77117361557195163</v>
      </c>
    </row>
    <row r="1202" spans="1:11" ht="11.25" x14ac:dyDescent="0.15">
      <c r="A1202" s="326">
        <v>1.1000000000000001</v>
      </c>
      <c r="B1202" s="327">
        <v>85</v>
      </c>
      <c r="C1202" s="327" t="s">
        <v>112</v>
      </c>
      <c r="D1202" s="327" t="s">
        <v>79</v>
      </c>
      <c r="E1202" s="328" t="s">
        <v>542</v>
      </c>
      <c r="F1202" s="328">
        <v>172.10470200000003</v>
      </c>
      <c r="G1202" s="328">
        <v>6938.4136800000006</v>
      </c>
      <c r="H1202" s="328">
        <v>6905.9100000000008</v>
      </c>
      <c r="I1202" s="329">
        <v>0.1977696890767594</v>
      </c>
      <c r="J1202" s="329">
        <v>0.79417222679986721</v>
      </c>
      <c r="K1202" s="329">
        <v>0.83132579861620537</v>
      </c>
    </row>
    <row r="1203" spans="1:11" ht="11.25" x14ac:dyDescent="0.15">
      <c r="A1203" s="326">
        <v>1.1000000000000001</v>
      </c>
      <c r="B1203" s="327">
        <v>85</v>
      </c>
      <c r="C1203" s="327" t="s">
        <v>112</v>
      </c>
      <c r="D1203" s="327" t="s">
        <v>114</v>
      </c>
      <c r="E1203" s="328" t="s">
        <v>543</v>
      </c>
      <c r="F1203" s="328">
        <v>48.161366000000001</v>
      </c>
      <c r="G1203" s="328">
        <v>6737.7285800000009</v>
      </c>
      <c r="H1203" s="328">
        <v>6813.8030400000016</v>
      </c>
      <c r="I1203" s="329">
        <v>5.5343394274794483E-2</v>
      </c>
      <c r="J1203" s="329">
        <v>0.77120176984773092</v>
      </c>
      <c r="K1203" s="329">
        <v>0.82023806476503869</v>
      </c>
    </row>
    <row r="1204" spans="1:11" ht="11.25" x14ac:dyDescent="0.15">
      <c r="A1204" s="326">
        <v>1.1000000000000001</v>
      </c>
      <c r="B1204" s="327">
        <v>85</v>
      </c>
      <c r="C1204" s="327" t="s">
        <v>112</v>
      </c>
      <c r="D1204" s="327" t="s">
        <v>113</v>
      </c>
      <c r="E1204" s="328" t="s">
        <v>544</v>
      </c>
      <c r="F1204" s="328">
        <v>19.211546200000001</v>
      </c>
      <c r="G1204" s="328">
        <v>6663.9018599999999</v>
      </c>
      <c r="H1204" s="328">
        <v>6724.3136400000003</v>
      </c>
      <c r="I1204" s="329">
        <v>2.2076453894082443E-2</v>
      </c>
      <c r="J1204" s="329">
        <v>0.76275154861218608</v>
      </c>
      <c r="K1204" s="329">
        <v>0.8094654298881454</v>
      </c>
    </row>
    <row r="1205" spans="1:11" ht="11.25" x14ac:dyDescent="0.15">
      <c r="A1205" s="326">
        <v>1.125</v>
      </c>
      <c r="B1205" s="327">
        <v>85</v>
      </c>
      <c r="C1205" s="327" t="s">
        <v>112</v>
      </c>
      <c r="D1205" s="327" t="s">
        <v>79</v>
      </c>
      <c r="E1205" s="328" t="s">
        <v>545</v>
      </c>
      <c r="F1205" s="328">
        <v>186.4007775</v>
      </c>
      <c r="G1205" s="328">
        <v>7293.4449750000003</v>
      </c>
      <c r="H1205" s="328">
        <v>7237.6857</v>
      </c>
      <c r="I1205" s="329">
        <v>0.2141976563187751</v>
      </c>
      <c r="J1205" s="329">
        <v>0.83480918030791895</v>
      </c>
      <c r="K1205" s="329">
        <v>0.8712645899940179</v>
      </c>
    </row>
    <row r="1206" spans="1:11" ht="11.25" x14ac:dyDescent="0.15">
      <c r="A1206" s="326">
        <v>1.125</v>
      </c>
      <c r="B1206" s="327">
        <v>85</v>
      </c>
      <c r="C1206" s="327" t="s">
        <v>112</v>
      </c>
      <c r="D1206" s="327" t="s">
        <v>114</v>
      </c>
      <c r="E1206" s="328" t="s">
        <v>546</v>
      </c>
      <c r="F1206" s="328">
        <v>52.022742749999999</v>
      </c>
      <c r="G1206" s="328">
        <v>7050.4695000000002</v>
      </c>
      <c r="H1206" s="328">
        <v>7142.3601749999998</v>
      </c>
      <c r="I1206" s="329">
        <v>5.9780595992012686E-2</v>
      </c>
      <c r="J1206" s="329">
        <v>0.80699815851849677</v>
      </c>
      <c r="K1206" s="329">
        <v>0.8597894088521939</v>
      </c>
    </row>
    <row r="1207" spans="1:11" ht="11.25" x14ac:dyDescent="0.15">
      <c r="A1207" s="326">
        <v>1.125</v>
      </c>
      <c r="B1207" s="327">
        <v>85</v>
      </c>
      <c r="C1207" s="327" t="s">
        <v>112</v>
      </c>
      <c r="D1207" s="327" t="s">
        <v>113</v>
      </c>
      <c r="E1207" s="328" t="s">
        <v>547</v>
      </c>
      <c r="F1207" s="328">
        <v>21.023770500000001</v>
      </c>
      <c r="G1207" s="328">
        <v>6955.8597</v>
      </c>
      <c r="H1207" s="328">
        <v>7049.6345250000004</v>
      </c>
      <c r="I1207" s="329">
        <v>2.4158924809655383E-2</v>
      </c>
      <c r="J1207" s="329">
        <v>0.79616910176166611</v>
      </c>
      <c r="K1207" s="329">
        <v>0.84862719778392681</v>
      </c>
    </row>
    <row r="1208" spans="1:11" ht="11.25" x14ac:dyDescent="0.15">
      <c r="A1208" s="326">
        <v>1.1499999999999999</v>
      </c>
      <c r="B1208" s="327">
        <v>85</v>
      </c>
      <c r="C1208" s="327" t="s">
        <v>112</v>
      </c>
      <c r="D1208" s="327" t="s">
        <v>79</v>
      </c>
      <c r="E1208" s="328" t="s">
        <v>548</v>
      </c>
      <c r="F1208" s="328">
        <v>202.03689900000001</v>
      </c>
      <c r="G1208" s="328">
        <v>7666.2838699999993</v>
      </c>
      <c r="H1208" s="328">
        <v>7577.2246500000001</v>
      </c>
      <c r="I1208" s="329">
        <v>0.23216550293473467</v>
      </c>
      <c r="J1208" s="329">
        <v>0.87748439529737043</v>
      </c>
      <c r="K1208" s="329">
        <v>0.91213791281028078</v>
      </c>
    </row>
    <row r="1209" spans="1:11" ht="11.25" x14ac:dyDescent="0.15">
      <c r="A1209" s="326">
        <v>1.1499999999999999</v>
      </c>
      <c r="B1209" s="327">
        <v>85</v>
      </c>
      <c r="C1209" s="327" t="s">
        <v>112</v>
      </c>
      <c r="D1209" s="327" t="s">
        <v>114</v>
      </c>
      <c r="E1209" s="328" t="s">
        <v>549</v>
      </c>
      <c r="F1209" s="328">
        <v>56.228134499999996</v>
      </c>
      <c r="G1209" s="328">
        <v>7374.4134099999992</v>
      </c>
      <c r="H1209" s="328">
        <v>7478.3478799999993</v>
      </c>
      <c r="I1209" s="329">
        <v>6.4613113693030924E-2</v>
      </c>
      <c r="J1209" s="329">
        <v>0.84407684368028357</v>
      </c>
      <c r="K1209" s="329">
        <v>0.90023523672778893</v>
      </c>
    </row>
    <row r="1210" spans="1:11" ht="11.25" x14ac:dyDescent="0.15">
      <c r="A1210" s="326">
        <v>1.1499999999999999</v>
      </c>
      <c r="B1210" s="327">
        <v>85</v>
      </c>
      <c r="C1210" s="327" t="s">
        <v>112</v>
      </c>
      <c r="D1210" s="327" t="s">
        <v>113</v>
      </c>
      <c r="E1210" s="328" t="s">
        <v>550</v>
      </c>
      <c r="F1210" s="328">
        <v>23.0431618</v>
      </c>
      <c r="G1210" s="328">
        <v>7257.4751999999999</v>
      </c>
      <c r="H1210" s="328">
        <v>7382.957449999999</v>
      </c>
      <c r="I1210" s="329">
        <v>2.6479456351700716E-2</v>
      </c>
      <c r="J1210" s="329">
        <v>0.83069207261922895</v>
      </c>
      <c r="K1210" s="329">
        <v>0.88875224239393669</v>
      </c>
    </row>
    <row r="1211" spans="1:11" ht="11.25" x14ac:dyDescent="0.15">
      <c r="A1211" s="326">
        <v>1.175</v>
      </c>
      <c r="B1211" s="327">
        <v>85</v>
      </c>
      <c r="C1211" s="327" t="s">
        <v>112</v>
      </c>
      <c r="D1211" s="327" t="s">
        <v>79</v>
      </c>
      <c r="E1211" s="328" t="s">
        <v>551</v>
      </c>
      <c r="F1211" s="328">
        <v>219.175476</v>
      </c>
      <c r="G1211" s="328">
        <v>8058.7819149999996</v>
      </c>
      <c r="H1211" s="328">
        <v>7924.27567</v>
      </c>
      <c r="I1211" s="329">
        <v>0.25185985762184893</v>
      </c>
      <c r="J1211" s="329">
        <v>0.92240980055401478</v>
      </c>
      <c r="K1211" s="329">
        <v>0.95391553029473519</v>
      </c>
    </row>
    <row r="1212" spans="1:11" ht="11.25" x14ac:dyDescent="0.15">
      <c r="A1212" s="326">
        <v>1.175</v>
      </c>
      <c r="B1212" s="327">
        <v>85</v>
      </c>
      <c r="C1212" s="327" t="s">
        <v>112</v>
      </c>
      <c r="D1212" s="327" t="s">
        <v>114</v>
      </c>
      <c r="E1212" s="328" t="s">
        <v>552</v>
      </c>
      <c r="F1212" s="328">
        <v>60.819684950000003</v>
      </c>
      <c r="G1212" s="328">
        <v>7712.6149299999997</v>
      </c>
      <c r="H1212" s="328">
        <v>7822.2990650000002</v>
      </c>
      <c r="I1212" s="329">
        <v>6.9889375726108649E-2</v>
      </c>
      <c r="J1212" s="329">
        <v>0.88278745775331191</v>
      </c>
      <c r="K1212" s="329">
        <v>0.94163969950751181</v>
      </c>
    </row>
    <row r="1213" spans="1:11" ht="11.25" x14ac:dyDescent="0.15">
      <c r="A1213" s="326">
        <v>1.175</v>
      </c>
      <c r="B1213" s="327">
        <v>85</v>
      </c>
      <c r="C1213" s="327" t="s">
        <v>112</v>
      </c>
      <c r="D1213" s="327" t="s">
        <v>113</v>
      </c>
      <c r="E1213" s="328" t="s">
        <v>553</v>
      </c>
      <c r="F1213" s="328">
        <v>25.300139950000002</v>
      </c>
      <c r="G1213" s="328">
        <v>7567.6913699999996</v>
      </c>
      <c r="H1213" s="328">
        <v>7724.0772900000002</v>
      </c>
      <c r="I1213" s="329">
        <v>2.9073004707971306E-2</v>
      </c>
      <c r="J1213" s="329">
        <v>0.86619947789665908</v>
      </c>
      <c r="K1213" s="329">
        <v>0.92981587099781848</v>
      </c>
    </row>
    <row r="1214" spans="1:11" ht="11.25" x14ac:dyDescent="0.15">
      <c r="A1214" s="326">
        <v>1.2</v>
      </c>
      <c r="B1214" s="327">
        <v>85</v>
      </c>
      <c r="C1214" s="327" t="s">
        <v>112</v>
      </c>
      <c r="D1214" s="327" t="s">
        <v>79</v>
      </c>
      <c r="E1214" s="328" t="s">
        <v>554</v>
      </c>
      <c r="F1214" s="328">
        <v>238.00072800000001</v>
      </c>
      <c r="G1214" s="328">
        <v>8472.0835200000001</v>
      </c>
      <c r="H1214" s="328">
        <v>8279.6035200000006</v>
      </c>
      <c r="I1214" s="329">
        <v>0.27349241147753406</v>
      </c>
      <c r="J1214" s="329">
        <v>0.96971638547686845</v>
      </c>
      <c r="K1214" s="329">
        <v>0.99668950340933271</v>
      </c>
    </row>
    <row r="1215" spans="1:11" ht="11.25" x14ac:dyDescent="0.15">
      <c r="A1215" s="326">
        <v>1.2</v>
      </c>
      <c r="B1215" s="327">
        <v>85</v>
      </c>
      <c r="C1215" s="327" t="s">
        <v>112</v>
      </c>
      <c r="D1215" s="327" t="s">
        <v>114</v>
      </c>
      <c r="E1215" s="328" t="s">
        <v>555</v>
      </c>
      <c r="F1215" s="328">
        <v>65.844026400000004</v>
      </c>
      <c r="G1215" s="328">
        <v>8065.286399999999</v>
      </c>
      <c r="H1215" s="328">
        <v>8173.6979999999994</v>
      </c>
      <c r="I1215" s="329">
        <v>7.566296839867824E-2</v>
      </c>
      <c r="J1215" s="329">
        <v>0.92315430521673414</v>
      </c>
      <c r="K1215" s="329">
        <v>0.98394071418505002</v>
      </c>
    </row>
    <row r="1216" spans="1:11" ht="11.25" x14ac:dyDescent="0.15">
      <c r="A1216" s="326">
        <v>1.2</v>
      </c>
      <c r="B1216" s="327">
        <v>85</v>
      </c>
      <c r="C1216" s="327" t="s">
        <v>112</v>
      </c>
      <c r="D1216" s="327" t="s">
        <v>113</v>
      </c>
      <c r="E1216" s="328" t="s">
        <v>556</v>
      </c>
      <c r="F1216" s="328">
        <v>27.828991200000004</v>
      </c>
      <c r="G1216" s="328">
        <v>7888.3538399999998</v>
      </c>
      <c r="H1216" s="328">
        <v>8072.9764799999994</v>
      </c>
      <c r="I1216" s="329">
        <v>3.1978969040275688E-2</v>
      </c>
      <c r="J1216" s="329">
        <v>0.90290256877535768</v>
      </c>
      <c r="K1216" s="329">
        <v>0.97181596914032198</v>
      </c>
    </row>
    <row r="1217" spans="1:11" ht="11.25" x14ac:dyDescent="0.15">
      <c r="A1217" s="326">
        <v>1.2250000000000001</v>
      </c>
      <c r="B1217" s="327">
        <v>85</v>
      </c>
      <c r="C1217" s="327" t="s">
        <v>112</v>
      </c>
      <c r="D1217" s="327" t="s">
        <v>79</v>
      </c>
      <c r="E1217" s="328" t="s">
        <v>557</v>
      </c>
      <c r="F1217" s="328">
        <v>258.71781950000002</v>
      </c>
      <c r="G1217" s="328">
        <v>8906.9742650000007</v>
      </c>
      <c r="H1217" s="328">
        <v>8642.5457650000008</v>
      </c>
      <c r="I1217" s="329">
        <v>0.29729892400692315</v>
      </c>
      <c r="J1217" s="329">
        <v>1.0194940677109008</v>
      </c>
      <c r="K1217" s="329">
        <v>1.0403800889623132</v>
      </c>
    </row>
    <row r="1218" spans="1:11" ht="11.25" x14ac:dyDescent="0.15">
      <c r="A1218" s="326">
        <v>1.2250000000000001</v>
      </c>
      <c r="B1218" s="327">
        <v>85</v>
      </c>
      <c r="C1218" s="327" t="s">
        <v>112</v>
      </c>
      <c r="D1218" s="327" t="s">
        <v>114</v>
      </c>
      <c r="E1218" s="328" t="s">
        <v>558</v>
      </c>
      <c r="F1218" s="328">
        <v>71.354086650000013</v>
      </c>
      <c r="G1218" s="328">
        <v>8434.2124650000005</v>
      </c>
      <c r="H1218" s="328">
        <v>8533.12068</v>
      </c>
      <c r="I1218" s="329">
        <v>8.1994712329978348E-2</v>
      </c>
      <c r="J1218" s="329">
        <v>0.96538165689657285</v>
      </c>
      <c r="K1218" s="329">
        <v>1.0272076184006824</v>
      </c>
    </row>
    <row r="1219" spans="1:11" ht="11.25" x14ac:dyDescent="0.15">
      <c r="A1219" s="326">
        <v>1.2250000000000001</v>
      </c>
      <c r="B1219" s="327">
        <v>85</v>
      </c>
      <c r="C1219" s="327" t="s">
        <v>112</v>
      </c>
      <c r="D1219" s="327" t="s">
        <v>113</v>
      </c>
      <c r="E1219" s="328" t="s">
        <v>559</v>
      </c>
      <c r="F1219" s="328">
        <v>30.668928500000007</v>
      </c>
      <c r="G1219" s="328">
        <v>8219.7142299999996</v>
      </c>
      <c r="H1219" s="328">
        <v>8429.4239400000006</v>
      </c>
      <c r="I1219" s="329">
        <v>3.5242409900935572E-2</v>
      </c>
      <c r="J1219" s="329">
        <v>0.94083014573118606</v>
      </c>
      <c r="K1219" s="329">
        <v>1.0147247196669316</v>
      </c>
    </row>
    <row r="1220" spans="1:11" ht="11.25" x14ac:dyDescent="0.15">
      <c r="A1220" s="326">
        <v>1.25</v>
      </c>
      <c r="B1220" s="327">
        <v>85</v>
      </c>
      <c r="C1220" s="327" t="s">
        <v>112</v>
      </c>
      <c r="D1220" s="327" t="s">
        <v>79</v>
      </c>
      <c r="E1220" s="328" t="s">
        <v>560</v>
      </c>
      <c r="F1220" s="328">
        <v>281.55635000000001</v>
      </c>
      <c r="G1220" s="328">
        <v>9365.1584999999995</v>
      </c>
      <c r="H1220" s="328">
        <v>9013.393</v>
      </c>
      <c r="I1220" s="329">
        <v>0.32354323356654857</v>
      </c>
      <c r="J1220" s="329">
        <v>1.0719379275002674</v>
      </c>
      <c r="K1220" s="329">
        <v>1.0850222684579895</v>
      </c>
    </row>
    <row r="1221" spans="1:11" ht="11.25" x14ac:dyDescent="0.15">
      <c r="A1221" s="326">
        <v>1.25</v>
      </c>
      <c r="B1221" s="327">
        <v>85</v>
      </c>
      <c r="C1221" s="327" t="s">
        <v>112</v>
      </c>
      <c r="D1221" s="327" t="s">
        <v>114</v>
      </c>
      <c r="E1221" s="328" t="s">
        <v>561</v>
      </c>
      <c r="F1221" s="328">
        <v>77.408684999999991</v>
      </c>
      <c r="G1221" s="328">
        <v>8820.3680000000004</v>
      </c>
      <c r="H1221" s="328">
        <v>8900.7340000000004</v>
      </c>
      <c r="I1221" s="329">
        <v>8.8952198204850938E-2</v>
      </c>
      <c r="J1221" s="329">
        <v>1.0095810971816099</v>
      </c>
      <c r="K1221" s="329">
        <v>1.0714605027896991</v>
      </c>
    </row>
    <row r="1222" spans="1:11" ht="11.25" x14ac:dyDescent="0.15">
      <c r="A1222" s="326">
        <v>1.25</v>
      </c>
      <c r="B1222" s="327">
        <v>85</v>
      </c>
      <c r="C1222" s="327" t="s">
        <v>112</v>
      </c>
      <c r="D1222" s="327" t="s">
        <v>113</v>
      </c>
      <c r="E1222" s="328" t="s">
        <v>562</v>
      </c>
      <c r="F1222" s="328">
        <v>33.863950000000003</v>
      </c>
      <c r="G1222" s="328">
        <v>8562.5982499999991</v>
      </c>
      <c r="H1222" s="328">
        <v>8793.4952500000018</v>
      </c>
      <c r="I1222" s="329">
        <v>3.8913886631702407E-2</v>
      </c>
      <c r="J1222" s="329">
        <v>0.9800767196969935</v>
      </c>
      <c r="K1222" s="329">
        <v>1.0585512208143546</v>
      </c>
    </row>
    <row r="1223" spans="1:11" ht="11.25" x14ac:dyDescent="0.15">
      <c r="A1223" s="326">
        <v>1.2749999999999999</v>
      </c>
      <c r="B1223" s="327">
        <v>85</v>
      </c>
      <c r="C1223" s="327" t="s">
        <v>112</v>
      </c>
      <c r="D1223" s="327" t="s">
        <v>79</v>
      </c>
      <c r="E1223" s="328" t="s">
        <v>563</v>
      </c>
      <c r="F1223" s="328">
        <v>306.77170649999999</v>
      </c>
      <c r="G1223" s="328">
        <v>9847.3174049999998</v>
      </c>
      <c r="H1223" s="328">
        <v>9392.3685899999982</v>
      </c>
      <c r="I1223" s="329">
        <v>0.35251881155490966</v>
      </c>
      <c r="J1223" s="329">
        <v>1.1271259328449179</v>
      </c>
      <c r="K1223" s="329">
        <v>1.1306429303277208</v>
      </c>
    </row>
    <row r="1224" spans="1:11" ht="11.25" x14ac:dyDescent="0.15">
      <c r="A1224" s="326">
        <v>1.2749999999999999</v>
      </c>
      <c r="B1224" s="327">
        <v>85</v>
      </c>
      <c r="C1224" s="327" t="s">
        <v>112</v>
      </c>
      <c r="D1224" s="327" t="s">
        <v>114</v>
      </c>
      <c r="E1224" s="328" t="s">
        <v>564</v>
      </c>
      <c r="F1224" s="328">
        <v>84.074759700000001</v>
      </c>
      <c r="G1224" s="328">
        <v>9225.2076749999997</v>
      </c>
      <c r="H1224" s="328">
        <v>9275.7813150000002</v>
      </c>
      <c r="I1224" s="329">
        <v>9.661234639058415E-2</v>
      </c>
      <c r="J1224" s="329">
        <v>1.0559191278929301</v>
      </c>
      <c r="K1224" s="329">
        <v>1.1166082832648629</v>
      </c>
    </row>
    <row r="1225" spans="1:11" ht="11.25" x14ac:dyDescent="0.15">
      <c r="A1225" s="326">
        <v>1.2749999999999999</v>
      </c>
      <c r="B1225" s="327">
        <v>85</v>
      </c>
      <c r="C1225" s="327" t="s">
        <v>112</v>
      </c>
      <c r="D1225" s="327" t="s">
        <v>113</v>
      </c>
      <c r="E1225" s="328" t="s">
        <v>565</v>
      </c>
      <c r="F1225" s="328">
        <v>37.463551949999996</v>
      </c>
      <c r="G1225" s="328">
        <v>8917.5297749999991</v>
      </c>
      <c r="H1225" s="328">
        <v>9165.0251250000001</v>
      </c>
      <c r="I1225" s="329">
        <v>4.305027657444549E-2</v>
      </c>
      <c r="J1225" s="329">
        <v>1.0207022535107575</v>
      </c>
      <c r="K1225" s="329">
        <v>1.1032755757573167</v>
      </c>
    </row>
    <row r="1226" spans="1:11" ht="11.25" x14ac:dyDescent="0.15">
      <c r="A1226" s="326">
        <v>1.3</v>
      </c>
      <c r="B1226" s="327">
        <v>85</v>
      </c>
      <c r="C1226" s="327" t="s">
        <v>112</v>
      </c>
      <c r="D1226" s="327" t="s">
        <v>79</v>
      </c>
      <c r="E1226" s="328" t="s">
        <v>566</v>
      </c>
      <c r="F1226" s="328">
        <v>334.64938000000006</v>
      </c>
      <c r="G1226" s="328">
        <v>10355.25634</v>
      </c>
      <c r="H1226" s="328">
        <v>9779.1036199999999</v>
      </c>
      <c r="I1226" s="329">
        <v>0.38455372260735976</v>
      </c>
      <c r="J1226" s="329">
        <v>1.185264725613945</v>
      </c>
      <c r="K1226" s="329">
        <v>1.1771976649923217</v>
      </c>
    </row>
    <row r="1227" spans="1:11" ht="11.25" x14ac:dyDescent="0.15">
      <c r="A1227" s="326">
        <v>1.3</v>
      </c>
      <c r="B1227" s="327">
        <v>85</v>
      </c>
      <c r="C1227" s="327" t="s">
        <v>112</v>
      </c>
      <c r="D1227" s="327" t="s">
        <v>114</v>
      </c>
      <c r="E1227" s="328" t="s">
        <v>567</v>
      </c>
      <c r="F1227" s="328">
        <v>91.426426000000006</v>
      </c>
      <c r="G1227" s="328">
        <v>9648.9858400000012</v>
      </c>
      <c r="H1227" s="328">
        <v>9658.3060600000008</v>
      </c>
      <c r="I1227" s="329">
        <v>0.10506032451931122</v>
      </c>
      <c r="J1227" s="329">
        <v>1.1044248619827446</v>
      </c>
      <c r="K1227" s="329">
        <v>1.1626561884833766</v>
      </c>
    </row>
    <row r="1228" spans="1:11" ht="11.25" x14ac:dyDescent="0.15">
      <c r="A1228" s="326">
        <v>1.3</v>
      </c>
      <c r="B1228" s="327">
        <v>85</v>
      </c>
      <c r="C1228" s="327" t="s">
        <v>112</v>
      </c>
      <c r="D1228" s="327" t="s">
        <v>113</v>
      </c>
      <c r="E1228" s="328" t="s">
        <v>568</v>
      </c>
      <c r="F1228" s="328">
        <v>41.523601600000006</v>
      </c>
      <c r="G1228" s="328">
        <v>9286.5962800000016</v>
      </c>
      <c r="H1228" s="328">
        <v>9544.2687600000008</v>
      </c>
      <c r="I1228" s="329">
        <v>4.7715778141722294E-2</v>
      </c>
      <c r="J1228" s="329">
        <v>1.0629456799812727</v>
      </c>
      <c r="K1228" s="329">
        <v>1.1489285045873316</v>
      </c>
    </row>
    <row r="1229" spans="1:11" ht="11.25" x14ac:dyDescent="0.15">
      <c r="A1229" s="326">
        <v>1.325</v>
      </c>
      <c r="B1229" s="327">
        <v>85</v>
      </c>
      <c r="C1229" s="327" t="s">
        <v>112</v>
      </c>
      <c r="D1229" s="327" t="s">
        <v>79</v>
      </c>
      <c r="E1229" s="328" t="s">
        <v>569</v>
      </c>
      <c r="F1229" s="328">
        <v>365.50435049999999</v>
      </c>
      <c r="G1229" s="328">
        <v>10888.504440000001</v>
      </c>
      <c r="H1229" s="328">
        <v>10173.869665</v>
      </c>
      <c r="I1229" s="329">
        <v>0.42000991788468323</v>
      </c>
      <c r="J1229" s="329">
        <v>1.2463004105046445</v>
      </c>
      <c r="K1229" s="329">
        <v>1.2247191643495658</v>
      </c>
    </row>
    <row r="1230" spans="1:11" ht="11.25" x14ac:dyDescent="0.15">
      <c r="A1230" s="326">
        <v>1.325</v>
      </c>
      <c r="B1230" s="327">
        <v>85</v>
      </c>
      <c r="C1230" s="327" t="s">
        <v>112</v>
      </c>
      <c r="D1230" s="327" t="s">
        <v>114</v>
      </c>
      <c r="E1230" s="328" t="s">
        <v>570</v>
      </c>
      <c r="F1230" s="328">
        <v>99.546836600000006</v>
      </c>
      <c r="G1230" s="328">
        <v>10093.615474999999</v>
      </c>
      <c r="H1230" s="328">
        <v>10048.736665</v>
      </c>
      <c r="I1230" s="329">
        <v>0.1143916853762483</v>
      </c>
      <c r="J1230" s="329">
        <v>1.1553172595270145</v>
      </c>
      <c r="K1230" s="329">
        <v>1.2096557923742226</v>
      </c>
    </row>
    <row r="1231" spans="1:11" ht="11.25" x14ac:dyDescent="0.15">
      <c r="A1231" s="326">
        <v>1.325</v>
      </c>
      <c r="B1231" s="327">
        <v>85</v>
      </c>
      <c r="C1231" s="327" t="s">
        <v>112</v>
      </c>
      <c r="D1231" s="327" t="s">
        <v>113</v>
      </c>
      <c r="E1231" s="328" t="s">
        <v>571</v>
      </c>
      <c r="F1231" s="328">
        <v>46.106488749999997</v>
      </c>
      <c r="G1231" s="328">
        <v>9671.6445800000001</v>
      </c>
      <c r="H1231" s="328">
        <v>9931.3106599999992</v>
      </c>
      <c r="I1231" s="329">
        <v>5.2982084966560664E-2</v>
      </c>
      <c r="J1231" s="329">
        <v>1.1070183859252778</v>
      </c>
      <c r="K1231" s="329">
        <v>1.1955201799227229</v>
      </c>
    </row>
    <row r="1232" spans="1:11" ht="11.25" x14ac:dyDescent="0.15">
      <c r="A1232" s="326">
        <v>1.35</v>
      </c>
      <c r="B1232" s="327">
        <v>85</v>
      </c>
      <c r="C1232" s="327" t="s">
        <v>112</v>
      </c>
      <c r="D1232" s="327" t="s">
        <v>79</v>
      </c>
      <c r="E1232" s="328" t="s">
        <v>572</v>
      </c>
      <c r="F1232" s="328">
        <v>399.68588700000004</v>
      </c>
      <c r="G1232" s="328">
        <v>11449.846260000002</v>
      </c>
      <c r="H1232" s="328">
        <v>10576.85634</v>
      </c>
      <c r="I1232" s="329">
        <v>0.45928875086956539</v>
      </c>
      <c r="J1232" s="329">
        <v>1.3105517082429614</v>
      </c>
      <c r="K1232" s="329">
        <v>1.2732302540431852</v>
      </c>
    </row>
    <row r="1233" spans="1:11" ht="11.25" x14ac:dyDescent="0.15">
      <c r="A1233" s="326">
        <v>1.35</v>
      </c>
      <c r="B1233" s="327">
        <v>85</v>
      </c>
      <c r="C1233" s="327" t="s">
        <v>112</v>
      </c>
      <c r="D1233" s="327" t="s">
        <v>114</v>
      </c>
      <c r="E1233" s="328" t="s">
        <v>573</v>
      </c>
      <c r="F1233" s="328">
        <v>108.52867350000001</v>
      </c>
      <c r="G1233" s="328">
        <v>10560.467070000001</v>
      </c>
      <c r="H1233" s="328">
        <v>10447.03737</v>
      </c>
      <c r="I1233" s="329">
        <v>0.12471293209646379</v>
      </c>
      <c r="J1233" s="329">
        <v>1.2087531870870762</v>
      </c>
      <c r="K1233" s="329">
        <v>1.2576027901881996</v>
      </c>
    </row>
    <row r="1234" spans="1:11" ht="11.25" x14ac:dyDescent="0.15">
      <c r="A1234" s="326">
        <v>1.35</v>
      </c>
      <c r="B1234" s="327">
        <v>85</v>
      </c>
      <c r="C1234" s="327" t="s">
        <v>112</v>
      </c>
      <c r="D1234" s="327" t="s">
        <v>113</v>
      </c>
      <c r="E1234" s="328" t="s">
        <v>574</v>
      </c>
      <c r="F1234" s="328">
        <v>51.282063900000011</v>
      </c>
      <c r="G1234" s="328">
        <v>10071.914760000001</v>
      </c>
      <c r="H1234" s="328">
        <v>10326.11922</v>
      </c>
      <c r="I1234" s="329">
        <v>5.8929463953387565E-2</v>
      </c>
      <c r="J1234" s="329">
        <v>1.1528333913188715</v>
      </c>
      <c r="K1234" s="329">
        <v>1.2430467971885888</v>
      </c>
    </row>
    <row r="1235" spans="1:11" ht="11.25" x14ac:dyDescent="0.15">
      <c r="A1235" s="326">
        <v>1.375</v>
      </c>
      <c r="B1235" s="327">
        <v>85</v>
      </c>
      <c r="C1235" s="327" t="s">
        <v>112</v>
      </c>
      <c r="D1235" s="327" t="s">
        <v>79</v>
      </c>
      <c r="E1235" s="328" t="s">
        <v>575</v>
      </c>
      <c r="F1235" s="328">
        <v>437.58214500000003</v>
      </c>
      <c r="G1235" s="328">
        <v>12037.648424999999</v>
      </c>
      <c r="H1235" s="328">
        <v>10987.627474999999</v>
      </c>
      <c r="I1235" s="329">
        <v>0.50283626046539653</v>
      </c>
      <c r="J1235" s="329">
        <v>1.37783166239753</v>
      </c>
      <c r="K1235" s="329">
        <v>1.3226784284115682</v>
      </c>
    </row>
    <row r="1236" spans="1:11" ht="11.25" x14ac:dyDescent="0.15">
      <c r="A1236" s="326">
        <v>1.375</v>
      </c>
      <c r="B1236" s="327">
        <v>85</v>
      </c>
      <c r="C1236" s="327" t="s">
        <v>112</v>
      </c>
      <c r="D1236" s="327" t="s">
        <v>114</v>
      </c>
      <c r="E1236" s="328" t="s">
        <v>576</v>
      </c>
      <c r="F1236" s="328">
        <v>118.47557975000001</v>
      </c>
      <c r="G1236" s="328">
        <v>11051.465700000001</v>
      </c>
      <c r="H1236" s="328">
        <v>10853.267425</v>
      </c>
      <c r="I1236" s="329">
        <v>0.13614316342354382</v>
      </c>
      <c r="J1236" s="329">
        <v>1.2649529891350257</v>
      </c>
      <c r="K1236" s="329">
        <v>1.3065043143746979</v>
      </c>
    </row>
    <row r="1237" spans="1:11" ht="11.25" x14ac:dyDescent="0.15">
      <c r="A1237" s="326">
        <v>1.375</v>
      </c>
      <c r="B1237" s="327">
        <v>85</v>
      </c>
      <c r="C1237" s="327" t="s">
        <v>112</v>
      </c>
      <c r="D1237" s="327" t="s">
        <v>113</v>
      </c>
      <c r="E1237" s="328" t="s">
        <v>577</v>
      </c>
      <c r="F1237" s="328">
        <v>57.128315749999999</v>
      </c>
      <c r="G1237" s="328">
        <v>10490.4426</v>
      </c>
      <c r="H1237" s="328">
        <v>10728.477650000001</v>
      </c>
      <c r="I1237" s="329">
        <v>6.5647533809717967E-2</v>
      </c>
      <c r="J1237" s="329">
        <v>1.2007381721520802</v>
      </c>
      <c r="K1237" s="329">
        <v>1.2914822594447886</v>
      </c>
    </row>
    <row r="1238" spans="1:11" ht="11.25" x14ac:dyDescent="0.15">
      <c r="A1238" s="326">
        <v>1.4</v>
      </c>
      <c r="B1238" s="327">
        <v>85</v>
      </c>
      <c r="C1238" s="327" t="s">
        <v>112</v>
      </c>
      <c r="D1238" s="327" t="s">
        <v>79</v>
      </c>
      <c r="E1238" s="328" t="s">
        <v>578</v>
      </c>
      <c r="F1238" s="328">
        <v>479.61969999999997</v>
      </c>
      <c r="G1238" s="328">
        <v>12652.86932</v>
      </c>
      <c r="H1238" s="328">
        <v>11406.57224</v>
      </c>
      <c r="I1238" s="329">
        <v>0.55114263492980342</v>
      </c>
      <c r="J1238" s="329">
        <v>1.448249969908413</v>
      </c>
      <c r="K1238" s="329">
        <v>1.3731105353083717</v>
      </c>
    </row>
    <row r="1239" spans="1:11" ht="11.25" x14ac:dyDescent="0.15">
      <c r="A1239" s="326">
        <v>1.4</v>
      </c>
      <c r="B1239" s="327">
        <v>85</v>
      </c>
      <c r="C1239" s="327" t="s">
        <v>112</v>
      </c>
      <c r="D1239" s="327" t="s">
        <v>114</v>
      </c>
      <c r="E1239" s="328" t="s">
        <v>579</v>
      </c>
      <c r="F1239" s="328">
        <v>129.503052</v>
      </c>
      <c r="G1239" s="328">
        <v>11564.78652</v>
      </c>
      <c r="H1239" s="328">
        <v>11267.02864</v>
      </c>
      <c r="I1239" s="329">
        <v>0.14881509936045442</v>
      </c>
      <c r="J1239" s="329">
        <v>1.3237077935447468</v>
      </c>
      <c r="K1239" s="329">
        <v>1.3563124312624488</v>
      </c>
    </row>
    <row r="1240" spans="1:11" ht="11.25" x14ac:dyDescent="0.15">
      <c r="A1240" s="326">
        <v>1.4</v>
      </c>
      <c r="B1240" s="327">
        <v>85</v>
      </c>
      <c r="C1240" s="327" t="s">
        <v>112</v>
      </c>
      <c r="D1240" s="327" t="s">
        <v>113</v>
      </c>
      <c r="E1240" s="328" t="s">
        <v>580</v>
      </c>
      <c r="F1240" s="328">
        <v>63.732199999999999</v>
      </c>
      <c r="G1240" s="328">
        <v>10927.59892</v>
      </c>
      <c r="H1240" s="328">
        <v>11139.370199999999</v>
      </c>
      <c r="I1240" s="329">
        <v>7.3236217440345378E-2</v>
      </c>
      <c r="J1240" s="329">
        <v>1.2507751725567657</v>
      </c>
      <c r="K1240" s="329">
        <v>1.3409450496164239</v>
      </c>
    </row>
    <row r="1241" spans="1:11" ht="11.25" x14ac:dyDescent="0.15">
      <c r="A1241" s="326">
        <v>0.9</v>
      </c>
      <c r="B1241" s="327">
        <v>100</v>
      </c>
      <c r="C1241" s="327" t="s">
        <v>112</v>
      </c>
      <c r="D1241" s="327" t="s">
        <v>79</v>
      </c>
      <c r="E1241" s="328" t="s">
        <v>581</v>
      </c>
      <c r="F1241" s="328">
        <v>131.24529000000001</v>
      </c>
      <c r="G1241" s="328">
        <v>4608.9945000000007</v>
      </c>
      <c r="H1241" s="328">
        <v>4539.1824000000006</v>
      </c>
      <c r="I1241" s="329">
        <v>0.15081714732052537</v>
      </c>
      <c r="J1241" s="329">
        <v>0.52754643844950755</v>
      </c>
      <c r="K1241" s="329">
        <v>0.54642175089808931</v>
      </c>
    </row>
    <row r="1242" spans="1:11" ht="11.25" x14ac:dyDescent="0.15">
      <c r="A1242" s="326">
        <v>0.9</v>
      </c>
      <c r="B1242" s="327">
        <v>100</v>
      </c>
      <c r="C1242" s="327" t="s">
        <v>112</v>
      </c>
      <c r="D1242" s="327" t="s">
        <v>114</v>
      </c>
      <c r="E1242" s="328" t="s">
        <v>582</v>
      </c>
      <c r="F1242" s="328">
        <v>38.013642000000004</v>
      </c>
      <c r="G1242" s="328">
        <v>4573.6659</v>
      </c>
      <c r="H1242" s="328">
        <v>4469.7969000000003</v>
      </c>
      <c r="I1242" s="329">
        <v>4.3682398398477471E-2</v>
      </c>
      <c r="J1242" s="329">
        <v>0.52350271978041218</v>
      </c>
      <c r="K1242" s="329">
        <v>0.5380692012413627</v>
      </c>
    </row>
    <row r="1243" spans="1:11" ht="11.25" x14ac:dyDescent="0.15">
      <c r="A1243" s="326">
        <v>0.9</v>
      </c>
      <c r="B1243" s="327">
        <v>100</v>
      </c>
      <c r="C1243" s="327" t="s">
        <v>112</v>
      </c>
      <c r="D1243" s="327" t="s">
        <v>113</v>
      </c>
      <c r="E1243" s="328" t="s">
        <v>583</v>
      </c>
      <c r="F1243" s="328">
        <v>13.785831000000002</v>
      </c>
      <c r="G1243" s="328">
        <v>4568.3604000000005</v>
      </c>
      <c r="H1243" s="328">
        <v>4401.6066000000001</v>
      </c>
      <c r="I1243" s="329">
        <v>1.5841632906315083E-2</v>
      </c>
      <c r="J1243" s="329">
        <v>0.5228954511821976</v>
      </c>
      <c r="K1243" s="329">
        <v>0.52986052843714437</v>
      </c>
    </row>
    <row r="1244" spans="1:11" ht="11.25" x14ac:dyDescent="0.15">
      <c r="A1244" s="326">
        <v>0.92500000000000004</v>
      </c>
      <c r="B1244" s="327">
        <v>100</v>
      </c>
      <c r="C1244" s="327" t="s">
        <v>112</v>
      </c>
      <c r="D1244" s="327" t="s">
        <v>79</v>
      </c>
      <c r="E1244" s="328" t="s">
        <v>584</v>
      </c>
      <c r="F1244" s="328">
        <v>141.63997750000001</v>
      </c>
      <c r="G1244" s="328">
        <v>4864.7748000000001</v>
      </c>
      <c r="H1244" s="328">
        <v>4808.6134249999996</v>
      </c>
      <c r="I1244" s="329">
        <v>0.16276193494710095</v>
      </c>
      <c r="J1244" s="329">
        <v>0.5568231030865658</v>
      </c>
      <c r="K1244" s="329">
        <v>0.57885555933609478</v>
      </c>
    </row>
    <row r="1245" spans="1:11" ht="11.25" x14ac:dyDescent="0.15">
      <c r="A1245" s="326">
        <v>0.92500000000000004</v>
      </c>
      <c r="B1245" s="327">
        <v>100</v>
      </c>
      <c r="C1245" s="327" t="s">
        <v>112</v>
      </c>
      <c r="D1245" s="327" t="s">
        <v>114</v>
      </c>
      <c r="E1245" s="328" t="s">
        <v>585</v>
      </c>
      <c r="F1245" s="328">
        <v>40.955577500000004</v>
      </c>
      <c r="G1245" s="328">
        <v>4817.5036</v>
      </c>
      <c r="H1245" s="328">
        <v>4736.6262250000009</v>
      </c>
      <c r="I1245" s="329">
        <v>4.706304786567727E-2</v>
      </c>
      <c r="J1245" s="329">
        <v>0.55141243201693568</v>
      </c>
      <c r="K1245" s="329">
        <v>0.57018981991433237</v>
      </c>
    </row>
    <row r="1246" spans="1:11" ht="11.25" x14ac:dyDescent="0.15">
      <c r="A1246" s="326">
        <v>0.92500000000000004</v>
      </c>
      <c r="B1246" s="327">
        <v>100</v>
      </c>
      <c r="C1246" s="327" t="s">
        <v>112</v>
      </c>
      <c r="D1246" s="327" t="s">
        <v>113</v>
      </c>
      <c r="E1246" s="328" t="s">
        <v>586</v>
      </c>
      <c r="F1246" s="328">
        <v>14.943069749999999</v>
      </c>
      <c r="G1246" s="328">
        <v>4808.6393250000001</v>
      </c>
      <c r="H1246" s="328">
        <v>4666.3086500000009</v>
      </c>
      <c r="I1246" s="329">
        <v>1.7171444033585021E-2</v>
      </c>
      <c r="J1246" s="329">
        <v>0.55039782531569381</v>
      </c>
      <c r="K1246" s="329">
        <v>0.5617250681012288</v>
      </c>
    </row>
    <row r="1247" spans="1:11" ht="11.25" x14ac:dyDescent="0.15">
      <c r="A1247" s="326">
        <v>0.95</v>
      </c>
      <c r="B1247" s="327">
        <v>100</v>
      </c>
      <c r="C1247" s="327" t="s">
        <v>112</v>
      </c>
      <c r="D1247" s="327" t="s">
        <v>79</v>
      </c>
      <c r="E1247" s="328" t="s">
        <v>587</v>
      </c>
      <c r="F1247" s="328">
        <v>152.75125999999997</v>
      </c>
      <c r="G1247" s="328">
        <v>5130.0056999999988</v>
      </c>
      <c r="H1247" s="328">
        <v>5085.7955499999998</v>
      </c>
      <c r="I1247" s="329">
        <v>0.17553017927588768</v>
      </c>
      <c r="J1247" s="329">
        <v>0.58718148530241721</v>
      </c>
      <c r="K1247" s="329">
        <v>0.61222243660900488</v>
      </c>
    </row>
    <row r="1248" spans="1:11" ht="11.25" x14ac:dyDescent="0.15">
      <c r="A1248" s="326">
        <v>0.95</v>
      </c>
      <c r="B1248" s="327">
        <v>100</v>
      </c>
      <c r="C1248" s="327" t="s">
        <v>112</v>
      </c>
      <c r="D1248" s="327" t="s">
        <v>114</v>
      </c>
      <c r="E1248" s="328" t="s">
        <v>588</v>
      </c>
      <c r="F1248" s="328">
        <v>44.088284000000002</v>
      </c>
      <c r="G1248" s="328">
        <v>5068.8067000000001</v>
      </c>
      <c r="H1248" s="328">
        <v>5011.2537999999995</v>
      </c>
      <c r="I1248" s="329">
        <v>5.0662916917911201E-2</v>
      </c>
      <c r="J1248" s="329">
        <v>0.5801766354405502</v>
      </c>
      <c r="K1248" s="329">
        <v>0.60324918328699517</v>
      </c>
    </row>
    <row r="1249" spans="1:11" ht="11.25" x14ac:dyDescent="0.15">
      <c r="A1249" s="326">
        <v>0.95</v>
      </c>
      <c r="B1249" s="327">
        <v>100</v>
      </c>
      <c r="C1249" s="327" t="s">
        <v>112</v>
      </c>
      <c r="D1249" s="327" t="s">
        <v>113</v>
      </c>
      <c r="E1249" s="328" t="s">
        <v>589</v>
      </c>
      <c r="F1249" s="328">
        <v>16.186413499999997</v>
      </c>
      <c r="G1249" s="328">
        <v>5053.8432499999999</v>
      </c>
      <c r="H1249" s="328">
        <v>4938.0943000000007</v>
      </c>
      <c r="I1249" s="329">
        <v>1.8600200505636738E-2</v>
      </c>
      <c r="J1249" s="329">
        <v>0.57846391594079438</v>
      </c>
      <c r="K1249" s="329">
        <v>0.59444232368936634</v>
      </c>
    </row>
    <row r="1250" spans="1:11" ht="11.25" x14ac:dyDescent="0.15">
      <c r="A1250" s="326">
        <v>0.97499999999999998</v>
      </c>
      <c r="B1250" s="327">
        <v>100</v>
      </c>
      <c r="C1250" s="327" t="s">
        <v>112</v>
      </c>
      <c r="D1250" s="327" t="s">
        <v>79</v>
      </c>
      <c r="E1250" s="328" t="s">
        <v>590</v>
      </c>
      <c r="F1250" s="328">
        <v>164.64278999999999</v>
      </c>
      <c r="G1250" s="328">
        <v>5406.4666500000003</v>
      </c>
      <c r="H1250" s="328">
        <v>5371.2418499999994</v>
      </c>
      <c r="I1250" s="329">
        <v>0.18919502493912216</v>
      </c>
      <c r="J1250" s="329">
        <v>0.61882526130233828</v>
      </c>
      <c r="K1250" s="329">
        <v>0.64658414611717108</v>
      </c>
    </row>
    <row r="1251" spans="1:11" ht="11.25" x14ac:dyDescent="0.15">
      <c r="A1251" s="326">
        <v>0.97499999999999998</v>
      </c>
      <c r="B1251" s="327">
        <v>100</v>
      </c>
      <c r="C1251" s="327" t="s">
        <v>112</v>
      </c>
      <c r="D1251" s="327" t="s">
        <v>114</v>
      </c>
      <c r="E1251" s="328" t="s">
        <v>591</v>
      </c>
      <c r="F1251" s="328">
        <v>47.426817749999998</v>
      </c>
      <c r="G1251" s="328">
        <v>5327.4809249999998</v>
      </c>
      <c r="H1251" s="328">
        <v>5293.5011999999997</v>
      </c>
      <c r="I1251" s="329">
        <v>5.4499307057384358E-2</v>
      </c>
      <c r="J1251" s="329">
        <v>0.60978453931577425</v>
      </c>
      <c r="K1251" s="329">
        <v>0.63722581275542844</v>
      </c>
    </row>
    <row r="1252" spans="1:11" ht="11.25" x14ac:dyDescent="0.15">
      <c r="A1252" s="326">
        <v>0.97499999999999998</v>
      </c>
      <c r="B1252" s="327">
        <v>100</v>
      </c>
      <c r="C1252" s="327" t="s">
        <v>112</v>
      </c>
      <c r="D1252" s="327" t="s">
        <v>113</v>
      </c>
      <c r="E1252" s="328" t="s">
        <v>592</v>
      </c>
      <c r="F1252" s="328">
        <v>17.524776750000001</v>
      </c>
      <c r="G1252" s="328">
        <v>5305.8018000000002</v>
      </c>
      <c r="H1252" s="328">
        <v>5218.2477749999998</v>
      </c>
      <c r="I1252" s="329">
        <v>2.0138146190724772E-2</v>
      </c>
      <c r="J1252" s="329">
        <v>0.6073031423033779</v>
      </c>
      <c r="K1252" s="329">
        <v>0.62816688878498428</v>
      </c>
    </row>
    <row r="1253" spans="1:11" ht="11.25" x14ac:dyDescent="0.15">
      <c r="A1253" s="326">
        <v>1</v>
      </c>
      <c r="B1253" s="327">
        <v>100</v>
      </c>
      <c r="C1253" s="327" t="s">
        <v>112</v>
      </c>
      <c r="D1253" s="327" t="s">
        <v>79</v>
      </c>
      <c r="E1253" s="328" t="s">
        <v>593</v>
      </c>
      <c r="F1253" s="328">
        <v>177.3895</v>
      </c>
      <c r="G1253" s="328">
        <v>5693.18</v>
      </c>
      <c r="H1253" s="328">
        <v>5664.1289999999999</v>
      </c>
      <c r="I1253" s="329">
        <v>0.2038425786907426</v>
      </c>
      <c r="J1253" s="329">
        <v>0.65164252907048748</v>
      </c>
      <c r="K1253" s="329">
        <v>0.68184157690879377</v>
      </c>
    </row>
    <row r="1254" spans="1:11" ht="11.25" x14ac:dyDescent="0.15">
      <c r="A1254" s="326">
        <v>1</v>
      </c>
      <c r="B1254" s="327">
        <v>100</v>
      </c>
      <c r="C1254" s="327" t="s">
        <v>112</v>
      </c>
      <c r="D1254" s="327" t="s">
        <v>114</v>
      </c>
      <c r="E1254" s="328" t="s">
        <v>594</v>
      </c>
      <c r="F1254" s="328">
        <v>50.990020000000001</v>
      </c>
      <c r="G1254" s="328">
        <v>5593.5919999999996</v>
      </c>
      <c r="H1254" s="328">
        <v>5583.5680000000002</v>
      </c>
      <c r="I1254" s="329">
        <v>5.8593869221642426E-2</v>
      </c>
      <c r="J1254" s="329">
        <v>0.64024366653934106</v>
      </c>
      <c r="K1254" s="329">
        <v>0.6721437329371347</v>
      </c>
    </row>
    <row r="1255" spans="1:11" ht="11.25" x14ac:dyDescent="0.15">
      <c r="A1255" s="326">
        <v>1</v>
      </c>
      <c r="B1255" s="327">
        <v>100</v>
      </c>
      <c r="C1255" s="327" t="s">
        <v>112</v>
      </c>
      <c r="D1255" s="327" t="s">
        <v>113</v>
      </c>
      <c r="E1255" s="328" t="s">
        <v>595</v>
      </c>
      <c r="F1255" s="328">
        <v>18.97024</v>
      </c>
      <c r="G1255" s="328">
        <v>5563.6379999999999</v>
      </c>
      <c r="H1255" s="328">
        <v>5505.49</v>
      </c>
      <c r="I1255" s="329">
        <v>2.1799163084524582E-2</v>
      </c>
      <c r="J1255" s="329">
        <v>0.63681512566837317</v>
      </c>
      <c r="K1255" s="329">
        <v>0.66274478975595275</v>
      </c>
    </row>
    <row r="1256" spans="1:11" ht="11.25" x14ac:dyDescent="0.15">
      <c r="A1256" s="326">
        <v>1.0249999999999999</v>
      </c>
      <c r="B1256" s="327">
        <v>100</v>
      </c>
      <c r="C1256" s="327" t="s">
        <v>112</v>
      </c>
      <c r="D1256" s="327" t="s">
        <v>79</v>
      </c>
      <c r="E1256" s="328" t="s">
        <v>596</v>
      </c>
      <c r="F1256" s="328">
        <v>191.07332499999995</v>
      </c>
      <c r="G1256" s="328">
        <v>5991.905025</v>
      </c>
      <c r="H1256" s="328">
        <v>5964.6123499999994</v>
      </c>
      <c r="I1256" s="329">
        <v>0.21956699402734844</v>
      </c>
      <c r="J1256" s="329">
        <v>0.68583465557757917</v>
      </c>
      <c r="K1256" s="329">
        <v>0.7180134298448474</v>
      </c>
    </row>
    <row r="1257" spans="1:11" ht="11.25" x14ac:dyDescent="0.15">
      <c r="A1257" s="326">
        <v>1.0249999999999999</v>
      </c>
      <c r="B1257" s="327">
        <v>100</v>
      </c>
      <c r="C1257" s="327" t="s">
        <v>112</v>
      </c>
      <c r="D1257" s="327" t="s">
        <v>114</v>
      </c>
      <c r="E1257" s="328" t="s">
        <v>597</v>
      </c>
      <c r="F1257" s="328">
        <v>54.799544249999997</v>
      </c>
      <c r="G1257" s="328">
        <v>5869.0198249999994</v>
      </c>
      <c r="H1257" s="328">
        <v>5881.4786999999997</v>
      </c>
      <c r="I1257" s="329">
        <v>6.297148597294347E-2</v>
      </c>
      <c r="J1257" s="329">
        <v>0.67176919084375153</v>
      </c>
      <c r="K1257" s="329">
        <v>0.70800589311498419</v>
      </c>
    </row>
    <row r="1258" spans="1:11" ht="11.25" x14ac:dyDescent="0.15">
      <c r="A1258" s="326">
        <v>1.0249999999999999</v>
      </c>
      <c r="B1258" s="327">
        <v>100</v>
      </c>
      <c r="C1258" s="327" t="s">
        <v>112</v>
      </c>
      <c r="D1258" s="327" t="s">
        <v>113</v>
      </c>
      <c r="E1258" s="328" t="s">
        <v>598</v>
      </c>
      <c r="F1258" s="328">
        <v>20.536684749999999</v>
      </c>
      <c r="G1258" s="328">
        <v>5827.7666499999987</v>
      </c>
      <c r="H1258" s="328">
        <v>5800.2597499999993</v>
      </c>
      <c r="I1258" s="329">
        <v>2.3599202755511733E-2</v>
      </c>
      <c r="J1258" s="329">
        <v>0.66704734412729638</v>
      </c>
      <c r="K1258" s="329">
        <v>0.69822884585089873</v>
      </c>
    </row>
    <row r="1259" spans="1:11" ht="11.25" x14ac:dyDescent="0.15">
      <c r="A1259" s="326">
        <v>1.05</v>
      </c>
      <c r="B1259" s="327">
        <v>100</v>
      </c>
      <c r="C1259" s="327" t="s">
        <v>112</v>
      </c>
      <c r="D1259" s="327" t="s">
        <v>79</v>
      </c>
      <c r="E1259" s="328" t="s">
        <v>599</v>
      </c>
      <c r="F1259" s="328">
        <v>205.792755</v>
      </c>
      <c r="G1259" s="328">
        <v>6305.5387499999997</v>
      </c>
      <c r="H1259" s="328">
        <v>6272.9877000000006</v>
      </c>
      <c r="I1259" s="329">
        <v>0.23648144819773559</v>
      </c>
      <c r="J1259" s="329">
        <v>0.72173323488840324</v>
      </c>
      <c r="K1259" s="329">
        <v>0.75513531300178149</v>
      </c>
    </row>
    <row r="1260" spans="1:11" ht="11.25" x14ac:dyDescent="0.15">
      <c r="A1260" s="326">
        <v>1.05</v>
      </c>
      <c r="B1260" s="327">
        <v>100</v>
      </c>
      <c r="C1260" s="327" t="s">
        <v>112</v>
      </c>
      <c r="D1260" s="327" t="s">
        <v>114</v>
      </c>
      <c r="E1260" s="328" t="s">
        <v>600</v>
      </c>
      <c r="F1260" s="328">
        <v>58.879800000000003</v>
      </c>
      <c r="G1260" s="328">
        <v>6153.4861499999997</v>
      </c>
      <c r="H1260" s="328">
        <v>6186.8845499999998</v>
      </c>
      <c r="I1260" s="329">
        <v>6.7660206860018141E-2</v>
      </c>
      <c r="J1260" s="329">
        <v>0.70432926367798254</v>
      </c>
      <c r="K1260" s="329">
        <v>0.74477031115016146</v>
      </c>
    </row>
    <row r="1261" spans="1:11" ht="11.25" x14ac:dyDescent="0.15">
      <c r="A1261" s="326">
        <v>1.05</v>
      </c>
      <c r="B1261" s="327">
        <v>100</v>
      </c>
      <c r="C1261" s="327" t="s">
        <v>112</v>
      </c>
      <c r="D1261" s="327" t="s">
        <v>113</v>
      </c>
      <c r="E1261" s="328" t="s">
        <v>601</v>
      </c>
      <c r="F1261" s="328">
        <v>22.240071</v>
      </c>
      <c r="G1261" s="328">
        <v>6099.231600000001</v>
      </c>
      <c r="H1261" s="328">
        <v>6103.0115999999998</v>
      </c>
      <c r="I1261" s="329">
        <v>2.555660522694524E-2</v>
      </c>
      <c r="J1261" s="329">
        <v>0.69811927696131792</v>
      </c>
      <c r="K1261" s="329">
        <v>0.73467377830495395</v>
      </c>
    </row>
    <row r="1262" spans="1:11" ht="11.25" x14ac:dyDescent="0.15">
      <c r="A1262" s="326">
        <v>1.075</v>
      </c>
      <c r="B1262" s="327">
        <v>100</v>
      </c>
      <c r="C1262" s="327" t="s">
        <v>112</v>
      </c>
      <c r="D1262" s="327" t="s">
        <v>79</v>
      </c>
      <c r="E1262" s="328" t="s">
        <v>602</v>
      </c>
      <c r="F1262" s="328">
        <v>221.65231499999999</v>
      </c>
      <c r="G1262" s="328">
        <v>6633.6863249999997</v>
      </c>
      <c r="H1262" s="328">
        <v>6588.979225</v>
      </c>
      <c r="I1262" s="329">
        <v>0.2547060534156349</v>
      </c>
      <c r="J1262" s="329">
        <v>0.75929307239246036</v>
      </c>
      <c r="K1262" s="329">
        <v>0.7931740228715275</v>
      </c>
    </row>
    <row r="1263" spans="1:11" ht="11.25" x14ac:dyDescent="0.15">
      <c r="A1263" s="326">
        <v>1.075</v>
      </c>
      <c r="B1263" s="327">
        <v>100</v>
      </c>
      <c r="C1263" s="327" t="s">
        <v>112</v>
      </c>
      <c r="D1263" s="327" t="s">
        <v>114</v>
      </c>
      <c r="E1263" s="328" t="s">
        <v>603</v>
      </c>
      <c r="F1263" s="328">
        <v>63.258364249999993</v>
      </c>
      <c r="G1263" s="328">
        <v>6447.8252749999992</v>
      </c>
      <c r="H1263" s="328">
        <v>6499.9907250000006</v>
      </c>
      <c r="I1263" s="329">
        <v>7.2691721282704347E-2</v>
      </c>
      <c r="J1263" s="329">
        <v>0.73801937918801275</v>
      </c>
      <c r="K1263" s="329">
        <v>0.78246168578196829</v>
      </c>
    </row>
    <row r="1264" spans="1:11" ht="11.25" x14ac:dyDescent="0.15">
      <c r="A1264" s="326">
        <v>1.075</v>
      </c>
      <c r="B1264" s="327">
        <v>100</v>
      </c>
      <c r="C1264" s="327" t="s">
        <v>112</v>
      </c>
      <c r="D1264" s="327" t="s">
        <v>113</v>
      </c>
      <c r="E1264" s="328" t="s">
        <v>604</v>
      </c>
      <c r="F1264" s="328">
        <v>24.098995250000002</v>
      </c>
      <c r="G1264" s="328">
        <v>6378.2018250000001</v>
      </c>
      <c r="H1264" s="328">
        <v>6413.3629249999994</v>
      </c>
      <c r="I1264" s="329">
        <v>2.7692740188207068E-2</v>
      </c>
      <c r="J1264" s="329">
        <v>0.73005026508295867</v>
      </c>
      <c r="K1264" s="329">
        <v>0.77203352714431361</v>
      </c>
    </row>
    <row r="1265" spans="1:11" ht="11.25" x14ac:dyDescent="0.15">
      <c r="A1265" s="326">
        <v>1.1000000000000001</v>
      </c>
      <c r="B1265" s="327">
        <v>100</v>
      </c>
      <c r="C1265" s="327" t="s">
        <v>112</v>
      </c>
      <c r="D1265" s="327" t="s">
        <v>79</v>
      </c>
      <c r="E1265" s="328" t="s">
        <v>605</v>
      </c>
      <c r="F1265" s="328">
        <v>238.77678000000003</v>
      </c>
      <c r="G1265" s="328">
        <v>6977.8896000000004</v>
      </c>
      <c r="H1265" s="328">
        <v>6912.9918000000007</v>
      </c>
      <c r="I1265" s="329">
        <v>0.27438419166113071</v>
      </c>
      <c r="J1265" s="329">
        <v>0.79869064855118799</v>
      </c>
      <c r="K1265" s="329">
        <v>0.8321782978582517</v>
      </c>
    </row>
    <row r="1266" spans="1:11" ht="11.25" x14ac:dyDescent="0.15">
      <c r="A1266" s="326">
        <v>1.1000000000000001</v>
      </c>
      <c r="B1266" s="327">
        <v>100</v>
      </c>
      <c r="C1266" s="327" t="s">
        <v>112</v>
      </c>
      <c r="D1266" s="327" t="s">
        <v>114</v>
      </c>
      <c r="E1266" s="328" t="s">
        <v>606</v>
      </c>
      <c r="F1266" s="328">
        <v>67.966316000000006</v>
      </c>
      <c r="G1266" s="328">
        <v>6752.5997000000007</v>
      </c>
      <c r="H1266" s="328">
        <v>6820.9548000000013</v>
      </c>
      <c r="I1266" s="329">
        <v>7.8101742874013849E-2</v>
      </c>
      <c r="J1266" s="329">
        <v>0.77290392123709684</v>
      </c>
      <c r="K1266" s="329">
        <v>0.82109898571441553</v>
      </c>
    </row>
    <row r="1267" spans="1:11" ht="11.25" x14ac:dyDescent="0.15">
      <c r="A1267" s="326">
        <v>1.1000000000000001</v>
      </c>
      <c r="B1267" s="327">
        <v>100</v>
      </c>
      <c r="C1267" s="327" t="s">
        <v>112</v>
      </c>
      <c r="D1267" s="327" t="s">
        <v>113</v>
      </c>
      <c r="E1267" s="328" t="s">
        <v>607</v>
      </c>
      <c r="F1267" s="328">
        <v>26.134603000000002</v>
      </c>
      <c r="G1267" s="328">
        <v>6664.5875999999998</v>
      </c>
      <c r="H1267" s="328">
        <v>6731.3433000000005</v>
      </c>
      <c r="I1267" s="329">
        <v>3.0031906446429005E-2</v>
      </c>
      <c r="J1267" s="329">
        <v>0.76283003855065357</v>
      </c>
      <c r="K1267" s="329">
        <v>0.81031165257472848</v>
      </c>
    </row>
    <row r="1268" spans="1:11" ht="11.25" x14ac:dyDescent="0.15">
      <c r="A1268" s="326">
        <v>1.125</v>
      </c>
      <c r="B1268" s="327">
        <v>100</v>
      </c>
      <c r="C1268" s="327" t="s">
        <v>112</v>
      </c>
      <c r="D1268" s="327" t="s">
        <v>79</v>
      </c>
      <c r="E1268" s="328" t="s">
        <v>608</v>
      </c>
      <c r="F1268" s="328">
        <v>257.30223749999999</v>
      </c>
      <c r="G1268" s="328">
        <v>7339.6203750000004</v>
      </c>
      <c r="H1268" s="328">
        <v>7244.9054999999998</v>
      </c>
      <c r="I1268" s="329">
        <v>0.29567224438254741</v>
      </c>
      <c r="J1268" s="329">
        <v>0.84009442588891969</v>
      </c>
      <c r="K1268" s="329">
        <v>0.87213370152325154</v>
      </c>
    </row>
    <row r="1269" spans="1:11" ht="11.25" x14ac:dyDescent="0.15">
      <c r="A1269" s="326">
        <v>1.125</v>
      </c>
      <c r="B1269" s="327">
        <v>100</v>
      </c>
      <c r="C1269" s="327" t="s">
        <v>112</v>
      </c>
      <c r="D1269" s="327" t="s">
        <v>114</v>
      </c>
      <c r="E1269" s="328" t="s">
        <v>609</v>
      </c>
      <c r="F1269" s="328">
        <v>73.039083750000003</v>
      </c>
      <c r="G1269" s="328">
        <v>7069.1737499999999</v>
      </c>
      <c r="H1269" s="328">
        <v>7149.5415000000003</v>
      </c>
      <c r="I1269" s="329">
        <v>8.3930983382946092E-2</v>
      </c>
      <c r="J1269" s="329">
        <v>0.80913905073942882</v>
      </c>
      <c r="K1269" s="329">
        <v>0.86065388880353233</v>
      </c>
    </row>
    <row r="1270" spans="1:11" ht="11.25" x14ac:dyDescent="0.15">
      <c r="A1270" s="326">
        <v>1.125</v>
      </c>
      <c r="B1270" s="327">
        <v>100</v>
      </c>
      <c r="C1270" s="327" t="s">
        <v>112</v>
      </c>
      <c r="D1270" s="327" t="s">
        <v>113</v>
      </c>
      <c r="E1270" s="328" t="s">
        <v>610</v>
      </c>
      <c r="F1270" s="328">
        <v>28.371138750000004</v>
      </c>
      <c r="G1270" s="328">
        <v>6959.259</v>
      </c>
      <c r="H1270" s="328">
        <v>7056.8786250000003</v>
      </c>
      <c r="I1270" s="329">
        <v>3.2601963944838067E-2</v>
      </c>
      <c r="J1270" s="329">
        <v>0.79655818632408448</v>
      </c>
      <c r="K1270" s="329">
        <v>0.849499234520252</v>
      </c>
    </row>
    <row r="1271" spans="1:11" ht="11.25" x14ac:dyDescent="0.15">
      <c r="A1271" s="326">
        <v>1.1499999999999999</v>
      </c>
      <c r="B1271" s="327">
        <v>100</v>
      </c>
      <c r="C1271" s="327" t="s">
        <v>112</v>
      </c>
      <c r="D1271" s="327" t="s">
        <v>79</v>
      </c>
      <c r="E1271" s="328" t="s">
        <v>611</v>
      </c>
      <c r="F1271" s="328">
        <v>277.38379500000002</v>
      </c>
      <c r="G1271" s="328">
        <v>7719.9568999999983</v>
      </c>
      <c r="H1271" s="328">
        <v>7584.3351000000002</v>
      </c>
      <c r="I1271" s="329">
        <v>0.3187484493717177</v>
      </c>
      <c r="J1271" s="329">
        <v>0.88362782111775129</v>
      </c>
      <c r="K1271" s="329">
        <v>0.91299386090760193</v>
      </c>
    </row>
    <row r="1272" spans="1:11" ht="11.25" x14ac:dyDescent="0.15">
      <c r="A1272" s="326">
        <v>1.1499999999999999</v>
      </c>
      <c r="B1272" s="327">
        <v>100</v>
      </c>
      <c r="C1272" s="327" t="s">
        <v>112</v>
      </c>
      <c r="D1272" s="327" t="s">
        <v>114</v>
      </c>
      <c r="E1272" s="328" t="s">
        <v>612</v>
      </c>
      <c r="F1272" s="328">
        <v>78.514858500000003</v>
      </c>
      <c r="G1272" s="328">
        <v>7398.6089499999998</v>
      </c>
      <c r="H1272" s="328">
        <v>7485.7984999999999</v>
      </c>
      <c r="I1272" s="329">
        <v>9.0223329014280845E-2</v>
      </c>
      <c r="J1272" s="329">
        <v>0.8468462700602376</v>
      </c>
      <c r="K1272" s="329">
        <v>0.90113213411302651</v>
      </c>
    </row>
    <row r="1273" spans="1:11" ht="11.25" x14ac:dyDescent="0.15">
      <c r="A1273" s="326">
        <v>1.1499999999999999</v>
      </c>
      <c r="B1273" s="327">
        <v>100</v>
      </c>
      <c r="C1273" s="327" t="s">
        <v>112</v>
      </c>
      <c r="D1273" s="327" t="s">
        <v>113</v>
      </c>
      <c r="E1273" s="328" t="s">
        <v>613</v>
      </c>
      <c r="F1273" s="328">
        <v>30.836111499999998</v>
      </c>
      <c r="G1273" s="328">
        <v>7262.8778999999995</v>
      </c>
      <c r="H1273" s="328">
        <v>7390.4404999999997</v>
      </c>
      <c r="I1273" s="329">
        <v>3.5434523942822226E-2</v>
      </c>
      <c r="J1273" s="329">
        <v>0.83131046674901377</v>
      </c>
      <c r="K1273" s="329">
        <v>0.88965304366666331</v>
      </c>
    </row>
    <row r="1274" spans="1:11" ht="11.25" x14ac:dyDescent="0.15">
      <c r="A1274" s="326">
        <v>1.175</v>
      </c>
      <c r="B1274" s="327">
        <v>100</v>
      </c>
      <c r="C1274" s="327" t="s">
        <v>112</v>
      </c>
      <c r="D1274" s="327" t="s">
        <v>79</v>
      </c>
      <c r="E1274" s="328" t="s">
        <v>614</v>
      </c>
      <c r="F1274" s="328">
        <v>299.19248250000004</v>
      </c>
      <c r="G1274" s="328">
        <v>8120.2240750000001</v>
      </c>
      <c r="H1274" s="328">
        <v>7931.8057749999998</v>
      </c>
      <c r="I1274" s="329">
        <v>0.34380934135157315</v>
      </c>
      <c r="J1274" s="329">
        <v>0.92944248255843998</v>
      </c>
      <c r="K1274" s="329">
        <v>0.95482199599625595</v>
      </c>
    </row>
    <row r="1275" spans="1:11" ht="11.25" x14ac:dyDescent="0.15">
      <c r="A1275" s="326">
        <v>1.175</v>
      </c>
      <c r="B1275" s="327">
        <v>100</v>
      </c>
      <c r="C1275" s="327" t="s">
        <v>112</v>
      </c>
      <c r="D1275" s="327" t="s">
        <v>114</v>
      </c>
      <c r="E1275" s="328" t="s">
        <v>615</v>
      </c>
      <c r="F1275" s="328">
        <v>84.439201250000011</v>
      </c>
      <c r="G1275" s="328">
        <v>7742.0585499999997</v>
      </c>
      <c r="H1275" s="328">
        <v>7830.0871999999999</v>
      </c>
      <c r="I1275" s="329">
        <v>9.7031135018626119E-2</v>
      </c>
      <c r="J1275" s="329">
        <v>0.88615758042671944</v>
      </c>
      <c r="K1275" s="329">
        <v>0.94257722657470577</v>
      </c>
    </row>
    <row r="1276" spans="1:11" ht="11.25" x14ac:dyDescent="0.15">
      <c r="A1276" s="326">
        <v>1.175</v>
      </c>
      <c r="B1276" s="327">
        <v>100</v>
      </c>
      <c r="C1276" s="327" t="s">
        <v>112</v>
      </c>
      <c r="D1276" s="327" t="s">
        <v>113</v>
      </c>
      <c r="E1276" s="328" t="s">
        <v>616</v>
      </c>
      <c r="F1276" s="328">
        <v>33.561090249999999</v>
      </c>
      <c r="G1276" s="328">
        <v>7577.2130999999999</v>
      </c>
      <c r="H1276" s="328">
        <v>7732.0134749999997</v>
      </c>
      <c r="I1276" s="329">
        <v>3.8565863144282717E-2</v>
      </c>
      <c r="J1276" s="329">
        <v>0.86728933702957367</v>
      </c>
      <c r="K1276" s="329">
        <v>0.93077122016007086</v>
      </c>
    </row>
    <row r="1277" spans="1:11" ht="11.25" x14ac:dyDescent="0.15">
      <c r="A1277" s="326">
        <v>1.2</v>
      </c>
      <c r="B1277" s="327">
        <v>100</v>
      </c>
      <c r="C1277" s="327" t="s">
        <v>112</v>
      </c>
      <c r="D1277" s="327" t="s">
        <v>79</v>
      </c>
      <c r="E1277" s="328" t="s">
        <v>617</v>
      </c>
      <c r="F1277" s="328">
        <v>322.92372000000006</v>
      </c>
      <c r="G1277" s="328">
        <v>8541.4439999999995</v>
      </c>
      <c r="H1277" s="328">
        <v>8287.0511999999999</v>
      </c>
      <c r="I1277" s="329">
        <v>0.37107948218585285</v>
      </c>
      <c r="J1277" s="329">
        <v>0.97765539998277595</v>
      </c>
      <c r="K1277" s="329">
        <v>0.99758604688062569</v>
      </c>
    </row>
    <row r="1278" spans="1:11" ht="11.25" x14ac:dyDescent="0.15">
      <c r="A1278" s="326">
        <v>1.2</v>
      </c>
      <c r="B1278" s="327">
        <v>100</v>
      </c>
      <c r="C1278" s="327" t="s">
        <v>112</v>
      </c>
      <c r="D1278" s="327" t="s">
        <v>114</v>
      </c>
      <c r="E1278" s="328" t="s">
        <v>618</v>
      </c>
      <c r="F1278" s="328">
        <v>90.861132000000012</v>
      </c>
      <c r="G1278" s="328">
        <v>8100.710399999999</v>
      </c>
      <c r="H1278" s="328">
        <v>8181.4091999999991</v>
      </c>
      <c r="I1278" s="329">
        <v>0.1044107314674203</v>
      </c>
      <c r="J1278" s="329">
        <v>0.92720894338903725</v>
      </c>
      <c r="K1278" s="329">
        <v>0.98486897990213718</v>
      </c>
    </row>
    <row r="1279" spans="1:11" ht="11.25" x14ac:dyDescent="0.15">
      <c r="A1279" s="326">
        <v>1.2</v>
      </c>
      <c r="B1279" s="327">
        <v>100</v>
      </c>
      <c r="C1279" s="327" t="s">
        <v>112</v>
      </c>
      <c r="D1279" s="327" t="s">
        <v>113</v>
      </c>
      <c r="E1279" s="328" t="s">
        <v>619</v>
      </c>
      <c r="F1279" s="328">
        <v>36.581196000000006</v>
      </c>
      <c r="G1279" s="328">
        <v>7900.8659999999991</v>
      </c>
      <c r="H1279" s="328">
        <v>8080.9835999999987</v>
      </c>
      <c r="I1279" s="329">
        <v>4.2036339942507758E-2</v>
      </c>
      <c r="J1279" s="329">
        <v>0.90433471312816827</v>
      </c>
      <c r="K1279" s="329">
        <v>0.97277985737932526</v>
      </c>
    </row>
    <row r="1280" spans="1:11" ht="11.25" x14ac:dyDescent="0.15">
      <c r="A1280" s="326">
        <v>1.2250000000000001</v>
      </c>
      <c r="B1280" s="327">
        <v>100</v>
      </c>
      <c r="C1280" s="327" t="s">
        <v>112</v>
      </c>
      <c r="D1280" s="327" t="s">
        <v>79</v>
      </c>
      <c r="E1280" s="328" t="s">
        <v>620</v>
      </c>
      <c r="F1280" s="328">
        <v>348.793025</v>
      </c>
      <c r="G1280" s="328">
        <v>8985.5318000000007</v>
      </c>
      <c r="H1280" s="328">
        <v>8650.223575</v>
      </c>
      <c r="I1280" s="329">
        <v>0.40080652826319851</v>
      </c>
      <c r="J1280" s="329">
        <v>1.0284857789838526</v>
      </c>
      <c r="K1280" s="329">
        <v>1.0413043352281743</v>
      </c>
    </row>
    <row r="1281" spans="1:11" ht="11.25" x14ac:dyDescent="0.15">
      <c r="A1281" s="326">
        <v>1.2250000000000001</v>
      </c>
      <c r="B1281" s="327">
        <v>100</v>
      </c>
      <c r="C1281" s="327" t="s">
        <v>112</v>
      </c>
      <c r="D1281" s="327" t="s">
        <v>114</v>
      </c>
      <c r="E1281" s="328" t="s">
        <v>621</v>
      </c>
      <c r="F1281" s="328">
        <v>97.836621750000006</v>
      </c>
      <c r="G1281" s="328">
        <v>8476.1522999999997</v>
      </c>
      <c r="H1281" s="328">
        <v>8540.931525</v>
      </c>
      <c r="I1281" s="329">
        <v>0.11242643599486327</v>
      </c>
      <c r="J1281" s="329">
        <v>0.97018209885488049</v>
      </c>
      <c r="K1281" s="329">
        <v>1.0281478792725287</v>
      </c>
    </row>
    <row r="1282" spans="1:11" ht="11.25" x14ac:dyDescent="0.15">
      <c r="A1282" s="326">
        <v>1.2250000000000001</v>
      </c>
      <c r="B1282" s="327">
        <v>100</v>
      </c>
      <c r="C1282" s="327" t="s">
        <v>112</v>
      </c>
      <c r="D1282" s="327" t="s">
        <v>113</v>
      </c>
      <c r="E1282" s="328" t="s">
        <v>622</v>
      </c>
      <c r="F1282" s="328">
        <v>39.937058000000007</v>
      </c>
      <c r="G1282" s="328">
        <v>8235.8636500000011</v>
      </c>
      <c r="H1282" s="328">
        <v>8437.421475000001</v>
      </c>
      <c r="I1282" s="329">
        <v>4.5892642394514634E-2</v>
      </c>
      <c r="J1282" s="329">
        <v>0.94267861159592647</v>
      </c>
      <c r="K1282" s="329">
        <v>1.0156874540742489</v>
      </c>
    </row>
    <row r="1283" spans="1:11" ht="11.25" x14ac:dyDescent="0.15">
      <c r="A1283" s="326">
        <v>1.25</v>
      </c>
      <c r="B1283" s="327">
        <v>100</v>
      </c>
      <c r="C1283" s="327" t="s">
        <v>112</v>
      </c>
      <c r="D1283" s="327" t="s">
        <v>79</v>
      </c>
      <c r="E1283" s="328" t="s">
        <v>623</v>
      </c>
      <c r="F1283" s="328">
        <v>377.04087500000003</v>
      </c>
      <c r="G1283" s="328">
        <v>9453.24</v>
      </c>
      <c r="H1283" s="328">
        <v>9021.4637500000008</v>
      </c>
      <c r="I1283" s="329">
        <v>0.43326681811389034</v>
      </c>
      <c r="J1283" s="329">
        <v>1.0820197537246836</v>
      </c>
      <c r="K1283" s="329">
        <v>1.0859938164059331</v>
      </c>
    </row>
    <row r="1284" spans="1:11" ht="11.25" x14ac:dyDescent="0.15">
      <c r="A1284" s="326">
        <v>1.25</v>
      </c>
      <c r="B1284" s="327">
        <v>100</v>
      </c>
      <c r="C1284" s="327" t="s">
        <v>112</v>
      </c>
      <c r="D1284" s="327" t="s">
        <v>114</v>
      </c>
      <c r="E1284" s="328" t="s">
        <v>624</v>
      </c>
      <c r="F1284" s="328">
        <v>105.42791249999999</v>
      </c>
      <c r="G1284" s="328">
        <v>8869.6137500000004</v>
      </c>
      <c r="H1284" s="328">
        <v>8908.81</v>
      </c>
      <c r="I1284" s="329">
        <v>0.12114977239341661</v>
      </c>
      <c r="J1284" s="329">
        <v>1.0152177756417977</v>
      </c>
      <c r="K1284" s="329">
        <v>1.0724326827268289</v>
      </c>
    </row>
    <row r="1285" spans="1:11" ht="11.25" x14ac:dyDescent="0.15">
      <c r="A1285" s="326">
        <v>1.25</v>
      </c>
      <c r="B1285" s="327">
        <v>100</v>
      </c>
      <c r="C1285" s="327" t="s">
        <v>112</v>
      </c>
      <c r="D1285" s="327" t="s">
        <v>113</v>
      </c>
      <c r="E1285" s="328" t="s">
        <v>625</v>
      </c>
      <c r="F1285" s="328">
        <v>43.673725000000005</v>
      </c>
      <c r="G1285" s="328">
        <v>8582.8850000000002</v>
      </c>
      <c r="H1285" s="328">
        <v>8801.5600000000013</v>
      </c>
      <c r="I1285" s="329">
        <v>5.0186537112006935E-2</v>
      </c>
      <c r="J1285" s="329">
        <v>0.98239874518654791</v>
      </c>
      <c r="K1285" s="329">
        <v>1.0595220464889419</v>
      </c>
    </row>
    <row r="1286" spans="1:11" ht="11.25" x14ac:dyDescent="0.15">
      <c r="A1286" s="326">
        <v>1.2749999999999999</v>
      </c>
      <c r="B1286" s="327">
        <v>100</v>
      </c>
      <c r="C1286" s="327" t="s">
        <v>112</v>
      </c>
      <c r="D1286" s="327" t="s">
        <v>79</v>
      </c>
      <c r="E1286" s="328" t="s">
        <v>626</v>
      </c>
      <c r="F1286" s="328">
        <v>407.93522999999999</v>
      </c>
      <c r="G1286" s="328">
        <v>9944.6697749999985</v>
      </c>
      <c r="H1286" s="328">
        <v>9400.4653499999986</v>
      </c>
      <c r="I1286" s="329">
        <v>0.46876827107580316</v>
      </c>
      <c r="J1286" s="329">
        <v>1.1382689047161401</v>
      </c>
      <c r="K1286" s="329">
        <v>1.1316176093306622</v>
      </c>
    </row>
    <row r="1287" spans="1:11" ht="11.25" x14ac:dyDescent="0.15">
      <c r="A1287" s="326">
        <v>1.2749999999999999</v>
      </c>
      <c r="B1287" s="327">
        <v>100</v>
      </c>
      <c r="C1287" s="327" t="s">
        <v>112</v>
      </c>
      <c r="D1287" s="327" t="s">
        <v>114</v>
      </c>
      <c r="E1287" s="328" t="s">
        <v>627</v>
      </c>
      <c r="F1287" s="328">
        <v>113.7048315</v>
      </c>
      <c r="G1287" s="328">
        <v>9281.8482750000003</v>
      </c>
      <c r="H1287" s="328">
        <v>9284.0195999999996</v>
      </c>
      <c r="I1287" s="329">
        <v>0.13066098085036815</v>
      </c>
      <c r="J1287" s="329">
        <v>1.0624022223730045</v>
      </c>
      <c r="K1287" s="329">
        <v>1.1175999988905883</v>
      </c>
    </row>
    <row r="1288" spans="1:11" ht="11.25" x14ac:dyDescent="0.15">
      <c r="A1288" s="326">
        <v>1.2749999999999999</v>
      </c>
      <c r="B1288" s="327">
        <v>100</v>
      </c>
      <c r="C1288" s="327" t="s">
        <v>112</v>
      </c>
      <c r="D1288" s="327" t="s">
        <v>113</v>
      </c>
      <c r="E1288" s="328" t="s">
        <v>628</v>
      </c>
      <c r="F1288" s="328">
        <v>47.842130999999995</v>
      </c>
      <c r="G1288" s="328">
        <v>8943.5512499999986</v>
      </c>
      <c r="H1288" s="328">
        <v>9173.4477750000005</v>
      </c>
      <c r="I1288" s="329">
        <v>5.4976553590265015E-2</v>
      </c>
      <c r="J1288" s="329">
        <v>1.023680676778447</v>
      </c>
      <c r="K1288" s="329">
        <v>1.1042894850375875</v>
      </c>
    </row>
    <row r="1289" spans="1:11" ht="11.25" x14ac:dyDescent="0.15">
      <c r="A1289" s="326">
        <v>1.3</v>
      </c>
      <c r="B1289" s="327">
        <v>100</v>
      </c>
      <c r="C1289" s="327" t="s">
        <v>112</v>
      </c>
      <c r="D1289" s="327" t="s">
        <v>79</v>
      </c>
      <c r="E1289" s="328" t="s">
        <v>629</v>
      </c>
      <c r="F1289" s="328">
        <v>441.77302000000003</v>
      </c>
      <c r="G1289" s="328">
        <v>10462.4689</v>
      </c>
      <c r="H1289" s="328">
        <v>9787.4815999999992</v>
      </c>
      <c r="I1289" s="329">
        <v>0.50765209661675026</v>
      </c>
      <c r="J1289" s="329">
        <v>1.1975362968178278</v>
      </c>
      <c r="K1289" s="329">
        <v>1.1782061969474571</v>
      </c>
    </row>
    <row r="1290" spans="1:11" ht="11.25" x14ac:dyDescent="0.15">
      <c r="A1290" s="326">
        <v>1.3</v>
      </c>
      <c r="B1290" s="327">
        <v>100</v>
      </c>
      <c r="C1290" s="327" t="s">
        <v>112</v>
      </c>
      <c r="D1290" s="327" t="s">
        <v>114</v>
      </c>
      <c r="E1290" s="328" t="s">
        <v>630</v>
      </c>
      <c r="F1290" s="328">
        <v>122.74510300000001</v>
      </c>
      <c r="G1290" s="328">
        <v>9713.8912</v>
      </c>
      <c r="H1290" s="328">
        <v>9666.7636000000002</v>
      </c>
      <c r="I1290" s="329">
        <v>0.14104937618732119</v>
      </c>
      <c r="J1290" s="329">
        <v>1.111853942556454</v>
      </c>
      <c r="K1290" s="329">
        <v>1.1636742977832122</v>
      </c>
    </row>
    <row r="1291" spans="1:11" ht="11.25" x14ac:dyDescent="0.15">
      <c r="A1291" s="326">
        <v>1.3</v>
      </c>
      <c r="B1291" s="327">
        <v>100</v>
      </c>
      <c r="C1291" s="327" t="s">
        <v>112</v>
      </c>
      <c r="D1291" s="327" t="s">
        <v>113</v>
      </c>
      <c r="E1291" s="328" t="s">
        <v>631</v>
      </c>
      <c r="F1291" s="328">
        <v>52.499473000000009</v>
      </c>
      <c r="G1291" s="328">
        <v>9318.4351000000006</v>
      </c>
      <c r="H1291" s="328">
        <v>9553.0109999999986</v>
      </c>
      <c r="I1291" s="329">
        <v>6.0328418289836878E-2</v>
      </c>
      <c r="J1291" s="329">
        <v>1.0665899577289319</v>
      </c>
      <c r="K1291" s="329">
        <v>1.1499808857579077</v>
      </c>
    </row>
    <row r="1292" spans="1:11" ht="11.25" x14ac:dyDescent="0.15">
      <c r="A1292" s="326">
        <v>1.325</v>
      </c>
      <c r="B1292" s="327">
        <v>100</v>
      </c>
      <c r="C1292" s="327" t="s">
        <v>112</v>
      </c>
      <c r="D1292" s="327" t="s">
        <v>79</v>
      </c>
      <c r="E1292" s="328" t="s">
        <v>632</v>
      </c>
      <c r="F1292" s="328">
        <v>478.88375249999996</v>
      </c>
      <c r="G1292" s="328">
        <v>11006.5524</v>
      </c>
      <c r="H1292" s="328">
        <v>10182.485874999998</v>
      </c>
      <c r="I1292" s="329">
        <v>0.55029693980026639</v>
      </c>
      <c r="J1292" s="329">
        <v>1.2598122037741375</v>
      </c>
      <c r="K1292" s="329">
        <v>1.2257563741682997</v>
      </c>
    </row>
    <row r="1293" spans="1:11" ht="11.25" x14ac:dyDescent="0.15">
      <c r="A1293" s="326">
        <v>1.325</v>
      </c>
      <c r="B1293" s="327">
        <v>100</v>
      </c>
      <c r="C1293" s="327" t="s">
        <v>112</v>
      </c>
      <c r="D1293" s="327" t="s">
        <v>114</v>
      </c>
      <c r="E1293" s="328" t="s">
        <v>633</v>
      </c>
      <c r="F1293" s="328">
        <v>132.6355475</v>
      </c>
      <c r="G1293" s="328">
        <v>10167.37955</v>
      </c>
      <c r="H1293" s="328">
        <v>10057.329024999999</v>
      </c>
      <c r="I1293" s="329">
        <v>0.1524147259474686</v>
      </c>
      <c r="J1293" s="329">
        <v>1.1637603104032463</v>
      </c>
      <c r="K1293" s="329">
        <v>1.2106901311563669</v>
      </c>
    </row>
    <row r="1294" spans="1:11" ht="11.25" x14ac:dyDescent="0.15">
      <c r="A1294" s="326">
        <v>1.325</v>
      </c>
      <c r="B1294" s="327">
        <v>100</v>
      </c>
      <c r="C1294" s="327" t="s">
        <v>112</v>
      </c>
      <c r="D1294" s="327" t="s">
        <v>113</v>
      </c>
      <c r="E1294" s="328" t="s">
        <v>634</v>
      </c>
      <c r="F1294" s="328">
        <v>57.709672749999989</v>
      </c>
      <c r="G1294" s="328">
        <v>9709.9444999999996</v>
      </c>
      <c r="H1294" s="328">
        <v>9940.0413500000013</v>
      </c>
      <c r="I1294" s="329">
        <v>6.6315585244667116E-2</v>
      </c>
      <c r="J1294" s="329">
        <v>1.1114022024798214</v>
      </c>
      <c r="K1294" s="329">
        <v>1.1965711707170892</v>
      </c>
    </row>
    <row r="1295" spans="1:11" ht="11.25" x14ac:dyDescent="0.15">
      <c r="A1295" s="326">
        <v>1.35</v>
      </c>
      <c r="B1295" s="327">
        <v>100</v>
      </c>
      <c r="C1295" s="327" t="s">
        <v>112</v>
      </c>
      <c r="D1295" s="327" t="s">
        <v>79</v>
      </c>
      <c r="E1295" s="328" t="s">
        <v>635</v>
      </c>
      <c r="F1295" s="328">
        <v>519.62769000000003</v>
      </c>
      <c r="G1295" s="328">
        <v>11577.145050000001</v>
      </c>
      <c r="H1295" s="328">
        <v>10585.345950000001</v>
      </c>
      <c r="I1295" s="329">
        <v>0.59711678700663684</v>
      </c>
      <c r="J1295" s="329">
        <v>1.3251223533768255</v>
      </c>
      <c r="K1295" s="329">
        <v>1.2742522238941087</v>
      </c>
    </row>
    <row r="1296" spans="1:11" ht="11.25" x14ac:dyDescent="0.15">
      <c r="A1296" s="326">
        <v>1.35</v>
      </c>
      <c r="B1296" s="327">
        <v>100</v>
      </c>
      <c r="C1296" s="327" t="s">
        <v>112</v>
      </c>
      <c r="D1296" s="327" t="s">
        <v>114</v>
      </c>
      <c r="E1296" s="328" t="s">
        <v>636</v>
      </c>
      <c r="F1296" s="328">
        <v>143.472195</v>
      </c>
      <c r="G1296" s="328">
        <v>10643.405400000001</v>
      </c>
      <c r="H1296" s="328">
        <v>10455.552900000001</v>
      </c>
      <c r="I1296" s="329">
        <v>0.16486738053391586</v>
      </c>
      <c r="J1296" s="329">
        <v>1.2182463250377618</v>
      </c>
      <c r="K1296" s="329">
        <v>1.258627880260021</v>
      </c>
    </row>
    <row r="1297" spans="1:11" ht="11.25" x14ac:dyDescent="0.15">
      <c r="A1297" s="326">
        <v>1.35</v>
      </c>
      <c r="B1297" s="327">
        <v>100</v>
      </c>
      <c r="C1297" s="327" t="s">
        <v>112</v>
      </c>
      <c r="D1297" s="327" t="s">
        <v>113</v>
      </c>
      <c r="E1297" s="328" t="s">
        <v>637</v>
      </c>
      <c r="F1297" s="328">
        <v>63.544216500000012</v>
      </c>
      <c r="G1297" s="328">
        <v>10116.634050000001</v>
      </c>
      <c r="H1297" s="328">
        <v>10335.270600000002</v>
      </c>
      <c r="I1297" s="329">
        <v>7.3020201039198138E-2</v>
      </c>
      <c r="J1297" s="329">
        <v>1.1579519702560974</v>
      </c>
      <c r="K1297" s="329">
        <v>1.2441484301793084</v>
      </c>
    </row>
    <row r="1298" spans="1:11" ht="11.25" x14ac:dyDescent="0.15">
      <c r="A1298" s="326">
        <v>1.375</v>
      </c>
      <c r="B1298" s="327">
        <v>100</v>
      </c>
      <c r="C1298" s="327" t="s">
        <v>112</v>
      </c>
      <c r="D1298" s="327" t="s">
        <v>79</v>
      </c>
      <c r="E1298" s="328" t="s">
        <v>638</v>
      </c>
      <c r="F1298" s="328">
        <v>564.40972499999998</v>
      </c>
      <c r="G1298" s="328">
        <v>12175.684125</v>
      </c>
      <c r="H1298" s="328">
        <v>10996.431875</v>
      </c>
      <c r="I1298" s="329">
        <v>0.64857691003206441</v>
      </c>
      <c r="J1298" s="329">
        <v>1.3936312564117743</v>
      </c>
      <c r="K1298" s="329">
        <v>1.3237382923341126</v>
      </c>
    </row>
    <row r="1299" spans="1:11" ht="11.25" x14ac:dyDescent="0.15">
      <c r="A1299" s="326">
        <v>1.375</v>
      </c>
      <c r="B1299" s="327">
        <v>100</v>
      </c>
      <c r="C1299" s="327" t="s">
        <v>112</v>
      </c>
      <c r="D1299" s="327" t="s">
        <v>114</v>
      </c>
      <c r="E1299" s="328" t="s">
        <v>639</v>
      </c>
      <c r="F1299" s="328">
        <v>155.36386250000001</v>
      </c>
      <c r="G1299" s="328">
        <v>11144.553750000001</v>
      </c>
      <c r="H1299" s="328">
        <v>10862.1865</v>
      </c>
      <c r="I1299" s="329">
        <v>0.17853238420173667</v>
      </c>
      <c r="J1299" s="329">
        <v>1.2756078660804657</v>
      </c>
      <c r="K1299" s="329">
        <v>1.307577982746758</v>
      </c>
    </row>
    <row r="1300" spans="1:11" ht="11.25" x14ac:dyDescent="0.15">
      <c r="A1300" s="326">
        <v>1.375</v>
      </c>
      <c r="B1300" s="327">
        <v>100</v>
      </c>
      <c r="C1300" s="327" t="s">
        <v>112</v>
      </c>
      <c r="D1300" s="327" t="s">
        <v>113</v>
      </c>
      <c r="E1300" s="328" t="s">
        <v>640</v>
      </c>
      <c r="F1300" s="328">
        <v>70.082828750000004</v>
      </c>
      <c r="G1300" s="328">
        <v>10543.141125</v>
      </c>
      <c r="H1300" s="328">
        <v>10737.7325</v>
      </c>
      <c r="I1300" s="329">
        <v>8.0533879030842942E-2</v>
      </c>
      <c r="J1300" s="329">
        <v>1.2067700559339534</v>
      </c>
      <c r="K1300" s="329">
        <v>1.2925963480395317</v>
      </c>
    </row>
    <row r="1301" spans="1:11" ht="11.25" x14ac:dyDescent="0.15">
      <c r="A1301" s="326">
        <v>1.4</v>
      </c>
      <c r="B1301" s="327">
        <v>100</v>
      </c>
      <c r="C1301" s="327" t="s">
        <v>112</v>
      </c>
      <c r="D1301" s="327" t="s">
        <v>79</v>
      </c>
      <c r="E1301" s="328" t="s">
        <v>641</v>
      </c>
      <c r="F1301" s="328">
        <v>613.67151999999999</v>
      </c>
      <c r="G1301" s="328">
        <v>12801.870200000001</v>
      </c>
      <c r="H1301" s="328">
        <v>11415.441799999999</v>
      </c>
      <c r="I1301" s="329">
        <v>0.70518483397195231</v>
      </c>
      <c r="J1301" s="329">
        <v>1.4653046406331975</v>
      </c>
      <c r="K1301" s="329">
        <v>1.3741782431195615</v>
      </c>
    </row>
    <row r="1302" spans="1:11" ht="11.25" x14ac:dyDescent="0.15">
      <c r="A1302" s="326">
        <v>1.4</v>
      </c>
      <c r="B1302" s="327">
        <v>100</v>
      </c>
      <c r="C1302" s="327" t="s">
        <v>112</v>
      </c>
      <c r="D1302" s="327" t="s">
        <v>114</v>
      </c>
      <c r="E1302" s="328" t="s">
        <v>642</v>
      </c>
      <c r="F1302" s="328">
        <v>168.43008</v>
      </c>
      <c r="G1302" s="328">
        <v>11667.629399999998</v>
      </c>
      <c r="H1302" s="328">
        <v>11276.2048</v>
      </c>
      <c r="I1302" s="329">
        <v>0.19354709177424861</v>
      </c>
      <c r="J1302" s="329">
        <v>1.3354792102960336</v>
      </c>
      <c r="K1302" s="329">
        <v>1.3574170472421283</v>
      </c>
    </row>
    <row r="1303" spans="1:11" ht="11.25" x14ac:dyDescent="0.15">
      <c r="A1303" s="326">
        <v>1.4</v>
      </c>
      <c r="B1303" s="327">
        <v>100</v>
      </c>
      <c r="C1303" s="327" t="s">
        <v>112</v>
      </c>
      <c r="D1303" s="327" t="s">
        <v>113</v>
      </c>
      <c r="E1303" s="328" t="s">
        <v>643</v>
      </c>
      <c r="F1303" s="328">
        <v>77.414372</v>
      </c>
      <c r="G1303" s="328">
        <v>10987.858</v>
      </c>
      <c r="H1303" s="328">
        <v>11148.543</v>
      </c>
      <c r="I1303" s="329">
        <v>8.8958733274542304E-2</v>
      </c>
      <c r="J1303" s="329">
        <v>1.2576724389861884</v>
      </c>
      <c r="K1303" s="329">
        <v>1.3420492611230244</v>
      </c>
    </row>
    <row r="1304" spans="1:11" ht="11.25" x14ac:dyDescent="0.15">
      <c r="A1304" s="326">
        <v>0.9</v>
      </c>
      <c r="B1304" s="327">
        <v>105</v>
      </c>
      <c r="C1304" s="327" t="s">
        <v>112</v>
      </c>
      <c r="D1304" s="327" t="s">
        <v>79</v>
      </c>
      <c r="E1304" s="328" t="s">
        <v>644</v>
      </c>
      <c r="F1304" s="328">
        <v>155.82648600000002</v>
      </c>
      <c r="G1304" s="328">
        <v>4611.8791800000008</v>
      </c>
      <c r="H1304" s="328">
        <v>4541.07528</v>
      </c>
      <c r="I1304" s="329">
        <v>0.17906399609084475</v>
      </c>
      <c r="J1304" s="329">
        <v>0.52787661950311182</v>
      </c>
      <c r="K1304" s="329">
        <v>0.54664961369642928</v>
      </c>
    </row>
    <row r="1305" spans="1:11" ht="11.25" x14ac:dyDescent="0.15">
      <c r="A1305" s="326">
        <v>0.9</v>
      </c>
      <c r="B1305" s="327">
        <v>105</v>
      </c>
      <c r="C1305" s="327" t="s">
        <v>112</v>
      </c>
      <c r="D1305" s="327" t="s">
        <v>114</v>
      </c>
      <c r="E1305" s="328" t="s">
        <v>645</v>
      </c>
      <c r="F1305" s="328">
        <v>45.585520200000005</v>
      </c>
      <c r="G1305" s="328">
        <v>4573.4848199999997</v>
      </c>
      <c r="H1305" s="328">
        <v>4471.6946400000006</v>
      </c>
      <c r="I1305" s="329">
        <v>5.2383427364792942E-2</v>
      </c>
      <c r="J1305" s="329">
        <v>0.52348199332715328</v>
      </c>
      <c r="K1305" s="329">
        <v>0.5382976490811211</v>
      </c>
    </row>
    <row r="1306" spans="1:11" ht="11.25" x14ac:dyDescent="0.15">
      <c r="A1306" s="326">
        <v>0.9</v>
      </c>
      <c r="B1306" s="327">
        <v>105</v>
      </c>
      <c r="C1306" s="327" t="s">
        <v>112</v>
      </c>
      <c r="D1306" s="327" t="s">
        <v>113</v>
      </c>
      <c r="E1306" s="328" t="s">
        <v>646</v>
      </c>
      <c r="F1306" s="328">
        <v>16.570458000000002</v>
      </c>
      <c r="G1306" s="328">
        <v>4566.6365400000004</v>
      </c>
      <c r="H1306" s="328">
        <v>4403.5860600000005</v>
      </c>
      <c r="I1306" s="329">
        <v>1.9041515359176534E-2</v>
      </c>
      <c r="J1306" s="329">
        <v>0.52269813781951391</v>
      </c>
      <c r="K1306" s="329">
        <v>0.5300988136400111</v>
      </c>
    </row>
    <row r="1307" spans="1:11" ht="11.25" x14ac:dyDescent="0.15">
      <c r="A1307" s="326">
        <v>0.92500000000000004</v>
      </c>
      <c r="B1307" s="327">
        <v>105</v>
      </c>
      <c r="C1307" s="327" t="s">
        <v>112</v>
      </c>
      <c r="D1307" s="327" t="s">
        <v>79</v>
      </c>
      <c r="E1307" s="328" t="s">
        <v>647</v>
      </c>
      <c r="F1307" s="328">
        <v>167.83042750000001</v>
      </c>
      <c r="G1307" s="328">
        <v>4868.4779449999996</v>
      </c>
      <c r="H1307" s="328">
        <v>4810.5720199999996</v>
      </c>
      <c r="I1307" s="329">
        <v>0.19285801653632106</v>
      </c>
      <c r="J1307" s="329">
        <v>0.55724696580886068</v>
      </c>
      <c r="K1307" s="329">
        <v>0.57909133283336611</v>
      </c>
    </row>
    <row r="1308" spans="1:11" ht="11.25" x14ac:dyDescent="0.15">
      <c r="A1308" s="326">
        <v>0.92500000000000004</v>
      </c>
      <c r="B1308" s="327">
        <v>105</v>
      </c>
      <c r="C1308" s="327" t="s">
        <v>112</v>
      </c>
      <c r="D1308" s="327" t="s">
        <v>114</v>
      </c>
      <c r="E1308" s="328" t="s">
        <v>648</v>
      </c>
      <c r="F1308" s="328">
        <v>49.0217995</v>
      </c>
      <c r="G1308" s="328">
        <v>4817.8179149999996</v>
      </c>
      <c r="H1308" s="328">
        <v>4738.5644700000012</v>
      </c>
      <c r="I1308" s="329">
        <v>5.6332139287503247E-2</v>
      </c>
      <c r="J1308" s="329">
        <v>0.55144840857512012</v>
      </c>
      <c r="K1308" s="329">
        <v>0.57042314370113811</v>
      </c>
    </row>
    <row r="1309" spans="1:11" ht="11.25" x14ac:dyDescent="0.15">
      <c r="A1309" s="326">
        <v>0.92500000000000004</v>
      </c>
      <c r="B1309" s="327">
        <v>105</v>
      </c>
      <c r="C1309" s="327" t="s">
        <v>112</v>
      </c>
      <c r="D1309" s="327" t="s">
        <v>113</v>
      </c>
      <c r="E1309" s="328" t="s">
        <v>649</v>
      </c>
      <c r="F1309" s="328">
        <v>17.90733955</v>
      </c>
      <c r="G1309" s="328">
        <v>4807.1138150000006</v>
      </c>
      <c r="H1309" s="328">
        <v>4668.3754700000009</v>
      </c>
      <c r="I1309" s="329">
        <v>2.0577758386842074E-2</v>
      </c>
      <c r="J1309" s="329">
        <v>0.55022321513394623</v>
      </c>
      <c r="K1309" s="329">
        <v>0.5619738696041584</v>
      </c>
    </row>
    <row r="1310" spans="1:11" ht="11.25" x14ac:dyDescent="0.15">
      <c r="A1310" s="326">
        <v>0.95</v>
      </c>
      <c r="B1310" s="327">
        <v>105</v>
      </c>
      <c r="C1310" s="327" t="s">
        <v>112</v>
      </c>
      <c r="D1310" s="327" t="s">
        <v>79</v>
      </c>
      <c r="E1310" s="328" t="s">
        <v>650</v>
      </c>
      <c r="F1310" s="328">
        <v>180.62961799999999</v>
      </c>
      <c r="G1310" s="328">
        <v>5134.8256199999987</v>
      </c>
      <c r="H1310" s="328">
        <v>5087.8289299999997</v>
      </c>
      <c r="I1310" s="329">
        <v>0.20756587690389666</v>
      </c>
      <c r="J1310" s="329">
        <v>0.58773317431606464</v>
      </c>
      <c r="K1310" s="329">
        <v>0.61246721264176374</v>
      </c>
    </row>
    <row r="1311" spans="1:11" ht="11.25" x14ac:dyDescent="0.15">
      <c r="A1311" s="326">
        <v>0.95</v>
      </c>
      <c r="B1311" s="327">
        <v>105</v>
      </c>
      <c r="C1311" s="327" t="s">
        <v>112</v>
      </c>
      <c r="D1311" s="327" t="s">
        <v>114</v>
      </c>
      <c r="E1311" s="328" t="s">
        <v>651</v>
      </c>
      <c r="F1311" s="328">
        <v>52.672599900000002</v>
      </c>
      <c r="G1311" s="328">
        <v>5069.6366200000002</v>
      </c>
      <c r="H1311" s="328">
        <v>5013.2455699999991</v>
      </c>
      <c r="I1311" s="329">
        <v>6.0527362611438401E-2</v>
      </c>
      <c r="J1311" s="329">
        <v>0.5802716282508471</v>
      </c>
      <c r="K1311" s="329">
        <v>0.6034889503540305</v>
      </c>
    </row>
    <row r="1312" spans="1:11" ht="11.25" x14ac:dyDescent="0.15">
      <c r="A1312" s="326">
        <v>0.95</v>
      </c>
      <c r="B1312" s="327">
        <v>105</v>
      </c>
      <c r="C1312" s="327" t="s">
        <v>112</v>
      </c>
      <c r="D1312" s="327" t="s">
        <v>113</v>
      </c>
      <c r="E1312" s="328" t="s">
        <v>652</v>
      </c>
      <c r="F1312" s="328">
        <v>19.338889699999996</v>
      </c>
      <c r="G1312" s="328">
        <v>5052.6004599999997</v>
      </c>
      <c r="H1312" s="328">
        <v>4940.2447200000006</v>
      </c>
      <c r="I1312" s="329">
        <v>2.2222787399839568E-2</v>
      </c>
      <c r="J1312" s="329">
        <v>0.57832166594716972</v>
      </c>
      <c r="K1312" s="329">
        <v>0.59470118886772227</v>
      </c>
    </row>
    <row r="1313" spans="1:11" ht="11.25" x14ac:dyDescent="0.15">
      <c r="A1313" s="326">
        <v>0.97499999999999998</v>
      </c>
      <c r="B1313" s="327">
        <v>105</v>
      </c>
      <c r="C1313" s="327" t="s">
        <v>112</v>
      </c>
      <c r="D1313" s="327" t="s">
        <v>79</v>
      </c>
      <c r="E1313" s="328" t="s">
        <v>653</v>
      </c>
      <c r="F1313" s="328">
        <v>194.29072650000001</v>
      </c>
      <c r="G1313" s="328">
        <v>5412.3392700000004</v>
      </c>
      <c r="H1313" s="328">
        <v>5373.2776499999991</v>
      </c>
      <c r="I1313" s="329">
        <v>0.22326418815915147</v>
      </c>
      <c r="J1313" s="329">
        <v>0.61949744256993733</v>
      </c>
      <c r="K1313" s="329">
        <v>0.64682921346685029</v>
      </c>
    </row>
    <row r="1314" spans="1:11" ht="11.25" x14ac:dyDescent="0.15">
      <c r="A1314" s="326">
        <v>0.97499999999999998</v>
      </c>
      <c r="B1314" s="327">
        <v>105</v>
      </c>
      <c r="C1314" s="327" t="s">
        <v>112</v>
      </c>
      <c r="D1314" s="327" t="s">
        <v>114</v>
      </c>
      <c r="E1314" s="328" t="s">
        <v>654</v>
      </c>
      <c r="F1314" s="328">
        <v>56.553753749999998</v>
      </c>
      <c r="G1314" s="328">
        <v>5328.8880449999997</v>
      </c>
      <c r="H1314" s="328">
        <v>5295.6163649999999</v>
      </c>
      <c r="I1314" s="329">
        <v>6.4987290674145062E-2</v>
      </c>
      <c r="J1314" s="329">
        <v>0.60994559855428521</v>
      </c>
      <c r="K1314" s="329">
        <v>0.63748043397592358</v>
      </c>
    </row>
    <row r="1315" spans="1:11" ht="11.25" x14ac:dyDescent="0.15">
      <c r="A1315" s="326">
        <v>0.97499999999999998</v>
      </c>
      <c r="B1315" s="327">
        <v>105</v>
      </c>
      <c r="C1315" s="327" t="s">
        <v>112</v>
      </c>
      <c r="D1315" s="327" t="s">
        <v>113</v>
      </c>
      <c r="E1315" s="328" t="s">
        <v>655</v>
      </c>
      <c r="F1315" s="328">
        <v>20.8744497</v>
      </c>
      <c r="G1315" s="328">
        <v>5304.8404499999997</v>
      </c>
      <c r="H1315" s="328">
        <v>5220.2800649999999</v>
      </c>
      <c r="I1315" s="329">
        <v>2.3987336655203372E-2</v>
      </c>
      <c r="J1315" s="329">
        <v>0.60719310598881859</v>
      </c>
      <c r="K1315" s="329">
        <v>0.62841153360475022</v>
      </c>
    </row>
    <row r="1316" spans="1:11" ht="11.25" x14ac:dyDescent="0.15">
      <c r="A1316" s="326">
        <v>1</v>
      </c>
      <c r="B1316" s="327">
        <v>105</v>
      </c>
      <c r="C1316" s="327" t="s">
        <v>112</v>
      </c>
      <c r="D1316" s="327" t="s">
        <v>79</v>
      </c>
      <c r="E1316" s="328" t="s">
        <v>656</v>
      </c>
      <c r="F1316" s="328">
        <v>208.89171999999999</v>
      </c>
      <c r="G1316" s="328">
        <v>5700.4769999999999</v>
      </c>
      <c r="H1316" s="328">
        <v>5666.1737999999996</v>
      </c>
      <c r="I1316" s="329">
        <v>0.24004254407360395</v>
      </c>
      <c r="J1316" s="329">
        <v>0.65247774515967261</v>
      </c>
      <c r="K1316" s="329">
        <v>0.68208772766850689</v>
      </c>
    </row>
    <row r="1317" spans="1:11" ht="11.25" x14ac:dyDescent="0.15">
      <c r="A1317" s="326">
        <v>1</v>
      </c>
      <c r="B1317" s="327">
        <v>105</v>
      </c>
      <c r="C1317" s="327" t="s">
        <v>112</v>
      </c>
      <c r="D1317" s="327" t="s">
        <v>114</v>
      </c>
      <c r="E1317" s="328" t="s">
        <v>657</v>
      </c>
      <c r="F1317" s="328">
        <v>60.685068000000001</v>
      </c>
      <c r="G1317" s="328">
        <v>5595.8737999999994</v>
      </c>
      <c r="H1317" s="328">
        <v>5585.6779999999999</v>
      </c>
      <c r="I1317" s="329">
        <v>6.9734684122470983E-2</v>
      </c>
      <c r="J1317" s="329">
        <v>0.64050484182676093</v>
      </c>
      <c r="K1317" s="329">
        <v>0.67239773240064926</v>
      </c>
    </row>
    <row r="1318" spans="1:11" ht="11.25" x14ac:dyDescent="0.15">
      <c r="A1318" s="326">
        <v>1</v>
      </c>
      <c r="B1318" s="327">
        <v>105</v>
      </c>
      <c r="C1318" s="327" t="s">
        <v>112</v>
      </c>
      <c r="D1318" s="327" t="s">
        <v>113</v>
      </c>
      <c r="E1318" s="328" t="s">
        <v>658</v>
      </c>
      <c r="F1318" s="328">
        <v>22.526398</v>
      </c>
      <c r="G1318" s="328">
        <v>5563.2064</v>
      </c>
      <c r="H1318" s="328">
        <v>5507.6656000000003</v>
      </c>
      <c r="I1318" s="329">
        <v>2.5885630530183504E-2</v>
      </c>
      <c r="J1318" s="329">
        <v>0.63676572464547443</v>
      </c>
      <c r="K1318" s="329">
        <v>0.66300668607482593</v>
      </c>
    </row>
    <row r="1319" spans="1:11" ht="11.25" x14ac:dyDescent="0.15">
      <c r="A1319" s="326">
        <v>1.0249999999999999</v>
      </c>
      <c r="B1319" s="327">
        <v>105</v>
      </c>
      <c r="C1319" s="327" t="s">
        <v>112</v>
      </c>
      <c r="D1319" s="327" t="s">
        <v>79</v>
      </c>
      <c r="E1319" s="328" t="s">
        <v>659</v>
      </c>
      <c r="F1319" s="328">
        <v>224.51843949999997</v>
      </c>
      <c r="G1319" s="328">
        <v>6000.8983749999998</v>
      </c>
      <c r="H1319" s="328">
        <v>5966.7193399999996</v>
      </c>
      <c r="I1319" s="329">
        <v>0.25799958662323014</v>
      </c>
      <c r="J1319" s="329">
        <v>0.68686403622930914</v>
      </c>
      <c r="K1319" s="329">
        <v>0.71826706696789511</v>
      </c>
    </row>
    <row r="1320" spans="1:11" ht="11.25" x14ac:dyDescent="0.15">
      <c r="A1320" s="326">
        <v>1.0249999999999999</v>
      </c>
      <c r="B1320" s="327">
        <v>105</v>
      </c>
      <c r="C1320" s="327" t="s">
        <v>112</v>
      </c>
      <c r="D1320" s="327" t="s">
        <v>114</v>
      </c>
      <c r="E1320" s="328" t="s">
        <v>660</v>
      </c>
      <c r="F1320" s="328">
        <v>65.0892999</v>
      </c>
      <c r="G1320" s="328">
        <v>5872.0361949999997</v>
      </c>
      <c r="H1320" s="328">
        <v>5883.6326349999999</v>
      </c>
      <c r="I1320" s="329">
        <v>7.4795693864581028E-2</v>
      </c>
      <c r="J1320" s="329">
        <v>0.6721144451612705</v>
      </c>
      <c r="K1320" s="329">
        <v>0.70826518142514783</v>
      </c>
    </row>
    <row r="1321" spans="1:11" ht="11.25" x14ac:dyDescent="0.15">
      <c r="A1321" s="326">
        <v>1.0249999999999999</v>
      </c>
      <c r="B1321" s="327">
        <v>105</v>
      </c>
      <c r="C1321" s="327" t="s">
        <v>112</v>
      </c>
      <c r="D1321" s="327" t="s">
        <v>113</v>
      </c>
      <c r="E1321" s="328" t="s">
        <v>661</v>
      </c>
      <c r="F1321" s="328">
        <v>24.309023</v>
      </c>
      <c r="G1321" s="328">
        <v>5827.6907999999985</v>
      </c>
      <c r="H1321" s="328">
        <v>5802.5297149999997</v>
      </c>
      <c r="I1321" s="329">
        <v>2.7934088171918697E-2</v>
      </c>
      <c r="J1321" s="329">
        <v>0.66703866232102471</v>
      </c>
      <c r="K1321" s="329">
        <v>0.69850210172397798</v>
      </c>
    </row>
    <row r="1322" spans="1:11" ht="11.25" x14ac:dyDescent="0.15">
      <c r="A1322" s="326">
        <v>1.05</v>
      </c>
      <c r="B1322" s="327">
        <v>105</v>
      </c>
      <c r="C1322" s="327" t="s">
        <v>112</v>
      </c>
      <c r="D1322" s="327" t="s">
        <v>79</v>
      </c>
      <c r="E1322" s="328" t="s">
        <v>662</v>
      </c>
      <c r="F1322" s="328">
        <v>241.27212900000001</v>
      </c>
      <c r="G1322" s="328">
        <v>6316.1300999999994</v>
      </c>
      <c r="H1322" s="328">
        <v>6275.1515400000008</v>
      </c>
      <c r="I1322" s="329">
        <v>0.27725165774504973</v>
      </c>
      <c r="J1322" s="329">
        <v>0.72294552294187608</v>
      </c>
      <c r="K1322" s="329">
        <v>0.75539579366487697</v>
      </c>
    </row>
    <row r="1323" spans="1:11" ht="11.25" x14ac:dyDescent="0.15">
      <c r="A1323" s="326">
        <v>1.05</v>
      </c>
      <c r="B1323" s="327">
        <v>105</v>
      </c>
      <c r="C1323" s="327" t="s">
        <v>112</v>
      </c>
      <c r="D1323" s="327" t="s">
        <v>114</v>
      </c>
      <c r="E1323" s="328" t="s">
        <v>663</v>
      </c>
      <c r="F1323" s="328">
        <v>69.791820000000001</v>
      </c>
      <c r="G1323" s="328">
        <v>6157.5714900000003</v>
      </c>
      <c r="H1323" s="328">
        <v>6189.0872399999998</v>
      </c>
      <c r="I1323" s="329">
        <v>8.0199473815080066E-2</v>
      </c>
      <c r="J1323" s="329">
        <v>0.70479687251692902</v>
      </c>
      <c r="K1323" s="329">
        <v>0.74503546853323677</v>
      </c>
    </row>
    <row r="1324" spans="1:11" ht="11.25" x14ac:dyDescent="0.15">
      <c r="A1324" s="326">
        <v>1.05</v>
      </c>
      <c r="B1324" s="327">
        <v>105</v>
      </c>
      <c r="C1324" s="327" t="s">
        <v>112</v>
      </c>
      <c r="D1324" s="327" t="s">
        <v>113</v>
      </c>
      <c r="E1324" s="328" t="s">
        <v>664</v>
      </c>
      <c r="F1324" s="328">
        <v>26.238664200000002</v>
      </c>
      <c r="G1324" s="328">
        <v>6099.6768000000011</v>
      </c>
      <c r="H1324" s="328">
        <v>6105.2800200000001</v>
      </c>
      <c r="I1324" s="329">
        <v>3.0151485696326284E-2</v>
      </c>
      <c r="J1324" s="329">
        <v>0.69817023464295502</v>
      </c>
      <c r="K1324" s="329">
        <v>0.73494684819264389</v>
      </c>
    </row>
    <row r="1325" spans="1:11" ht="11.25" x14ac:dyDescent="0.15">
      <c r="A1325" s="326">
        <v>1.075</v>
      </c>
      <c r="B1325" s="327">
        <v>105</v>
      </c>
      <c r="C1325" s="327" t="s">
        <v>112</v>
      </c>
      <c r="D1325" s="327" t="s">
        <v>79</v>
      </c>
      <c r="E1325" s="328" t="s">
        <v>665</v>
      </c>
      <c r="F1325" s="328">
        <v>259.26177050000001</v>
      </c>
      <c r="G1325" s="328">
        <v>6646.2008299999998</v>
      </c>
      <c r="H1325" s="328">
        <v>6591.2223199999999</v>
      </c>
      <c r="I1325" s="329">
        <v>0.29792399129964009</v>
      </c>
      <c r="J1325" s="329">
        <v>0.76072548515444316</v>
      </c>
      <c r="K1325" s="329">
        <v>0.7934440441637608</v>
      </c>
    </row>
    <row r="1326" spans="1:11" ht="11.25" x14ac:dyDescent="0.15">
      <c r="A1326" s="326">
        <v>1.075</v>
      </c>
      <c r="B1326" s="327">
        <v>105</v>
      </c>
      <c r="C1326" s="327" t="s">
        <v>112</v>
      </c>
      <c r="D1326" s="327" t="s">
        <v>114</v>
      </c>
      <c r="E1326" s="328" t="s">
        <v>666</v>
      </c>
      <c r="F1326" s="328">
        <v>74.821281400000004</v>
      </c>
      <c r="G1326" s="328">
        <v>6452.9943049999993</v>
      </c>
      <c r="H1326" s="328">
        <v>6502.2974600000007</v>
      </c>
      <c r="I1326" s="329">
        <v>8.5978949946426922E-2</v>
      </c>
      <c r="J1326" s="329">
        <v>0.73861102740255036</v>
      </c>
      <c r="K1326" s="329">
        <v>0.78273936798693056</v>
      </c>
    </row>
    <row r="1327" spans="1:11" ht="11.25" x14ac:dyDescent="0.15">
      <c r="A1327" s="326">
        <v>1.075</v>
      </c>
      <c r="B1327" s="327">
        <v>105</v>
      </c>
      <c r="C1327" s="327" t="s">
        <v>112</v>
      </c>
      <c r="D1327" s="327" t="s">
        <v>113</v>
      </c>
      <c r="E1327" s="328" t="s">
        <v>667</v>
      </c>
      <c r="F1327" s="328">
        <v>28.334222199999999</v>
      </c>
      <c r="G1327" s="328">
        <v>6379.1815800000004</v>
      </c>
      <c r="H1327" s="328">
        <v>6415.6954599999999</v>
      </c>
      <c r="I1327" s="329">
        <v>3.2559542241477009E-2</v>
      </c>
      <c r="J1327" s="329">
        <v>0.73016240803752352</v>
      </c>
      <c r="K1327" s="329">
        <v>0.77231431512470661</v>
      </c>
    </row>
    <row r="1328" spans="1:11" ht="11.25" x14ac:dyDescent="0.15">
      <c r="A1328" s="326">
        <v>1.1000000000000001</v>
      </c>
      <c r="B1328" s="327">
        <v>105</v>
      </c>
      <c r="C1328" s="327" t="s">
        <v>112</v>
      </c>
      <c r="D1328" s="327" t="s">
        <v>79</v>
      </c>
      <c r="E1328" s="328" t="s">
        <v>668</v>
      </c>
      <c r="F1328" s="328">
        <v>278.61523800000003</v>
      </c>
      <c r="G1328" s="328">
        <v>6992.4712000000009</v>
      </c>
      <c r="H1328" s="328">
        <v>6915.2692400000005</v>
      </c>
      <c r="I1328" s="329">
        <v>0.32016353040318052</v>
      </c>
      <c r="J1328" s="329">
        <v>0.80035966142306181</v>
      </c>
      <c r="K1328" s="329">
        <v>0.83245245356355346</v>
      </c>
    </row>
    <row r="1329" spans="1:11" ht="11.25" x14ac:dyDescent="0.15">
      <c r="A1329" s="326">
        <v>1.1000000000000001</v>
      </c>
      <c r="B1329" s="327">
        <v>105</v>
      </c>
      <c r="C1329" s="327" t="s">
        <v>112</v>
      </c>
      <c r="D1329" s="327" t="s">
        <v>114</v>
      </c>
      <c r="E1329" s="328" t="s">
        <v>669</v>
      </c>
      <c r="F1329" s="328">
        <v>80.209918800000011</v>
      </c>
      <c r="G1329" s="328">
        <v>6759.1794600000003</v>
      </c>
      <c r="H1329" s="328">
        <v>6823.2835000000014</v>
      </c>
      <c r="I1329" s="329">
        <v>9.2171163934545608E-2</v>
      </c>
      <c r="J1329" s="329">
        <v>0.77365704189147222</v>
      </c>
      <c r="K1329" s="329">
        <v>0.82137931204175518</v>
      </c>
    </row>
    <row r="1330" spans="1:11" ht="11.25" x14ac:dyDescent="0.15">
      <c r="A1330" s="326">
        <v>1.1000000000000001</v>
      </c>
      <c r="B1330" s="327">
        <v>105</v>
      </c>
      <c r="C1330" s="327" t="s">
        <v>112</v>
      </c>
      <c r="D1330" s="327" t="s">
        <v>113</v>
      </c>
      <c r="E1330" s="328" t="s">
        <v>670</v>
      </c>
      <c r="F1330" s="328">
        <v>30.617479200000002</v>
      </c>
      <c r="G1330" s="328">
        <v>6666.2943599999999</v>
      </c>
      <c r="H1330" s="328">
        <v>6733.7622000000001</v>
      </c>
      <c r="I1330" s="329">
        <v>3.518328826192179E-2</v>
      </c>
      <c r="J1330" s="329">
        <v>0.76302539464389429</v>
      </c>
      <c r="K1330" s="329">
        <v>0.81060283707818592</v>
      </c>
    </row>
    <row r="1331" spans="1:11" ht="11.25" x14ac:dyDescent="0.15">
      <c r="A1331" s="326">
        <v>1.125</v>
      </c>
      <c r="B1331" s="327">
        <v>105</v>
      </c>
      <c r="C1331" s="327" t="s">
        <v>112</v>
      </c>
      <c r="D1331" s="327" t="s">
        <v>79</v>
      </c>
      <c r="E1331" s="328" t="s">
        <v>671</v>
      </c>
      <c r="F1331" s="328">
        <v>299.47288500000002</v>
      </c>
      <c r="G1331" s="328">
        <v>7356.4157249999998</v>
      </c>
      <c r="H1331" s="328">
        <v>7247.2511249999998</v>
      </c>
      <c r="I1331" s="329">
        <v>0.3441315586681073</v>
      </c>
      <c r="J1331" s="329">
        <v>0.84201682503151198</v>
      </c>
      <c r="K1331" s="329">
        <v>0.87241606526334936</v>
      </c>
    </row>
    <row r="1332" spans="1:11" ht="11.25" x14ac:dyDescent="0.15">
      <c r="A1332" s="326">
        <v>1.125</v>
      </c>
      <c r="B1332" s="327">
        <v>105</v>
      </c>
      <c r="C1332" s="327" t="s">
        <v>112</v>
      </c>
      <c r="D1332" s="327" t="s">
        <v>114</v>
      </c>
      <c r="E1332" s="328" t="s">
        <v>672</v>
      </c>
      <c r="F1332" s="328">
        <v>85.994149499999992</v>
      </c>
      <c r="G1332" s="328">
        <v>7077.08475</v>
      </c>
      <c r="H1332" s="328">
        <v>7151.93145</v>
      </c>
      <c r="I1332" s="329">
        <v>9.8817963782508164E-2</v>
      </c>
      <c r="J1332" s="329">
        <v>0.81004454539223747</v>
      </c>
      <c r="K1332" s="329">
        <v>0.86094158833804735</v>
      </c>
    </row>
    <row r="1333" spans="1:11" ht="11.25" x14ac:dyDescent="0.15">
      <c r="A1333" s="326">
        <v>1.125</v>
      </c>
      <c r="B1333" s="327">
        <v>105</v>
      </c>
      <c r="C1333" s="327" t="s">
        <v>112</v>
      </c>
      <c r="D1333" s="327" t="s">
        <v>113</v>
      </c>
      <c r="E1333" s="328" t="s">
        <v>673</v>
      </c>
      <c r="F1333" s="328">
        <v>33.112881000000002</v>
      </c>
      <c r="G1333" s="328">
        <v>6961.7927250000002</v>
      </c>
      <c r="H1333" s="328">
        <v>7059.3912</v>
      </c>
      <c r="I1333" s="329">
        <v>3.8050815019602044E-2</v>
      </c>
      <c r="J1333" s="329">
        <v>0.79684819699772724</v>
      </c>
      <c r="K1333" s="329">
        <v>0.84980169551647955</v>
      </c>
    </row>
    <row r="1334" spans="1:11" ht="11.25" x14ac:dyDescent="0.15">
      <c r="A1334" s="326">
        <v>1.1499999999999999</v>
      </c>
      <c r="B1334" s="327">
        <v>105</v>
      </c>
      <c r="C1334" s="327" t="s">
        <v>112</v>
      </c>
      <c r="D1334" s="327" t="s">
        <v>79</v>
      </c>
      <c r="E1334" s="328" t="s">
        <v>674</v>
      </c>
      <c r="F1334" s="328">
        <v>321.99381300000005</v>
      </c>
      <c r="G1334" s="328">
        <v>7739.1333799999984</v>
      </c>
      <c r="H1334" s="328">
        <v>7586.7682700000005</v>
      </c>
      <c r="I1334" s="329">
        <v>0.3700109034885648</v>
      </c>
      <c r="J1334" s="329">
        <v>0.88582276487956269</v>
      </c>
      <c r="K1334" s="329">
        <v>0.91328676321785784</v>
      </c>
    </row>
    <row r="1335" spans="1:11" ht="11.25" x14ac:dyDescent="0.15">
      <c r="A1335" s="326">
        <v>1.1499999999999999</v>
      </c>
      <c r="B1335" s="327">
        <v>105</v>
      </c>
      <c r="C1335" s="327" t="s">
        <v>112</v>
      </c>
      <c r="D1335" s="327" t="s">
        <v>114</v>
      </c>
      <c r="E1335" s="328" t="s">
        <v>675</v>
      </c>
      <c r="F1335" s="328">
        <v>92.213706799999997</v>
      </c>
      <c r="G1335" s="328">
        <v>7408.2652699999999</v>
      </c>
      <c r="H1335" s="328">
        <v>7488.2505299999993</v>
      </c>
      <c r="I1335" s="329">
        <v>0.10596500798944733</v>
      </c>
      <c r="J1335" s="329">
        <v>0.84795153439165061</v>
      </c>
      <c r="K1335" s="329">
        <v>0.90142730676919791</v>
      </c>
    </row>
    <row r="1336" spans="1:11" ht="11.25" x14ac:dyDescent="0.15">
      <c r="A1336" s="326">
        <v>1.1499999999999999</v>
      </c>
      <c r="B1336" s="327">
        <v>105</v>
      </c>
      <c r="C1336" s="327" t="s">
        <v>112</v>
      </c>
      <c r="D1336" s="327" t="s">
        <v>113</v>
      </c>
      <c r="E1336" s="328" t="s">
        <v>676</v>
      </c>
      <c r="F1336" s="328">
        <v>35.8486464</v>
      </c>
      <c r="G1336" s="328">
        <v>7266.337559999999</v>
      </c>
      <c r="H1336" s="328">
        <v>7392.9730300000001</v>
      </c>
      <c r="I1336" s="329">
        <v>4.1194549422308574E-2</v>
      </c>
      <c r="J1336" s="329">
        <v>0.83170646012918514</v>
      </c>
      <c r="K1336" s="329">
        <v>0.88995790682369402</v>
      </c>
    </row>
    <row r="1337" spans="1:11" ht="11.25" x14ac:dyDescent="0.15">
      <c r="A1337" s="326">
        <v>1.175</v>
      </c>
      <c r="B1337" s="327">
        <v>105</v>
      </c>
      <c r="C1337" s="327" t="s">
        <v>112</v>
      </c>
      <c r="D1337" s="327" t="s">
        <v>79</v>
      </c>
      <c r="E1337" s="328" t="s">
        <v>677</v>
      </c>
      <c r="F1337" s="328">
        <v>346.35326950000001</v>
      </c>
      <c r="G1337" s="328">
        <v>8141.8530049999999</v>
      </c>
      <c r="H1337" s="328">
        <v>7934.2627000000002</v>
      </c>
      <c r="I1337" s="329">
        <v>0.39800294601906955</v>
      </c>
      <c r="J1337" s="329">
        <v>0.93191813424103009</v>
      </c>
      <c r="K1337" s="329">
        <v>0.95511775790710696</v>
      </c>
    </row>
    <row r="1338" spans="1:11" ht="11.25" x14ac:dyDescent="0.15">
      <c r="A1338" s="326">
        <v>1.175</v>
      </c>
      <c r="B1338" s="327">
        <v>105</v>
      </c>
      <c r="C1338" s="327" t="s">
        <v>112</v>
      </c>
      <c r="D1338" s="327" t="s">
        <v>114</v>
      </c>
      <c r="E1338" s="328" t="s">
        <v>678</v>
      </c>
      <c r="F1338" s="328">
        <v>98.915142500000002</v>
      </c>
      <c r="G1338" s="328">
        <v>7753.4790800000001</v>
      </c>
      <c r="H1338" s="328">
        <v>7832.5814899999996</v>
      </c>
      <c r="I1338" s="329">
        <v>0.11366579035829218</v>
      </c>
      <c r="J1338" s="329">
        <v>0.88746477658994027</v>
      </c>
      <c r="K1338" s="329">
        <v>0.94287748644288105</v>
      </c>
    </row>
    <row r="1339" spans="1:11" ht="11.25" x14ac:dyDescent="0.15">
      <c r="A1339" s="326">
        <v>1.175</v>
      </c>
      <c r="B1339" s="327">
        <v>105</v>
      </c>
      <c r="C1339" s="327" t="s">
        <v>112</v>
      </c>
      <c r="D1339" s="327" t="s">
        <v>113</v>
      </c>
      <c r="E1339" s="328" t="s">
        <v>679</v>
      </c>
      <c r="F1339" s="328">
        <v>38.8565544</v>
      </c>
      <c r="G1339" s="328">
        <v>7581.8374299999996</v>
      </c>
      <c r="H1339" s="328">
        <v>7734.5909549999997</v>
      </c>
      <c r="I1339" s="329">
        <v>4.465100949003814E-2</v>
      </c>
      <c r="J1339" s="329">
        <v>0.86781863877244081</v>
      </c>
      <c r="K1339" s="329">
        <v>0.93108149434832665</v>
      </c>
    </row>
    <row r="1340" spans="1:11" ht="11.25" x14ac:dyDescent="0.15">
      <c r="A1340" s="326">
        <v>1.2</v>
      </c>
      <c r="B1340" s="327">
        <v>105</v>
      </c>
      <c r="C1340" s="327" t="s">
        <v>112</v>
      </c>
      <c r="D1340" s="327" t="s">
        <v>79</v>
      </c>
      <c r="E1340" s="328" t="s">
        <v>680</v>
      </c>
      <c r="F1340" s="328">
        <v>372.75117600000004</v>
      </c>
      <c r="G1340" s="328">
        <v>8565.6525600000004</v>
      </c>
      <c r="H1340" s="328">
        <v>8289.5601599999991</v>
      </c>
      <c r="I1340" s="329">
        <v>0.42833742090623661</v>
      </c>
      <c r="J1340" s="329">
        <v>0.98042631663455138</v>
      </c>
      <c r="K1340" s="329">
        <v>0.99788807270715629</v>
      </c>
    </row>
    <row r="1341" spans="1:11" ht="11.25" x14ac:dyDescent="0.15">
      <c r="A1341" s="326">
        <v>1.2</v>
      </c>
      <c r="B1341" s="327">
        <v>105</v>
      </c>
      <c r="C1341" s="327" t="s">
        <v>112</v>
      </c>
      <c r="D1341" s="327" t="s">
        <v>114</v>
      </c>
      <c r="E1341" s="328" t="s">
        <v>681</v>
      </c>
      <c r="F1341" s="328">
        <v>106.14893760000001</v>
      </c>
      <c r="G1341" s="328">
        <v>8114.2953599999992</v>
      </c>
      <c r="H1341" s="328">
        <v>8184.0590399999992</v>
      </c>
      <c r="I1341" s="329">
        <v>0.12197831983103131</v>
      </c>
      <c r="J1341" s="329">
        <v>0.92876388064584658</v>
      </c>
      <c r="K1341" s="329">
        <v>0.98518796470706593</v>
      </c>
    </row>
    <row r="1342" spans="1:11" ht="11.25" x14ac:dyDescent="0.15">
      <c r="A1342" s="326">
        <v>1.2</v>
      </c>
      <c r="B1342" s="327">
        <v>105</v>
      </c>
      <c r="C1342" s="327" t="s">
        <v>112</v>
      </c>
      <c r="D1342" s="327" t="s">
        <v>113</v>
      </c>
      <c r="E1342" s="328" t="s">
        <v>682</v>
      </c>
      <c r="F1342" s="328">
        <v>42.172528800000002</v>
      </c>
      <c r="G1342" s="328">
        <v>7906.6670399999994</v>
      </c>
      <c r="H1342" s="328">
        <v>8083.620719999999</v>
      </c>
      <c r="I1342" s="329">
        <v>4.8461476133038368E-2</v>
      </c>
      <c r="J1342" s="329">
        <v>0.90499870133455551</v>
      </c>
      <c r="K1342" s="329">
        <v>0.97309731096473939</v>
      </c>
    </row>
    <row r="1343" spans="1:11" ht="11.25" x14ac:dyDescent="0.15">
      <c r="A1343" s="326">
        <v>1.2250000000000001</v>
      </c>
      <c r="B1343" s="327">
        <v>105</v>
      </c>
      <c r="C1343" s="327" t="s">
        <v>112</v>
      </c>
      <c r="D1343" s="327" t="s">
        <v>79</v>
      </c>
      <c r="E1343" s="328" t="s">
        <v>683</v>
      </c>
      <c r="F1343" s="328">
        <v>401.40758349999999</v>
      </c>
      <c r="G1343" s="328">
        <v>9012.5756350000011</v>
      </c>
      <c r="H1343" s="328">
        <v>8652.8565899999994</v>
      </c>
      <c r="I1343" s="329">
        <v>0.4612671940935601</v>
      </c>
      <c r="J1343" s="329">
        <v>1.0315812217829852</v>
      </c>
      <c r="K1343" s="329">
        <v>1.0416212946582339</v>
      </c>
    </row>
    <row r="1344" spans="1:11" ht="11.25" x14ac:dyDescent="0.15">
      <c r="A1344" s="326">
        <v>1.2250000000000001</v>
      </c>
      <c r="B1344" s="327">
        <v>105</v>
      </c>
      <c r="C1344" s="327" t="s">
        <v>112</v>
      </c>
      <c r="D1344" s="327" t="s">
        <v>114</v>
      </c>
      <c r="E1344" s="328" t="s">
        <v>684</v>
      </c>
      <c r="F1344" s="328">
        <v>113.97241240000001</v>
      </c>
      <c r="G1344" s="328">
        <v>8491.7565950000007</v>
      </c>
      <c r="H1344" s="328">
        <v>8543.5608649999995</v>
      </c>
      <c r="I1344" s="329">
        <v>0.1309684645552345</v>
      </c>
      <c r="J1344" s="329">
        <v>0.97196816960236487</v>
      </c>
      <c r="K1344" s="329">
        <v>1.0284643963101578</v>
      </c>
    </row>
    <row r="1345" spans="1:11" ht="11.25" x14ac:dyDescent="0.15">
      <c r="A1345" s="326">
        <v>1.2250000000000001</v>
      </c>
      <c r="B1345" s="327">
        <v>105</v>
      </c>
      <c r="C1345" s="327" t="s">
        <v>112</v>
      </c>
      <c r="D1345" s="327" t="s">
        <v>113</v>
      </c>
      <c r="E1345" s="328" t="s">
        <v>685</v>
      </c>
      <c r="F1345" s="328">
        <v>45.837606150000006</v>
      </c>
      <c r="G1345" s="328">
        <v>8243.0103000000017</v>
      </c>
      <c r="H1345" s="328">
        <v>8440.0711500000016</v>
      </c>
      <c r="I1345" s="329">
        <v>5.2673105446639425E-2</v>
      </c>
      <c r="J1345" s="329">
        <v>0.94349661859384004</v>
      </c>
      <c r="K1345" s="329">
        <v>1.0160064190166604</v>
      </c>
    </row>
    <row r="1346" spans="1:11" ht="11.25" x14ac:dyDescent="0.15">
      <c r="A1346" s="326">
        <v>1.25</v>
      </c>
      <c r="B1346" s="327">
        <v>105</v>
      </c>
      <c r="C1346" s="327" t="s">
        <v>112</v>
      </c>
      <c r="D1346" s="327" t="s">
        <v>79</v>
      </c>
      <c r="E1346" s="328" t="s">
        <v>686</v>
      </c>
      <c r="F1346" s="328">
        <v>432.56782500000003</v>
      </c>
      <c r="G1346" s="328">
        <v>9482.9835000000003</v>
      </c>
      <c r="H1346" s="328">
        <v>9024.0992500000011</v>
      </c>
      <c r="I1346" s="329">
        <v>0.49707418368418582</v>
      </c>
      <c r="J1346" s="329">
        <v>1.0854242007232695</v>
      </c>
      <c r="K1346" s="329">
        <v>1.0863110749775409</v>
      </c>
    </row>
    <row r="1347" spans="1:11" ht="11.25" x14ac:dyDescent="0.15">
      <c r="A1347" s="326">
        <v>1.25</v>
      </c>
      <c r="B1347" s="327">
        <v>105</v>
      </c>
      <c r="C1347" s="327" t="s">
        <v>112</v>
      </c>
      <c r="D1347" s="327" t="s">
        <v>114</v>
      </c>
      <c r="E1347" s="328" t="s">
        <v>687</v>
      </c>
      <c r="F1347" s="328">
        <v>122.44915499999999</v>
      </c>
      <c r="G1347" s="328">
        <v>8887.723</v>
      </c>
      <c r="H1347" s="328">
        <v>8911.5292499999996</v>
      </c>
      <c r="I1347" s="329">
        <v>0.14070929515953559</v>
      </c>
      <c r="J1347" s="329">
        <v>1.0172905640429319</v>
      </c>
      <c r="K1347" s="329">
        <v>1.0727600230306973</v>
      </c>
    </row>
    <row r="1348" spans="1:11" ht="11.25" x14ac:dyDescent="0.15">
      <c r="A1348" s="326">
        <v>1.25</v>
      </c>
      <c r="B1348" s="327">
        <v>105</v>
      </c>
      <c r="C1348" s="327" t="s">
        <v>112</v>
      </c>
      <c r="D1348" s="327" t="s">
        <v>113</v>
      </c>
      <c r="E1348" s="328" t="s">
        <v>688</v>
      </c>
      <c r="F1348" s="328">
        <v>49.897440000000003</v>
      </c>
      <c r="G1348" s="328">
        <v>8591.6362499999996</v>
      </c>
      <c r="H1348" s="328">
        <v>8804.2707500000015</v>
      </c>
      <c r="I1348" s="329">
        <v>5.7338359032899966E-2</v>
      </c>
      <c r="J1348" s="329">
        <v>0.98340041502353315</v>
      </c>
      <c r="K1348" s="329">
        <v>1.0598483635722227</v>
      </c>
    </row>
    <row r="1349" spans="1:11" ht="11.25" x14ac:dyDescent="0.15">
      <c r="A1349" s="326">
        <v>1.2749999999999999</v>
      </c>
      <c r="B1349" s="327">
        <v>105</v>
      </c>
      <c r="C1349" s="327" t="s">
        <v>112</v>
      </c>
      <c r="D1349" s="327" t="s">
        <v>79</v>
      </c>
      <c r="E1349" s="328" t="s">
        <v>689</v>
      </c>
      <c r="F1349" s="328">
        <v>466.50482849999997</v>
      </c>
      <c r="G1349" s="328">
        <v>9977.577269999998</v>
      </c>
      <c r="H1349" s="328">
        <v>9403.1780399999989</v>
      </c>
      <c r="I1349" s="329">
        <v>0.53607201786533376</v>
      </c>
      <c r="J1349" s="329">
        <v>1.1420355032194676</v>
      </c>
      <c r="K1349" s="329">
        <v>1.1319441599489948</v>
      </c>
    </row>
    <row r="1350" spans="1:11" ht="11.25" x14ac:dyDescent="0.15">
      <c r="A1350" s="326">
        <v>1.2749999999999999</v>
      </c>
      <c r="B1350" s="327">
        <v>105</v>
      </c>
      <c r="C1350" s="327" t="s">
        <v>112</v>
      </c>
      <c r="D1350" s="327" t="s">
        <v>114</v>
      </c>
      <c r="E1350" s="328" t="s">
        <v>690</v>
      </c>
      <c r="F1350" s="328">
        <v>131.65056870000001</v>
      </c>
      <c r="G1350" s="328">
        <v>9302.3247749999991</v>
      </c>
      <c r="H1350" s="328">
        <v>9286.7146949999988</v>
      </c>
      <c r="I1350" s="329">
        <v>0.15128286290851919</v>
      </c>
      <c r="J1350" s="329">
        <v>1.064745966685763</v>
      </c>
      <c r="K1350" s="329">
        <v>1.1179244314423042</v>
      </c>
    </row>
    <row r="1351" spans="1:11" ht="11.25" x14ac:dyDescent="0.15">
      <c r="A1351" s="326">
        <v>1.2749999999999999</v>
      </c>
      <c r="B1351" s="327">
        <v>105</v>
      </c>
      <c r="C1351" s="327" t="s">
        <v>112</v>
      </c>
      <c r="D1351" s="327" t="s">
        <v>113</v>
      </c>
      <c r="E1351" s="328" t="s">
        <v>691</v>
      </c>
      <c r="F1351" s="328">
        <v>54.403405949999993</v>
      </c>
      <c r="G1351" s="328">
        <v>8954.1296699999984</v>
      </c>
      <c r="H1351" s="328">
        <v>9176.1648000000005</v>
      </c>
      <c r="I1351" s="329">
        <v>6.2516273840375489E-2</v>
      </c>
      <c r="J1351" s="329">
        <v>1.0248914848615165</v>
      </c>
      <c r="K1351" s="329">
        <v>1.1046165574984197</v>
      </c>
    </row>
    <row r="1352" spans="1:11" ht="11.25" x14ac:dyDescent="0.15">
      <c r="A1352" s="326">
        <v>1.3</v>
      </c>
      <c r="B1352" s="327">
        <v>105</v>
      </c>
      <c r="C1352" s="327" t="s">
        <v>112</v>
      </c>
      <c r="D1352" s="327" t="s">
        <v>79</v>
      </c>
      <c r="E1352" s="328" t="s">
        <v>692</v>
      </c>
      <c r="F1352" s="328">
        <v>503.52068000000003</v>
      </c>
      <c r="G1352" s="328">
        <v>10498.2384</v>
      </c>
      <c r="H1352" s="328">
        <v>9790.1905399999996</v>
      </c>
      <c r="I1352" s="329">
        <v>0.5786078309895244</v>
      </c>
      <c r="J1352" s="329">
        <v>1.2016304809896943</v>
      </c>
      <c r="K1352" s="329">
        <v>1.178532296144942</v>
      </c>
    </row>
    <row r="1353" spans="1:11" ht="11.25" x14ac:dyDescent="0.15">
      <c r="A1353" s="326">
        <v>1.3</v>
      </c>
      <c r="B1353" s="327">
        <v>105</v>
      </c>
      <c r="C1353" s="327" t="s">
        <v>112</v>
      </c>
      <c r="D1353" s="327" t="s">
        <v>114</v>
      </c>
      <c r="E1353" s="328" t="s">
        <v>693</v>
      </c>
      <c r="F1353" s="328">
        <v>141.65614840000001</v>
      </c>
      <c r="G1353" s="328">
        <v>9737.0304199999991</v>
      </c>
      <c r="H1353" s="328">
        <v>9669.54846</v>
      </c>
      <c r="I1353" s="329">
        <v>0.16278051732066731</v>
      </c>
      <c r="J1353" s="329">
        <v>1.1145024623365272</v>
      </c>
      <c r="K1353" s="329">
        <v>1.1640095361462279</v>
      </c>
    </row>
    <row r="1354" spans="1:11" ht="11.25" x14ac:dyDescent="0.15">
      <c r="A1354" s="326">
        <v>1.3</v>
      </c>
      <c r="B1354" s="327">
        <v>105</v>
      </c>
      <c r="C1354" s="327" t="s">
        <v>112</v>
      </c>
      <c r="D1354" s="327" t="s">
        <v>113</v>
      </c>
      <c r="E1354" s="328" t="s">
        <v>694</v>
      </c>
      <c r="F1354" s="328">
        <v>59.413564600000008</v>
      </c>
      <c r="G1354" s="328">
        <v>9330.9868600000009</v>
      </c>
      <c r="H1354" s="328">
        <v>9555.8507199999985</v>
      </c>
      <c r="I1354" s="329">
        <v>6.8273568713328694E-2</v>
      </c>
      <c r="J1354" s="329">
        <v>1.0680266347057157</v>
      </c>
      <c r="K1354" s="329">
        <v>1.1503227281069748</v>
      </c>
    </row>
    <row r="1355" spans="1:11" ht="11.25" x14ac:dyDescent="0.15">
      <c r="A1355" s="326">
        <v>1.325</v>
      </c>
      <c r="B1355" s="327">
        <v>105</v>
      </c>
      <c r="C1355" s="327" t="s">
        <v>112</v>
      </c>
      <c r="D1355" s="327" t="s">
        <v>79</v>
      </c>
      <c r="E1355" s="328" t="s">
        <v>695</v>
      </c>
      <c r="F1355" s="328">
        <v>543.95023600000002</v>
      </c>
      <c r="G1355" s="328">
        <v>11045.27526</v>
      </c>
      <c r="H1355" s="328">
        <v>10185.257774999998</v>
      </c>
      <c r="I1355" s="329">
        <v>0.62506641478598235</v>
      </c>
      <c r="J1355" s="329">
        <v>1.2642444301262363</v>
      </c>
      <c r="K1355" s="329">
        <v>1.2260900524208667</v>
      </c>
    </row>
    <row r="1356" spans="1:11" ht="11.25" x14ac:dyDescent="0.15">
      <c r="A1356" s="326">
        <v>1.325</v>
      </c>
      <c r="B1356" s="327">
        <v>105</v>
      </c>
      <c r="C1356" s="327" t="s">
        <v>112</v>
      </c>
      <c r="D1356" s="327" t="s">
        <v>114</v>
      </c>
      <c r="E1356" s="328" t="s">
        <v>696</v>
      </c>
      <c r="F1356" s="328">
        <v>152.55398099999999</v>
      </c>
      <c r="G1356" s="328">
        <v>10193.472244999999</v>
      </c>
      <c r="H1356" s="328">
        <v>10060.176449999999</v>
      </c>
      <c r="I1356" s="329">
        <v>0.17530348119014119</v>
      </c>
      <c r="J1356" s="329">
        <v>1.1667468855264753</v>
      </c>
      <c r="K1356" s="329">
        <v>1.211032901024802</v>
      </c>
    </row>
    <row r="1357" spans="1:11" ht="11.25" x14ac:dyDescent="0.15">
      <c r="A1357" s="326">
        <v>1.325</v>
      </c>
      <c r="B1357" s="327">
        <v>105</v>
      </c>
      <c r="C1357" s="327" t="s">
        <v>112</v>
      </c>
      <c r="D1357" s="327" t="s">
        <v>113</v>
      </c>
      <c r="E1357" s="328" t="s">
        <v>697</v>
      </c>
      <c r="F1357" s="328">
        <v>64.992453099999992</v>
      </c>
      <c r="G1357" s="328">
        <v>9724.4609349999992</v>
      </c>
      <c r="H1357" s="328">
        <v>9942.9420400000017</v>
      </c>
      <c r="I1357" s="329">
        <v>7.4684404856776451E-2</v>
      </c>
      <c r="J1357" s="329">
        <v>1.1130637565526746</v>
      </c>
      <c r="K1357" s="329">
        <v>1.1969203525672421</v>
      </c>
    </row>
    <row r="1358" spans="1:11" ht="11.25" x14ac:dyDescent="0.15">
      <c r="A1358" s="326">
        <v>1.35</v>
      </c>
      <c r="B1358" s="327">
        <v>105</v>
      </c>
      <c r="C1358" s="327" t="s">
        <v>112</v>
      </c>
      <c r="D1358" s="327" t="s">
        <v>79</v>
      </c>
      <c r="E1358" s="328" t="s">
        <v>698</v>
      </c>
      <c r="F1358" s="328">
        <v>588.16025100000002</v>
      </c>
      <c r="G1358" s="328">
        <v>11619.176220000001</v>
      </c>
      <c r="H1358" s="328">
        <v>10588.274370000001</v>
      </c>
      <c r="I1358" s="329">
        <v>0.67586921574971703</v>
      </c>
      <c r="J1358" s="329">
        <v>1.3299332495576228</v>
      </c>
      <c r="K1358" s="329">
        <v>1.2746047438509549</v>
      </c>
    </row>
    <row r="1359" spans="1:11" ht="11.25" x14ac:dyDescent="0.15">
      <c r="A1359" s="326">
        <v>1.35</v>
      </c>
      <c r="B1359" s="327">
        <v>105</v>
      </c>
      <c r="C1359" s="327" t="s">
        <v>112</v>
      </c>
      <c r="D1359" s="327" t="s">
        <v>114</v>
      </c>
      <c r="E1359" s="328" t="s">
        <v>699</v>
      </c>
      <c r="F1359" s="328">
        <v>164.442285</v>
      </c>
      <c r="G1359" s="328">
        <v>10672.445250000001</v>
      </c>
      <c r="H1359" s="328">
        <v>10458.48537</v>
      </c>
      <c r="I1359" s="329">
        <v>0.18896461977849885</v>
      </c>
      <c r="J1359" s="329">
        <v>1.2215702321156736</v>
      </c>
      <c r="K1359" s="329">
        <v>1.2589808877513824</v>
      </c>
    </row>
    <row r="1360" spans="1:11" ht="11.25" x14ac:dyDescent="0.15">
      <c r="A1360" s="326">
        <v>1.35</v>
      </c>
      <c r="B1360" s="327">
        <v>105</v>
      </c>
      <c r="C1360" s="327" t="s">
        <v>112</v>
      </c>
      <c r="D1360" s="327" t="s">
        <v>113</v>
      </c>
      <c r="E1360" s="328" t="s">
        <v>700</v>
      </c>
      <c r="F1360" s="328">
        <v>71.212213800000015</v>
      </c>
      <c r="G1360" s="328">
        <v>10133.868690000001</v>
      </c>
      <c r="H1360" s="328">
        <v>10338.263820000002</v>
      </c>
      <c r="I1360" s="329">
        <v>8.1831682795590999E-2</v>
      </c>
      <c r="J1360" s="329">
        <v>1.159924650620537</v>
      </c>
      <c r="K1360" s="329">
        <v>1.2445087506883992</v>
      </c>
    </row>
    <row r="1361" spans="1:11" ht="11.25" x14ac:dyDescent="0.15">
      <c r="A1361" s="326">
        <v>1.375</v>
      </c>
      <c r="B1361" s="327">
        <v>105</v>
      </c>
      <c r="C1361" s="327" t="s">
        <v>112</v>
      </c>
      <c r="D1361" s="327" t="s">
        <v>79</v>
      </c>
      <c r="E1361" s="328" t="s">
        <v>701</v>
      </c>
      <c r="F1361" s="328">
        <v>636.56048499999997</v>
      </c>
      <c r="G1361" s="328">
        <v>12220.614174999999</v>
      </c>
      <c r="H1361" s="328">
        <v>10999.361175</v>
      </c>
      <c r="I1361" s="329">
        <v>0.73148709903928799</v>
      </c>
      <c r="J1361" s="329">
        <v>1.3987739589810348</v>
      </c>
      <c r="K1361" s="329">
        <v>1.3240909182243841</v>
      </c>
    </row>
    <row r="1362" spans="1:11" ht="11.25" x14ac:dyDescent="0.15">
      <c r="A1362" s="326">
        <v>1.375</v>
      </c>
      <c r="B1362" s="327">
        <v>105</v>
      </c>
      <c r="C1362" s="327" t="s">
        <v>112</v>
      </c>
      <c r="D1362" s="327" t="s">
        <v>114</v>
      </c>
      <c r="E1362" s="328" t="s">
        <v>702</v>
      </c>
      <c r="F1362" s="328">
        <v>177.43134750000002</v>
      </c>
      <c r="G1362" s="328">
        <v>11176.212025000001</v>
      </c>
      <c r="H1362" s="328">
        <v>10865.136699999999</v>
      </c>
      <c r="I1362" s="329">
        <v>0.20389066666839498</v>
      </c>
      <c r="J1362" s="329">
        <v>1.2792314786110741</v>
      </c>
      <c r="K1362" s="329">
        <v>1.3079331245558863</v>
      </c>
    </row>
    <row r="1363" spans="1:11" ht="11.25" x14ac:dyDescent="0.15">
      <c r="A1363" s="326">
        <v>1.375</v>
      </c>
      <c r="B1363" s="327">
        <v>105</v>
      </c>
      <c r="C1363" s="327" t="s">
        <v>112</v>
      </c>
      <c r="D1363" s="327" t="s">
        <v>113</v>
      </c>
      <c r="E1363" s="328" t="s">
        <v>703</v>
      </c>
      <c r="F1363" s="328">
        <v>78.153399500000006</v>
      </c>
      <c r="G1363" s="328">
        <v>10562.5465</v>
      </c>
      <c r="H1363" s="328">
        <v>10740.75915</v>
      </c>
      <c r="I1363" s="329">
        <v>8.9807967706813513E-2</v>
      </c>
      <c r="J1363" s="329">
        <v>1.2089911990635507</v>
      </c>
      <c r="K1363" s="329">
        <v>1.2929606928150039</v>
      </c>
    </row>
    <row r="1364" spans="1:11" ht="11.25" x14ac:dyDescent="0.15">
      <c r="A1364" s="326">
        <v>1.4</v>
      </c>
      <c r="B1364" s="327">
        <v>105</v>
      </c>
      <c r="C1364" s="327" t="s">
        <v>112</v>
      </c>
      <c r="D1364" s="327" t="s">
        <v>79</v>
      </c>
      <c r="E1364" s="328" t="s">
        <v>704</v>
      </c>
      <c r="F1364" s="328">
        <v>689.59934399999997</v>
      </c>
      <c r="G1364" s="328">
        <v>12850.4488</v>
      </c>
      <c r="H1364" s="328">
        <v>11418.534679999999</v>
      </c>
      <c r="I1364" s="329">
        <v>0.79243533886957507</v>
      </c>
      <c r="J1364" s="329">
        <v>1.4708649569700607</v>
      </c>
      <c r="K1364" s="329">
        <v>1.3745505605890946</v>
      </c>
    </row>
    <row r="1365" spans="1:11" ht="11.25" x14ac:dyDescent="0.15">
      <c r="A1365" s="326">
        <v>1.4</v>
      </c>
      <c r="B1365" s="327">
        <v>105</v>
      </c>
      <c r="C1365" s="327" t="s">
        <v>112</v>
      </c>
      <c r="D1365" s="327" t="s">
        <v>114</v>
      </c>
      <c r="E1365" s="328" t="s">
        <v>705</v>
      </c>
      <c r="F1365" s="328">
        <v>191.64283599999999</v>
      </c>
      <c r="G1365" s="328">
        <v>11702.828479999998</v>
      </c>
      <c r="H1365" s="328">
        <v>11279.220959999999</v>
      </c>
      <c r="I1365" s="329">
        <v>0.22022143293626217</v>
      </c>
      <c r="J1365" s="329">
        <v>1.3395081040798511</v>
      </c>
      <c r="K1365" s="329">
        <v>1.3577801292430165</v>
      </c>
    </row>
    <row r="1366" spans="1:11" ht="11.25" x14ac:dyDescent="0.15">
      <c r="A1366" s="326">
        <v>1.4</v>
      </c>
      <c r="B1366" s="327">
        <v>105</v>
      </c>
      <c r="C1366" s="327" t="s">
        <v>112</v>
      </c>
      <c r="D1366" s="327" t="s">
        <v>113</v>
      </c>
      <c r="E1366" s="328" t="s">
        <v>706</v>
      </c>
      <c r="F1366" s="328">
        <v>85.905691199999993</v>
      </c>
      <c r="G1366" s="328">
        <v>11009.94944</v>
      </c>
      <c r="H1366" s="328">
        <v>11151.61152</v>
      </c>
      <c r="I1366" s="329">
        <v>9.8716314203595099E-2</v>
      </c>
      <c r="J1366" s="329">
        <v>1.2602010296565007</v>
      </c>
      <c r="K1366" s="329">
        <v>1.3424186461627323</v>
      </c>
    </row>
    <row r="1367" spans="1:11" ht="11.25" x14ac:dyDescent="0.15">
      <c r="A1367" s="326">
        <v>0.9</v>
      </c>
      <c r="B1367" s="327">
        <v>125</v>
      </c>
      <c r="C1367" s="327" t="s">
        <v>112</v>
      </c>
      <c r="D1367" s="327" t="s">
        <v>79</v>
      </c>
      <c r="E1367" s="328" t="s">
        <v>707</v>
      </c>
      <c r="F1367" s="328">
        <v>254.15127000000004</v>
      </c>
      <c r="G1367" s="328">
        <v>4623.4179000000004</v>
      </c>
      <c r="H1367" s="328">
        <v>4548.6467999999995</v>
      </c>
      <c r="I1367" s="329">
        <v>0.29205139117212225</v>
      </c>
      <c r="J1367" s="329">
        <v>0.52919734371752913</v>
      </c>
      <c r="K1367" s="329">
        <v>0.54756106488978951</v>
      </c>
    </row>
    <row r="1368" spans="1:11" ht="11.25" x14ac:dyDescent="0.15">
      <c r="A1368" s="326">
        <v>0.9</v>
      </c>
      <c r="B1368" s="327">
        <v>125</v>
      </c>
      <c r="C1368" s="327" t="s">
        <v>112</v>
      </c>
      <c r="D1368" s="327" t="s">
        <v>114</v>
      </c>
      <c r="E1368" s="328" t="s">
        <v>708</v>
      </c>
      <c r="F1368" s="328">
        <v>75.873033000000007</v>
      </c>
      <c r="G1368" s="328">
        <v>4572.7605000000003</v>
      </c>
      <c r="H1368" s="328">
        <v>4479.2856000000002</v>
      </c>
      <c r="I1368" s="329">
        <v>8.7187543230054843E-2</v>
      </c>
      <c r="J1368" s="329">
        <v>0.52339908751411812</v>
      </c>
      <c r="K1368" s="329">
        <v>0.53921144044015468</v>
      </c>
    </row>
    <row r="1369" spans="1:11" ht="11.25" x14ac:dyDescent="0.15">
      <c r="A1369" s="326">
        <v>0.9</v>
      </c>
      <c r="B1369" s="327">
        <v>125</v>
      </c>
      <c r="C1369" s="327" t="s">
        <v>112</v>
      </c>
      <c r="D1369" s="327" t="s">
        <v>113</v>
      </c>
      <c r="E1369" s="328" t="s">
        <v>709</v>
      </c>
      <c r="F1369" s="328">
        <v>27.708966</v>
      </c>
      <c r="G1369" s="328">
        <v>4559.7411000000011</v>
      </c>
      <c r="H1369" s="328">
        <v>4411.5039000000006</v>
      </c>
      <c r="I1369" s="329">
        <v>3.1841045170622341E-2</v>
      </c>
      <c r="J1369" s="329">
        <v>0.52190888436877936</v>
      </c>
      <c r="K1369" s="329">
        <v>0.53105195445147768</v>
      </c>
    </row>
    <row r="1370" spans="1:11" ht="11.25" x14ac:dyDescent="0.15">
      <c r="A1370" s="326">
        <v>0.92500000000000004</v>
      </c>
      <c r="B1370" s="327">
        <v>125</v>
      </c>
      <c r="C1370" s="327" t="s">
        <v>112</v>
      </c>
      <c r="D1370" s="327" t="s">
        <v>79</v>
      </c>
      <c r="E1370" s="328" t="s">
        <v>710</v>
      </c>
      <c r="F1370" s="328">
        <v>272.59222750000004</v>
      </c>
      <c r="G1370" s="328">
        <v>4883.2905249999994</v>
      </c>
      <c r="H1370" s="328">
        <v>4818.4064000000008</v>
      </c>
      <c r="I1370" s="329">
        <v>0.31324234289320152</v>
      </c>
      <c r="J1370" s="329">
        <v>0.55894241669804012</v>
      </c>
      <c r="K1370" s="329">
        <v>0.58003442682245132</v>
      </c>
    </row>
    <row r="1371" spans="1:11" ht="11.25" x14ac:dyDescent="0.15">
      <c r="A1371" s="326">
        <v>0.92500000000000004</v>
      </c>
      <c r="B1371" s="327">
        <v>125</v>
      </c>
      <c r="C1371" s="327" t="s">
        <v>112</v>
      </c>
      <c r="D1371" s="327" t="s">
        <v>114</v>
      </c>
      <c r="E1371" s="328" t="s">
        <v>711</v>
      </c>
      <c r="F1371" s="328">
        <v>81.286687499999999</v>
      </c>
      <c r="G1371" s="328">
        <v>4819.0751749999999</v>
      </c>
      <c r="H1371" s="328">
        <v>4746.3174500000005</v>
      </c>
      <c r="I1371" s="329">
        <v>9.3408504974807155E-2</v>
      </c>
      <c r="J1371" s="329">
        <v>0.5515923148078582</v>
      </c>
      <c r="K1371" s="329">
        <v>0.57135643884836051</v>
      </c>
    </row>
    <row r="1372" spans="1:11" ht="11.25" x14ac:dyDescent="0.15">
      <c r="A1372" s="326">
        <v>0.92500000000000004</v>
      </c>
      <c r="B1372" s="327">
        <v>125</v>
      </c>
      <c r="C1372" s="327" t="s">
        <v>112</v>
      </c>
      <c r="D1372" s="327" t="s">
        <v>113</v>
      </c>
      <c r="E1372" s="328" t="s">
        <v>712</v>
      </c>
      <c r="F1372" s="328">
        <v>29.764418749999997</v>
      </c>
      <c r="G1372" s="328">
        <v>4801.0117750000009</v>
      </c>
      <c r="H1372" s="328">
        <v>4676.64275</v>
      </c>
      <c r="I1372" s="329">
        <v>3.4203015799870284E-2</v>
      </c>
      <c r="J1372" s="329">
        <v>0.54952477440695546</v>
      </c>
      <c r="K1372" s="329">
        <v>0.56296907561587628</v>
      </c>
    </row>
    <row r="1373" spans="1:11" ht="11.25" x14ac:dyDescent="0.15">
      <c r="A1373" s="326">
        <v>0.95</v>
      </c>
      <c r="B1373" s="327">
        <v>125</v>
      </c>
      <c r="C1373" s="327" t="s">
        <v>112</v>
      </c>
      <c r="D1373" s="327" t="s">
        <v>79</v>
      </c>
      <c r="E1373" s="328" t="s">
        <v>713</v>
      </c>
      <c r="F1373" s="328">
        <v>292.14305000000002</v>
      </c>
      <c r="G1373" s="328">
        <v>5154.1053000000002</v>
      </c>
      <c r="H1373" s="328">
        <v>5095.96245</v>
      </c>
      <c r="I1373" s="329">
        <v>0.33570866741593247</v>
      </c>
      <c r="J1373" s="329">
        <v>0.58993993037065462</v>
      </c>
      <c r="K1373" s="329">
        <v>0.61344631677279948</v>
      </c>
    </row>
    <row r="1374" spans="1:11" ht="11.25" x14ac:dyDescent="0.15">
      <c r="A1374" s="326">
        <v>0.95</v>
      </c>
      <c r="B1374" s="327">
        <v>125</v>
      </c>
      <c r="C1374" s="327" t="s">
        <v>112</v>
      </c>
      <c r="D1374" s="327" t="s">
        <v>114</v>
      </c>
      <c r="E1374" s="328" t="s">
        <v>714</v>
      </c>
      <c r="F1374" s="328">
        <v>87.009863499999994</v>
      </c>
      <c r="G1374" s="328">
        <v>5072.9562999999998</v>
      </c>
      <c r="H1374" s="328">
        <v>5021.2126499999995</v>
      </c>
      <c r="I1374" s="329">
        <v>9.9985145385547189E-2</v>
      </c>
      <c r="J1374" s="329">
        <v>0.58065159949203471</v>
      </c>
      <c r="K1374" s="329">
        <v>0.60444801862217168</v>
      </c>
    </row>
    <row r="1375" spans="1:11" ht="11.25" x14ac:dyDescent="0.15">
      <c r="A1375" s="326">
        <v>0.95</v>
      </c>
      <c r="B1375" s="327">
        <v>125</v>
      </c>
      <c r="C1375" s="327" t="s">
        <v>112</v>
      </c>
      <c r="D1375" s="327" t="s">
        <v>113</v>
      </c>
      <c r="E1375" s="328" t="s">
        <v>715</v>
      </c>
      <c r="F1375" s="328">
        <v>31.948794499999995</v>
      </c>
      <c r="G1375" s="328">
        <v>5047.6292999999996</v>
      </c>
      <c r="H1375" s="328">
        <v>4948.8463999999994</v>
      </c>
      <c r="I1375" s="329">
        <v>3.6713134976650894E-2</v>
      </c>
      <c r="J1375" s="329">
        <v>0.5777526659726715</v>
      </c>
      <c r="K1375" s="329">
        <v>0.59573664958114603</v>
      </c>
    </row>
    <row r="1376" spans="1:11" ht="11.25" x14ac:dyDescent="0.15">
      <c r="A1376" s="326">
        <v>0.97499999999999998</v>
      </c>
      <c r="B1376" s="327">
        <v>125</v>
      </c>
      <c r="C1376" s="327" t="s">
        <v>112</v>
      </c>
      <c r="D1376" s="327" t="s">
        <v>79</v>
      </c>
      <c r="E1376" s="328" t="s">
        <v>716</v>
      </c>
      <c r="F1376" s="328">
        <v>312.88247250000001</v>
      </c>
      <c r="G1376" s="328">
        <v>5435.8297499999999</v>
      </c>
      <c r="H1376" s="328">
        <v>5381.4208499999995</v>
      </c>
      <c r="I1376" s="329">
        <v>0.35954084103926875</v>
      </c>
      <c r="J1376" s="329">
        <v>0.62218616764033374</v>
      </c>
      <c r="K1376" s="329">
        <v>0.64780948286556694</v>
      </c>
    </row>
    <row r="1377" spans="1:11" ht="11.25" x14ac:dyDescent="0.15">
      <c r="A1377" s="326">
        <v>0.97499999999999998</v>
      </c>
      <c r="B1377" s="327">
        <v>125</v>
      </c>
      <c r="C1377" s="327" t="s">
        <v>112</v>
      </c>
      <c r="D1377" s="327" t="s">
        <v>114</v>
      </c>
      <c r="E1377" s="328" t="s">
        <v>717</v>
      </c>
      <c r="F1377" s="328">
        <v>93.061497749999987</v>
      </c>
      <c r="G1377" s="328">
        <v>5334.516525</v>
      </c>
      <c r="H1377" s="328">
        <v>5304.0770249999996</v>
      </c>
      <c r="I1377" s="329">
        <v>0.10693922514118782</v>
      </c>
      <c r="J1377" s="329">
        <v>0.6105898355083289</v>
      </c>
      <c r="K1377" s="329">
        <v>0.63849891885790444</v>
      </c>
    </row>
    <row r="1378" spans="1:11" ht="11.25" x14ac:dyDescent="0.15">
      <c r="A1378" s="326">
        <v>0.97499999999999998</v>
      </c>
      <c r="B1378" s="327">
        <v>125</v>
      </c>
      <c r="C1378" s="327" t="s">
        <v>112</v>
      </c>
      <c r="D1378" s="327" t="s">
        <v>113</v>
      </c>
      <c r="E1378" s="328" t="s">
        <v>718</v>
      </c>
      <c r="F1378" s="328">
        <v>34.273141499999994</v>
      </c>
      <c r="G1378" s="328">
        <v>5300.9950499999995</v>
      </c>
      <c r="H1378" s="328">
        <v>5228.4092249999994</v>
      </c>
      <c r="I1378" s="329">
        <v>3.938409851311777E-2</v>
      </c>
      <c r="J1378" s="329">
        <v>0.60675296073058194</v>
      </c>
      <c r="K1378" s="329">
        <v>0.62939011288381386</v>
      </c>
    </row>
    <row r="1379" spans="1:11" ht="11.25" x14ac:dyDescent="0.15">
      <c r="A1379" s="326">
        <v>1</v>
      </c>
      <c r="B1379" s="327">
        <v>125</v>
      </c>
      <c r="C1379" s="327" t="s">
        <v>112</v>
      </c>
      <c r="D1379" s="327" t="s">
        <v>79</v>
      </c>
      <c r="E1379" s="328" t="s">
        <v>719</v>
      </c>
      <c r="F1379" s="328">
        <v>334.9006</v>
      </c>
      <c r="G1379" s="328">
        <v>5729.665</v>
      </c>
      <c r="H1379" s="328">
        <v>5674.3530000000001</v>
      </c>
      <c r="I1379" s="329">
        <v>0.3848424056050494</v>
      </c>
      <c r="J1379" s="329">
        <v>0.65581860951641335</v>
      </c>
      <c r="K1379" s="329">
        <v>0.6830723307073594</v>
      </c>
    </row>
    <row r="1380" spans="1:11" ht="11.25" x14ac:dyDescent="0.15">
      <c r="A1380" s="326">
        <v>1</v>
      </c>
      <c r="B1380" s="327">
        <v>125</v>
      </c>
      <c r="C1380" s="327" t="s">
        <v>112</v>
      </c>
      <c r="D1380" s="327" t="s">
        <v>114</v>
      </c>
      <c r="E1380" s="328" t="s">
        <v>720</v>
      </c>
      <c r="F1380" s="328">
        <v>99.465260000000001</v>
      </c>
      <c r="G1380" s="328">
        <v>5605.0010000000002</v>
      </c>
      <c r="H1380" s="328">
        <v>5594.1179999999995</v>
      </c>
      <c r="I1380" s="329">
        <v>0.11429794372578519</v>
      </c>
      <c r="J1380" s="329">
        <v>0.64154954297644051</v>
      </c>
      <c r="K1380" s="329">
        <v>0.67341373025470774</v>
      </c>
    </row>
    <row r="1381" spans="1:11" ht="11.25" x14ac:dyDescent="0.15">
      <c r="A1381" s="326">
        <v>1</v>
      </c>
      <c r="B1381" s="327">
        <v>125</v>
      </c>
      <c r="C1381" s="327" t="s">
        <v>112</v>
      </c>
      <c r="D1381" s="327" t="s">
        <v>113</v>
      </c>
      <c r="E1381" s="328" t="s">
        <v>721</v>
      </c>
      <c r="F1381" s="328">
        <v>36.75103</v>
      </c>
      <c r="G1381" s="328">
        <v>5561.4800000000005</v>
      </c>
      <c r="H1381" s="328">
        <v>5516.3680000000004</v>
      </c>
      <c r="I1381" s="329">
        <v>4.2231500312819206E-2</v>
      </c>
      <c r="J1381" s="329">
        <v>0.63656812055387935</v>
      </c>
      <c r="K1381" s="329">
        <v>0.66405427135031869</v>
      </c>
    </row>
    <row r="1382" spans="1:11" ht="11.25" x14ac:dyDescent="0.15">
      <c r="A1382" s="326">
        <v>1.0249999999999999</v>
      </c>
      <c r="B1382" s="327">
        <v>125</v>
      </c>
      <c r="C1382" s="327" t="s">
        <v>112</v>
      </c>
      <c r="D1382" s="327" t="s">
        <v>79</v>
      </c>
      <c r="E1382" s="328" t="s">
        <v>722</v>
      </c>
      <c r="F1382" s="328">
        <v>358.29889750000001</v>
      </c>
      <c r="G1382" s="328">
        <v>6036.8717749999996</v>
      </c>
      <c r="H1382" s="328">
        <v>5975.1472999999996</v>
      </c>
      <c r="I1382" s="329">
        <v>0.41172995700675674</v>
      </c>
      <c r="J1382" s="329">
        <v>0.69098155883622903</v>
      </c>
      <c r="K1382" s="329">
        <v>0.71928161546008595</v>
      </c>
    </row>
    <row r="1383" spans="1:11" ht="11.25" x14ac:dyDescent="0.15">
      <c r="A1383" s="326">
        <v>1.0249999999999999</v>
      </c>
      <c r="B1383" s="327">
        <v>125</v>
      </c>
      <c r="C1383" s="327" t="s">
        <v>112</v>
      </c>
      <c r="D1383" s="327" t="s">
        <v>114</v>
      </c>
      <c r="E1383" s="328" t="s">
        <v>723</v>
      </c>
      <c r="F1383" s="328">
        <v>106.24832249999999</v>
      </c>
      <c r="G1383" s="328">
        <v>5884.1016749999999</v>
      </c>
      <c r="H1383" s="328">
        <v>5892.2483749999992</v>
      </c>
      <c r="I1383" s="329">
        <v>0.12209252543113119</v>
      </c>
      <c r="J1383" s="329">
        <v>0.67349546243134617</v>
      </c>
      <c r="K1383" s="329">
        <v>0.7093023346658025</v>
      </c>
    </row>
    <row r="1384" spans="1:11" ht="11.25" x14ac:dyDescent="0.15">
      <c r="A1384" s="326">
        <v>1.0249999999999999</v>
      </c>
      <c r="B1384" s="327">
        <v>125</v>
      </c>
      <c r="C1384" s="327" t="s">
        <v>112</v>
      </c>
      <c r="D1384" s="327" t="s">
        <v>113</v>
      </c>
      <c r="E1384" s="328" t="s">
        <v>724</v>
      </c>
      <c r="F1384" s="328">
        <v>39.398375999999999</v>
      </c>
      <c r="G1384" s="328">
        <v>5827.3873999999996</v>
      </c>
      <c r="H1384" s="328">
        <v>5811.6095749999995</v>
      </c>
      <c r="I1384" s="329">
        <v>4.5273629837546556E-2</v>
      </c>
      <c r="J1384" s="329">
        <v>0.66700393509593792</v>
      </c>
      <c r="K1384" s="329">
        <v>0.69959512521629441</v>
      </c>
    </row>
    <row r="1385" spans="1:11" ht="11.25" x14ac:dyDescent="0.15">
      <c r="A1385" s="326">
        <v>1.05</v>
      </c>
      <c r="B1385" s="327">
        <v>125</v>
      </c>
      <c r="C1385" s="327" t="s">
        <v>112</v>
      </c>
      <c r="D1385" s="327" t="s">
        <v>79</v>
      </c>
      <c r="E1385" s="328" t="s">
        <v>725</v>
      </c>
      <c r="F1385" s="328">
        <v>383.18962500000004</v>
      </c>
      <c r="G1385" s="328">
        <v>6358.4955</v>
      </c>
      <c r="H1385" s="328">
        <v>6283.8069000000005</v>
      </c>
      <c r="I1385" s="329">
        <v>0.44033249593430646</v>
      </c>
      <c r="J1385" s="329">
        <v>0.72779467515576768</v>
      </c>
      <c r="K1385" s="329">
        <v>0.75643771631725887</v>
      </c>
    </row>
    <row r="1386" spans="1:11" ht="11.25" x14ac:dyDescent="0.15">
      <c r="A1386" s="326">
        <v>1.05</v>
      </c>
      <c r="B1386" s="327">
        <v>125</v>
      </c>
      <c r="C1386" s="327" t="s">
        <v>112</v>
      </c>
      <c r="D1386" s="327" t="s">
        <v>114</v>
      </c>
      <c r="E1386" s="328" t="s">
        <v>726</v>
      </c>
      <c r="F1386" s="328">
        <v>113.43990000000002</v>
      </c>
      <c r="G1386" s="328">
        <v>6173.9128500000006</v>
      </c>
      <c r="H1386" s="328">
        <v>6197.8980000000001</v>
      </c>
      <c r="I1386" s="329">
        <v>0.13035654163532778</v>
      </c>
      <c r="J1386" s="329">
        <v>0.70666730787271459</v>
      </c>
      <c r="K1386" s="329">
        <v>0.74609609806553823</v>
      </c>
    </row>
    <row r="1387" spans="1:11" ht="11.25" x14ac:dyDescent="0.15">
      <c r="A1387" s="326">
        <v>1.05</v>
      </c>
      <c r="B1387" s="327">
        <v>125</v>
      </c>
      <c r="C1387" s="327" t="s">
        <v>112</v>
      </c>
      <c r="D1387" s="327" t="s">
        <v>113</v>
      </c>
      <c r="E1387" s="328" t="s">
        <v>727</v>
      </c>
      <c r="F1387" s="328">
        <v>42.233037000000003</v>
      </c>
      <c r="G1387" s="328">
        <v>6101.4576000000006</v>
      </c>
      <c r="H1387" s="328">
        <v>6114.3536999999997</v>
      </c>
      <c r="I1387" s="329">
        <v>4.8531007573850454E-2</v>
      </c>
      <c r="J1387" s="329">
        <v>0.69837406536950297</v>
      </c>
      <c r="K1387" s="329">
        <v>0.73603912774340374</v>
      </c>
    </row>
    <row r="1388" spans="1:11" ht="11.25" x14ac:dyDescent="0.15">
      <c r="A1388" s="326">
        <v>1.075</v>
      </c>
      <c r="B1388" s="327">
        <v>125</v>
      </c>
      <c r="C1388" s="327" t="s">
        <v>112</v>
      </c>
      <c r="D1388" s="327" t="s">
        <v>79</v>
      </c>
      <c r="E1388" s="328" t="s">
        <v>728</v>
      </c>
      <c r="F1388" s="328">
        <v>409.69959249999999</v>
      </c>
      <c r="G1388" s="328">
        <v>6696.2588500000002</v>
      </c>
      <c r="H1388" s="328">
        <v>6600.1947</v>
      </c>
      <c r="I1388" s="329">
        <v>0.47079574283566067</v>
      </c>
      <c r="J1388" s="329">
        <v>0.76645513620237438</v>
      </c>
      <c r="K1388" s="329">
        <v>0.79452412933269401</v>
      </c>
    </row>
    <row r="1389" spans="1:11" ht="11.25" x14ac:dyDescent="0.15">
      <c r="A1389" s="326">
        <v>1.075</v>
      </c>
      <c r="B1389" s="327">
        <v>125</v>
      </c>
      <c r="C1389" s="327" t="s">
        <v>112</v>
      </c>
      <c r="D1389" s="327" t="s">
        <v>114</v>
      </c>
      <c r="E1389" s="328" t="s">
        <v>729</v>
      </c>
      <c r="F1389" s="328">
        <v>121.07295000000001</v>
      </c>
      <c r="G1389" s="328">
        <v>6473.6704249999993</v>
      </c>
      <c r="H1389" s="328">
        <v>6511.5243999999993</v>
      </c>
      <c r="I1389" s="329">
        <v>0.13912786460131715</v>
      </c>
      <c r="J1389" s="329">
        <v>0.7409776202607008</v>
      </c>
      <c r="K1389" s="329">
        <v>0.78385009680677942</v>
      </c>
    </row>
    <row r="1390" spans="1:11" ht="11.25" x14ac:dyDescent="0.15">
      <c r="A1390" s="326">
        <v>1.075</v>
      </c>
      <c r="B1390" s="327">
        <v>125</v>
      </c>
      <c r="C1390" s="327" t="s">
        <v>112</v>
      </c>
      <c r="D1390" s="327" t="s">
        <v>113</v>
      </c>
      <c r="E1390" s="328" t="s">
        <v>730</v>
      </c>
      <c r="F1390" s="328">
        <v>45.275129999999997</v>
      </c>
      <c r="G1390" s="328">
        <v>6383.1005999999998</v>
      </c>
      <c r="H1390" s="328">
        <v>6425.0255999999999</v>
      </c>
      <c r="I1390" s="329">
        <v>5.2026750454556785E-2</v>
      </c>
      <c r="J1390" s="329">
        <v>0.73061097985578283</v>
      </c>
      <c r="K1390" s="329">
        <v>0.77343746704627825</v>
      </c>
    </row>
    <row r="1391" spans="1:11" ht="11.25" x14ac:dyDescent="0.15">
      <c r="A1391" s="326">
        <v>1.1000000000000001</v>
      </c>
      <c r="B1391" s="327">
        <v>125</v>
      </c>
      <c r="C1391" s="327" t="s">
        <v>112</v>
      </c>
      <c r="D1391" s="327" t="s">
        <v>79</v>
      </c>
      <c r="E1391" s="328" t="s">
        <v>731</v>
      </c>
      <c r="F1391" s="328">
        <v>437.96906999999999</v>
      </c>
      <c r="G1391" s="328">
        <v>7050.7976000000008</v>
      </c>
      <c r="H1391" s="328">
        <v>6924.3789999999999</v>
      </c>
      <c r="I1391" s="329">
        <v>0.50328088537137972</v>
      </c>
      <c r="J1391" s="329">
        <v>0.80703571291055676</v>
      </c>
      <c r="K1391" s="329">
        <v>0.83354907638476039</v>
      </c>
    </row>
    <row r="1392" spans="1:11" ht="11.25" x14ac:dyDescent="0.15">
      <c r="A1392" s="326">
        <v>1.1000000000000001</v>
      </c>
      <c r="B1392" s="327">
        <v>125</v>
      </c>
      <c r="C1392" s="327" t="s">
        <v>112</v>
      </c>
      <c r="D1392" s="327" t="s">
        <v>114</v>
      </c>
      <c r="E1392" s="328" t="s">
        <v>732</v>
      </c>
      <c r="F1392" s="328">
        <v>129.18433000000002</v>
      </c>
      <c r="G1392" s="328">
        <v>6785.4984999999997</v>
      </c>
      <c r="H1392" s="328">
        <v>6832.5983000000015</v>
      </c>
      <c r="I1392" s="329">
        <v>0.14844884817667262</v>
      </c>
      <c r="J1392" s="329">
        <v>0.77666952450897364</v>
      </c>
      <c r="K1392" s="329">
        <v>0.82250061735111335</v>
      </c>
    </row>
    <row r="1393" spans="1:11" ht="11.25" x14ac:dyDescent="0.15">
      <c r="A1393" s="326">
        <v>1.1000000000000001</v>
      </c>
      <c r="B1393" s="327">
        <v>125</v>
      </c>
      <c r="C1393" s="327" t="s">
        <v>112</v>
      </c>
      <c r="D1393" s="327" t="s">
        <v>113</v>
      </c>
      <c r="E1393" s="328" t="s">
        <v>733</v>
      </c>
      <c r="F1393" s="328">
        <v>48.548984000000004</v>
      </c>
      <c r="G1393" s="328">
        <v>6673.1214000000009</v>
      </c>
      <c r="H1393" s="328">
        <v>6743.4378000000006</v>
      </c>
      <c r="I1393" s="329">
        <v>5.5788815523892928E-2</v>
      </c>
      <c r="J1393" s="329">
        <v>0.76380681901685743</v>
      </c>
      <c r="K1393" s="329">
        <v>0.81176757509201636</v>
      </c>
    </row>
    <row r="1394" spans="1:11" ht="11.25" x14ac:dyDescent="0.15">
      <c r="A1394" s="326">
        <v>1.125</v>
      </c>
      <c r="B1394" s="327">
        <v>125</v>
      </c>
      <c r="C1394" s="327" t="s">
        <v>112</v>
      </c>
      <c r="D1394" s="327" t="s">
        <v>79</v>
      </c>
      <c r="E1394" s="328" t="s">
        <v>734</v>
      </c>
      <c r="F1394" s="328">
        <v>468.15547499999997</v>
      </c>
      <c r="G1394" s="328">
        <v>7423.5971249999993</v>
      </c>
      <c r="H1394" s="328">
        <v>7256.6336250000004</v>
      </c>
      <c r="I1394" s="329">
        <v>0.53796881581034661</v>
      </c>
      <c r="J1394" s="329">
        <v>0.84970642160188137</v>
      </c>
      <c r="K1394" s="329">
        <v>0.87354552022374077</v>
      </c>
    </row>
    <row r="1395" spans="1:11" ht="11.25" x14ac:dyDescent="0.15">
      <c r="A1395" s="326">
        <v>1.125</v>
      </c>
      <c r="B1395" s="327">
        <v>125</v>
      </c>
      <c r="C1395" s="327" t="s">
        <v>112</v>
      </c>
      <c r="D1395" s="327" t="s">
        <v>114</v>
      </c>
      <c r="E1395" s="328" t="s">
        <v>735</v>
      </c>
      <c r="F1395" s="328">
        <v>137.81441249999997</v>
      </c>
      <c r="G1395" s="328">
        <v>7108.7287500000002</v>
      </c>
      <c r="H1395" s="328">
        <v>7161.4912499999991</v>
      </c>
      <c r="I1395" s="329">
        <v>0.15836588538075652</v>
      </c>
      <c r="J1395" s="329">
        <v>0.81366652400347173</v>
      </c>
      <c r="K1395" s="329">
        <v>0.86209238647610742</v>
      </c>
    </row>
    <row r="1396" spans="1:11" ht="11.25" x14ac:dyDescent="0.15">
      <c r="A1396" s="326">
        <v>1.125</v>
      </c>
      <c r="B1396" s="327">
        <v>125</v>
      </c>
      <c r="C1396" s="327" t="s">
        <v>112</v>
      </c>
      <c r="D1396" s="327" t="s">
        <v>113</v>
      </c>
      <c r="E1396" s="328" t="s">
        <v>736</v>
      </c>
      <c r="F1396" s="328">
        <v>52.07985</v>
      </c>
      <c r="G1396" s="328">
        <v>6971.9276250000003</v>
      </c>
      <c r="H1396" s="328">
        <v>7069.441499999999</v>
      </c>
      <c r="I1396" s="329">
        <v>5.9846219318657932E-2</v>
      </c>
      <c r="J1396" s="329">
        <v>0.79800823969229795</v>
      </c>
      <c r="K1396" s="329">
        <v>0.85101153950138986</v>
      </c>
    </row>
    <row r="1397" spans="1:11" ht="11.25" x14ac:dyDescent="0.15">
      <c r="A1397" s="326">
        <v>1.1499999999999999</v>
      </c>
      <c r="B1397" s="327">
        <v>125</v>
      </c>
      <c r="C1397" s="327" t="s">
        <v>112</v>
      </c>
      <c r="D1397" s="327" t="s">
        <v>79</v>
      </c>
      <c r="E1397" s="328" t="s">
        <v>737</v>
      </c>
      <c r="F1397" s="328">
        <v>500.43388499999998</v>
      </c>
      <c r="G1397" s="328">
        <v>7815.8392999999987</v>
      </c>
      <c r="H1397" s="328">
        <v>7596.5009499999996</v>
      </c>
      <c r="I1397" s="329">
        <v>0.57506071995595309</v>
      </c>
      <c r="J1397" s="329">
        <v>0.89460253992680849</v>
      </c>
      <c r="K1397" s="329">
        <v>0.91445837245888106</v>
      </c>
    </row>
    <row r="1398" spans="1:11" ht="11.25" x14ac:dyDescent="0.15">
      <c r="A1398" s="326">
        <v>1.1499999999999999</v>
      </c>
      <c r="B1398" s="327">
        <v>125</v>
      </c>
      <c r="C1398" s="327" t="s">
        <v>112</v>
      </c>
      <c r="D1398" s="327" t="s">
        <v>114</v>
      </c>
      <c r="E1398" s="328" t="s">
        <v>738</v>
      </c>
      <c r="F1398" s="328">
        <v>147.00909999999999</v>
      </c>
      <c r="G1398" s="328">
        <v>7446.8905499999992</v>
      </c>
      <c r="H1398" s="328">
        <v>7498.058649999999</v>
      </c>
      <c r="I1398" s="329">
        <v>0.16893172389011327</v>
      </c>
      <c r="J1398" s="329">
        <v>0.85237259171730262</v>
      </c>
      <c r="K1398" s="329">
        <v>0.90260799739388364</v>
      </c>
    </row>
    <row r="1399" spans="1:11" ht="11.25" x14ac:dyDescent="0.15">
      <c r="A1399" s="326">
        <v>1.1499999999999999</v>
      </c>
      <c r="B1399" s="327">
        <v>125</v>
      </c>
      <c r="C1399" s="327" t="s">
        <v>112</v>
      </c>
      <c r="D1399" s="327" t="s">
        <v>113</v>
      </c>
      <c r="E1399" s="328" t="s">
        <v>739</v>
      </c>
      <c r="F1399" s="328">
        <v>55.898785999999994</v>
      </c>
      <c r="G1399" s="328">
        <v>7280.176199999999</v>
      </c>
      <c r="H1399" s="328">
        <v>7403.1031499999999</v>
      </c>
      <c r="I1399" s="329">
        <v>6.4234651340253968E-2</v>
      </c>
      <c r="J1399" s="329">
        <v>0.83329043364987054</v>
      </c>
      <c r="K1399" s="329">
        <v>0.89117735945181653</v>
      </c>
    </row>
    <row r="1400" spans="1:11" ht="11.25" x14ac:dyDescent="0.15">
      <c r="A1400" s="326">
        <v>1.175</v>
      </c>
      <c r="B1400" s="327">
        <v>125</v>
      </c>
      <c r="C1400" s="327" t="s">
        <v>112</v>
      </c>
      <c r="D1400" s="327" t="s">
        <v>79</v>
      </c>
      <c r="E1400" s="328" t="s">
        <v>740</v>
      </c>
      <c r="F1400" s="328">
        <v>534.99641750000001</v>
      </c>
      <c r="G1400" s="328">
        <v>8228.3687250000003</v>
      </c>
      <c r="H1400" s="328">
        <v>7944.0904</v>
      </c>
      <c r="I1400" s="329">
        <v>0.61477736468905508</v>
      </c>
      <c r="J1400" s="329">
        <v>0.94182074097139079</v>
      </c>
      <c r="K1400" s="329">
        <v>0.956300805550511</v>
      </c>
    </row>
    <row r="1401" spans="1:11" ht="11.25" x14ac:dyDescent="0.15">
      <c r="A1401" s="326">
        <v>1.175</v>
      </c>
      <c r="B1401" s="327">
        <v>125</v>
      </c>
      <c r="C1401" s="327" t="s">
        <v>112</v>
      </c>
      <c r="D1401" s="327" t="s">
        <v>114</v>
      </c>
      <c r="E1401" s="328" t="s">
        <v>741</v>
      </c>
      <c r="F1401" s="328">
        <v>156.81890749999999</v>
      </c>
      <c r="G1401" s="328">
        <v>7799.1612000000005</v>
      </c>
      <c r="H1401" s="328">
        <v>7842.5586499999999</v>
      </c>
      <c r="I1401" s="329">
        <v>0.18020441171695639</v>
      </c>
      <c r="J1401" s="329">
        <v>0.89269356124282351</v>
      </c>
      <c r="K1401" s="329">
        <v>0.94407852591558228</v>
      </c>
    </row>
    <row r="1402" spans="1:11" ht="11.25" x14ac:dyDescent="0.15">
      <c r="A1402" s="326">
        <v>1.175</v>
      </c>
      <c r="B1402" s="327">
        <v>125</v>
      </c>
      <c r="C1402" s="327" t="s">
        <v>112</v>
      </c>
      <c r="D1402" s="327" t="s">
        <v>113</v>
      </c>
      <c r="E1402" s="328" t="s">
        <v>742</v>
      </c>
      <c r="F1402" s="328">
        <v>60.038411000000004</v>
      </c>
      <c r="G1402" s="328">
        <v>7600.33475</v>
      </c>
      <c r="H1402" s="328">
        <v>7744.9008750000003</v>
      </c>
      <c r="I1402" s="329">
        <v>6.8991594873059836E-2</v>
      </c>
      <c r="J1402" s="329">
        <v>0.86993584574390959</v>
      </c>
      <c r="K1402" s="329">
        <v>0.93232259110134974</v>
      </c>
    </row>
    <row r="1403" spans="1:11" ht="11.25" x14ac:dyDescent="0.15">
      <c r="A1403" s="326">
        <v>1.2</v>
      </c>
      <c r="B1403" s="327">
        <v>125</v>
      </c>
      <c r="C1403" s="327" t="s">
        <v>112</v>
      </c>
      <c r="D1403" s="327" t="s">
        <v>79</v>
      </c>
      <c r="E1403" s="328" t="s">
        <v>743</v>
      </c>
      <c r="F1403" s="328">
        <v>572.06099999999992</v>
      </c>
      <c r="G1403" s="328">
        <v>8662.4868000000006</v>
      </c>
      <c r="H1403" s="328">
        <v>8299.5959999999995</v>
      </c>
      <c r="I1403" s="329">
        <v>0.65736917578777154</v>
      </c>
      <c r="J1403" s="329">
        <v>0.99150998324165307</v>
      </c>
      <c r="K1403" s="329">
        <v>0.99909617601327882</v>
      </c>
    </row>
    <row r="1404" spans="1:11" ht="11.25" x14ac:dyDescent="0.15">
      <c r="A1404" s="326">
        <v>1.2</v>
      </c>
      <c r="B1404" s="327">
        <v>125</v>
      </c>
      <c r="C1404" s="327" t="s">
        <v>112</v>
      </c>
      <c r="D1404" s="327" t="s">
        <v>114</v>
      </c>
      <c r="E1404" s="328" t="s">
        <v>744</v>
      </c>
      <c r="F1404" s="328">
        <v>167.30015999999998</v>
      </c>
      <c r="G1404" s="328">
        <v>8168.6351999999997</v>
      </c>
      <c r="H1404" s="328">
        <v>8194.6583999999984</v>
      </c>
      <c r="I1404" s="329">
        <v>0.19224867328547532</v>
      </c>
      <c r="J1404" s="329">
        <v>0.93498362967308368</v>
      </c>
      <c r="K1404" s="329">
        <v>0.98646390392678063</v>
      </c>
    </row>
    <row r="1405" spans="1:11" ht="11.25" x14ac:dyDescent="0.15">
      <c r="A1405" s="326">
        <v>1.2</v>
      </c>
      <c r="B1405" s="327">
        <v>125</v>
      </c>
      <c r="C1405" s="327" t="s">
        <v>112</v>
      </c>
      <c r="D1405" s="327" t="s">
        <v>113</v>
      </c>
      <c r="E1405" s="328" t="s">
        <v>745</v>
      </c>
      <c r="F1405" s="328">
        <v>64.537859999999995</v>
      </c>
      <c r="G1405" s="328">
        <v>7929.8711999999996</v>
      </c>
      <c r="H1405" s="328">
        <v>8094.1691999999994</v>
      </c>
      <c r="I1405" s="329">
        <v>7.4162020895160816E-2</v>
      </c>
      <c r="J1405" s="329">
        <v>0.90765465416010405</v>
      </c>
      <c r="K1405" s="329">
        <v>0.97436712530639558</v>
      </c>
    </row>
    <row r="1406" spans="1:11" ht="11.25" x14ac:dyDescent="0.15">
      <c r="A1406" s="326">
        <v>1.2250000000000001</v>
      </c>
      <c r="B1406" s="327">
        <v>125</v>
      </c>
      <c r="C1406" s="327" t="s">
        <v>112</v>
      </c>
      <c r="D1406" s="327" t="s">
        <v>79</v>
      </c>
      <c r="E1406" s="328" t="s">
        <v>746</v>
      </c>
      <c r="F1406" s="328">
        <v>611.86581750000005</v>
      </c>
      <c r="G1406" s="328">
        <v>9120.7509750000008</v>
      </c>
      <c r="H1406" s="328">
        <v>8663.3886500000008</v>
      </c>
      <c r="I1406" s="329">
        <v>0.70310985741500664</v>
      </c>
      <c r="J1406" s="329">
        <v>1.0439629929795149</v>
      </c>
      <c r="K1406" s="329">
        <v>1.0428891323784728</v>
      </c>
    </row>
    <row r="1407" spans="1:11" ht="11.25" x14ac:dyDescent="0.15">
      <c r="A1407" s="326">
        <v>1.2250000000000001</v>
      </c>
      <c r="B1407" s="327">
        <v>125</v>
      </c>
      <c r="C1407" s="327" t="s">
        <v>112</v>
      </c>
      <c r="D1407" s="327" t="s">
        <v>114</v>
      </c>
      <c r="E1407" s="328" t="s">
        <v>747</v>
      </c>
      <c r="F1407" s="328">
        <v>178.51557500000001</v>
      </c>
      <c r="G1407" s="328">
        <v>8554.1737750000011</v>
      </c>
      <c r="H1407" s="328">
        <v>8554.0782249999993</v>
      </c>
      <c r="I1407" s="329">
        <v>0.20513657879671945</v>
      </c>
      <c r="J1407" s="329">
        <v>0.97911245259230162</v>
      </c>
      <c r="K1407" s="329">
        <v>1.0297304644606744</v>
      </c>
    </row>
    <row r="1408" spans="1:11" ht="11.25" x14ac:dyDescent="0.15">
      <c r="A1408" s="326">
        <v>1.2250000000000001</v>
      </c>
      <c r="B1408" s="327">
        <v>125</v>
      </c>
      <c r="C1408" s="327" t="s">
        <v>112</v>
      </c>
      <c r="D1408" s="327" t="s">
        <v>113</v>
      </c>
      <c r="E1408" s="328" t="s">
        <v>748</v>
      </c>
      <c r="F1408" s="328">
        <v>69.439798750000008</v>
      </c>
      <c r="G1408" s="328">
        <v>8271.5969000000005</v>
      </c>
      <c r="H1408" s="328">
        <v>8450.6698500000002</v>
      </c>
      <c r="I1408" s="329">
        <v>7.9794957655138596E-2</v>
      </c>
      <c r="J1408" s="329">
        <v>0.9467686465854942</v>
      </c>
      <c r="K1408" s="329">
        <v>1.0172822787863058</v>
      </c>
    </row>
    <row r="1409" spans="1:11" ht="11.25" x14ac:dyDescent="0.15">
      <c r="A1409" s="326">
        <v>1.25</v>
      </c>
      <c r="B1409" s="327">
        <v>125</v>
      </c>
      <c r="C1409" s="327" t="s">
        <v>112</v>
      </c>
      <c r="D1409" s="327" t="s">
        <v>79</v>
      </c>
      <c r="E1409" s="328" t="s">
        <v>749</v>
      </c>
      <c r="F1409" s="328">
        <v>654.67562499999997</v>
      </c>
      <c r="G1409" s="328">
        <v>9601.9575000000004</v>
      </c>
      <c r="H1409" s="328">
        <v>9034.6412500000006</v>
      </c>
      <c r="I1409" s="329">
        <v>0.7523036459653677</v>
      </c>
      <c r="J1409" s="329">
        <v>1.0990419887176122</v>
      </c>
      <c r="K1409" s="329">
        <v>1.0875801092639727</v>
      </c>
    </row>
    <row r="1410" spans="1:11" ht="11.25" x14ac:dyDescent="0.15">
      <c r="A1410" s="326">
        <v>1.25</v>
      </c>
      <c r="B1410" s="327">
        <v>125</v>
      </c>
      <c r="C1410" s="327" t="s">
        <v>112</v>
      </c>
      <c r="D1410" s="327" t="s">
        <v>114</v>
      </c>
      <c r="E1410" s="328" t="s">
        <v>750</v>
      </c>
      <c r="F1410" s="328">
        <v>190.53412500000002</v>
      </c>
      <c r="G1410" s="328">
        <v>8960.16</v>
      </c>
      <c r="H1410" s="328">
        <v>8922.40625</v>
      </c>
      <c r="I1410" s="329">
        <v>0.21894738622401153</v>
      </c>
      <c r="J1410" s="329">
        <v>1.0255817176474693</v>
      </c>
      <c r="K1410" s="329">
        <v>1.0740693842461704</v>
      </c>
    </row>
    <row r="1411" spans="1:11" ht="11.25" x14ac:dyDescent="0.15">
      <c r="A1411" s="326">
        <v>1.25</v>
      </c>
      <c r="B1411" s="327">
        <v>125</v>
      </c>
      <c r="C1411" s="327" t="s">
        <v>112</v>
      </c>
      <c r="D1411" s="327" t="s">
        <v>113</v>
      </c>
      <c r="E1411" s="328" t="s">
        <v>751</v>
      </c>
      <c r="F1411" s="328">
        <v>74.792299999999997</v>
      </c>
      <c r="G1411" s="328">
        <v>8626.6412500000006</v>
      </c>
      <c r="H1411" s="328">
        <v>8815.1137500000004</v>
      </c>
      <c r="I1411" s="329">
        <v>8.5945646716472104E-2</v>
      </c>
      <c r="J1411" s="329">
        <v>0.98740709437147456</v>
      </c>
      <c r="K1411" s="329">
        <v>1.0611536319053452</v>
      </c>
    </row>
    <row r="1412" spans="1:11" ht="11.25" x14ac:dyDescent="0.15">
      <c r="A1412" s="326">
        <v>1.2749999999999999</v>
      </c>
      <c r="B1412" s="327">
        <v>125</v>
      </c>
      <c r="C1412" s="327" t="s">
        <v>112</v>
      </c>
      <c r="D1412" s="327" t="s">
        <v>79</v>
      </c>
      <c r="E1412" s="328" t="s">
        <v>752</v>
      </c>
      <c r="F1412" s="328">
        <v>700.78322249999997</v>
      </c>
      <c r="G1412" s="328">
        <v>10109.207249999999</v>
      </c>
      <c r="H1412" s="328">
        <v>9414.0288</v>
      </c>
      <c r="I1412" s="329">
        <v>0.80528700502345651</v>
      </c>
      <c r="J1412" s="329">
        <v>1.157101897232778</v>
      </c>
      <c r="K1412" s="329">
        <v>1.1332503624223247</v>
      </c>
    </row>
    <row r="1413" spans="1:11" ht="11.25" x14ac:dyDescent="0.15">
      <c r="A1413" s="326">
        <v>1.2749999999999999</v>
      </c>
      <c r="B1413" s="327">
        <v>125</v>
      </c>
      <c r="C1413" s="327" t="s">
        <v>112</v>
      </c>
      <c r="D1413" s="327" t="s">
        <v>114</v>
      </c>
      <c r="E1413" s="328" t="s">
        <v>753</v>
      </c>
      <c r="F1413" s="328">
        <v>203.43351749999999</v>
      </c>
      <c r="G1413" s="328">
        <v>9384.2307749999982</v>
      </c>
      <c r="H1413" s="328">
        <v>9297.4950749999989</v>
      </c>
      <c r="I1413" s="329">
        <v>0.23377039114112341</v>
      </c>
      <c r="J1413" s="329">
        <v>1.074120943936798</v>
      </c>
      <c r="K1413" s="329">
        <v>1.1192221616491684</v>
      </c>
    </row>
    <row r="1414" spans="1:11" ht="11.25" x14ac:dyDescent="0.15">
      <c r="A1414" s="326">
        <v>1.2749999999999999</v>
      </c>
      <c r="B1414" s="327">
        <v>125</v>
      </c>
      <c r="C1414" s="327" t="s">
        <v>112</v>
      </c>
      <c r="D1414" s="327" t="s">
        <v>113</v>
      </c>
      <c r="E1414" s="328" t="s">
        <v>754</v>
      </c>
      <c r="F1414" s="328">
        <v>80.648505749999998</v>
      </c>
      <c r="G1414" s="328">
        <v>8996.4433499999996</v>
      </c>
      <c r="H1414" s="328">
        <v>9187.0329000000002</v>
      </c>
      <c r="I1414" s="329">
        <v>9.2675154840817425E-2</v>
      </c>
      <c r="J1414" s="329">
        <v>1.0297347171937947</v>
      </c>
      <c r="K1414" s="329">
        <v>1.1059248473417482</v>
      </c>
    </row>
    <row r="1415" spans="1:11" ht="11.25" x14ac:dyDescent="0.15">
      <c r="A1415" s="326">
        <v>1.3</v>
      </c>
      <c r="B1415" s="327">
        <v>125</v>
      </c>
      <c r="C1415" s="327" t="s">
        <v>112</v>
      </c>
      <c r="D1415" s="327" t="s">
        <v>79</v>
      </c>
      <c r="E1415" s="328" t="s">
        <v>755</v>
      </c>
      <c r="F1415" s="328">
        <v>750.51131999999996</v>
      </c>
      <c r="G1415" s="328">
        <v>10641.3164</v>
      </c>
      <c r="H1415" s="328">
        <v>9801.0263000000014</v>
      </c>
      <c r="I1415" s="329">
        <v>0.86243076848062095</v>
      </c>
      <c r="J1415" s="329">
        <v>1.2180072176771601</v>
      </c>
      <c r="K1415" s="329">
        <v>1.1798366929348822</v>
      </c>
    </row>
    <row r="1416" spans="1:11" ht="11.25" x14ac:dyDescent="0.15">
      <c r="A1416" s="326">
        <v>1.3</v>
      </c>
      <c r="B1416" s="327">
        <v>125</v>
      </c>
      <c r="C1416" s="327" t="s">
        <v>112</v>
      </c>
      <c r="D1416" s="327" t="s">
        <v>114</v>
      </c>
      <c r="E1416" s="328" t="s">
        <v>756</v>
      </c>
      <c r="F1416" s="328">
        <v>217.30033</v>
      </c>
      <c r="G1416" s="328">
        <v>9829.5872999999992</v>
      </c>
      <c r="H1416" s="328">
        <v>9680.6879000000008</v>
      </c>
      <c r="I1416" s="329">
        <v>0.24970508185405188</v>
      </c>
      <c r="J1416" s="329">
        <v>1.1250965414568208</v>
      </c>
      <c r="K1416" s="329">
        <v>1.1653504895982914</v>
      </c>
    </row>
    <row r="1417" spans="1:11" ht="11.25" x14ac:dyDescent="0.15">
      <c r="A1417" s="326">
        <v>1.3</v>
      </c>
      <c r="B1417" s="327">
        <v>125</v>
      </c>
      <c r="C1417" s="327" t="s">
        <v>112</v>
      </c>
      <c r="D1417" s="327" t="s">
        <v>113</v>
      </c>
      <c r="E1417" s="328" t="s">
        <v>757</v>
      </c>
      <c r="F1417" s="328">
        <v>87.069930999999997</v>
      </c>
      <c r="G1417" s="328">
        <v>9381.1939000000002</v>
      </c>
      <c r="H1417" s="328">
        <v>9567.2096000000001</v>
      </c>
      <c r="I1417" s="329">
        <v>0.10005417040729597</v>
      </c>
      <c r="J1417" s="329">
        <v>1.0737733426128508</v>
      </c>
      <c r="K1417" s="329">
        <v>1.1516900975032438</v>
      </c>
    </row>
    <row r="1418" spans="1:11" ht="11.25" x14ac:dyDescent="0.15">
      <c r="A1418" s="326">
        <v>1.325</v>
      </c>
      <c r="B1418" s="327">
        <v>125</v>
      </c>
      <c r="C1418" s="327" t="s">
        <v>112</v>
      </c>
      <c r="D1418" s="327" t="s">
        <v>79</v>
      </c>
      <c r="E1418" s="328" t="s">
        <v>758</v>
      </c>
      <c r="F1418" s="328">
        <v>804.21617000000003</v>
      </c>
      <c r="G1418" s="328">
        <v>11200.1667</v>
      </c>
      <c r="H1418" s="328">
        <v>10196.345374999999</v>
      </c>
      <c r="I1418" s="329">
        <v>0.92414431472884606</v>
      </c>
      <c r="J1418" s="329">
        <v>1.2819733355346319</v>
      </c>
      <c r="K1418" s="329">
        <v>1.2274247654311343</v>
      </c>
    </row>
    <row r="1419" spans="1:11" ht="11.25" x14ac:dyDescent="0.15">
      <c r="A1419" s="326">
        <v>1.325</v>
      </c>
      <c r="B1419" s="327">
        <v>125</v>
      </c>
      <c r="C1419" s="327" t="s">
        <v>112</v>
      </c>
      <c r="D1419" s="327" t="s">
        <v>114</v>
      </c>
      <c r="E1419" s="328" t="s">
        <v>759</v>
      </c>
      <c r="F1419" s="328">
        <v>232.22771499999999</v>
      </c>
      <c r="G1419" s="328">
        <v>10297.843025</v>
      </c>
      <c r="H1419" s="328">
        <v>10071.566149999999</v>
      </c>
      <c r="I1419" s="329">
        <v>0.26685850216083162</v>
      </c>
      <c r="J1419" s="329">
        <v>1.1786931860193914</v>
      </c>
      <c r="K1419" s="329">
        <v>1.2124039804985423</v>
      </c>
    </row>
    <row r="1420" spans="1:11" ht="11.25" x14ac:dyDescent="0.15">
      <c r="A1420" s="326">
        <v>1.325</v>
      </c>
      <c r="B1420" s="327">
        <v>125</v>
      </c>
      <c r="C1420" s="327" t="s">
        <v>112</v>
      </c>
      <c r="D1420" s="327" t="s">
        <v>113</v>
      </c>
      <c r="E1420" s="328" t="s">
        <v>760</v>
      </c>
      <c r="F1420" s="328">
        <v>94.123574499999989</v>
      </c>
      <c r="G1420" s="328">
        <v>9782.526675000001</v>
      </c>
      <c r="H1420" s="328">
        <v>9954.5447999999997</v>
      </c>
      <c r="I1420" s="329">
        <v>0.10815968330521379</v>
      </c>
      <c r="J1420" s="329">
        <v>1.1197099728440885</v>
      </c>
      <c r="K1420" s="329">
        <v>1.1983170799678526</v>
      </c>
    </row>
    <row r="1421" spans="1:11" ht="11.25" x14ac:dyDescent="0.15">
      <c r="A1421" s="326">
        <v>1.35</v>
      </c>
      <c r="B1421" s="327">
        <v>125</v>
      </c>
      <c r="C1421" s="327" t="s">
        <v>112</v>
      </c>
      <c r="D1421" s="327" t="s">
        <v>79</v>
      </c>
      <c r="E1421" s="328" t="s">
        <v>761</v>
      </c>
      <c r="F1421" s="328">
        <v>862.29049500000008</v>
      </c>
      <c r="G1421" s="328">
        <v>11787.300900000002</v>
      </c>
      <c r="H1421" s="328">
        <v>10599.98805</v>
      </c>
      <c r="I1421" s="329">
        <v>0.9908789307220377</v>
      </c>
      <c r="J1421" s="329">
        <v>1.3491768342808121</v>
      </c>
      <c r="K1421" s="329">
        <v>1.2760148236783395</v>
      </c>
    </row>
    <row r="1422" spans="1:11" ht="11.25" x14ac:dyDescent="0.15">
      <c r="A1422" s="326">
        <v>1.35</v>
      </c>
      <c r="B1422" s="327">
        <v>125</v>
      </c>
      <c r="C1422" s="327" t="s">
        <v>112</v>
      </c>
      <c r="D1422" s="327" t="s">
        <v>114</v>
      </c>
      <c r="E1422" s="328" t="s">
        <v>762</v>
      </c>
      <c r="F1422" s="328">
        <v>248.32264500000002</v>
      </c>
      <c r="G1422" s="328">
        <v>10788.604649999999</v>
      </c>
      <c r="H1422" s="328">
        <v>10470.215250000001</v>
      </c>
      <c r="I1422" s="329">
        <v>0.28535357675683087</v>
      </c>
      <c r="J1422" s="329">
        <v>1.2348658604273219</v>
      </c>
      <c r="K1422" s="329">
        <v>1.2603929177168283</v>
      </c>
    </row>
    <row r="1423" spans="1:11" ht="11.25" x14ac:dyDescent="0.15">
      <c r="A1423" s="326">
        <v>1.35</v>
      </c>
      <c r="B1423" s="327">
        <v>125</v>
      </c>
      <c r="C1423" s="327" t="s">
        <v>112</v>
      </c>
      <c r="D1423" s="327" t="s">
        <v>113</v>
      </c>
      <c r="E1423" s="328" t="s">
        <v>763</v>
      </c>
      <c r="F1423" s="328">
        <v>101.88420300000001</v>
      </c>
      <c r="G1423" s="328">
        <v>10202.807250000002</v>
      </c>
      <c r="H1423" s="328">
        <v>10350.236700000001</v>
      </c>
      <c r="I1423" s="329">
        <v>0.11707760982116246</v>
      </c>
      <c r="J1423" s="329">
        <v>1.1678153720782947</v>
      </c>
      <c r="K1423" s="329">
        <v>1.2459500327247615</v>
      </c>
    </row>
    <row r="1424" spans="1:11" ht="11.25" x14ac:dyDescent="0.15">
      <c r="A1424" s="326">
        <v>1.375</v>
      </c>
      <c r="B1424" s="327">
        <v>125</v>
      </c>
      <c r="C1424" s="327" t="s">
        <v>112</v>
      </c>
      <c r="D1424" s="327" t="s">
        <v>79</v>
      </c>
      <c r="E1424" s="328" t="s">
        <v>764</v>
      </c>
      <c r="F1424" s="328">
        <v>925.16352500000005</v>
      </c>
      <c r="G1424" s="328">
        <v>12400.334374999999</v>
      </c>
      <c r="H1424" s="328">
        <v>11011.078374999999</v>
      </c>
      <c r="I1424" s="329">
        <v>1.0631278550681824</v>
      </c>
      <c r="J1424" s="329">
        <v>1.4193447692580774</v>
      </c>
      <c r="K1424" s="329">
        <v>1.325501421785471</v>
      </c>
    </row>
    <row r="1425" spans="1:11" ht="11.25" x14ac:dyDescent="0.15">
      <c r="A1425" s="326">
        <v>1.375</v>
      </c>
      <c r="B1425" s="327">
        <v>125</v>
      </c>
      <c r="C1425" s="327" t="s">
        <v>112</v>
      </c>
      <c r="D1425" s="327" t="s">
        <v>114</v>
      </c>
      <c r="E1425" s="328" t="s">
        <v>765</v>
      </c>
      <c r="F1425" s="328">
        <v>265.70128750000003</v>
      </c>
      <c r="G1425" s="328">
        <v>11302.845124999998</v>
      </c>
      <c r="H1425" s="328">
        <v>10876.9375</v>
      </c>
      <c r="I1425" s="329">
        <v>0.30532379653502817</v>
      </c>
      <c r="J1425" s="329">
        <v>1.2937259287335072</v>
      </c>
      <c r="K1425" s="329">
        <v>1.3093536917923998</v>
      </c>
    </row>
    <row r="1426" spans="1:11" ht="11.25" x14ac:dyDescent="0.15">
      <c r="A1426" s="326">
        <v>1.375</v>
      </c>
      <c r="B1426" s="327">
        <v>125</v>
      </c>
      <c r="C1426" s="327" t="s">
        <v>112</v>
      </c>
      <c r="D1426" s="327" t="s">
        <v>113</v>
      </c>
      <c r="E1426" s="328" t="s">
        <v>766</v>
      </c>
      <c r="F1426" s="328">
        <v>110.43568250000001</v>
      </c>
      <c r="G1426" s="328">
        <v>10640.168</v>
      </c>
      <c r="H1426" s="328">
        <v>10752.865750000001</v>
      </c>
      <c r="I1426" s="329">
        <v>0.12690432241069577</v>
      </c>
      <c r="J1426" s="329">
        <v>1.2178757715819402</v>
      </c>
      <c r="K1426" s="329">
        <v>1.2944180719168932</v>
      </c>
    </row>
    <row r="1427" spans="1:11" ht="11.25" x14ac:dyDescent="0.15">
      <c r="A1427" s="326">
        <v>1.4</v>
      </c>
      <c r="B1427" s="327">
        <v>125</v>
      </c>
      <c r="C1427" s="327" t="s">
        <v>112</v>
      </c>
      <c r="D1427" s="327" t="s">
        <v>79</v>
      </c>
      <c r="E1427" s="328" t="s">
        <v>767</v>
      </c>
      <c r="F1427" s="328">
        <v>993.31063999999992</v>
      </c>
      <c r="G1427" s="328">
        <v>13044.763199999999</v>
      </c>
      <c r="H1427" s="328">
        <v>11430.906200000001</v>
      </c>
      <c r="I1427" s="329">
        <v>1.1414373584600661</v>
      </c>
      <c r="J1427" s="329">
        <v>1.493106222317514</v>
      </c>
      <c r="K1427" s="329">
        <v>1.3760398304672279</v>
      </c>
    </row>
    <row r="1428" spans="1:11" ht="11.25" x14ac:dyDescent="0.15">
      <c r="A1428" s="326">
        <v>1.4</v>
      </c>
      <c r="B1428" s="327">
        <v>125</v>
      </c>
      <c r="C1428" s="327" t="s">
        <v>112</v>
      </c>
      <c r="D1428" s="327" t="s">
        <v>114</v>
      </c>
      <c r="E1428" s="328" t="s">
        <v>768</v>
      </c>
      <c r="F1428" s="328">
        <v>284.49385999999998</v>
      </c>
      <c r="G1428" s="328">
        <v>11843.6248</v>
      </c>
      <c r="H1428" s="328">
        <v>11291.285599999999</v>
      </c>
      <c r="I1428" s="329">
        <v>0.32691879758431647</v>
      </c>
      <c r="J1428" s="329">
        <v>1.3556236792151215</v>
      </c>
      <c r="K1428" s="329">
        <v>1.3592324572465697</v>
      </c>
    </row>
    <row r="1429" spans="1:11" ht="11.25" x14ac:dyDescent="0.15">
      <c r="A1429" s="326">
        <v>1.4</v>
      </c>
      <c r="B1429" s="327">
        <v>125</v>
      </c>
      <c r="C1429" s="327" t="s">
        <v>112</v>
      </c>
      <c r="D1429" s="327" t="s">
        <v>113</v>
      </c>
      <c r="E1429" s="328" t="s">
        <v>769</v>
      </c>
      <c r="F1429" s="328">
        <v>119.87096799999999</v>
      </c>
      <c r="G1429" s="328">
        <v>11098.315199999999</v>
      </c>
      <c r="H1429" s="328">
        <v>11163.8856</v>
      </c>
      <c r="I1429" s="329">
        <v>0.13774663791980635</v>
      </c>
      <c r="J1429" s="329">
        <v>1.2703153923377501</v>
      </c>
      <c r="K1429" s="329">
        <v>1.3438961863215642</v>
      </c>
    </row>
    <row r="1430" spans="1:11" ht="11.25" x14ac:dyDescent="0.15">
      <c r="A1430" s="326">
        <v>0.9</v>
      </c>
      <c r="B1430" s="327">
        <v>140</v>
      </c>
      <c r="C1430" s="327" t="s">
        <v>112</v>
      </c>
      <c r="D1430" s="327" t="s">
        <v>79</v>
      </c>
      <c r="E1430" s="328" t="s">
        <v>770</v>
      </c>
      <c r="F1430" s="328">
        <v>420.29555399999998</v>
      </c>
      <c r="G1430" s="328">
        <v>4634.6175000000003</v>
      </c>
      <c r="H1430" s="328">
        <v>4554.0532800000001</v>
      </c>
      <c r="I1430" s="329">
        <v>0.48297181929941885</v>
      </c>
      <c r="J1430" s="329">
        <v>0.53047925218846759</v>
      </c>
      <c r="K1430" s="329">
        <v>0.54821189096538314</v>
      </c>
    </row>
    <row r="1431" spans="1:11" ht="11.25" x14ac:dyDescent="0.15">
      <c r="A1431" s="326">
        <v>0.9</v>
      </c>
      <c r="B1431" s="327">
        <v>140</v>
      </c>
      <c r="C1431" s="327" t="s">
        <v>112</v>
      </c>
      <c r="D1431" s="327" t="s">
        <v>114</v>
      </c>
      <c r="E1431" s="328" t="s">
        <v>771</v>
      </c>
      <c r="F1431" s="328">
        <v>116.46625320000001</v>
      </c>
      <c r="G1431" s="328">
        <v>4574.8767600000001</v>
      </c>
      <c r="H1431" s="328">
        <v>4485.2115599999997</v>
      </c>
      <c r="I1431" s="329">
        <v>0.13383419752993811</v>
      </c>
      <c r="J1431" s="329">
        <v>0.52364131505980793</v>
      </c>
      <c r="K1431" s="329">
        <v>0.53992480094290762</v>
      </c>
    </row>
    <row r="1432" spans="1:11" ht="11.25" x14ac:dyDescent="0.15">
      <c r="A1432" s="326">
        <v>0.9</v>
      </c>
      <c r="B1432" s="327">
        <v>140</v>
      </c>
      <c r="C1432" s="327" t="s">
        <v>112</v>
      </c>
      <c r="D1432" s="327" t="s">
        <v>113</v>
      </c>
      <c r="E1432" s="328" t="s">
        <v>772</v>
      </c>
      <c r="F1432" s="328">
        <v>43.115797800000003</v>
      </c>
      <c r="G1432" s="328">
        <v>4556.3850000000002</v>
      </c>
      <c r="H1432" s="328">
        <v>4417.5675600000004</v>
      </c>
      <c r="I1432" s="329">
        <v>4.9545409428746613E-2</v>
      </c>
      <c r="J1432" s="329">
        <v>0.52152474448705877</v>
      </c>
      <c r="K1432" s="329">
        <v>0.53178189112775021</v>
      </c>
    </row>
    <row r="1433" spans="1:11" ht="11.25" x14ac:dyDescent="0.15">
      <c r="A1433" s="326">
        <v>0.92500000000000004</v>
      </c>
      <c r="B1433" s="327">
        <v>140</v>
      </c>
      <c r="C1433" s="327" t="s">
        <v>112</v>
      </c>
      <c r="D1433" s="327" t="s">
        <v>79</v>
      </c>
      <c r="E1433" s="328" t="s">
        <v>773</v>
      </c>
      <c r="F1433" s="328">
        <v>447.59676999999999</v>
      </c>
      <c r="G1433" s="328">
        <v>4897.7610399999994</v>
      </c>
      <c r="H1433" s="328">
        <v>4824.1167949999999</v>
      </c>
      <c r="I1433" s="329">
        <v>0.51434430905125283</v>
      </c>
      <c r="J1433" s="329">
        <v>0.56059871475844791</v>
      </c>
      <c r="K1433" s="329">
        <v>0.58072183784920794</v>
      </c>
    </row>
    <row r="1434" spans="1:11" ht="11.25" x14ac:dyDescent="0.15">
      <c r="A1434" s="326">
        <v>0.92500000000000004</v>
      </c>
      <c r="B1434" s="327">
        <v>140</v>
      </c>
      <c r="C1434" s="327" t="s">
        <v>112</v>
      </c>
      <c r="D1434" s="327" t="s">
        <v>114</v>
      </c>
      <c r="E1434" s="328" t="s">
        <v>774</v>
      </c>
      <c r="F1434" s="328">
        <v>124.40225100000001</v>
      </c>
      <c r="G1434" s="328">
        <v>4822.8702650000005</v>
      </c>
      <c r="H1434" s="328">
        <v>4752.3147800000006</v>
      </c>
      <c r="I1434" s="329">
        <v>0.14295364516373862</v>
      </c>
      <c r="J1434" s="329">
        <v>0.55202670157336542</v>
      </c>
      <c r="K1434" s="329">
        <v>0.57207839079268286</v>
      </c>
    </row>
    <row r="1435" spans="1:11" ht="11.25" x14ac:dyDescent="0.15">
      <c r="A1435" s="326">
        <v>0.92500000000000004</v>
      </c>
      <c r="B1435" s="327">
        <v>140</v>
      </c>
      <c r="C1435" s="327" t="s">
        <v>112</v>
      </c>
      <c r="D1435" s="327" t="s">
        <v>113</v>
      </c>
      <c r="E1435" s="328" t="s">
        <v>775</v>
      </c>
      <c r="F1435" s="328">
        <v>46.123243550000005</v>
      </c>
      <c r="G1435" s="328">
        <v>4798.3660900000004</v>
      </c>
      <c r="H1435" s="328">
        <v>4682.5757000000003</v>
      </c>
      <c r="I1435" s="329">
        <v>5.3001338313784993E-2</v>
      </c>
      <c r="J1435" s="329">
        <v>0.54922194876917052</v>
      </c>
      <c r="K1435" s="329">
        <v>0.56368327756708914</v>
      </c>
    </row>
    <row r="1436" spans="1:11" ht="11.25" x14ac:dyDescent="0.15">
      <c r="A1436" s="326">
        <v>0.95</v>
      </c>
      <c r="B1436" s="327">
        <v>140</v>
      </c>
      <c r="C1436" s="327" t="s">
        <v>112</v>
      </c>
      <c r="D1436" s="327" t="s">
        <v>79</v>
      </c>
      <c r="E1436" s="328" t="s">
        <v>776</v>
      </c>
      <c r="F1436" s="328">
        <v>476.353655</v>
      </c>
      <c r="G1436" s="328">
        <v>5171.8203299999996</v>
      </c>
      <c r="H1436" s="328">
        <v>5101.8870299999999</v>
      </c>
      <c r="I1436" s="329">
        <v>0.54738954337184764</v>
      </c>
      <c r="J1436" s="329">
        <v>0.5919675962712162</v>
      </c>
      <c r="K1436" s="329">
        <v>0.61415951115268075</v>
      </c>
    </row>
    <row r="1437" spans="1:11" ht="11.25" x14ac:dyDescent="0.15">
      <c r="A1437" s="326">
        <v>0.95</v>
      </c>
      <c r="B1437" s="327">
        <v>140</v>
      </c>
      <c r="C1437" s="327" t="s">
        <v>112</v>
      </c>
      <c r="D1437" s="327" t="s">
        <v>114</v>
      </c>
      <c r="E1437" s="328" t="s">
        <v>777</v>
      </c>
      <c r="F1437" s="328">
        <v>132.7594144</v>
      </c>
      <c r="G1437" s="328">
        <v>5078.7503499999993</v>
      </c>
      <c r="H1437" s="328">
        <v>5027.2352699999992</v>
      </c>
      <c r="I1437" s="329">
        <v>0.15255706440780828</v>
      </c>
      <c r="J1437" s="329">
        <v>0.58131478762161448</v>
      </c>
      <c r="K1437" s="329">
        <v>0.60517301494868936</v>
      </c>
    </row>
    <row r="1438" spans="1:11" ht="11.25" x14ac:dyDescent="0.15">
      <c r="A1438" s="326">
        <v>0.95</v>
      </c>
      <c r="B1438" s="327">
        <v>140</v>
      </c>
      <c r="C1438" s="327" t="s">
        <v>112</v>
      </c>
      <c r="D1438" s="327" t="s">
        <v>113</v>
      </c>
      <c r="E1438" s="328" t="s">
        <v>778</v>
      </c>
      <c r="F1438" s="328">
        <v>49.3019429</v>
      </c>
      <c r="G1438" s="328">
        <v>5046.0800399999998</v>
      </c>
      <c r="H1438" s="328">
        <v>4955.0348899999999</v>
      </c>
      <c r="I1438" s="329">
        <v>5.6654058865940479E-2</v>
      </c>
      <c r="J1438" s="329">
        <v>0.57757533736114197</v>
      </c>
      <c r="K1438" s="329">
        <v>0.59648161315458947</v>
      </c>
    </row>
    <row r="1439" spans="1:11" ht="11.25" x14ac:dyDescent="0.15">
      <c r="A1439" s="326">
        <v>0.97499999999999998</v>
      </c>
      <c r="B1439" s="327">
        <v>140</v>
      </c>
      <c r="C1439" s="327" t="s">
        <v>112</v>
      </c>
      <c r="D1439" s="327" t="s">
        <v>79</v>
      </c>
      <c r="E1439" s="328" t="s">
        <v>779</v>
      </c>
      <c r="F1439" s="328">
        <v>506.65664400000003</v>
      </c>
      <c r="G1439" s="328">
        <v>5457.2003850000001</v>
      </c>
      <c r="H1439" s="328">
        <v>5387.3158949999997</v>
      </c>
      <c r="I1439" s="329">
        <v>0.58221144331404939</v>
      </c>
      <c r="J1439" s="329">
        <v>0.62463225482521856</v>
      </c>
      <c r="K1439" s="329">
        <v>0.6485191218548535</v>
      </c>
    </row>
    <row r="1440" spans="1:11" ht="11.25" x14ac:dyDescent="0.15">
      <c r="A1440" s="326">
        <v>0.97499999999999998</v>
      </c>
      <c r="B1440" s="327">
        <v>140</v>
      </c>
      <c r="C1440" s="327" t="s">
        <v>112</v>
      </c>
      <c r="D1440" s="327" t="s">
        <v>114</v>
      </c>
      <c r="E1440" s="328" t="s">
        <v>780</v>
      </c>
      <c r="F1440" s="328">
        <v>141.56092859999998</v>
      </c>
      <c r="G1440" s="328">
        <v>5342.6064900000001</v>
      </c>
      <c r="H1440" s="328">
        <v>5310.2674950000001</v>
      </c>
      <c r="I1440" s="329">
        <v>0.16267109793804083</v>
      </c>
      <c r="J1440" s="329">
        <v>0.61151581453107051</v>
      </c>
      <c r="K1440" s="329">
        <v>0.63924412078155535</v>
      </c>
    </row>
    <row r="1441" spans="1:11" ht="11.25" x14ac:dyDescent="0.15">
      <c r="A1441" s="326">
        <v>0.97499999999999998</v>
      </c>
      <c r="B1441" s="327">
        <v>140</v>
      </c>
      <c r="C1441" s="327" t="s">
        <v>112</v>
      </c>
      <c r="D1441" s="327" t="s">
        <v>113</v>
      </c>
      <c r="E1441" s="328" t="s">
        <v>781</v>
      </c>
      <c r="F1441" s="328">
        <v>52.664447549999998</v>
      </c>
      <c r="G1441" s="328">
        <v>5301.0605699999996</v>
      </c>
      <c r="H1441" s="328">
        <v>5235.1098149999998</v>
      </c>
      <c r="I1441" s="329">
        <v>6.051799454824193E-2</v>
      </c>
      <c r="J1441" s="329">
        <v>0.6067604601629738</v>
      </c>
      <c r="K1441" s="329">
        <v>0.63019672248818903</v>
      </c>
    </row>
    <row r="1442" spans="1:11" ht="11.25" x14ac:dyDescent="0.15">
      <c r="A1442" s="326">
        <v>1</v>
      </c>
      <c r="B1442" s="327">
        <v>140</v>
      </c>
      <c r="C1442" s="327" t="s">
        <v>112</v>
      </c>
      <c r="D1442" s="327" t="s">
        <v>79</v>
      </c>
      <c r="E1442" s="328" t="s">
        <v>782</v>
      </c>
      <c r="F1442" s="328">
        <v>538.60834</v>
      </c>
      <c r="G1442" s="328">
        <v>5755.4091999999991</v>
      </c>
      <c r="H1442" s="328">
        <v>5680.5054</v>
      </c>
      <c r="I1442" s="329">
        <v>0.61892791247475332</v>
      </c>
      <c r="J1442" s="329">
        <v>0.65876529583177601</v>
      </c>
      <c r="K1442" s="329">
        <v>0.68381294980656659</v>
      </c>
    </row>
    <row r="1443" spans="1:11" ht="11.25" x14ac:dyDescent="0.15">
      <c r="A1443" s="326">
        <v>1</v>
      </c>
      <c r="B1443" s="327">
        <v>140</v>
      </c>
      <c r="C1443" s="327" t="s">
        <v>112</v>
      </c>
      <c r="D1443" s="327" t="s">
        <v>114</v>
      </c>
      <c r="E1443" s="328" t="s">
        <v>783</v>
      </c>
      <c r="F1443" s="328">
        <v>150.834644</v>
      </c>
      <c r="G1443" s="328">
        <v>5615.6131999999998</v>
      </c>
      <c r="H1443" s="328">
        <v>5600.5457999999999</v>
      </c>
      <c r="I1443" s="329">
        <v>0.17332774932484812</v>
      </c>
      <c r="J1443" s="329">
        <v>0.64276421752511126</v>
      </c>
      <c r="K1443" s="329">
        <v>0.67418750170095387</v>
      </c>
    </row>
    <row r="1444" spans="1:11" ht="11.25" x14ac:dyDescent="0.15">
      <c r="A1444" s="326">
        <v>1</v>
      </c>
      <c r="B1444" s="327">
        <v>140</v>
      </c>
      <c r="C1444" s="327" t="s">
        <v>112</v>
      </c>
      <c r="D1444" s="327" t="s">
        <v>113</v>
      </c>
      <c r="E1444" s="328" t="s">
        <v>784</v>
      </c>
      <c r="F1444" s="328">
        <v>56.225535999999998</v>
      </c>
      <c r="G1444" s="328">
        <v>5562.0002000000004</v>
      </c>
      <c r="H1444" s="328">
        <v>5522.9265999999998</v>
      </c>
      <c r="I1444" s="329">
        <v>6.4610127693630018E-2</v>
      </c>
      <c r="J1444" s="329">
        <v>0.63662766275061689</v>
      </c>
      <c r="K1444" s="329">
        <v>0.66484378835572477</v>
      </c>
    </row>
    <row r="1445" spans="1:11" ht="11.25" x14ac:dyDescent="0.15">
      <c r="A1445" s="326">
        <v>1.0249999999999999</v>
      </c>
      <c r="B1445" s="327">
        <v>140</v>
      </c>
      <c r="C1445" s="327" t="s">
        <v>112</v>
      </c>
      <c r="D1445" s="327" t="s">
        <v>79</v>
      </c>
      <c r="E1445" s="328" t="s">
        <v>785</v>
      </c>
      <c r="F1445" s="328">
        <v>572.32363299999997</v>
      </c>
      <c r="G1445" s="328">
        <v>6067.3708549999992</v>
      </c>
      <c r="H1445" s="328">
        <v>5981.5371499999992</v>
      </c>
      <c r="I1445" s="329">
        <v>0.65767097374069039</v>
      </c>
      <c r="J1445" s="329">
        <v>0.69447248967374386</v>
      </c>
      <c r="K1445" s="329">
        <v>0.72005081852735553</v>
      </c>
    </row>
    <row r="1446" spans="1:11" ht="11.25" x14ac:dyDescent="0.15">
      <c r="A1446" s="326">
        <v>1.0249999999999999</v>
      </c>
      <c r="B1446" s="327">
        <v>140</v>
      </c>
      <c r="C1446" s="327" t="s">
        <v>112</v>
      </c>
      <c r="D1446" s="327" t="s">
        <v>114</v>
      </c>
      <c r="E1446" s="328" t="s">
        <v>786</v>
      </c>
      <c r="F1446" s="328">
        <v>160.61149349999999</v>
      </c>
      <c r="G1446" s="328">
        <v>5897.7171600000001</v>
      </c>
      <c r="H1446" s="328">
        <v>5898.7692199999992</v>
      </c>
      <c r="I1446" s="329">
        <v>0.18456256431418683</v>
      </c>
      <c r="J1446" s="329">
        <v>0.67505389358580137</v>
      </c>
      <c r="K1446" s="329">
        <v>0.7100873067661162</v>
      </c>
    </row>
    <row r="1447" spans="1:11" ht="11.25" x14ac:dyDescent="0.15">
      <c r="A1447" s="326">
        <v>1.0249999999999999</v>
      </c>
      <c r="B1447" s="327">
        <v>140</v>
      </c>
      <c r="C1447" s="327" t="s">
        <v>112</v>
      </c>
      <c r="D1447" s="327" t="s">
        <v>113</v>
      </c>
      <c r="E1447" s="328" t="s">
        <v>787</v>
      </c>
      <c r="F1447" s="328">
        <v>60.003176100000005</v>
      </c>
      <c r="G1447" s="328">
        <v>5830.1087749999997</v>
      </c>
      <c r="H1447" s="328">
        <v>5818.3081549999997</v>
      </c>
      <c r="I1447" s="329">
        <v>6.895110559451792E-2</v>
      </c>
      <c r="J1447" s="329">
        <v>0.66731542422636225</v>
      </c>
      <c r="K1447" s="329">
        <v>0.70040149285909525</v>
      </c>
    </row>
    <row r="1448" spans="1:11" ht="11.25" x14ac:dyDescent="0.15">
      <c r="A1448" s="326">
        <v>1.05</v>
      </c>
      <c r="B1448" s="327">
        <v>140</v>
      </c>
      <c r="C1448" s="327" t="s">
        <v>112</v>
      </c>
      <c r="D1448" s="327" t="s">
        <v>79</v>
      </c>
      <c r="E1448" s="328" t="s">
        <v>788</v>
      </c>
      <c r="F1448" s="328">
        <v>607.92769799999996</v>
      </c>
      <c r="G1448" s="328">
        <v>6394.1604299999999</v>
      </c>
      <c r="H1448" s="328">
        <v>6290.2505400000009</v>
      </c>
      <c r="I1448" s="329">
        <v>0.69858446874165048</v>
      </c>
      <c r="J1448" s="329">
        <v>0.73187689022437996</v>
      </c>
      <c r="K1448" s="329">
        <v>0.75721339456516479</v>
      </c>
    </row>
    <row r="1449" spans="1:11" ht="11.25" x14ac:dyDescent="0.15">
      <c r="A1449" s="326">
        <v>1.05</v>
      </c>
      <c r="B1449" s="327">
        <v>140</v>
      </c>
      <c r="C1449" s="327" t="s">
        <v>112</v>
      </c>
      <c r="D1449" s="327" t="s">
        <v>114</v>
      </c>
      <c r="E1449" s="328" t="s">
        <v>789</v>
      </c>
      <c r="F1449" s="328">
        <v>170.92525800000004</v>
      </c>
      <c r="G1449" s="328">
        <v>6189.9646199999997</v>
      </c>
      <c r="H1449" s="328">
        <v>6204.6352200000001</v>
      </c>
      <c r="I1449" s="329">
        <v>0.19641436135791854</v>
      </c>
      <c r="J1449" s="329">
        <v>0.70850459669879373</v>
      </c>
      <c r="K1449" s="329">
        <v>0.74690711714875146</v>
      </c>
    </row>
    <row r="1450" spans="1:11" ht="11.25" x14ac:dyDescent="0.15">
      <c r="A1450" s="326">
        <v>1.05</v>
      </c>
      <c r="B1450" s="327">
        <v>140</v>
      </c>
      <c r="C1450" s="327" t="s">
        <v>112</v>
      </c>
      <c r="D1450" s="327" t="s">
        <v>113</v>
      </c>
      <c r="E1450" s="328" t="s">
        <v>790</v>
      </c>
      <c r="F1450" s="328">
        <v>64.016943900000001</v>
      </c>
      <c r="G1450" s="328">
        <v>6105.5740200000009</v>
      </c>
      <c r="H1450" s="328">
        <v>6121.3019699999995</v>
      </c>
      <c r="I1450" s="329">
        <v>7.3563423564960748E-2</v>
      </c>
      <c r="J1450" s="329">
        <v>0.69884523163150714</v>
      </c>
      <c r="K1450" s="329">
        <v>0.73687555279191297</v>
      </c>
    </row>
    <row r="1451" spans="1:11" ht="11.25" x14ac:dyDescent="0.15">
      <c r="A1451" s="326">
        <v>1.075</v>
      </c>
      <c r="B1451" s="327">
        <v>140</v>
      </c>
      <c r="C1451" s="327" t="s">
        <v>112</v>
      </c>
      <c r="D1451" s="327" t="s">
        <v>79</v>
      </c>
      <c r="E1451" s="328" t="s">
        <v>791</v>
      </c>
      <c r="F1451" s="328">
        <v>645.56183799999997</v>
      </c>
      <c r="G1451" s="328">
        <v>6737.2144149999995</v>
      </c>
      <c r="H1451" s="328">
        <v>6606.8988300000001</v>
      </c>
      <c r="I1451" s="329">
        <v>0.74183077218355897</v>
      </c>
      <c r="J1451" s="329">
        <v>0.77114291841830829</v>
      </c>
      <c r="K1451" s="329">
        <v>0.79533116507834911</v>
      </c>
    </row>
    <row r="1452" spans="1:11" ht="11.25" x14ac:dyDescent="0.15">
      <c r="A1452" s="326">
        <v>1.075</v>
      </c>
      <c r="B1452" s="327">
        <v>140</v>
      </c>
      <c r="C1452" s="327" t="s">
        <v>112</v>
      </c>
      <c r="D1452" s="327" t="s">
        <v>114</v>
      </c>
      <c r="E1452" s="328" t="s">
        <v>792</v>
      </c>
      <c r="F1452" s="328">
        <v>181.81343849999999</v>
      </c>
      <c r="G1452" s="328">
        <v>6493.7763649999997</v>
      </c>
      <c r="H1452" s="328">
        <v>6518.3852649999999</v>
      </c>
      <c r="I1452" s="329">
        <v>0.20892623376508046</v>
      </c>
      <c r="J1452" s="329">
        <v>0.74327895020125068</v>
      </c>
      <c r="K1452" s="329">
        <v>0.78467600013817584</v>
      </c>
    </row>
    <row r="1453" spans="1:11" ht="11.25" x14ac:dyDescent="0.15">
      <c r="A1453" s="326">
        <v>1.075</v>
      </c>
      <c r="B1453" s="327">
        <v>140</v>
      </c>
      <c r="C1453" s="327" t="s">
        <v>112</v>
      </c>
      <c r="D1453" s="327" t="s">
        <v>113</v>
      </c>
      <c r="E1453" s="328" t="s">
        <v>793</v>
      </c>
      <c r="F1453" s="328">
        <v>68.288536499999992</v>
      </c>
      <c r="G1453" s="328">
        <v>6389.5822049999997</v>
      </c>
      <c r="H1453" s="328">
        <v>6432.0077249999995</v>
      </c>
      <c r="I1453" s="329">
        <v>7.847201426903451E-2</v>
      </c>
      <c r="J1453" s="329">
        <v>0.73135286566909563</v>
      </c>
      <c r="K1453" s="329">
        <v>0.77427796752219857</v>
      </c>
    </row>
    <row r="1454" spans="1:11" ht="11.25" x14ac:dyDescent="0.15">
      <c r="A1454" s="326">
        <v>1.1000000000000001</v>
      </c>
      <c r="B1454" s="327">
        <v>140</v>
      </c>
      <c r="C1454" s="327" t="s">
        <v>112</v>
      </c>
      <c r="D1454" s="327" t="s">
        <v>79</v>
      </c>
      <c r="E1454" s="328" t="s">
        <v>794</v>
      </c>
      <c r="F1454" s="328">
        <v>685.38089400000013</v>
      </c>
      <c r="G1454" s="328">
        <v>7097.7513200000012</v>
      </c>
      <c r="H1454" s="328">
        <v>6931.2667600000004</v>
      </c>
      <c r="I1454" s="329">
        <v>0.78758781561663205</v>
      </c>
      <c r="J1454" s="329">
        <v>0.81241004515546522</v>
      </c>
      <c r="K1454" s="329">
        <v>0.83437821730647488</v>
      </c>
    </row>
    <row r="1455" spans="1:11" ht="11.25" x14ac:dyDescent="0.15">
      <c r="A1455" s="326">
        <v>1.1000000000000001</v>
      </c>
      <c r="B1455" s="327">
        <v>140</v>
      </c>
      <c r="C1455" s="327" t="s">
        <v>112</v>
      </c>
      <c r="D1455" s="327" t="s">
        <v>114</v>
      </c>
      <c r="E1455" s="328" t="s">
        <v>795</v>
      </c>
      <c r="F1455" s="328">
        <v>193.31725600000004</v>
      </c>
      <c r="G1455" s="328">
        <v>6809.4914800000006</v>
      </c>
      <c r="H1455" s="328">
        <v>6839.5751600000003</v>
      </c>
      <c r="I1455" s="329">
        <v>0.22214554958697355</v>
      </c>
      <c r="J1455" s="329">
        <v>0.77941576583054406</v>
      </c>
      <c r="K1455" s="329">
        <v>0.82334048403216376</v>
      </c>
    </row>
    <row r="1456" spans="1:11" ht="11.25" x14ac:dyDescent="0.15">
      <c r="A1456" s="326">
        <v>1.1000000000000001</v>
      </c>
      <c r="B1456" s="327">
        <v>140</v>
      </c>
      <c r="C1456" s="327" t="s">
        <v>112</v>
      </c>
      <c r="D1456" s="327" t="s">
        <v>113</v>
      </c>
      <c r="E1456" s="328" t="s">
        <v>796</v>
      </c>
      <c r="F1456" s="328">
        <v>72.843643400000005</v>
      </c>
      <c r="G1456" s="328">
        <v>6681.8690400000005</v>
      </c>
      <c r="H1456" s="328">
        <v>6750.6113400000004</v>
      </c>
      <c r="I1456" s="329">
        <v>8.3706398134528223E-2</v>
      </c>
      <c r="J1456" s="329">
        <v>0.76480807565251585</v>
      </c>
      <c r="K1456" s="329">
        <v>0.81263111789367537</v>
      </c>
    </row>
    <row r="1457" spans="1:11" ht="11.25" x14ac:dyDescent="0.15">
      <c r="A1457" s="326">
        <v>1.125</v>
      </c>
      <c r="B1457" s="327">
        <v>140</v>
      </c>
      <c r="C1457" s="327" t="s">
        <v>112</v>
      </c>
      <c r="D1457" s="327" t="s">
        <v>79</v>
      </c>
      <c r="E1457" s="328" t="s">
        <v>797</v>
      </c>
      <c r="F1457" s="328">
        <v>727.55669250000005</v>
      </c>
      <c r="G1457" s="328">
        <v>7476.5056500000001</v>
      </c>
      <c r="H1457" s="328">
        <v>7263.5969249999998</v>
      </c>
      <c r="I1457" s="329">
        <v>0.83605304904127742</v>
      </c>
      <c r="J1457" s="329">
        <v>0.85576234202603618</v>
      </c>
      <c r="K1457" s="329">
        <v>0.87438375456700679</v>
      </c>
    </row>
    <row r="1458" spans="1:11" ht="11.25" x14ac:dyDescent="0.15">
      <c r="A1458" s="326">
        <v>1.125</v>
      </c>
      <c r="B1458" s="327">
        <v>140</v>
      </c>
      <c r="C1458" s="327" t="s">
        <v>112</v>
      </c>
      <c r="D1458" s="327" t="s">
        <v>114</v>
      </c>
      <c r="E1458" s="328" t="s">
        <v>798</v>
      </c>
      <c r="F1458" s="328">
        <v>205.48235249999999</v>
      </c>
      <c r="G1458" s="328">
        <v>7137.84825</v>
      </c>
      <c r="H1458" s="328">
        <v>7168.6833749999996</v>
      </c>
      <c r="I1458" s="329">
        <v>0.23612475715327097</v>
      </c>
      <c r="J1458" s="329">
        <v>0.81699954783642059</v>
      </c>
      <c r="K1458" s="329">
        <v>0.86295816651948665</v>
      </c>
    </row>
    <row r="1459" spans="1:11" ht="11.25" x14ac:dyDescent="0.15">
      <c r="A1459" s="326">
        <v>1.125</v>
      </c>
      <c r="B1459" s="327">
        <v>140</v>
      </c>
      <c r="C1459" s="327" t="s">
        <v>112</v>
      </c>
      <c r="D1459" s="327" t="s">
        <v>113</v>
      </c>
      <c r="E1459" s="328" t="s">
        <v>799</v>
      </c>
      <c r="F1459" s="328">
        <v>77.710781249999997</v>
      </c>
      <c r="G1459" s="328">
        <v>6983.7057000000004</v>
      </c>
      <c r="H1459" s="328">
        <v>7076.6464500000002</v>
      </c>
      <c r="I1459" s="329">
        <v>8.9299344335894801E-2</v>
      </c>
      <c r="J1459" s="329">
        <v>0.79935636052820724</v>
      </c>
      <c r="K1459" s="329">
        <v>0.85187886340406749</v>
      </c>
    </row>
    <row r="1460" spans="1:11" ht="11.25" x14ac:dyDescent="0.15">
      <c r="A1460" s="326">
        <v>1.1499999999999999</v>
      </c>
      <c r="B1460" s="327">
        <v>140</v>
      </c>
      <c r="C1460" s="327" t="s">
        <v>112</v>
      </c>
      <c r="D1460" s="327" t="s">
        <v>79</v>
      </c>
      <c r="E1460" s="328" t="s">
        <v>800</v>
      </c>
      <c r="F1460" s="328">
        <v>772.27967099999989</v>
      </c>
      <c r="G1460" s="328">
        <v>7875.5546599999989</v>
      </c>
      <c r="H1460" s="328">
        <v>7603.6824699999997</v>
      </c>
      <c r="I1460" s="329">
        <v>0.88744530880958739</v>
      </c>
      <c r="J1460" s="329">
        <v>0.90143757205555808</v>
      </c>
      <c r="K1460" s="329">
        <v>0.91532287588410355</v>
      </c>
    </row>
    <row r="1461" spans="1:11" ht="11.25" x14ac:dyDescent="0.15">
      <c r="A1461" s="326">
        <v>1.1499999999999999</v>
      </c>
      <c r="B1461" s="327">
        <v>140</v>
      </c>
      <c r="C1461" s="327" t="s">
        <v>112</v>
      </c>
      <c r="D1461" s="327" t="s">
        <v>114</v>
      </c>
      <c r="E1461" s="328" t="s">
        <v>801</v>
      </c>
      <c r="F1461" s="328">
        <v>218.359171</v>
      </c>
      <c r="G1461" s="328">
        <v>7480.8419999999996</v>
      </c>
      <c r="H1461" s="328">
        <v>7505.3540199999989</v>
      </c>
      <c r="I1461" s="329">
        <v>0.25092182173923949</v>
      </c>
      <c r="J1461" s="329">
        <v>0.85625868152012108</v>
      </c>
      <c r="K1461" s="329">
        <v>0.90348620595603557</v>
      </c>
    </row>
    <row r="1462" spans="1:11" ht="11.25" x14ac:dyDescent="0.15">
      <c r="A1462" s="326">
        <v>1.1499999999999999</v>
      </c>
      <c r="B1462" s="327">
        <v>140</v>
      </c>
      <c r="C1462" s="327" t="s">
        <v>112</v>
      </c>
      <c r="D1462" s="327" t="s">
        <v>113</v>
      </c>
      <c r="E1462" s="328" t="s">
        <v>802</v>
      </c>
      <c r="F1462" s="328">
        <v>82.921345699999989</v>
      </c>
      <c r="G1462" s="328">
        <v>7295.3610299999991</v>
      </c>
      <c r="H1462" s="328">
        <v>7410.8401199999998</v>
      </c>
      <c r="I1462" s="329">
        <v>9.5286930376344253E-2</v>
      </c>
      <c r="J1462" s="329">
        <v>0.83502849234899923</v>
      </c>
      <c r="K1462" s="329">
        <v>0.89210872733296764</v>
      </c>
    </row>
    <row r="1463" spans="1:11" ht="11.25" x14ac:dyDescent="0.15">
      <c r="A1463" s="326">
        <v>1.175</v>
      </c>
      <c r="B1463" s="327">
        <v>140</v>
      </c>
      <c r="C1463" s="327" t="s">
        <v>112</v>
      </c>
      <c r="D1463" s="327" t="s">
        <v>79</v>
      </c>
      <c r="E1463" s="328" t="s">
        <v>803</v>
      </c>
      <c r="F1463" s="328">
        <v>819.75896000000012</v>
      </c>
      <c r="G1463" s="328">
        <v>8294.9834699999992</v>
      </c>
      <c r="H1463" s="328">
        <v>7951.3970199999994</v>
      </c>
      <c r="I1463" s="329">
        <v>0.94200491185352764</v>
      </c>
      <c r="J1463" s="329">
        <v>0.94944547809636926</v>
      </c>
      <c r="K1463" s="329">
        <v>0.95718036837520526</v>
      </c>
    </row>
    <row r="1464" spans="1:11" ht="11.25" x14ac:dyDescent="0.15">
      <c r="A1464" s="326">
        <v>1.175</v>
      </c>
      <c r="B1464" s="327">
        <v>140</v>
      </c>
      <c r="C1464" s="327" t="s">
        <v>112</v>
      </c>
      <c r="D1464" s="327" t="s">
        <v>114</v>
      </c>
      <c r="E1464" s="328" t="s">
        <v>804</v>
      </c>
      <c r="F1464" s="328">
        <v>232.00363249999998</v>
      </c>
      <c r="G1464" s="328">
        <v>7838.6574150000006</v>
      </c>
      <c r="H1464" s="328">
        <v>7849.9815950000002</v>
      </c>
      <c r="I1464" s="329">
        <v>0.26660100352286564</v>
      </c>
      <c r="J1464" s="329">
        <v>0.89721430596393048</v>
      </c>
      <c r="K1464" s="329">
        <v>0.94497209181496544</v>
      </c>
    </row>
    <row r="1465" spans="1:11" ht="11.25" x14ac:dyDescent="0.15">
      <c r="A1465" s="326">
        <v>1.175</v>
      </c>
      <c r="B1465" s="327">
        <v>140</v>
      </c>
      <c r="C1465" s="327" t="s">
        <v>112</v>
      </c>
      <c r="D1465" s="327" t="s">
        <v>113</v>
      </c>
      <c r="E1465" s="328" t="s">
        <v>805</v>
      </c>
      <c r="F1465" s="328">
        <v>88.511520950000005</v>
      </c>
      <c r="G1465" s="328">
        <v>7618.1515099999997</v>
      </c>
      <c r="H1465" s="328">
        <v>7752.505005</v>
      </c>
      <c r="I1465" s="329">
        <v>0.10171073639808269</v>
      </c>
      <c r="J1465" s="329">
        <v>0.87197515568075357</v>
      </c>
      <c r="K1465" s="329">
        <v>0.93323796785039959</v>
      </c>
    </row>
    <row r="1466" spans="1:11" ht="11.25" x14ac:dyDescent="0.15">
      <c r="A1466" s="330">
        <v>1.2</v>
      </c>
      <c r="B1466" s="331">
        <v>140</v>
      </c>
      <c r="C1466" s="331" t="s">
        <v>112</v>
      </c>
      <c r="D1466" s="331" t="s">
        <v>79</v>
      </c>
      <c r="E1466" s="328" t="s">
        <v>806</v>
      </c>
      <c r="F1466" s="328">
        <v>870.22790399999997</v>
      </c>
      <c r="G1466" s="328">
        <v>8736.6612000000005</v>
      </c>
      <c r="H1466" s="328">
        <v>8307.104159999999</v>
      </c>
      <c r="I1466" s="329">
        <v>1</v>
      </c>
      <c r="J1466" s="329">
        <v>1</v>
      </c>
      <c r="K1466" s="329">
        <v>1</v>
      </c>
    </row>
    <row r="1467" spans="1:11" ht="11.25" x14ac:dyDescent="0.15">
      <c r="A1467" s="326">
        <v>1.2</v>
      </c>
      <c r="B1467" s="327">
        <v>140</v>
      </c>
      <c r="C1467" s="327" t="s">
        <v>112</v>
      </c>
      <c r="D1467" s="327" t="s">
        <v>114</v>
      </c>
      <c r="E1467" s="328" t="s">
        <v>807</v>
      </c>
      <c r="F1467" s="328">
        <v>246.47726399999999</v>
      </c>
      <c r="G1467" s="328">
        <v>8213.761199999999</v>
      </c>
      <c r="H1467" s="328">
        <v>8202.1507199999996</v>
      </c>
      <c r="I1467" s="329">
        <v>0.28323300467276213</v>
      </c>
      <c r="J1467" s="329">
        <v>0.94014876071879705</v>
      </c>
      <c r="K1467" s="329">
        <v>0.98736582111184223</v>
      </c>
    </row>
    <row r="1468" spans="1:11" ht="11.25" x14ac:dyDescent="0.15">
      <c r="A1468" s="326">
        <v>1.2</v>
      </c>
      <c r="B1468" s="327">
        <v>140</v>
      </c>
      <c r="C1468" s="327" t="s">
        <v>112</v>
      </c>
      <c r="D1468" s="327" t="s">
        <v>113</v>
      </c>
      <c r="E1468" s="328" t="s">
        <v>808</v>
      </c>
      <c r="F1468" s="328">
        <v>94.521072000000004</v>
      </c>
      <c r="G1468" s="328">
        <v>7951.8743999999997</v>
      </c>
      <c r="H1468" s="328">
        <v>8101.7687999999998</v>
      </c>
      <c r="I1468" s="329">
        <v>0.10861645732748189</v>
      </c>
      <c r="J1468" s="329">
        <v>0.91017314486225009</v>
      </c>
      <c r="K1468" s="329">
        <v>0.97528195673906182</v>
      </c>
    </row>
    <row r="1469" spans="1:11" ht="11.25" x14ac:dyDescent="0.15">
      <c r="A1469" s="326">
        <v>1.2250000000000001</v>
      </c>
      <c r="B1469" s="327">
        <v>140</v>
      </c>
      <c r="C1469" s="327" t="s">
        <v>112</v>
      </c>
      <c r="D1469" s="327" t="s">
        <v>79</v>
      </c>
      <c r="E1469" s="328" t="s">
        <v>809</v>
      </c>
      <c r="F1469" s="328">
        <v>923.94196650000004</v>
      </c>
      <c r="G1469" s="328">
        <v>9202.1250300000011</v>
      </c>
      <c r="H1469" s="328">
        <v>8670.9672350000001</v>
      </c>
      <c r="I1469" s="329">
        <v>1.0617241325555105</v>
      </c>
      <c r="J1469" s="329">
        <v>1.0532770836987475</v>
      </c>
      <c r="K1469" s="329">
        <v>1.0438014340487096</v>
      </c>
    </row>
    <row r="1470" spans="1:11" ht="11.25" x14ac:dyDescent="0.15">
      <c r="A1470" s="326">
        <v>1.2250000000000001</v>
      </c>
      <c r="B1470" s="327">
        <v>140</v>
      </c>
      <c r="C1470" s="327" t="s">
        <v>112</v>
      </c>
      <c r="D1470" s="327" t="s">
        <v>114</v>
      </c>
      <c r="E1470" s="328" t="s">
        <v>810</v>
      </c>
      <c r="F1470" s="328">
        <v>261.84840500000001</v>
      </c>
      <c r="G1470" s="328">
        <v>8606.0802100000019</v>
      </c>
      <c r="H1470" s="328">
        <v>8562.0066700000007</v>
      </c>
      <c r="I1470" s="329">
        <v>0.3008963557665924</v>
      </c>
      <c r="J1470" s="329">
        <v>0.98505367359329454</v>
      </c>
      <c r="K1470" s="329">
        <v>1.0306848818902978</v>
      </c>
    </row>
    <row r="1471" spans="1:11" ht="11.25" x14ac:dyDescent="0.15">
      <c r="A1471" s="326">
        <v>1.2250000000000001</v>
      </c>
      <c r="B1471" s="327">
        <v>140</v>
      </c>
      <c r="C1471" s="327" t="s">
        <v>112</v>
      </c>
      <c r="D1471" s="327" t="s">
        <v>113</v>
      </c>
      <c r="E1471" s="328" t="s">
        <v>811</v>
      </c>
      <c r="F1471" s="328">
        <v>100.99582570000001</v>
      </c>
      <c r="G1471" s="328">
        <v>8298.4596799999999</v>
      </c>
      <c r="H1471" s="328">
        <v>8458.6791450000001</v>
      </c>
      <c r="I1471" s="329">
        <v>0.11605675390983557</v>
      </c>
      <c r="J1471" s="329">
        <v>0.94984336579287287</v>
      </c>
      <c r="K1471" s="329">
        <v>1.0182464288494009</v>
      </c>
    </row>
    <row r="1472" spans="1:11" ht="11.25" x14ac:dyDescent="0.15">
      <c r="A1472" s="326">
        <v>1.25</v>
      </c>
      <c r="B1472" s="327">
        <v>140</v>
      </c>
      <c r="C1472" s="327" t="s">
        <v>112</v>
      </c>
      <c r="D1472" s="327" t="s">
        <v>79</v>
      </c>
      <c r="E1472" s="328" t="s">
        <v>812</v>
      </c>
      <c r="F1472" s="328">
        <v>981.18385000000001</v>
      </c>
      <c r="G1472" s="328">
        <v>9691.3627500000002</v>
      </c>
      <c r="H1472" s="328">
        <v>9042.3917500000007</v>
      </c>
      <c r="I1472" s="329">
        <v>1.127502169822401</v>
      </c>
      <c r="J1472" s="329">
        <v>1.1092753316335535</v>
      </c>
      <c r="K1472" s="329">
        <v>1.0885131058715414</v>
      </c>
    </row>
    <row r="1473" spans="1:11" ht="11.25" x14ac:dyDescent="0.15">
      <c r="A1473" s="326">
        <v>1.25</v>
      </c>
      <c r="B1473" s="327">
        <v>140</v>
      </c>
      <c r="C1473" s="327" t="s">
        <v>112</v>
      </c>
      <c r="D1473" s="327" t="s">
        <v>114</v>
      </c>
      <c r="E1473" s="328" t="s">
        <v>813</v>
      </c>
      <c r="F1473" s="328">
        <v>278.19187499999998</v>
      </c>
      <c r="G1473" s="328">
        <v>9018.4140000000007</v>
      </c>
      <c r="H1473" s="328">
        <v>8930.1372499999998</v>
      </c>
      <c r="I1473" s="329">
        <v>0.31967703370725287</v>
      </c>
      <c r="J1473" s="329">
        <v>1.0322494822163872</v>
      </c>
      <c r="K1473" s="329">
        <v>1.0750000334653322</v>
      </c>
    </row>
    <row r="1474" spans="1:11" ht="11.25" x14ac:dyDescent="0.15">
      <c r="A1474" s="326">
        <v>1.25</v>
      </c>
      <c r="B1474" s="327">
        <v>140</v>
      </c>
      <c r="C1474" s="327" t="s">
        <v>112</v>
      </c>
      <c r="D1474" s="327" t="s">
        <v>113</v>
      </c>
      <c r="E1474" s="328" t="s">
        <v>814</v>
      </c>
      <c r="F1474" s="328">
        <v>107.98607</v>
      </c>
      <c r="G1474" s="328">
        <v>8658.5424999999996</v>
      </c>
      <c r="H1474" s="328">
        <v>8823.3622500000001</v>
      </c>
      <c r="I1474" s="329">
        <v>0.12408941324869308</v>
      </c>
      <c r="J1474" s="329">
        <v>0.99105851786950361</v>
      </c>
      <c r="K1474" s="329">
        <v>1.0621465772014591</v>
      </c>
    </row>
    <row r="1475" spans="1:11" ht="11.25" x14ac:dyDescent="0.15">
      <c r="A1475" s="326">
        <v>1.2749999999999999</v>
      </c>
      <c r="B1475" s="327">
        <v>140</v>
      </c>
      <c r="C1475" s="327" t="s">
        <v>112</v>
      </c>
      <c r="D1475" s="327" t="s">
        <v>79</v>
      </c>
      <c r="E1475" s="328" t="s">
        <v>815</v>
      </c>
      <c r="F1475" s="328">
        <v>1042.2646874999998</v>
      </c>
      <c r="G1475" s="328">
        <v>10206.51525</v>
      </c>
      <c r="H1475" s="328">
        <v>9422.1278550000006</v>
      </c>
      <c r="I1475" s="329">
        <v>1.1976916422804109</v>
      </c>
      <c r="J1475" s="329">
        <v>1.1682397905048669</v>
      </c>
      <c r="K1475" s="329">
        <v>1.1342253176948249</v>
      </c>
    </row>
    <row r="1476" spans="1:11" ht="11.25" x14ac:dyDescent="0.15">
      <c r="A1476" s="326">
        <v>1.2749999999999999</v>
      </c>
      <c r="B1476" s="327">
        <v>140</v>
      </c>
      <c r="C1476" s="327" t="s">
        <v>112</v>
      </c>
      <c r="D1476" s="327" t="s">
        <v>114</v>
      </c>
      <c r="E1476" s="328" t="s">
        <v>816</v>
      </c>
      <c r="F1476" s="328">
        <v>295.59153749999996</v>
      </c>
      <c r="G1476" s="328">
        <v>9449.9090849999975</v>
      </c>
      <c r="H1476" s="328">
        <v>9305.6599199999982</v>
      </c>
      <c r="I1476" s="329">
        <v>0.33967140807748675</v>
      </c>
      <c r="J1476" s="329">
        <v>1.0816384965231336</v>
      </c>
      <c r="K1476" s="329">
        <v>1.1202050366490168</v>
      </c>
    </row>
    <row r="1477" spans="1:11" ht="11.25" x14ac:dyDescent="0.15">
      <c r="A1477" s="326">
        <v>1.2749999999999999</v>
      </c>
      <c r="B1477" s="327">
        <v>140</v>
      </c>
      <c r="C1477" s="327" t="s">
        <v>112</v>
      </c>
      <c r="D1477" s="327" t="s">
        <v>113</v>
      </c>
      <c r="E1477" s="328" t="s">
        <v>817</v>
      </c>
      <c r="F1477" s="328">
        <v>115.54762979999998</v>
      </c>
      <c r="G1477" s="328">
        <v>9033.455579999998</v>
      </c>
      <c r="H1477" s="328">
        <v>9195.5136899999998</v>
      </c>
      <c r="I1477" s="329">
        <v>0.13277858509119927</v>
      </c>
      <c r="J1477" s="329">
        <v>1.0339711444916735</v>
      </c>
      <c r="K1477" s="329">
        <v>1.1069457554508382</v>
      </c>
    </row>
    <row r="1478" spans="1:11" ht="11.25" x14ac:dyDescent="0.15">
      <c r="A1478" s="326">
        <v>1.3</v>
      </c>
      <c r="B1478" s="327">
        <v>140</v>
      </c>
      <c r="C1478" s="327" t="s">
        <v>112</v>
      </c>
      <c r="D1478" s="327" t="s">
        <v>79</v>
      </c>
      <c r="E1478" s="328" t="s">
        <v>818</v>
      </c>
      <c r="F1478" s="328">
        <v>1107.526368</v>
      </c>
      <c r="G1478" s="328">
        <v>10746.92216</v>
      </c>
      <c r="H1478" s="328">
        <v>9809.3535800000009</v>
      </c>
      <c r="I1478" s="329">
        <v>1.2726854228751554</v>
      </c>
      <c r="J1478" s="329">
        <v>1.2300948742295283</v>
      </c>
      <c r="K1478" s="329">
        <v>1.1808391216801599</v>
      </c>
    </row>
    <row r="1479" spans="1:11" ht="11.25" x14ac:dyDescent="0.15">
      <c r="A1479" s="326">
        <v>1.3</v>
      </c>
      <c r="B1479" s="327">
        <v>140</v>
      </c>
      <c r="C1479" s="327" t="s">
        <v>112</v>
      </c>
      <c r="D1479" s="327" t="s">
        <v>114</v>
      </c>
      <c r="E1479" s="328" t="s">
        <v>819</v>
      </c>
      <c r="F1479" s="328">
        <v>314.13967000000002</v>
      </c>
      <c r="G1479" s="328">
        <v>9902.9392800000005</v>
      </c>
      <c r="H1479" s="328">
        <v>9688.9925600000006</v>
      </c>
      <c r="I1479" s="329">
        <v>0.36098551719159772</v>
      </c>
      <c r="J1479" s="329">
        <v>1.1334924238563813</v>
      </c>
      <c r="K1479" s="329">
        <v>1.1663501953730169</v>
      </c>
    </row>
    <row r="1480" spans="1:11" ht="11.25" x14ac:dyDescent="0.15">
      <c r="A1480" s="326">
        <v>1.3</v>
      </c>
      <c r="B1480" s="327">
        <v>140</v>
      </c>
      <c r="C1480" s="327" t="s">
        <v>112</v>
      </c>
      <c r="D1480" s="327" t="s">
        <v>113</v>
      </c>
      <c r="E1480" s="328" t="s">
        <v>820</v>
      </c>
      <c r="F1480" s="328">
        <v>123.7443064</v>
      </c>
      <c r="G1480" s="328">
        <v>9424.0416399999995</v>
      </c>
      <c r="H1480" s="328">
        <v>9575.5985000000001</v>
      </c>
      <c r="I1480" s="329">
        <v>0.14219758505928121</v>
      </c>
      <c r="J1480" s="329">
        <v>1.0786777035602571</v>
      </c>
      <c r="K1480" s="329">
        <v>1.1526999439958872</v>
      </c>
    </row>
    <row r="1481" spans="1:11" ht="11.25" x14ac:dyDescent="0.15">
      <c r="A1481" s="326">
        <v>1.325</v>
      </c>
      <c r="B1481" s="327">
        <v>140</v>
      </c>
      <c r="C1481" s="327" t="s">
        <v>112</v>
      </c>
      <c r="D1481" s="327" t="s">
        <v>79</v>
      </c>
      <c r="E1481" s="328" t="s">
        <v>821</v>
      </c>
      <c r="F1481" s="328">
        <v>1177.3449679999999</v>
      </c>
      <c r="G1481" s="328">
        <v>11314.185600000001</v>
      </c>
      <c r="H1481" s="328">
        <v>10204.812125</v>
      </c>
      <c r="I1481" s="329">
        <v>1.3529156702380345</v>
      </c>
      <c r="J1481" s="329">
        <v>1.2950239617853099</v>
      </c>
      <c r="K1481" s="329">
        <v>1.2284439834205716</v>
      </c>
    </row>
    <row r="1482" spans="1:11" ht="11.25" x14ac:dyDescent="0.15">
      <c r="A1482" s="326">
        <v>1.325</v>
      </c>
      <c r="B1482" s="327">
        <v>140</v>
      </c>
      <c r="C1482" s="327" t="s">
        <v>112</v>
      </c>
      <c r="D1482" s="327" t="s">
        <v>114</v>
      </c>
      <c r="E1482" s="328" t="s">
        <v>822</v>
      </c>
      <c r="F1482" s="328">
        <v>333.93747099999996</v>
      </c>
      <c r="G1482" s="328">
        <v>10378.721554999998</v>
      </c>
      <c r="H1482" s="328">
        <v>10080.044824999999</v>
      </c>
      <c r="I1482" s="329">
        <v>0.38373565070145116</v>
      </c>
      <c r="J1482" s="329">
        <v>1.1879505588473545</v>
      </c>
      <c r="K1482" s="329">
        <v>1.2134246340062744</v>
      </c>
    </row>
    <row r="1483" spans="1:11" ht="11.25" x14ac:dyDescent="0.15">
      <c r="A1483" s="326">
        <v>1.325</v>
      </c>
      <c r="B1483" s="327">
        <v>140</v>
      </c>
      <c r="C1483" s="327" t="s">
        <v>112</v>
      </c>
      <c r="D1483" s="327" t="s">
        <v>113</v>
      </c>
      <c r="E1483" s="328" t="s">
        <v>823</v>
      </c>
      <c r="F1483" s="328">
        <v>132.64533129999998</v>
      </c>
      <c r="G1483" s="328">
        <v>9831.418380000001</v>
      </c>
      <c r="H1483" s="328">
        <v>9963.2532300000003</v>
      </c>
      <c r="I1483" s="329">
        <v>0.15242596874944611</v>
      </c>
      <c r="J1483" s="329">
        <v>1.1253061272422926</v>
      </c>
      <c r="K1483" s="329">
        <v>1.1993653911280682</v>
      </c>
    </row>
    <row r="1484" spans="1:11" ht="11.25" x14ac:dyDescent="0.15">
      <c r="A1484" s="326">
        <v>1.35</v>
      </c>
      <c r="B1484" s="327">
        <v>140</v>
      </c>
      <c r="C1484" s="327" t="s">
        <v>112</v>
      </c>
      <c r="D1484" s="327" t="s">
        <v>79</v>
      </c>
      <c r="E1484" s="328" t="s">
        <v>824</v>
      </c>
      <c r="F1484" s="328">
        <v>1252.1332080000002</v>
      </c>
      <c r="G1484" s="328">
        <v>11909.611710000003</v>
      </c>
      <c r="H1484" s="328">
        <v>10608.38775</v>
      </c>
      <c r="I1484" s="329">
        <v>1.4388566515099936</v>
      </c>
      <c r="J1484" s="329">
        <v>1.3631765542195915</v>
      </c>
      <c r="K1484" s="329">
        <v>1.2770259702630238</v>
      </c>
    </row>
    <row r="1485" spans="1:11" ht="11.25" x14ac:dyDescent="0.15">
      <c r="A1485" s="326">
        <v>1.35</v>
      </c>
      <c r="B1485" s="327">
        <v>140</v>
      </c>
      <c r="C1485" s="327" t="s">
        <v>112</v>
      </c>
      <c r="D1485" s="327" t="s">
        <v>114</v>
      </c>
      <c r="E1485" s="328" t="s">
        <v>825</v>
      </c>
      <c r="F1485" s="328">
        <v>355.09652100000005</v>
      </c>
      <c r="G1485" s="328">
        <v>10877.82129</v>
      </c>
      <c r="H1485" s="328">
        <v>10478.935710000002</v>
      </c>
      <c r="I1485" s="329">
        <v>0.40805002846702565</v>
      </c>
      <c r="J1485" s="329">
        <v>1.2450776150046885</v>
      </c>
      <c r="K1485" s="329">
        <v>1.2614426770351226</v>
      </c>
    </row>
    <row r="1486" spans="1:11" ht="11.25" x14ac:dyDescent="0.15">
      <c r="A1486" s="326">
        <v>1.35</v>
      </c>
      <c r="B1486" s="327">
        <v>140</v>
      </c>
      <c r="C1486" s="327" t="s">
        <v>112</v>
      </c>
      <c r="D1486" s="327" t="s">
        <v>113</v>
      </c>
      <c r="E1486" s="328" t="s">
        <v>826</v>
      </c>
      <c r="F1486" s="328">
        <v>142.32930120000003</v>
      </c>
      <c r="G1486" s="328">
        <v>10258.383780000002</v>
      </c>
      <c r="H1486" s="328">
        <v>10358.748990000002</v>
      </c>
      <c r="I1486" s="329">
        <v>0.16355405353676183</v>
      </c>
      <c r="J1486" s="329">
        <v>1.1741766728919283</v>
      </c>
      <c r="K1486" s="329">
        <v>1.2469747327689704</v>
      </c>
    </row>
    <row r="1487" spans="1:11" ht="11.25" x14ac:dyDescent="0.15">
      <c r="A1487" s="326">
        <v>1.375</v>
      </c>
      <c r="B1487" s="327">
        <v>140</v>
      </c>
      <c r="C1487" s="327" t="s">
        <v>112</v>
      </c>
      <c r="D1487" s="327" t="s">
        <v>79</v>
      </c>
      <c r="E1487" s="328" t="s">
        <v>827</v>
      </c>
      <c r="F1487" s="328">
        <v>1332.3429350000001</v>
      </c>
      <c r="G1487" s="328">
        <v>12532.189175</v>
      </c>
      <c r="H1487" s="328">
        <v>11019.78955</v>
      </c>
      <c r="I1487" s="329">
        <v>1.5310275950425054</v>
      </c>
      <c r="J1487" s="329">
        <v>1.4344368962138532</v>
      </c>
      <c r="K1487" s="329">
        <v>1.3265500633857468</v>
      </c>
    </row>
    <row r="1488" spans="1:11" ht="11.25" x14ac:dyDescent="0.15">
      <c r="A1488" s="326">
        <v>1.375</v>
      </c>
      <c r="B1488" s="327">
        <v>140</v>
      </c>
      <c r="C1488" s="327" t="s">
        <v>112</v>
      </c>
      <c r="D1488" s="327" t="s">
        <v>114</v>
      </c>
      <c r="E1488" s="328" t="s">
        <v>828</v>
      </c>
      <c r="F1488" s="328">
        <v>377.74214500000005</v>
      </c>
      <c r="G1488" s="328">
        <v>11400.868324999999</v>
      </c>
      <c r="H1488" s="328">
        <v>10885.871424999999</v>
      </c>
      <c r="I1488" s="329">
        <v>0.43407266448675041</v>
      </c>
      <c r="J1488" s="329">
        <v>1.3049456839415954</v>
      </c>
      <c r="K1488" s="329">
        <v>1.3104291477910157</v>
      </c>
    </row>
    <row r="1489" spans="1:11" ht="11.25" x14ac:dyDescent="0.15">
      <c r="A1489" s="326">
        <v>1.375</v>
      </c>
      <c r="B1489" s="327">
        <v>140</v>
      </c>
      <c r="C1489" s="327" t="s">
        <v>112</v>
      </c>
      <c r="D1489" s="327" t="s">
        <v>113</v>
      </c>
      <c r="E1489" s="328" t="s">
        <v>829</v>
      </c>
      <c r="F1489" s="328">
        <v>152.882543</v>
      </c>
      <c r="G1489" s="328">
        <v>10702.782200000001</v>
      </c>
      <c r="H1489" s="328">
        <v>10761.885475000001</v>
      </c>
      <c r="I1489" s="329">
        <v>0.17568103975668425</v>
      </c>
      <c r="J1489" s="329">
        <v>1.2250426055207453</v>
      </c>
      <c r="K1489" s="329">
        <v>1.2955038564244994</v>
      </c>
    </row>
    <row r="1490" spans="1:11" ht="11.25" x14ac:dyDescent="0.15">
      <c r="A1490" s="326">
        <v>1.4</v>
      </c>
      <c r="B1490" s="327">
        <v>140</v>
      </c>
      <c r="C1490" s="327" t="s">
        <v>112</v>
      </c>
      <c r="D1490" s="327" t="s">
        <v>79</v>
      </c>
      <c r="E1490" s="328" t="s">
        <v>830</v>
      </c>
      <c r="F1490" s="328">
        <v>1418.4719359999999</v>
      </c>
      <c r="G1490" s="328">
        <v>13185.050759999998</v>
      </c>
      <c r="H1490" s="328">
        <v>11439.654800000002</v>
      </c>
      <c r="I1490" s="329">
        <v>1.630000519955747</v>
      </c>
      <c r="J1490" s="329">
        <v>1.5091635646807497</v>
      </c>
      <c r="K1490" s="329">
        <v>1.3770929772475615</v>
      </c>
    </row>
    <row r="1491" spans="1:11" ht="11.25" x14ac:dyDescent="0.15">
      <c r="A1491" s="326">
        <v>1.4</v>
      </c>
      <c r="B1491" s="327">
        <v>140</v>
      </c>
      <c r="C1491" s="327" t="s">
        <v>112</v>
      </c>
      <c r="D1491" s="327" t="s">
        <v>114</v>
      </c>
      <c r="E1491" s="328" t="s">
        <v>831</v>
      </c>
      <c r="F1491" s="328">
        <v>402.01095199999997</v>
      </c>
      <c r="G1491" s="328">
        <v>11949.499239999999</v>
      </c>
      <c r="H1491" s="328">
        <v>11300.355079999999</v>
      </c>
      <c r="I1491" s="329">
        <v>0.46196053947725396</v>
      </c>
      <c r="J1491" s="329">
        <v>1.3677420889343859</v>
      </c>
      <c r="K1491" s="329">
        <v>1.3603242312059802</v>
      </c>
    </row>
    <row r="1492" spans="1:11" ht="11.25" x14ac:dyDescent="0.15">
      <c r="A1492" s="326">
        <v>1.4</v>
      </c>
      <c r="B1492" s="327">
        <v>140</v>
      </c>
      <c r="C1492" s="327" t="s">
        <v>112</v>
      </c>
      <c r="D1492" s="327" t="s">
        <v>113</v>
      </c>
      <c r="E1492" s="328" t="s">
        <v>832</v>
      </c>
      <c r="F1492" s="328">
        <v>164.40136720000001</v>
      </c>
      <c r="G1492" s="328">
        <v>11169.406919999999</v>
      </c>
      <c r="H1492" s="328">
        <v>11173.2516</v>
      </c>
      <c r="I1492" s="329">
        <v>0.18891760014167508</v>
      </c>
      <c r="J1492" s="329">
        <v>1.2784525649226273</v>
      </c>
      <c r="K1492" s="329">
        <v>1.3450236550302266</v>
      </c>
    </row>
    <row r="1493" spans="1:11" ht="11.25" x14ac:dyDescent="0.15">
      <c r="A1493" s="326">
        <v>0.9</v>
      </c>
      <c r="B1493" s="327">
        <v>150</v>
      </c>
      <c r="C1493" s="327" t="s">
        <v>112</v>
      </c>
      <c r="D1493" s="327" t="s">
        <v>79</v>
      </c>
      <c r="E1493" s="328" t="s">
        <v>833</v>
      </c>
      <c r="F1493" s="328">
        <v>531.05840999999998</v>
      </c>
      <c r="G1493" s="328">
        <v>4642.0839000000005</v>
      </c>
      <c r="H1493" s="328">
        <v>4557.6576000000005</v>
      </c>
      <c r="I1493" s="329">
        <v>0.61025210471761659</v>
      </c>
      <c r="J1493" s="329">
        <v>0.53133385783576004</v>
      </c>
      <c r="K1493" s="329">
        <v>0.54864577501577894</v>
      </c>
    </row>
    <row r="1494" spans="1:11" ht="11.25" x14ac:dyDescent="0.15">
      <c r="A1494" s="326">
        <v>0.9</v>
      </c>
      <c r="B1494" s="327">
        <v>150</v>
      </c>
      <c r="C1494" s="327" t="s">
        <v>112</v>
      </c>
      <c r="D1494" s="327" t="s">
        <v>114</v>
      </c>
      <c r="E1494" s="328" t="s">
        <v>834</v>
      </c>
      <c r="F1494" s="328">
        <v>143.5284</v>
      </c>
      <c r="G1494" s="328">
        <v>4576.2876000000006</v>
      </c>
      <c r="H1494" s="328">
        <v>4489.1621999999998</v>
      </c>
      <c r="I1494" s="329">
        <v>0.1649319670631936</v>
      </c>
      <c r="J1494" s="329">
        <v>0.52380280009026792</v>
      </c>
      <c r="K1494" s="329">
        <v>0.54040037461140977</v>
      </c>
    </row>
    <row r="1495" spans="1:11" ht="11.25" x14ac:dyDescent="0.15">
      <c r="A1495" s="326">
        <v>0.9</v>
      </c>
      <c r="B1495" s="327">
        <v>150</v>
      </c>
      <c r="C1495" s="327" t="s">
        <v>112</v>
      </c>
      <c r="D1495" s="327" t="s">
        <v>113</v>
      </c>
      <c r="E1495" s="328" t="s">
        <v>835</v>
      </c>
      <c r="F1495" s="328">
        <v>53.387019000000002</v>
      </c>
      <c r="G1495" s="328">
        <v>4554.1476000000002</v>
      </c>
      <c r="H1495" s="328">
        <v>4421.6099999999997</v>
      </c>
      <c r="I1495" s="329">
        <v>6.1348318934162795E-2</v>
      </c>
      <c r="J1495" s="329">
        <v>0.52126865123257837</v>
      </c>
      <c r="K1495" s="329">
        <v>0.53226851557859844</v>
      </c>
    </row>
    <row r="1496" spans="1:11" ht="11.25" x14ac:dyDescent="0.15">
      <c r="A1496" s="326">
        <v>0.92500000000000004</v>
      </c>
      <c r="B1496" s="327">
        <v>150</v>
      </c>
      <c r="C1496" s="327" t="s">
        <v>112</v>
      </c>
      <c r="D1496" s="327" t="s">
        <v>79</v>
      </c>
      <c r="E1496" s="328" t="s">
        <v>836</v>
      </c>
      <c r="F1496" s="328">
        <v>564.26646500000004</v>
      </c>
      <c r="G1496" s="328">
        <v>4907.40805</v>
      </c>
      <c r="H1496" s="328">
        <v>4827.9237249999996</v>
      </c>
      <c r="I1496" s="329">
        <v>0.64841228648995386</v>
      </c>
      <c r="J1496" s="329">
        <v>0.56170291346538648</v>
      </c>
      <c r="K1496" s="329">
        <v>0.58118011186704566</v>
      </c>
    </row>
    <row r="1497" spans="1:11" ht="11.25" x14ac:dyDescent="0.15">
      <c r="A1497" s="326">
        <v>0.92500000000000004</v>
      </c>
      <c r="B1497" s="327">
        <v>150</v>
      </c>
      <c r="C1497" s="327" t="s">
        <v>112</v>
      </c>
      <c r="D1497" s="327" t="s">
        <v>114</v>
      </c>
      <c r="E1497" s="328" t="s">
        <v>837</v>
      </c>
      <c r="F1497" s="328">
        <v>153.14596</v>
      </c>
      <c r="G1497" s="328">
        <v>4825.4003250000005</v>
      </c>
      <c r="H1497" s="328">
        <v>4756.3130000000001</v>
      </c>
      <c r="I1497" s="329">
        <v>0.17598373862302627</v>
      </c>
      <c r="J1497" s="329">
        <v>0.5523162927503702</v>
      </c>
      <c r="K1497" s="329">
        <v>0.57255969208889768</v>
      </c>
    </row>
    <row r="1498" spans="1:11" ht="11.25" x14ac:dyDescent="0.15">
      <c r="A1498" s="326">
        <v>0.92500000000000004</v>
      </c>
      <c r="B1498" s="327">
        <v>150</v>
      </c>
      <c r="C1498" s="327" t="s">
        <v>112</v>
      </c>
      <c r="D1498" s="327" t="s">
        <v>113</v>
      </c>
      <c r="E1498" s="328" t="s">
        <v>838</v>
      </c>
      <c r="F1498" s="328">
        <v>57.02912675000001</v>
      </c>
      <c r="G1498" s="328">
        <v>4796.6023000000005</v>
      </c>
      <c r="H1498" s="328">
        <v>4686.5310000000009</v>
      </c>
      <c r="I1498" s="329">
        <v>6.5533553323061461E-2</v>
      </c>
      <c r="J1498" s="329">
        <v>0.54902006501064737</v>
      </c>
      <c r="K1498" s="329">
        <v>0.56415941220123111</v>
      </c>
    </row>
    <row r="1499" spans="1:11" ht="11.25" x14ac:dyDescent="0.15">
      <c r="A1499" s="326">
        <v>0.95</v>
      </c>
      <c r="B1499" s="327">
        <v>150</v>
      </c>
      <c r="C1499" s="327" t="s">
        <v>112</v>
      </c>
      <c r="D1499" s="327" t="s">
        <v>79</v>
      </c>
      <c r="E1499" s="328" t="s">
        <v>839</v>
      </c>
      <c r="F1499" s="328">
        <v>599.16072499999996</v>
      </c>
      <c r="G1499" s="328">
        <v>5183.6303499999995</v>
      </c>
      <c r="H1499" s="328">
        <v>5105.8367500000004</v>
      </c>
      <c r="I1499" s="329">
        <v>0.68851012734245765</v>
      </c>
      <c r="J1499" s="329">
        <v>0.59331937353825726</v>
      </c>
      <c r="K1499" s="329">
        <v>0.61463497407260159</v>
      </c>
    </row>
    <row r="1500" spans="1:11" ht="11.25" x14ac:dyDescent="0.15">
      <c r="A1500" s="326">
        <v>0.95</v>
      </c>
      <c r="B1500" s="327">
        <v>150</v>
      </c>
      <c r="C1500" s="327" t="s">
        <v>112</v>
      </c>
      <c r="D1500" s="327" t="s">
        <v>114</v>
      </c>
      <c r="E1500" s="328" t="s">
        <v>840</v>
      </c>
      <c r="F1500" s="328">
        <v>163.25911499999998</v>
      </c>
      <c r="G1500" s="328">
        <v>5082.613049999999</v>
      </c>
      <c r="H1500" s="328">
        <v>5031.2503499999993</v>
      </c>
      <c r="I1500" s="329">
        <v>0.18760501042264899</v>
      </c>
      <c r="J1500" s="329">
        <v>0.58175691304133426</v>
      </c>
      <c r="K1500" s="329">
        <v>0.60565634583303452</v>
      </c>
    </row>
    <row r="1501" spans="1:11" ht="11.25" x14ac:dyDescent="0.15">
      <c r="A1501" s="326">
        <v>0.95</v>
      </c>
      <c r="B1501" s="327">
        <v>150</v>
      </c>
      <c r="C1501" s="327" t="s">
        <v>112</v>
      </c>
      <c r="D1501" s="327" t="s">
        <v>113</v>
      </c>
      <c r="E1501" s="328" t="s">
        <v>841</v>
      </c>
      <c r="F1501" s="328">
        <v>60.870708500000006</v>
      </c>
      <c r="G1501" s="328">
        <v>5045.0472</v>
      </c>
      <c r="H1501" s="328">
        <v>4959.1605499999996</v>
      </c>
      <c r="I1501" s="329">
        <v>6.9948008125466879E-2</v>
      </c>
      <c r="J1501" s="329">
        <v>0.57745711828678903</v>
      </c>
      <c r="K1501" s="329">
        <v>0.59697825553688499</v>
      </c>
    </row>
    <row r="1502" spans="1:11" ht="11.25" x14ac:dyDescent="0.15">
      <c r="A1502" s="326">
        <v>0.97499999999999998</v>
      </c>
      <c r="B1502" s="327">
        <v>150</v>
      </c>
      <c r="C1502" s="327" t="s">
        <v>112</v>
      </c>
      <c r="D1502" s="327" t="s">
        <v>79</v>
      </c>
      <c r="E1502" s="328" t="s">
        <v>842</v>
      </c>
      <c r="F1502" s="328">
        <v>635.83942500000001</v>
      </c>
      <c r="G1502" s="328">
        <v>5471.4474749999999</v>
      </c>
      <c r="H1502" s="328">
        <v>5391.2459250000002</v>
      </c>
      <c r="I1502" s="329">
        <v>0.73065851149723648</v>
      </c>
      <c r="J1502" s="329">
        <v>0.62626297961514177</v>
      </c>
      <c r="K1502" s="329">
        <v>0.64899221451437783</v>
      </c>
    </row>
    <row r="1503" spans="1:11" ht="11.25" x14ac:dyDescent="0.15">
      <c r="A1503" s="326">
        <v>0.97499999999999998</v>
      </c>
      <c r="B1503" s="327">
        <v>150</v>
      </c>
      <c r="C1503" s="327" t="s">
        <v>112</v>
      </c>
      <c r="D1503" s="327" t="s">
        <v>114</v>
      </c>
      <c r="E1503" s="328" t="s">
        <v>843</v>
      </c>
      <c r="F1503" s="328">
        <v>173.89388249999999</v>
      </c>
      <c r="G1503" s="328">
        <v>5347.9997999999996</v>
      </c>
      <c r="H1503" s="328">
        <v>5314.3944750000001</v>
      </c>
      <c r="I1503" s="329">
        <v>0.19982567980260948</v>
      </c>
      <c r="J1503" s="329">
        <v>0.61213313387956481</v>
      </c>
      <c r="K1503" s="329">
        <v>0.63974092206398925</v>
      </c>
    </row>
    <row r="1504" spans="1:11" ht="11.25" x14ac:dyDescent="0.15">
      <c r="A1504" s="326">
        <v>0.97499999999999998</v>
      </c>
      <c r="B1504" s="327">
        <v>150</v>
      </c>
      <c r="C1504" s="327" t="s">
        <v>112</v>
      </c>
      <c r="D1504" s="327" t="s">
        <v>113</v>
      </c>
      <c r="E1504" s="328" t="s">
        <v>844</v>
      </c>
      <c r="F1504" s="328">
        <v>64.925318250000004</v>
      </c>
      <c r="G1504" s="328">
        <v>5301.1042499999994</v>
      </c>
      <c r="H1504" s="328">
        <v>5239.5768749999997</v>
      </c>
      <c r="I1504" s="329">
        <v>7.4607258571658036E-2</v>
      </c>
      <c r="J1504" s="329">
        <v>0.60676545978456842</v>
      </c>
      <c r="K1504" s="329">
        <v>0.63073446222443907</v>
      </c>
    </row>
    <row r="1505" spans="1:11" ht="11.25" x14ac:dyDescent="0.15">
      <c r="A1505" s="326">
        <v>1</v>
      </c>
      <c r="B1505" s="327">
        <v>150</v>
      </c>
      <c r="C1505" s="327" t="s">
        <v>112</v>
      </c>
      <c r="D1505" s="327" t="s">
        <v>79</v>
      </c>
      <c r="E1505" s="328" t="s">
        <v>845</v>
      </c>
      <c r="F1505" s="328">
        <v>674.4135</v>
      </c>
      <c r="G1505" s="328">
        <v>5772.5719999999992</v>
      </c>
      <c r="H1505" s="328">
        <v>5684.607</v>
      </c>
      <c r="I1505" s="329">
        <v>0.77498491705455586</v>
      </c>
      <c r="J1505" s="329">
        <v>0.66072975337535111</v>
      </c>
      <c r="K1505" s="329">
        <v>0.68430669587270476</v>
      </c>
    </row>
    <row r="1506" spans="1:11" ht="11.25" x14ac:dyDescent="0.15">
      <c r="A1506" s="326">
        <v>1</v>
      </c>
      <c r="B1506" s="327">
        <v>150</v>
      </c>
      <c r="C1506" s="327" t="s">
        <v>112</v>
      </c>
      <c r="D1506" s="327" t="s">
        <v>114</v>
      </c>
      <c r="E1506" s="328" t="s">
        <v>846</v>
      </c>
      <c r="F1506" s="328">
        <v>185.08089999999999</v>
      </c>
      <c r="G1506" s="328">
        <v>5622.6880000000001</v>
      </c>
      <c r="H1506" s="328">
        <v>5604.8310000000001</v>
      </c>
      <c r="I1506" s="329">
        <v>0.21268095305755674</v>
      </c>
      <c r="J1506" s="329">
        <v>0.64357400055755853</v>
      </c>
      <c r="K1506" s="329">
        <v>0.67470334933178455</v>
      </c>
    </row>
    <row r="1507" spans="1:11" ht="11.25" x14ac:dyDescent="0.15">
      <c r="A1507" s="326">
        <v>1</v>
      </c>
      <c r="B1507" s="327">
        <v>150</v>
      </c>
      <c r="C1507" s="327" t="s">
        <v>112</v>
      </c>
      <c r="D1507" s="327" t="s">
        <v>113</v>
      </c>
      <c r="E1507" s="328" t="s">
        <v>847</v>
      </c>
      <c r="F1507" s="328">
        <v>69.208539999999999</v>
      </c>
      <c r="G1507" s="328">
        <v>5562.3470000000007</v>
      </c>
      <c r="H1507" s="328">
        <v>5527.299</v>
      </c>
      <c r="I1507" s="329">
        <v>7.952921261417055E-2</v>
      </c>
      <c r="J1507" s="329">
        <v>0.63666735754844195</v>
      </c>
      <c r="K1507" s="329">
        <v>0.66537013302599546</v>
      </c>
    </row>
    <row r="1508" spans="1:11" ht="11.25" x14ac:dyDescent="0.15">
      <c r="A1508" s="326">
        <v>1.0249999999999999</v>
      </c>
      <c r="B1508" s="327">
        <v>150</v>
      </c>
      <c r="C1508" s="327" t="s">
        <v>112</v>
      </c>
      <c r="D1508" s="327" t="s">
        <v>79</v>
      </c>
      <c r="E1508" s="328" t="s">
        <v>848</v>
      </c>
      <c r="F1508" s="328">
        <v>715.00678999999991</v>
      </c>
      <c r="G1508" s="328">
        <v>6087.7035749999995</v>
      </c>
      <c r="H1508" s="328">
        <v>5985.7970499999992</v>
      </c>
      <c r="I1508" s="329">
        <v>0.82163165156331275</v>
      </c>
      <c r="J1508" s="329">
        <v>0.69679977689875383</v>
      </c>
      <c r="K1508" s="329">
        <v>0.72056362057220191</v>
      </c>
    </row>
    <row r="1509" spans="1:11" ht="11.25" x14ac:dyDescent="0.15">
      <c r="A1509" s="326">
        <v>1.0249999999999999</v>
      </c>
      <c r="B1509" s="327">
        <v>150</v>
      </c>
      <c r="C1509" s="327" t="s">
        <v>112</v>
      </c>
      <c r="D1509" s="327" t="s">
        <v>114</v>
      </c>
      <c r="E1509" s="328" t="s">
        <v>849</v>
      </c>
      <c r="F1509" s="328">
        <v>196.85360749999998</v>
      </c>
      <c r="G1509" s="328">
        <v>5906.7941499999997</v>
      </c>
      <c r="H1509" s="328">
        <v>5903.1164499999995</v>
      </c>
      <c r="I1509" s="329">
        <v>0.22620925690289057</v>
      </c>
      <c r="J1509" s="329">
        <v>0.67609284768877143</v>
      </c>
      <c r="K1509" s="329">
        <v>0.7106106214996587</v>
      </c>
    </row>
    <row r="1510" spans="1:11" ht="11.25" x14ac:dyDescent="0.15">
      <c r="A1510" s="326">
        <v>1.0249999999999999</v>
      </c>
      <c r="B1510" s="327">
        <v>150</v>
      </c>
      <c r="C1510" s="327" t="s">
        <v>112</v>
      </c>
      <c r="D1510" s="327" t="s">
        <v>113</v>
      </c>
      <c r="E1510" s="328" t="s">
        <v>850</v>
      </c>
      <c r="F1510" s="328">
        <v>73.739709500000004</v>
      </c>
      <c r="G1510" s="328">
        <v>5831.9230249999991</v>
      </c>
      <c r="H1510" s="328">
        <v>5822.7738749999999</v>
      </c>
      <c r="I1510" s="329">
        <v>8.4736089432498829E-2</v>
      </c>
      <c r="J1510" s="329">
        <v>0.66752308364664514</v>
      </c>
      <c r="K1510" s="329">
        <v>0.70093907128762911</v>
      </c>
    </row>
    <row r="1511" spans="1:11" ht="11.25" x14ac:dyDescent="0.15">
      <c r="A1511" s="326">
        <v>1.05</v>
      </c>
      <c r="B1511" s="327">
        <v>150</v>
      </c>
      <c r="C1511" s="327" t="s">
        <v>112</v>
      </c>
      <c r="D1511" s="327" t="s">
        <v>79</v>
      </c>
      <c r="E1511" s="328" t="s">
        <v>851</v>
      </c>
      <c r="F1511" s="328">
        <v>757.75307999999995</v>
      </c>
      <c r="G1511" s="328">
        <v>6417.9370500000005</v>
      </c>
      <c r="H1511" s="328">
        <v>6294.5463000000009</v>
      </c>
      <c r="I1511" s="329">
        <v>0.87075245061321316</v>
      </c>
      <c r="J1511" s="329">
        <v>0.73459836693678815</v>
      </c>
      <c r="K1511" s="329">
        <v>0.75773051339710196</v>
      </c>
    </row>
    <row r="1512" spans="1:11" ht="11.25" x14ac:dyDescent="0.15">
      <c r="A1512" s="326">
        <v>1.05</v>
      </c>
      <c r="B1512" s="327">
        <v>150</v>
      </c>
      <c r="C1512" s="327" t="s">
        <v>112</v>
      </c>
      <c r="D1512" s="327" t="s">
        <v>114</v>
      </c>
      <c r="E1512" s="328" t="s">
        <v>852</v>
      </c>
      <c r="F1512" s="328">
        <v>209.24883000000003</v>
      </c>
      <c r="G1512" s="328">
        <v>6200.6657999999998</v>
      </c>
      <c r="H1512" s="328">
        <v>6209.1267000000007</v>
      </c>
      <c r="I1512" s="329">
        <v>0.24045290783964568</v>
      </c>
      <c r="J1512" s="329">
        <v>0.70972945591617986</v>
      </c>
      <c r="K1512" s="329">
        <v>0.74744779653756044</v>
      </c>
    </row>
    <row r="1513" spans="1:11" ht="11.25" x14ac:dyDescent="0.15">
      <c r="A1513" s="326">
        <v>1.05</v>
      </c>
      <c r="B1513" s="327">
        <v>150</v>
      </c>
      <c r="C1513" s="327" t="s">
        <v>112</v>
      </c>
      <c r="D1513" s="327" t="s">
        <v>113</v>
      </c>
      <c r="E1513" s="328" t="s">
        <v>853</v>
      </c>
      <c r="F1513" s="328">
        <v>78.539548500000009</v>
      </c>
      <c r="G1513" s="328">
        <v>6108.3183000000008</v>
      </c>
      <c r="H1513" s="328">
        <v>6125.93415</v>
      </c>
      <c r="I1513" s="329">
        <v>9.0251700892367628E-2</v>
      </c>
      <c r="J1513" s="329">
        <v>0.69915934247284306</v>
      </c>
      <c r="K1513" s="329">
        <v>0.7374331694909193</v>
      </c>
    </row>
    <row r="1514" spans="1:11" ht="11.25" x14ac:dyDescent="0.15">
      <c r="A1514" s="326">
        <v>1.075</v>
      </c>
      <c r="B1514" s="327">
        <v>150</v>
      </c>
      <c r="C1514" s="327" t="s">
        <v>112</v>
      </c>
      <c r="D1514" s="327" t="s">
        <v>79</v>
      </c>
      <c r="E1514" s="328" t="s">
        <v>854</v>
      </c>
      <c r="F1514" s="328">
        <v>802.80333499999995</v>
      </c>
      <c r="G1514" s="328">
        <v>6764.5181249999996</v>
      </c>
      <c r="H1514" s="328">
        <v>6611.3682499999995</v>
      </c>
      <c r="I1514" s="329">
        <v>0.9225207917488244</v>
      </c>
      <c r="J1514" s="329">
        <v>0.77426810656226419</v>
      </c>
      <c r="K1514" s="329">
        <v>0.79586918890878577</v>
      </c>
    </row>
    <row r="1515" spans="1:11" ht="11.25" x14ac:dyDescent="0.15">
      <c r="A1515" s="326">
        <v>1.075</v>
      </c>
      <c r="B1515" s="327">
        <v>150</v>
      </c>
      <c r="C1515" s="327" t="s">
        <v>112</v>
      </c>
      <c r="D1515" s="327" t="s">
        <v>114</v>
      </c>
      <c r="E1515" s="328" t="s">
        <v>855</v>
      </c>
      <c r="F1515" s="328">
        <v>222.3070975</v>
      </c>
      <c r="G1515" s="328">
        <v>6507.1803250000003</v>
      </c>
      <c r="H1515" s="328">
        <v>6522.959175</v>
      </c>
      <c r="I1515" s="329">
        <v>0.25545847987425602</v>
      </c>
      <c r="J1515" s="329">
        <v>0.7448131701616173</v>
      </c>
      <c r="K1515" s="329">
        <v>0.78522660235910668</v>
      </c>
    </row>
    <row r="1516" spans="1:11" ht="11.25" x14ac:dyDescent="0.15">
      <c r="A1516" s="326">
        <v>1.075</v>
      </c>
      <c r="B1516" s="327">
        <v>150</v>
      </c>
      <c r="C1516" s="327" t="s">
        <v>112</v>
      </c>
      <c r="D1516" s="327" t="s">
        <v>113</v>
      </c>
      <c r="E1516" s="328" t="s">
        <v>856</v>
      </c>
      <c r="F1516" s="328">
        <v>83.630807499999989</v>
      </c>
      <c r="G1516" s="328">
        <v>6393.9032749999997</v>
      </c>
      <c r="H1516" s="328">
        <v>6436.6624749999992</v>
      </c>
      <c r="I1516" s="329">
        <v>9.6102190145352998E-2</v>
      </c>
      <c r="J1516" s="329">
        <v>0.73184745621130409</v>
      </c>
      <c r="K1516" s="329">
        <v>0.77483830117281205</v>
      </c>
    </row>
    <row r="1517" spans="1:11" ht="11.25" x14ac:dyDescent="0.15">
      <c r="A1517" s="326">
        <v>1.1000000000000001</v>
      </c>
      <c r="B1517" s="327">
        <v>150</v>
      </c>
      <c r="C1517" s="327" t="s">
        <v>112</v>
      </c>
      <c r="D1517" s="327" t="s">
        <v>79</v>
      </c>
      <c r="E1517" s="328" t="s">
        <v>857</v>
      </c>
      <c r="F1517" s="328">
        <v>850.32211000000018</v>
      </c>
      <c r="G1517" s="328">
        <v>7129.0538000000015</v>
      </c>
      <c r="H1517" s="328">
        <v>6935.8586000000005</v>
      </c>
      <c r="I1517" s="329">
        <v>0.97712576911346682</v>
      </c>
      <c r="J1517" s="329">
        <v>0.81599293331873746</v>
      </c>
      <c r="K1517" s="329">
        <v>0.83493097792095117</v>
      </c>
    </row>
    <row r="1518" spans="1:11" ht="11.25" x14ac:dyDescent="0.15">
      <c r="A1518" s="326">
        <v>1.1000000000000001</v>
      </c>
      <c r="B1518" s="327">
        <v>150</v>
      </c>
      <c r="C1518" s="327" t="s">
        <v>112</v>
      </c>
      <c r="D1518" s="327" t="s">
        <v>114</v>
      </c>
      <c r="E1518" s="328" t="s">
        <v>858</v>
      </c>
      <c r="F1518" s="328">
        <v>236.07254000000003</v>
      </c>
      <c r="G1518" s="328">
        <v>6825.4868000000006</v>
      </c>
      <c r="H1518" s="328">
        <v>6844.2263999999996</v>
      </c>
      <c r="I1518" s="329">
        <v>0.27127668386050746</v>
      </c>
      <c r="J1518" s="329">
        <v>0.78124659337825764</v>
      </c>
      <c r="K1518" s="329">
        <v>0.82390039515286395</v>
      </c>
    </row>
    <row r="1519" spans="1:11" ht="11.25" x14ac:dyDescent="0.15">
      <c r="A1519" s="326">
        <v>1.1000000000000001</v>
      </c>
      <c r="B1519" s="327">
        <v>150</v>
      </c>
      <c r="C1519" s="327" t="s">
        <v>112</v>
      </c>
      <c r="D1519" s="327" t="s">
        <v>113</v>
      </c>
      <c r="E1519" s="328" t="s">
        <v>859</v>
      </c>
      <c r="F1519" s="328">
        <v>89.04008300000001</v>
      </c>
      <c r="G1519" s="328">
        <v>6687.7008000000005</v>
      </c>
      <c r="H1519" s="328">
        <v>6755.3937000000005</v>
      </c>
      <c r="I1519" s="329">
        <v>0.10231811987495176</v>
      </c>
      <c r="J1519" s="329">
        <v>0.76547558007628824</v>
      </c>
      <c r="K1519" s="329">
        <v>0.81320681309478149</v>
      </c>
    </row>
    <row r="1520" spans="1:11" ht="11.25" x14ac:dyDescent="0.15">
      <c r="A1520" s="326">
        <v>1.125</v>
      </c>
      <c r="B1520" s="327">
        <v>150</v>
      </c>
      <c r="C1520" s="327" t="s">
        <v>112</v>
      </c>
      <c r="D1520" s="327" t="s">
        <v>79</v>
      </c>
      <c r="E1520" s="328" t="s">
        <v>860</v>
      </c>
      <c r="F1520" s="328">
        <v>900.4908375</v>
      </c>
      <c r="G1520" s="328">
        <v>7511.7780000000002</v>
      </c>
      <c r="H1520" s="328">
        <v>7268.2391249999991</v>
      </c>
      <c r="I1520" s="329">
        <v>1.0347758711952313</v>
      </c>
      <c r="J1520" s="329">
        <v>0.85979962230880602</v>
      </c>
      <c r="K1520" s="329">
        <v>0.87494257746251736</v>
      </c>
    </row>
    <row r="1521" spans="1:11" ht="11.25" x14ac:dyDescent="0.15">
      <c r="A1521" s="326">
        <v>1.125</v>
      </c>
      <c r="B1521" s="327">
        <v>150</v>
      </c>
      <c r="C1521" s="327" t="s">
        <v>112</v>
      </c>
      <c r="D1521" s="327" t="s">
        <v>114</v>
      </c>
      <c r="E1521" s="328" t="s">
        <v>861</v>
      </c>
      <c r="F1521" s="328">
        <v>250.5943125</v>
      </c>
      <c r="G1521" s="328">
        <v>7157.2612500000005</v>
      </c>
      <c r="H1521" s="328">
        <v>7173.4781249999996</v>
      </c>
      <c r="I1521" s="329">
        <v>0.28796400500161395</v>
      </c>
      <c r="J1521" s="329">
        <v>0.81922156372505328</v>
      </c>
      <c r="K1521" s="329">
        <v>0.8635353532150728</v>
      </c>
    </row>
    <row r="1522" spans="1:11" ht="11.25" x14ac:dyDescent="0.15">
      <c r="A1522" s="326">
        <v>1.125</v>
      </c>
      <c r="B1522" s="327">
        <v>150</v>
      </c>
      <c r="C1522" s="327" t="s">
        <v>112</v>
      </c>
      <c r="D1522" s="327" t="s">
        <v>113</v>
      </c>
      <c r="E1522" s="328" t="s">
        <v>862</v>
      </c>
      <c r="F1522" s="328">
        <v>94.798068749999999</v>
      </c>
      <c r="G1522" s="328">
        <v>6991.5577499999999</v>
      </c>
      <c r="H1522" s="328">
        <v>7081.4497500000007</v>
      </c>
      <c r="I1522" s="329">
        <v>0.10893476101405271</v>
      </c>
      <c r="J1522" s="329">
        <v>0.8002551077521467</v>
      </c>
      <c r="K1522" s="329">
        <v>0.85245707933918591</v>
      </c>
    </row>
    <row r="1523" spans="1:11" ht="11.25" x14ac:dyDescent="0.15">
      <c r="A1523" s="326">
        <v>1.1499999999999999</v>
      </c>
      <c r="B1523" s="327">
        <v>150</v>
      </c>
      <c r="C1523" s="327" t="s">
        <v>112</v>
      </c>
      <c r="D1523" s="327" t="s">
        <v>79</v>
      </c>
      <c r="E1523" s="328" t="s">
        <v>863</v>
      </c>
      <c r="F1523" s="328">
        <v>953.51019499999984</v>
      </c>
      <c r="G1523" s="328">
        <v>7915.3648999999996</v>
      </c>
      <c r="H1523" s="328">
        <v>7608.4701499999992</v>
      </c>
      <c r="I1523" s="329">
        <v>1.095701701378677</v>
      </c>
      <c r="J1523" s="329">
        <v>0.90599426014139117</v>
      </c>
      <c r="K1523" s="329">
        <v>0.91589921150091858</v>
      </c>
    </row>
    <row r="1524" spans="1:11" ht="11.25" x14ac:dyDescent="0.15">
      <c r="A1524" s="326">
        <v>1.1499999999999999</v>
      </c>
      <c r="B1524" s="327">
        <v>150</v>
      </c>
      <c r="C1524" s="327" t="s">
        <v>112</v>
      </c>
      <c r="D1524" s="327" t="s">
        <v>114</v>
      </c>
      <c r="E1524" s="328" t="s">
        <v>864</v>
      </c>
      <c r="F1524" s="328">
        <v>265.92588499999999</v>
      </c>
      <c r="G1524" s="328">
        <v>7503.4762999999994</v>
      </c>
      <c r="H1524" s="328">
        <v>7510.217599999999</v>
      </c>
      <c r="I1524" s="329">
        <v>0.30558188697199029</v>
      </c>
      <c r="J1524" s="329">
        <v>0.85884940805533339</v>
      </c>
      <c r="K1524" s="329">
        <v>0.9040716783308036</v>
      </c>
    </row>
    <row r="1525" spans="1:11" ht="11.25" x14ac:dyDescent="0.15">
      <c r="A1525" s="326">
        <v>1.1499999999999999</v>
      </c>
      <c r="B1525" s="327">
        <v>150</v>
      </c>
      <c r="C1525" s="327" t="s">
        <v>112</v>
      </c>
      <c r="D1525" s="327" t="s">
        <v>113</v>
      </c>
      <c r="E1525" s="328" t="s">
        <v>865</v>
      </c>
      <c r="F1525" s="328">
        <v>100.93638549999999</v>
      </c>
      <c r="G1525" s="328">
        <v>7305.4842499999986</v>
      </c>
      <c r="H1525" s="328">
        <v>7415.9980999999998</v>
      </c>
      <c r="I1525" s="329">
        <v>0.11598844973373779</v>
      </c>
      <c r="J1525" s="329">
        <v>0.83618719814841835</v>
      </c>
      <c r="K1525" s="329">
        <v>0.89272963925373494</v>
      </c>
    </row>
    <row r="1526" spans="1:11" ht="11.25" x14ac:dyDescent="0.15">
      <c r="A1526" s="326">
        <v>1.175</v>
      </c>
      <c r="B1526" s="327">
        <v>150</v>
      </c>
      <c r="C1526" s="327" t="s">
        <v>112</v>
      </c>
      <c r="D1526" s="327" t="s">
        <v>79</v>
      </c>
      <c r="E1526" s="328" t="s">
        <v>866</v>
      </c>
      <c r="F1526" s="328">
        <v>1009.6006550000001</v>
      </c>
      <c r="G1526" s="328">
        <v>8339.3932999999997</v>
      </c>
      <c r="H1526" s="328">
        <v>7956.2680999999993</v>
      </c>
      <c r="I1526" s="329">
        <v>1.1601566099631759</v>
      </c>
      <c r="J1526" s="329">
        <v>0.95452863617968831</v>
      </c>
      <c r="K1526" s="329">
        <v>0.95776674359166825</v>
      </c>
    </row>
    <row r="1527" spans="1:11" ht="11.25" x14ac:dyDescent="0.15">
      <c r="A1527" s="326">
        <v>1.175</v>
      </c>
      <c r="B1527" s="327">
        <v>150</v>
      </c>
      <c r="C1527" s="327" t="s">
        <v>112</v>
      </c>
      <c r="D1527" s="327" t="s">
        <v>114</v>
      </c>
      <c r="E1527" s="328" t="s">
        <v>867</v>
      </c>
      <c r="F1527" s="328">
        <v>282.12678249999999</v>
      </c>
      <c r="G1527" s="328">
        <v>7864.9882250000001</v>
      </c>
      <c r="H1527" s="328">
        <v>7854.9302250000001</v>
      </c>
      <c r="I1527" s="329">
        <v>0.32419873139347183</v>
      </c>
      <c r="J1527" s="329">
        <v>0.90022813577800176</v>
      </c>
      <c r="K1527" s="329">
        <v>0.94556780241455418</v>
      </c>
    </row>
    <row r="1528" spans="1:11" ht="11.25" x14ac:dyDescent="0.15">
      <c r="A1528" s="326">
        <v>1.175</v>
      </c>
      <c r="B1528" s="327">
        <v>150</v>
      </c>
      <c r="C1528" s="327" t="s">
        <v>112</v>
      </c>
      <c r="D1528" s="327" t="s">
        <v>113</v>
      </c>
      <c r="E1528" s="328" t="s">
        <v>868</v>
      </c>
      <c r="F1528" s="328">
        <v>107.49359425000002</v>
      </c>
      <c r="G1528" s="328">
        <v>7630.0293499999998</v>
      </c>
      <c r="H1528" s="328">
        <v>7757.5744249999998</v>
      </c>
      <c r="I1528" s="329">
        <v>0.12352349741476461</v>
      </c>
      <c r="J1528" s="329">
        <v>0.87333469563864963</v>
      </c>
      <c r="K1528" s="329">
        <v>0.93384821901643289</v>
      </c>
    </row>
    <row r="1529" spans="1:11" ht="11.25" x14ac:dyDescent="0.15">
      <c r="A1529" s="326">
        <v>1.2</v>
      </c>
      <c r="B1529" s="327">
        <v>150</v>
      </c>
      <c r="C1529" s="327" t="s">
        <v>112</v>
      </c>
      <c r="D1529" s="327" t="s">
        <v>79</v>
      </c>
      <c r="E1529" s="328" t="s">
        <v>869</v>
      </c>
      <c r="F1529" s="328">
        <v>1069.00584</v>
      </c>
      <c r="G1529" s="328">
        <v>8786.1108000000004</v>
      </c>
      <c r="H1529" s="328">
        <v>8312.1095999999998</v>
      </c>
      <c r="I1529" s="329">
        <v>1.228420549474819</v>
      </c>
      <c r="J1529" s="329">
        <v>1.0056600111722314</v>
      </c>
      <c r="K1529" s="329">
        <v>1.000602549324481</v>
      </c>
    </row>
    <row r="1530" spans="1:11" ht="11.25" x14ac:dyDescent="0.15">
      <c r="A1530" s="326">
        <v>1.2</v>
      </c>
      <c r="B1530" s="327">
        <v>150</v>
      </c>
      <c r="C1530" s="327" t="s">
        <v>112</v>
      </c>
      <c r="D1530" s="327" t="s">
        <v>114</v>
      </c>
      <c r="E1530" s="328" t="s">
        <v>870</v>
      </c>
      <c r="F1530" s="328">
        <v>299.262</v>
      </c>
      <c r="G1530" s="328">
        <v>8243.8451999999997</v>
      </c>
      <c r="H1530" s="328">
        <v>8207.1455999999998</v>
      </c>
      <c r="I1530" s="329">
        <v>0.34388922559762003</v>
      </c>
      <c r="J1530" s="329">
        <v>0.94359218141593948</v>
      </c>
      <c r="K1530" s="329">
        <v>0.98796709923521664</v>
      </c>
    </row>
    <row r="1531" spans="1:11" ht="11.25" x14ac:dyDescent="0.15">
      <c r="A1531" s="326">
        <v>1.2</v>
      </c>
      <c r="B1531" s="327">
        <v>150</v>
      </c>
      <c r="C1531" s="327" t="s">
        <v>112</v>
      </c>
      <c r="D1531" s="327" t="s">
        <v>113</v>
      </c>
      <c r="E1531" s="328" t="s">
        <v>871</v>
      </c>
      <c r="F1531" s="328">
        <v>114.50988000000001</v>
      </c>
      <c r="G1531" s="328">
        <v>7966.5432000000001</v>
      </c>
      <c r="H1531" s="328">
        <v>8106.8351999999995</v>
      </c>
      <c r="I1531" s="329">
        <v>0.13158608161569593</v>
      </c>
      <c r="J1531" s="329">
        <v>0.91185213866368076</v>
      </c>
      <c r="K1531" s="329">
        <v>0.97589184436083931</v>
      </c>
    </row>
    <row r="1532" spans="1:11" ht="11.25" x14ac:dyDescent="0.15">
      <c r="A1532" s="326">
        <v>1.2250000000000001</v>
      </c>
      <c r="B1532" s="327">
        <v>150</v>
      </c>
      <c r="C1532" s="327" t="s">
        <v>112</v>
      </c>
      <c r="D1532" s="327" t="s">
        <v>79</v>
      </c>
      <c r="E1532" s="328" t="s">
        <v>872</v>
      </c>
      <c r="F1532" s="328">
        <v>1131.9927325000001</v>
      </c>
      <c r="G1532" s="328">
        <v>9256.3744000000006</v>
      </c>
      <c r="H1532" s="328">
        <v>8676.019624999999</v>
      </c>
      <c r="I1532" s="329">
        <v>1.3008003159825132</v>
      </c>
      <c r="J1532" s="329">
        <v>1.0594864775115693</v>
      </c>
      <c r="K1532" s="329">
        <v>1.0444096351622008</v>
      </c>
    </row>
    <row r="1533" spans="1:11" ht="11.25" x14ac:dyDescent="0.15">
      <c r="A1533" s="326">
        <v>1.2250000000000001</v>
      </c>
      <c r="B1533" s="327">
        <v>150</v>
      </c>
      <c r="C1533" s="327" t="s">
        <v>112</v>
      </c>
      <c r="D1533" s="327" t="s">
        <v>114</v>
      </c>
      <c r="E1533" s="328" t="s">
        <v>873</v>
      </c>
      <c r="F1533" s="328">
        <v>317.40362500000003</v>
      </c>
      <c r="G1533" s="328">
        <v>8640.6845000000012</v>
      </c>
      <c r="H1533" s="328">
        <v>8567.292300000001</v>
      </c>
      <c r="I1533" s="329">
        <v>0.36473620707984106</v>
      </c>
      <c r="J1533" s="329">
        <v>0.98901448759395649</v>
      </c>
      <c r="K1533" s="329">
        <v>1.0313211601767134</v>
      </c>
    </row>
    <row r="1534" spans="1:11" ht="11.25" x14ac:dyDescent="0.15">
      <c r="A1534" s="326">
        <v>1.2250000000000001</v>
      </c>
      <c r="B1534" s="327">
        <v>150</v>
      </c>
      <c r="C1534" s="327" t="s">
        <v>112</v>
      </c>
      <c r="D1534" s="327" t="s">
        <v>113</v>
      </c>
      <c r="E1534" s="328" t="s">
        <v>874</v>
      </c>
      <c r="F1534" s="328">
        <v>122.03317700000001</v>
      </c>
      <c r="G1534" s="328">
        <v>8316.3682000000008</v>
      </c>
      <c r="H1534" s="328">
        <v>8464.0186750000012</v>
      </c>
      <c r="I1534" s="329">
        <v>0.14023128474630023</v>
      </c>
      <c r="J1534" s="329">
        <v>0.9518931785977921</v>
      </c>
      <c r="K1534" s="329">
        <v>1.0188891955581307</v>
      </c>
    </row>
    <row r="1535" spans="1:11" ht="11.25" x14ac:dyDescent="0.15">
      <c r="A1535" s="326">
        <v>1.25</v>
      </c>
      <c r="B1535" s="327">
        <v>150</v>
      </c>
      <c r="C1535" s="327" t="s">
        <v>112</v>
      </c>
      <c r="D1535" s="327" t="s">
        <v>79</v>
      </c>
      <c r="E1535" s="328" t="s">
        <v>875</v>
      </c>
      <c r="F1535" s="328">
        <v>1198.856</v>
      </c>
      <c r="G1535" s="328">
        <v>9750.9662499999995</v>
      </c>
      <c r="H1535" s="328">
        <v>9047.5587500000001</v>
      </c>
      <c r="I1535" s="329">
        <v>1.3776345190604231</v>
      </c>
      <c r="J1535" s="329">
        <v>1.1160975602441809</v>
      </c>
      <c r="K1535" s="329">
        <v>1.0891351036099204</v>
      </c>
    </row>
    <row r="1536" spans="1:11" ht="11.25" x14ac:dyDescent="0.15">
      <c r="A1536" s="326">
        <v>1.25</v>
      </c>
      <c r="B1536" s="327">
        <v>150</v>
      </c>
      <c r="C1536" s="327" t="s">
        <v>112</v>
      </c>
      <c r="D1536" s="327" t="s">
        <v>114</v>
      </c>
      <c r="E1536" s="328" t="s">
        <v>876</v>
      </c>
      <c r="F1536" s="328">
        <v>336.63037500000002</v>
      </c>
      <c r="G1536" s="328">
        <v>9057.25</v>
      </c>
      <c r="H1536" s="328">
        <v>8935.2912500000002</v>
      </c>
      <c r="I1536" s="329">
        <v>0.3868301320294138</v>
      </c>
      <c r="J1536" s="329">
        <v>1.0366946585956658</v>
      </c>
      <c r="K1536" s="329">
        <v>1.0756204662781068</v>
      </c>
    </row>
    <row r="1537" spans="1:11" ht="11.25" x14ac:dyDescent="0.15">
      <c r="A1537" s="326">
        <v>1.25</v>
      </c>
      <c r="B1537" s="327">
        <v>150</v>
      </c>
      <c r="C1537" s="327" t="s">
        <v>112</v>
      </c>
      <c r="D1537" s="327" t="s">
        <v>113</v>
      </c>
      <c r="E1537" s="328" t="s">
        <v>877</v>
      </c>
      <c r="F1537" s="328">
        <v>130.11525</v>
      </c>
      <c r="G1537" s="328">
        <v>8679.81</v>
      </c>
      <c r="H1537" s="328">
        <v>8828.8612499999999</v>
      </c>
      <c r="I1537" s="329">
        <v>0.14951859093684039</v>
      </c>
      <c r="J1537" s="329">
        <v>0.99349280020152309</v>
      </c>
      <c r="K1537" s="329">
        <v>1.0628085407322017</v>
      </c>
    </row>
    <row r="1538" spans="1:11" ht="11.25" x14ac:dyDescent="0.15">
      <c r="A1538" s="326">
        <v>1.2749999999999999</v>
      </c>
      <c r="B1538" s="327">
        <v>150</v>
      </c>
      <c r="C1538" s="327" t="s">
        <v>112</v>
      </c>
      <c r="D1538" s="327" t="s">
        <v>79</v>
      </c>
      <c r="E1538" s="328" t="s">
        <v>878</v>
      </c>
      <c r="F1538" s="328">
        <v>1269.9189974999997</v>
      </c>
      <c r="G1538" s="328">
        <v>10271.38725</v>
      </c>
      <c r="H1538" s="328">
        <v>9427.5272249999998</v>
      </c>
      <c r="I1538" s="329">
        <v>1.4592947337850473</v>
      </c>
      <c r="J1538" s="329">
        <v>1.1756650526862595</v>
      </c>
      <c r="K1538" s="329">
        <v>1.1348752878764916</v>
      </c>
    </row>
    <row r="1539" spans="1:11" ht="11.25" x14ac:dyDescent="0.15">
      <c r="A1539" s="326">
        <v>1.2749999999999999</v>
      </c>
      <c r="B1539" s="327">
        <v>150</v>
      </c>
      <c r="C1539" s="327" t="s">
        <v>112</v>
      </c>
      <c r="D1539" s="327" t="s">
        <v>114</v>
      </c>
      <c r="E1539" s="328" t="s">
        <v>879</v>
      </c>
      <c r="F1539" s="328">
        <v>357.03021749999999</v>
      </c>
      <c r="G1539" s="328">
        <v>9493.6946249999983</v>
      </c>
      <c r="H1539" s="328">
        <v>9311.103149999999</v>
      </c>
      <c r="I1539" s="329">
        <v>0.41027208603506238</v>
      </c>
      <c r="J1539" s="329">
        <v>1.0866501982473578</v>
      </c>
      <c r="K1539" s="329">
        <v>1.1208602866489157</v>
      </c>
    </row>
    <row r="1540" spans="1:11" ht="11.25" x14ac:dyDescent="0.15">
      <c r="A1540" s="326">
        <v>1.2749999999999999</v>
      </c>
      <c r="B1540" s="327">
        <v>150</v>
      </c>
      <c r="C1540" s="327" t="s">
        <v>112</v>
      </c>
      <c r="D1540" s="327" t="s">
        <v>113</v>
      </c>
      <c r="E1540" s="328" t="s">
        <v>880</v>
      </c>
      <c r="F1540" s="328">
        <v>138.81371249999998</v>
      </c>
      <c r="G1540" s="328">
        <v>9058.1303999999982</v>
      </c>
      <c r="H1540" s="328">
        <v>9201.1675499999983</v>
      </c>
      <c r="I1540" s="329">
        <v>0.15951420525812052</v>
      </c>
      <c r="J1540" s="329">
        <v>1.0367954293569261</v>
      </c>
      <c r="K1540" s="329">
        <v>1.1076263608568981</v>
      </c>
    </row>
    <row r="1541" spans="1:11" ht="11.25" x14ac:dyDescent="0.15">
      <c r="A1541" s="326">
        <v>1.3</v>
      </c>
      <c r="B1541" s="327">
        <v>150</v>
      </c>
      <c r="C1541" s="327" t="s">
        <v>112</v>
      </c>
      <c r="D1541" s="327" t="s">
        <v>79</v>
      </c>
      <c r="E1541" s="328" t="s">
        <v>881</v>
      </c>
      <c r="F1541" s="328">
        <v>1345.5364000000002</v>
      </c>
      <c r="G1541" s="328">
        <v>10817.326000000001</v>
      </c>
      <c r="H1541" s="328">
        <v>9814.9050999999999</v>
      </c>
      <c r="I1541" s="329">
        <v>1.5461885258048451</v>
      </c>
      <c r="J1541" s="329">
        <v>1.238153311931107</v>
      </c>
      <c r="K1541" s="329">
        <v>1.1815074075103449</v>
      </c>
    </row>
    <row r="1542" spans="1:11" ht="11.25" x14ac:dyDescent="0.15">
      <c r="A1542" s="326">
        <v>1.3</v>
      </c>
      <c r="B1542" s="327">
        <v>150</v>
      </c>
      <c r="C1542" s="327" t="s">
        <v>112</v>
      </c>
      <c r="D1542" s="327" t="s">
        <v>114</v>
      </c>
      <c r="E1542" s="328" t="s">
        <v>882</v>
      </c>
      <c r="F1542" s="328">
        <v>378.69923</v>
      </c>
      <c r="G1542" s="328">
        <v>9951.8406000000014</v>
      </c>
      <c r="H1542" s="328">
        <v>9694.5290000000005</v>
      </c>
      <c r="I1542" s="329">
        <v>0.43517247408329485</v>
      </c>
      <c r="J1542" s="329">
        <v>1.1390896787894214</v>
      </c>
      <c r="K1542" s="329">
        <v>1.1670166658895007</v>
      </c>
    </row>
    <row r="1543" spans="1:11" ht="11.25" x14ac:dyDescent="0.15">
      <c r="A1543" s="326">
        <v>1.3</v>
      </c>
      <c r="B1543" s="327">
        <v>150</v>
      </c>
      <c r="C1543" s="327" t="s">
        <v>112</v>
      </c>
      <c r="D1543" s="327" t="s">
        <v>113</v>
      </c>
      <c r="E1543" s="328" t="s">
        <v>883</v>
      </c>
      <c r="F1543" s="328">
        <v>148.19389000000001</v>
      </c>
      <c r="G1543" s="328">
        <v>9452.6067999999996</v>
      </c>
      <c r="H1543" s="328">
        <v>9581.1911</v>
      </c>
      <c r="I1543" s="329">
        <v>0.17029319482727137</v>
      </c>
      <c r="J1543" s="329">
        <v>1.0819472775251946</v>
      </c>
      <c r="K1543" s="329">
        <v>1.1533731749909828</v>
      </c>
    </row>
    <row r="1544" spans="1:11" ht="11.25" x14ac:dyDescent="0.15">
      <c r="A1544" s="326">
        <v>1.325</v>
      </c>
      <c r="B1544" s="327">
        <v>150</v>
      </c>
      <c r="C1544" s="327" t="s">
        <v>112</v>
      </c>
      <c r="D1544" s="327" t="s">
        <v>79</v>
      </c>
      <c r="E1544" s="328" t="s">
        <v>884</v>
      </c>
      <c r="F1544" s="328">
        <v>1426.0974999999999</v>
      </c>
      <c r="G1544" s="328">
        <v>11390.198200000001</v>
      </c>
      <c r="H1544" s="328">
        <v>10210.456625000001</v>
      </c>
      <c r="I1544" s="329">
        <v>1.6387632405774935</v>
      </c>
      <c r="J1544" s="329">
        <v>1.303724379285762</v>
      </c>
      <c r="K1544" s="329">
        <v>1.2291234620801965</v>
      </c>
    </row>
    <row r="1545" spans="1:11" ht="11.25" x14ac:dyDescent="0.15">
      <c r="A1545" s="326">
        <v>1.325</v>
      </c>
      <c r="B1545" s="327">
        <v>150</v>
      </c>
      <c r="C1545" s="327" t="s">
        <v>112</v>
      </c>
      <c r="D1545" s="327" t="s">
        <v>114</v>
      </c>
      <c r="E1545" s="328" t="s">
        <v>885</v>
      </c>
      <c r="F1545" s="328">
        <v>401.74397499999998</v>
      </c>
      <c r="G1545" s="328">
        <v>10432.640574999998</v>
      </c>
      <c r="H1545" s="328">
        <v>10085.697274999999</v>
      </c>
      <c r="I1545" s="329">
        <v>0.46165374972853085</v>
      </c>
      <c r="J1545" s="329">
        <v>1.194122140732663</v>
      </c>
      <c r="K1545" s="329">
        <v>1.2141050696780959</v>
      </c>
    </row>
    <row r="1546" spans="1:11" ht="11.25" x14ac:dyDescent="0.15">
      <c r="A1546" s="326">
        <v>1.325</v>
      </c>
      <c r="B1546" s="327">
        <v>150</v>
      </c>
      <c r="C1546" s="327" t="s">
        <v>112</v>
      </c>
      <c r="D1546" s="327" t="s">
        <v>113</v>
      </c>
      <c r="E1546" s="328" t="s">
        <v>886</v>
      </c>
      <c r="F1546" s="328">
        <v>158.32650249999998</v>
      </c>
      <c r="G1546" s="328">
        <v>9864.012850000001</v>
      </c>
      <c r="H1546" s="328">
        <v>9969.0588499999994</v>
      </c>
      <c r="I1546" s="329">
        <v>0.18193682571226766</v>
      </c>
      <c r="J1546" s="329">
        <v>1.1290368968410953</v>
      </c>
      <c r="K1546" s="329">
        <v>1.2000642652348783</v>
      </c>
    </row>
    <row r="1547" spans="1:11" ht="11.25" x14ac:dyDescent="0.15">
      <c r="A1547" s="326">
        <v>1.35</v>
      </c>
      <c r="B1547" s="327">
        <v>150</v>
      </c>
      <c r="C1547" s="327" t="s">
        <v>112</v>
      </c>
      <c r="D1547" s="327" t="s">
        <v>79</v>
      </c>
      <c r="E1547" s="328" t="s">
        <v>887</v>
      </c>
      <c r="F1547" s="328">
        <v>1512.02835</v>
      </c>
      <c r="G1547" s="328">
        <v>11991.152250000003</v>
      </c>
      <c r="H1547" s="328">
        <v>10613.98755</v>
      </c>
      <c r="I1547" s="329">
        <v>1.7375084653686308</v>
      </c>
      <c r="J1547" s="329">
        <v>1.3725097008454445</v>
      </c>
      <c r="K1547" s="329">
        <v>1.2777000679861465</v>
      </c>
    </row>
    <row r="1548" spans="1:11" ht="11.25" x14ac:dyDescent="0.15">
      <c r="A1548" s="326">
        <v>1.35</v>
      </c>
      <c r="B1548" s="327">
        <v>150</v>
      </c>
      <c r="C1548" s="327" t="s">
        <v>112</v>
      </c>
      <c r="D1548" s="327" t="s">
        <v>114</v>
      </c>
      <c r="E1548" s="328" t="s">
        <v>888</v>
      </c>
      <c r="F1548" s="328">
        <v>426.27910500000002</v>
      </c>
      <c r="G1548" s="328">
        <v>10937.299050000001</v>
      </c>
      <c r="H1548" s="328">
        <v>10484.749350000002</v>
      </c>
      <c r="I1548" s="329">
        <v>0.48984766294048876</v>
      </c>
      <c r="J1548" s="329">
        <v>1.2518854513895996</v>
      </c>
      <c r="K1548" s="329">
        <v>1.2621425165806519</v>
      </c>
    </row>
    <row r="1549" spans="1:11" ht="11.25" x14ac:dyDescent="0.15">
      <c r="A1549" s="326">
        <v>1.35</v>
      </c>
      <c r="B1549" s="327">
        <v>150</v>
      </c>
      <c r="C1549" s="327" t="s">
        <v>112</v>
      </c>
      <c r="D1549" s="327" t="s">
        <v>113</v>
      </c>
      <c r="E1549" s="328" t="s">
        <v>889</v>
      </c>
      <c r="F1549" s="328">
        <v>169.29270000000002</v>
      </c>
      <c r="G1549" s="328">
        <v>10295.434800000001</v>
      </c>
      <c r="H1549" s="328">
        <v>10364.423850000001</v>
      </c>
      <c r="I1549" s="329">
        <v>0.19453834934716141</v>
      </c>
      <c r="J1549" s="329">
        <v>1.1784175401010171</v>
      </c>
      <c r="K1549" s="329">
        <v>1.2476578661317763</v>
      </c>
    </row>
    <row r="1550" spans="1:11" ht="11.25" x14ac:dyDescent="0.15">
      <c r="A1550" s="326">
        <v>1.375</v>
      </c>
      <c r="B1550" s="327">
        <v>150</v>
      </c>
      <c r="C1550" s="327" t="s">
        <v>112</v>
      </c>
      <c r="D1550" s="327" t="s">
        <v>79</v>
      </c>
      <c r="E1550" s="328" t="s">
        <v>890</v>
      </c>
      <c r="F1550" s="328">
        <v>1603.7958750000003</v>
      </c>
      <c r="G1550" s="328">
        <v>12620.092375</v>
      </c>
      <c r="H1550" s="328">
        <v>11025.597</v>
      </c>
      <c r="I1550" s="329">
        <v>1.8429607550253873</v>
      </c>
      <c r="J1550" s="329">
        <v>1.4444983141843706</v>
      </c>
      <c r="K1550" s="329">
        <v>1.3272491577859307</v>
      </c>
    </row>
    <row r="1551" spans="1:11" ht="11.25" x14ac:dyDescent="0.15">
      <c r="A1551" s="326">
        <v>1.375</v>
      </c>
      <c r="B1551" s="327">
        <v>150</v>
      </c>
      <c r="C1551" s="327" t="s">
        <v>112</v>
      </c>
      <c r="D1551" s="327" t="s">
        <v>114</v>
      </c>
      <c r="E1551" s="328" t="s">
        <v>891</v>
      </c>
      <c r="F1551" s="328">
        <v>452.43605000000002</v>
      </c>
      <c r="G1551" s="328">
        <v>11466.217124999999</v>
      </c>
      <c r="H1551" s="328">
        <v>10891.827374999999</v>
      </c>
      <c r="I1551" s="329">
        <v>0.51990524312123187</v>
      </c>
      <c r="J1551" s="329">
        <v>1.3124255207469873</v>
      </c>
      <c r="K1551" s="329">
        <v>1.3111461184567597</v>
      </c>
    </row>
    <row r="1552" spans="1:11" ht="11.25" x14ac:dyDescent="0.15">
      <c r="A1552" s="326">
        <v>1.375</v>
      </c>
      <c r="B1552" s="327">
        <v>150</v>
      </c>
      <c r="C1552" s="327" t="s">
        <v>112</v>
      </c>
      <c r="D1552" s="327" t="s">
        <v>113</v>
      </c>
      <c r="E1552" s="328" t="s">
        <v>892</v>
      </c>
      <c r="F1552" s="328">
        <v>181.18044999999998</v>
      </c>
      <c r="G1552" s="328">
        <v>10744.525000000001</v>
      </c>
      <c r="H1552" s="328">
        <v>10767.898625</v>
      </c>
      <c r="I1552" s="329">
        <v>0.20819885132067656</v>
      </c>
      <c r="J1552" s="329">
        <v>1.2298204948132818</v>
      </c>
      <c r="K1552" s="329">
        <v>1.2962277127629036</v>
      </c>
    </row>
    <row r="1553" spans="1:11" ht="11.25" x14ac:dyDescent="0.15">
      <c r="A1553" s="326">
        <v>1.4</v>
      </c>
      <c r="B1553" s="327">
        <v>150</v>
      </c>
      <c r="C1553" s="327" t="s">
        <v>112</v>
      </c>
      <c r="D1553" s="327" t="s">
        <v>79</v>
      </c>
      <c r="E1553" s="328" t="s">
        <v>893</v>
      </c>
      <c r="F1553" s="328">
        <v>1701.9128000000001</v>
      </c>
      <c r="G1553" s="328">
        <v>13278.575799999999</v>
      </c>
      <c r="H1553" s="328">
        <v>11445.487200000001</v>
      </c>
      <c r="I1553" s="329">
        <v>1.9557092942862013</v>
      </c>
      <c r="J1553" s="329">
        <v>1.519868459589574</v>
      </c>
      <c r="K1553" s="329">
        <v>1.3777950751011172</v>
      </c>
    </row>
    <row r="1554" spans="1:11" ht="11.25" x14ac:dyDescent="0.15">
      <c r="A1554" s="326">
        <v>1.4</v>
      </c>
      <c r="B1554" s="327">
        <v>150</v>
      </c>
      <c r="C1554" s="327" t="s">
        <v>112</v>
      </c>
      <c r="D1554" s="327" t="s">
        <v>114</v>
      </c>
      <c r="E1554" s="328" t="s">
        <v>894</v>
      </c>
      <c r="F1554" s="328">
        <v>480.35567999999995</v>
      </c>
      <c r="G1554" s="328">
        <v>12020.082199999999</v>
      </c>
      <c r="H1554" s="328">
        <v>11306.401399999999</v>
      </c>
      <c r="I1554" s="329">
        <v>0.55198836740587898</v>
      </c>
      <c r="J1554" s="329">
        <v>1.3758210287472288</v>
      </c>
      <c r="K1554" s="329">
        <v>1.3610520805122539</v>
      </c>
    </row>
    <row r="1555" spans="1:11" ht="11.25" x14ac:dyDescent="0.15">
      <c r="A1555" s="326">
        <v>1.4</v>
      </c>
      <c r="B1555" s="327">
        <v>150</v>
      </c>
      <c r="C1555" s="327" t="s">
        <v>112</v>
      </c>
      <c r="D1555" s="327" t="s">
        <v>113</v>
      </c>
      <c r="E1555" s="328" t="s">
        <v>895</v>
      </c>
      <c r="F1555" s="328">
        <v>194.0883</v>
      </c>
      <c r="G1555" s="328">
        <v>11216.8014</v>
      </c>
      <c r="H1555" s="328">
        <v>11179.4956</v>
      </c>
      <c r="I1555" s="329">
        <v>0.22303157495625422</v>
      </c>
      <c r="J1555" s="329">
        <v>1.2838773466458788</v>
      </c>
      <c r="K1555" s="329">
        <v>1.3457753008360018</v>
      </c>
    </row>
    <row r="1556" spans="1:11" ht="11.25" x14ac:dyDescent="0.15">
      <c r="A1556" s="326">
        <v>0.9</v>
      </c>
      <c r="B1556" s="327">
        <v>-40</v>
      </c>
      <c r="C1556" s="327" t="s">
        <v>115</v>
      </c>
      <c r="D1556" s="327" t="s">
        <v>79</v>
      </c>
      <c r="E1556" s="328" t="s">
        <v>896</v>
      </c>
      <c r="F1556" s="328">
        <v>296.35776000000004</v>
      </c>
      <c r="G1556" s="328">
        <v>3990.4496999999997</v>
      </c>
      <c r="H1556" s="328">
        <v>4964.8068000000003</v>
      </c>
      <c r="I1556" s="329">
        <v>5.3752086509402655E-3</v>
      </c>
      <c r="J1556" s="329">
        <v>0.32065811784000486</v>
      </c>
      <c r="K1556" s="329">
        <v>0.53861446435619953</v>
      </c>
    </row>
    <row r="1557" spans="1:11" ht="11.25" x14ac:dyDescent="0.15">
      <c r="A1557" s="326">
        <v>0.9</v>
      </c>
      <c r="B1557" s="327">
        <v>-40</v>
      </c>
      <c r="C1557" s="327" t="s">
        <v>115</v>
      </c>
      <c r="D1557" s="327" t="s">
        <v>114</v>
      </c>
      <c r="E1557" s="328" t="s">
        <v>897</v>
      </c>
      <c r="F1557" s="328">
        <v>19.569483000000002</v>
      </c>
      <c r="G1557" s="328">
        <v>4155.5403000000006</v>
      </c>
      <c r="H1557" s="328">
        <v>4880.0474999999997</v>
      </c>
      <c r="I1557" s="329">
        <v>3.5494280398133812E-4</v>
      </c>
      <c r="J1557" s="329">
        <v>0.33392420187787092</v>
      </c>
      <c r="K1557" s="329">
        <v>0.52941922538563035</v>
      </c>
    </row>
    <row r="1558" spans="1:11" ht="11.25" x14ac:dyDescent="0.15">
      <c r="A1558" s="326">
        <v>0.9</v>
      </c>
      <c r="B1558" s="327">
        <v>-40</v>
      </c>
      <c r="C1558" s="327" t="s">
        <v>115</v>
      </c>
      <c r="D1558" s="327" t="s">
        <v>113</v>
      </c>
      <c r="E1558" s="328" t="s">
        <v>898</v>
      </c>
      <c r="F1558" s="328">
        <v>5.7543246000000003</v>
      </c>
      <c r="G1558" s="328">
        <v>4489.4943000000003</v>
      </c>
      <c r="H1558" s="328">
        <v>4796.2826999999997</v>
      </c>
      <c r="I1558" s="329">
        <v>1.0436944647657743E-4</v>
      </c>
      <c r="J1558" s="329">
        <v>0.3607595385280587</v>
      </c>
      <c r="K1558" s="329">
        <v>0.52033187622958588</v>
      </c>
    </row>
    <row r="1559" spans="1:11" ht="11.25" x14ac:dyDescent="0.15">
      <c r="A1559" s="326">
        <v>0.92500000000000004</v>
      </c>
      <c r="B1559" s="327">
        <v>-40</v>
      </c>
      <c r="C1559" s="327" t="s">
        <v>115</v>
      </c>
      <c r="D1559" s="327" t="s">
        <v>79</v>
      </c>
      <c r="E1559" s="328" t="s">
        <v>899</v>
      </c>
      <c r="F1559" s="328">
        <v>332.43574999999998</v>
      </c>
      <c r="G1559" s="328">
        <v>4273.0143750000007</v>
      </c>
      <c r="H1559" s="328">
        <v>5261.8995000000004</v>
      </c>
      <c r="I1559" s="329">
        <v>6.0295756024131607E-3</v>
      </c>
      <c r="J1559" s="329">
        <v>0.34336399403575618</v>
      </c>
      <c r="K1559" s="329">
        <v>0.5708450086494109</v>
      </c>
    </row>
    <row r="1560" spans="1:11" ht="11.25" x14ac:dyDescent="0.15">
      <c r="A1560" s="326">
        <v>0.92500000000000004</v>
      </c>
      <c r="B1560" s="327">
        <v>-40</v>
      </c>
      <c r="C1560" s="327" t="s">
        <v>115</v>
      </c>
      <c r="D1560" s="327" t="s">
        <v>114</v>
      </c>
      <c r="E1560" s="328" t="s">
        <v>900</v>
      </c>
      <c r="F1560" s="328">
        <v>21.926727250000003</v>
      </c>
      <c r="G1560" s="328">
        <v>4401.1629499999999</v>
      </c>
      <c r="H1560" s="328">
        <v>5173.4676500000005</v>
      </c>
      <c r="I1560" s="329">
        <v>3.976974788883802E-4</v>
      </c>
      <c r="J1560" s="329">
        <v>0.35366155043983227</v>
      </c>
      <c r="K1560" s="329">
        <v>0.56125134761918161</v>
      </c>
    </row>
    <row r="1561" spans="1:11" ht="11.25" x14ac:dyDescent="0.15">
      <c r="A1561" s="326">
        <v>0.92500000000000004</v>
      </c>
      <c r="B1561" s="327">
        <v>-40</v>
      </c>
      <c r="C1561" s="327" t="s">
        <v>115</v>
      </c>
      <c r="D1561" s="327" t="s">
        <v>113</v>
      </c>
      <c r="E1561" s="328" t="s">
        <v>901</v>
      </c>
      <c r="F1561" s="328">
        <v>6.5164067000000001</v>
      </c>
      <c r="G1561" s="328">
        <v>4732.4544750000005</v>
      </c>
      <c r="H1561" s="328">
        <v>5086.6203249999999</v>
      </c>
      <c r="I1561" s="329">
        <v>1.1819176142674686E-4</v>
      </c>
      <c r="J1561" s="329">
        <v>0.3802829402202485</v>
      </c>
      <c r="K1561" s="329">
        <v>0.55182958614486921</v>
      </c>
    </row>
    <row r="1562" spans="1:11" ht="11.25" x14ac:dyDescent="0.15">
      <c r="A1562" s="326">
        <v>0.95</v>
      </c>
      <c r="B1562" s="327">
        <v>-40</v>
      </c>
      <c r="C1562" s="327" t="s">
        <v>115</v>
      </c>
      <c r="D1562" s="327" t="s">
        <v>79</v>
      </c>
      <c r="E1562" s="328" t="s">
        <v>902</v>
      </c>
      <c r="F1562" s="328">
        <v>372.27839999999992</v>
      </c>
      <c r="G1562" s="328">
        <v>4577.93505</v>
      </c>
      <c r="H1562" s="328">
        <v>5567.4018500000002</v>
      </c>
      <c r="I1562" s="329">
        <v>6.7522243258897616E-3</v>
      </c>
      <c r="J1562" s="329">
        <v>0.36786631760495281</v>
      </c>
      <c r="K1562" s="329">
        <v>0.60398788635510736</v>
      </c>
    </row>
    <row r="1563" spans="1:11" ht="11.25" x14ac:dyDescent="0.15">
      <c r="A1563" s="326">
        <v>0.95</v>
      </c>
      <c r="B1563" s="327">
        <v>-40</v>
      </c>
      <c r="C1563" s="327" t="s">
        <v>115</v>
      </c>
      <c r="D1563" s="327" t="s">
        <v>114</v>
      </c>
      <c r="E1563" s="328" t="s">
        <v>903</v>
      </c>
      <c r="F1563" s="328">
        <v>24.540808500000001</v>
      </c>
      <c r="G1563" s="328">
        <v>4661.5711499999998</v>
      </c>
      <c r="H1563" s="328">
        <v>5475.7572499999997</v>
      </c>
      <c r="I1563" s="329">
        <v>4.4511055202424389E-4</v>
      </c>
      <c r="J1563" s="329">
        <v>0.37458701237012637</v>
      </c>
      <c r="K1563" s="329">
        <v>0.59404568535342117</v>
      </c>
    </row>
    <row r="1564" spans="1:11" ht="11.25" x14ac:dyDescent="0.15">
      <c r="A1564" s="326">
        <v>0.95</v>
      </c>
      <c r="B1564" s="327">
        <v>-40</v>
      </c>
      <c r="C1564" s="327" t="s">
        <v>115</v>
      </c>
      <c r="D1564" s="327" t="s">
        <v>113</v>
      </c>
      <c r="E1564" s="328" t="s">
        <v>904</v>
      </c>
      <c r="F1564" s="328">
        <v>7.3721282499999994</v>
      </c>
      <c r="G1564" s="328">
        <v>4983.5831499999995</v>
      </c>
      <c r="H1564" s="328">
        <v>5385.4816000000001</v>
      </c>
      <c r="I1564" s="329">
        <v>1.3371246815079555E-4</v>
      </c>
      <c r="J1564" s="329">
        <v>0.40046273305441304</v>
      </c>
      <c r="K1564" s="329">
        <v>0.58425199693252272</v>
      </c>
    </row>
    <row r="1565" spans="1:11" ht="11.25" x14ac:dyDescent="0.15">
      <c r="A1565" s="326">
        <v>0.97499999999999998</v>
      </c>
      <c r="B1565" s="327">
        <v>-40</v>
      </c>
      <c r="C1565" s="327" t="s">
        <v>115</v>
      </c>
      <c r="D1565" s="327" t="s">
        <v>79</v>
      </c>
      <c r="E1565" s="328" t="s">
        <v>905</v>
      </c>
      <c r="F1565" s="328">
        <v>416.22116249999999</v>
      </c>
      <c r="G1565" s="328">
        <v>4907.9247750000004</v>
      </c>
      <c r="H1565" s="328">
        <v>5881.6650749999999</v>
      </c>
      <c r="I1565" s="329">
        <v>7.5492391134769458E-3</v>
      </c>
      <c r="J1565" s="329">
        <v>0.39438309944160671</v>
      </c>
      <c r="K1565" s="329">
        <v>0.63808120064081664</v>
      </c>
    </row>
    <row r="1566" spans="1:11" ht="11.25" x14ac:dyDescent="0.15">
      <c r="A1566" s="326">
        <v>0.97499999999999998</v>
      </c>
      <c r="B1566" s="327">
        <v>-40</v>
      </c>
      <c r="C1566" s="327" t="s">
        <v>115</v>
      </c>
      <c r="D1566" s="327" t="s">
        <v>114</v>
      </c>
      <c r="E1566" s="328" t="s">
        <v>906</v>
      </c>
      <c r="F1566" s="328">
        <v>27.437670000000001</v>
      </c>
      <c r="G1566" s="328">
        <v>4938.5251500000004</v>
      </c>
      <c r="H1566" s="328">
        <v>5786.7069000000001</v>
      </c>
      <c r="I1566" s="329">
        <v>4.9765257081725871E-4</v>
      </c>
      <c r="J1566" s="329">
        <v>0.39684203499784193</v>
      </c>
      <c r="K1566" s="329">
        <v>0.62777952151729721</v>
      </c>
    </row>
    <row r="1567" spans="1:11" ht="11.25" x14ac:dyDescent="0.15">
      <c r="A1567" s="326">
        <v>0.97499999999999998</v>
      </c>
      <c r="B1567" s="327">
        <v>-40</v>
      </c>
      <c r="C1567" s="327" t="s">
        <v>115</v>
      </c>
      <c r="D1567" s="327" t="s">
        <v>113</v>
      </c>
      <c r="E1567" s="328" t="s">
        <v>907</v>
      </c>
      <c r="F1567" s="328">
        <v>8.3323695000000004</v>
      </c>
      <c r="G1567" s="328">
        <v>5246.5998</v>
      </c>
      <c r="H1567" s="328">
        <v>5693.2394999999997</v>
      </c>
      <c r="I1567" s="329">
        <v>1.5112890790924729E-4</v>
      </c>
      <c r="J1567" s="329">
        <v>0.42159780060070573</v>
      </c>
      <c r="K1567" s="329">
        <v>0.61763957134123659</v>
      </c>
    </row>
    <row r="1568" spans="1:11" ht="11.25" x14ac:dyDescent="0.15">
      <c r="A1568" s="326">
        <v>1</v>
      </c>
      <c r="B1568" s="327">
        <v>-40</v>
      </c>
      <c r="C1568" s="327" t="s">
        <v>115</v>
      </c>
      <c r="D1568" s="327" t="s">
        <v>79</v>
      </c>
      <c r="E1568" s="328" t="s">
        <v>908</v>
      </c>
      <c r="F1568" s="328">
        <v>464.62399999999997</v>
      </c>
      <c r="G1568" s="328">
        <v>5264.3029999999999</v>
      </c>
      <c r="H1568" s="328">
        <v>6204.3470000000007</v>
      </c>
      <c r="I1568" s="329">
        <v>8.4271488090423858E-3</v>
      </c>
      <c r="J1568" s="329">
        <v>0.42302036577969926</v>
      </c>
      <c r="K1568" s="329">
        <v>0.67308783014174767</v>
      </c>
    </row>
    <row r="1569" spans="1:11" ht="11.25" x14ac:dyDescent="0.15">
      <c r="A1569" s="326">
        <v>1</v>
      </c>
      <c r="B1569" s="327">
        <v>-40</v>
      </c>
      <c r="C1569" s="327" t="s">
        <v>115</v>
      </c>
      <c r="D1569" s="327" t="s">
        <v>114</v>
      </c>
      <c r="E1569" s="328" t="s">
        <v>909</v>
      </c>
      <c r="F1569" s="328">
        <v>30.645839999999996</v>
      </c>
      <c r="G1569" s="328">
        <v>5233.0840000000007</v>
      </c>
      <c r="H1569" s="328">
        <v>6105.9749999999995</v>
      </c>
      <c r="I1569" s="329">
        <v>5.558409683057774E-4</v>
      </c>
      <c r="J1569" s="329">
        <v>0.42051171975395263</v>
      </c>
      <c r="K1569" s="329">
        <v>0.66241579712575016</v>
      </c>
    </row>
    <row r="1570" spans="1:11" ht="11.25" x14ac:dyDescent="0.15">
      <c r="A1570" s="326">
        <v>1</v>
      </c>
      <c r="B1570" s="327">
        <v>-40</v>
      </c>
      <c r="C1570" s="327" t="s">
        <v>115</v>
      </c>
      <c r="D1570" s="327" t="s">
        <v>113</v>
      </c>
      <c r="E1570" s="328" t="s">
        <v>910</v>
      </c>
      <c r="F1570" s="328">
        <v>9.4091389999999997</v>
      </c>
      <c r="G1570" s="328">
        <v>5520.9269999999997</v>
      </c>
      <c r="H1570" s="328">
        <v>6009.3719999999994</v>
      </c>
      <c r="I1570" s="329">
        <v>1.7065888657917858E-4</v>
      </c>
      <c r="J1570" s="329">
        <v>0.44364174307273302</v>
      </c>
      <c r="K1570" s="329">
        <v>0.65193567671095332</v>
      </c>
    </row>
    <row r="1571" spans="1:11" ht="11.25" x14ac:dyDescent="0.15">
      <c r="A1571" s="326">
        <v>1.0249999999999999</v>
      </c>
      <c r="B1571" s="327">
        <v>-40</v>
      </c>
      <c r="C1571" s="327" t="s">
        <v>115</v>
      </c>
      <c r="D1571" s="327" t="s">
        <v>79</v>
      </c>
      <c r="E1571" s="328" t="s">
        <v>911</v>
      </c>
      <c r="F1571" s="328">
        <v>517.87417749999997</v>
      </c>
      <c r="G1571" s="328">
        <v>5649.687249999999</v>
      </c>
      <c r="H1571" s="328">
        <v>6536.2220500000003</v>
      </c>
      <c r="I1571" s="329">
        <v>9.3929774573696806E-3</v>
      </c>
      <c r="J1571" s="329">
        <v>0.45398845146943534</v>
      </c>
      <c r="K1571" s="329">
        <v>0.70909178950808927</v>
      </c>
    </row>
    <row r="1572" spans="1:11" ht="11.25" x14ac:dyDescent="0.15">
      <c r="A1572" s="326">
        <v>1.0249999999999999</v>
      </c>
      <c r="B1572" s="327">
        <v>-40</v>
      </c>
      <c r="C1572" s="327" t="s">
        <v>115</v>
      </c>
      <c r="D1572" s="327" t="s">
        <v>114</v>
      </c>
      <c r="E1572" s="328" t="s">
        <v>912</v>
      </c>
      <c r="F1572" s="328">
        <v>34.196562499999992</v>
      </c>
      <c r="G1572" s="328">
        <v>5548.973825</v>
      </c>
      <c r="H1572" s="328">
        <v>6433.8450499999999</v>
      </c>
      <c r="I1572" s="329">
        <v>6.2024243462502685E-4</v>
      </c>
      <c r="J1572" s="329">
        <v>0.44589548457858086</v>
      </c>
      <c r="K1572" s="329">
        <v>0.69798526809875772</v>
      </c>
    </row>
    <row r="1573" spans="1:11" ht="11.25" x14ac:dyDescent="0.15">
      <c r="A1573" s="326">
        <v>1.0249999999999999</v>
      </c>
      <c r="B1573" s="327">
        <v>-40</v>
      </c>
      <c r="C1573" s="327" t="s">
        <v>115</v>
      </c>
      <c r="D1573" s="327" t="s">
        <v>113</v>
      </c>
      <c r="E1573" s="328" t="s">
        <v>913</v>
      </c>
      <c r="F1573" s="328">
        <v>10.615791749999998</v>
      </c>
      <c r="G1573" s="328">
        <v>5807.2738249999993</v>
      </c>
      <c r="H1573" s="328">
        <v>6333.8470749999997</v>
      </c>
      <c r="I1573" s="329">
        <v>1.925446313644032E-4</v>
      </c>
      <c r="J1573" s="329">
        <v>0.46665153917515251</v>
      </c>
      <c r="K1573" s="329">
        <v>0.68713683876182363</v>
      </c>
    </row>
    <row r="1574" spans="1:11" ht="11.25" x14ac:dyDescent="0.15">
      <c r="A1574" s="326">
        <v>1.05</v>
      </c>
      <c r="B1574" s="327">
        <v>-40</v>
      </c>
      <c r="C1574" s="327" t="s">
        <v>115</v>
      </c>
      <c r="D1574" s="327" t="s">
        <v>79</v>
      </c>
      <c r="E1574" s="328" t="s">
        <v>914</v>
      </c>
      <c r="F1574" s="328">
        <v>576.3875250000001</v>
      </c>
      <c r="G1574" s="328">
        <v>6065.565450000001</v>
      </c>
      <c r="H1574" s="328">
        <v>6876.9666000000007</v>
      </c>
      <c r="I1574" s="329">
        <v>1.0454267202836357E-2</v>
      </c>
      <c r="J1574" s="329">
        <v>0.48740692078698861</v>
      </c>
      <c r="K1574" s="329">
        <v>0.74605796979944405</v>
      </c>
    </row>
    <row r="1575" spans="1:11" ht="11.25" x14ac:dyDescent="0.15">
      <c r="A1575" s="326">
        <v>1.05</v>
      </c>
      <c r="B1575" s="327">
        <v>-40</v>
      </c>
      <c r="C1575" s="327" t="s">
        <v>115</v>
      </c>
      <c r="D1575" s="327" t="s">
        <v>114</v>
      </c>
      <c r="E1575" s="328" t="s">
        <v>915</v>
      </c>
      <c r="F1575" s="328">
        <v>38.1240825</v>
      </c>
      <c r="G1575" s="328">
        <v>5887.2670500000004</v>
      </c>
      <c r="H1575" s="328">
        <v>6770.2047000000002</v>
      </c>
      <c r="I1575" s="329">
        <v>6.9147809074802144E-4</v>
      </c>
      <c r="J1575" s="329">
        <v>0.47307950566936807</v>
      </c>
      <c r="K1575" s="329">
        <v>0.73447574597914356</v>
      </c>
    </row>
    <row r="1576" spans="1:11" ht="11.25" x14ac:dyDescent="0.15">
      <c r="A1576" s="326">
        <v>1.05</v>
      </c>
      <c r="B1576" s="327">
        <v>-40</v>
      </c>
      <c r="C1576" s="327" t="s">
        <v>115</v>
      </c>
      <c r="D1576" s="327" t="s">
        <v>113</v>
      </c>
      <c r="E1576" s="328" t="s">
        <v>916</v>
      </c>
      <c r="F1576" s="328">
        <v>11.967165000000001</v>
      </c>
      <c r="G1576" s="328">
        <v>6110.1075000000001</v>
      </c>
      <c r="H1576" s="328">
        <v>6666.9235500000004</v>
      </c>
      <c r="I1576" s="329">
        <v>2.1705525387703551E-4</v>
      </c>
      <c r="J1576" s="329">
        <v>0.49098615896601772</v>
      </c>
      <c r="K1576" s="329">
        <v>0.72327113650967889</v>
      </c>
    </row>
    <row r="1577" spans="1:11" ht="11.25" x14ac:dyDescent="0.15">
      <c r="A1577" s="326">
        <v>1.075</v>
      </c>
      <c r="B1577" s="327">
        <v>-40</v>
      </c>
      <c r="C1577" s="327" t="s">
        <v>115</v>
      </c>
      <c r="D1577" s="327" t="s">
        <v>79</v>
      </c>
      <c r="E1577" s="328" t="s">
        <v>917</v>
      </c>
      <c r="F1577" s="328">
        <v>640.61056000000008</v>
      </c>
      <c r="G1577" s="328">
        <v>6513.29385</v>
      </c>
      <c r="H1577" s="328">
        <v>7225.3448249999992</v>
      </c>
      <c r="I1577" s="329">
        <v>1.1619116786399276E-2</v>
      </c>
      <c r="J1577" s="329">
        <v>0.52338475708135834</v>
      </c>
      <c r="K1577" s="329">
        <v>0.78385230069903478</v>
      </c>
    </row>
    <row r="1578" spans="1:11" ht="11.25" x14ac:dyDescent="0.15">
      <c r="A1578" s="326">
        <v>1.075</v>
      </c>
      <c r="B1578" s="327">
        <v>-40</v>
      </c>
      <c r="C1578" s="327" t="s">
        <v>115</v>
      </c>
      <c r="D1578" s="327" t="s">
        <v>114</v>
      </c>
      <c r="E1578" s="328" t="s">
        <v>918</v>
      </c>
      <c r="F1578" s="328">
        <v>42.465918500000001</v>
      </c>
      <c r="G1578" s="328">
        <v>6250.9368749999994</v>
      </c>
      <c r="H1578" s="328">
        <v>7115.3196499999995</v>
      </c>
      <c r="I1578" s="329">
        <v>7.7022843097249833E-4</v>
      </c>
      <c r="J1578" s="329">
        <v>0.50230269863423704</v>
      </c>
      <c r="K1578" s="329">
        <v>0.7719160556273591</v>
      </c>
    </row>
    <row r="1579" spans="1:11" ht="11.25" x14ac:dyDescent="0.15">
      <c r="A1579" s="326">
        <v>1.075</v>
      </c>
      <c r="B1579" s="327">
        <v>-40</v>
      </c>
      <c r="C1579" s="327" t="s">
        <v>115</v>
      </c>
      <c r="D1579" s="327" t="s">
        <v>113</v>
      </c>
      <c r="E1579" s="328" t="s">
        <v>919</v>
      </c>
      <c r="F1579" s="328">
        <v>13.479683</v>
      </c>
      <c r="G1579" s="328">
        <v>6428.988049999999</v>
      </c>
      <c r="H1579" s="328">
        <v>7008.6312749999997</v>
      </c>
      <c r="I1579" s="329">
        <v>2.4448865004760603E-4</v>
      </c>
      <c r="J1579" s="329">
        <v>0.51661024764423991</v>
      </c>
      <c r="K1579" s="329">
        <v>0.76034180827625197</v>
      </c>
    </row>
    <row r="1580" spans="1:11" ht="11.25" x14ac:dyDescent="0.15">
      <c r="A1580" s="326">
        <v>1.1000000000000001</v>
      </c>
      <c r="B1580" s="327">
        <v>-40</v>
      </c>
      <c r="C1580" s="327" t="s">
        <v>115</v>
      </c>
      <c r="D1580" s="327" t="s">
        <v>79</v>
      </c>
      <c r="E1580" s="328" t="s">
        <v>920</v>
      </c>
      <c r="F1580" s="328">
        <v>711.02185000000009</v>
      </c>
      <c r="G1580" s="328">
        <v>6992.5658000000003</v>
      </c>
      <c r="H1580" s="328">
        <v>7583.3417000000009</v>
      </c>
      <c r="I1580" s="329">
        <v>1.289620625802932E-2</v>
      </c>
      <c r="J1580" s="329">
        <v>0.56189731906666762</v>
      </c>
      <c r="K1580" s="329">
        <v>0.82269012517778772</v>
      </c>
    </row>
    <row r="1581" spans="1:11" ht="11.25" x14ac:dyDescent="0.15">
      <c r="A1581" s="326">
        <v>1.1000000000000001</v>
      </c>
      <c r="B1581" s="327">
        <v>-40</v>
      </c>
      <c r="C1581" s="327" t="s">
        <v>115</v>
      </c>
      <c r="D1581" s="327" t="s">
        <v>114</v>
      </c>
      <c r="E1581" s="328" t="s">
        <v>921</v>
      </c>
      <c r="F1581" s="328">
        <v>47.263282000000004</v>
      </c>
      <c r="G1581" s="328">
        <v>6641.4161000000004</v>
      </c>
      <c r="H1581" s="328">
        <v>7469.0604999999996</v>
      </c>
      <c r="I1581" s="329">
        <v>8.5724093163016657E-4</v>
      </c>
      <c r="J1581" s="329">
        <v>0.5336801981035636</v>
      </c>
      <c r="K1581" s="329">
        <v>0.81029215889157002</v>
      </c>
    </row>
    <row r="1582" spans="1:11" ht="11.25" x14ac:dyDescent="0.15">
      <c r="A1582" s="326">
        <v>1.1000000000000001</v>
      </c>
      <c r="B1582" s="327">
        <v>-40</v>
      </c>
      <c r="C1582" s="327" t="s">
        <v>115</v>
      </c>
      <c r="D1582" s="327" t="s">
        <v>113</v>
      </c>
      <c r="E1582" s="328" t="s">
        <v>922</v>
      </c>
      <c r="F1582" s="328">
        <v>15.171684000000001</v>
      </c>
      <c r="G1582" s="328">
        <v>6767.255000000001</v>
      </c>
      <c r="H1582" s="328">
        <v>7359.0572000000002</v>
      </c>
      <c r="I1582" s="329">
        <v>2.7517743110938618E-4</v>
      </c>
      <c r="J1582" s="329">
        <v>0.54379215737097564</v>
      </c>
      <c r="K1582" s="329">
        <v>0.79835828696186795</v>
      </c>
    </row>
    <row r="1583" spans="1:11" ht="11.25" x14ac:dyDescent="0.15">
      <c r="A1583" s="326">
        <v>1.125</v>
      </c>
      <c r="B1583" s="327">
        <v>-40</v>
      </c>
      <c r="C1583" s="327" t="s">
        <v>115</v>
      </c>
      <c r="D1583" s="327" t="s">
        <v>79</v>
      </c>
      <c r="E1583" s="328" t="s">
        <v>923</v>
      </c>
      <c r="F1583" s="328">
        <v>788.13472499999989</v>
      </c>
      <c r="G1583" s="328">
        <v>7506.5467499999995</v>
      </c>
      <c r="H1583" s="328">
        <v>7949.9463749999995</v>
      </c>
      <c r="I1583" s="329">
        <v>1.4294846174861174E-2</v>
      </c>
      <c r="J1583" s="329">
        <v>0.60319897086611707</v>
      </c>
      <c r="K1583" s="329">
        <v>0.86246177966706272</v>
      </c>
    </row>
    <row r="1584" spans="1:11" ht="11.25" x14ac:dyDescent="0.15">
      <c r="A1584" s="326">
        <v>1.125</v>
      </c>
      <c r="B1584" s="327">
        <v>-40</v>
      </c>
      <c r="C1584" s="327" t="s">
        <v>115</v>
      </c>
      <c r="D1584" s="327" t="s">
        <v>114</v>
      </c>
      <c r="E1584" s="328" t="s">
        <v>924</v>
      </c>
      <c r="F1584" s="328">
        <v>52.561305000000004</v>
      </c>
      <c r="G1584" s="328">
        <v>7060.7475000000004</v>
      </c>
      <c r="H1584" s="328">
        <v>7831.2420000000002</v>
      </c>
      <c r="I1584" s="329">
        <v>9.5333417738313923E-4</v>
      </c>
      <c r="J1584" s="329">
        <v>0.56737615409449216</v>
      </c>
      <c r="K1584" s="329">
        <v>0.8495839586494629</v>
      </c>
    </row>
    <row r="1585" spans="1:11" ht="11.25" x14ac:dyDescent="0.15">
      <c r="A1585" s="326">
        <v>1.125</v>
      </c>
      <c r="B1585" s="327">
        <v>-40</v>
      </c>
      <c r="C1585" s="327" t="s">
        <v>115</v>
      </c>
      <c r="D1585" s="327" t="s">
        <v>113</v>
      </c>
      <c r="E1585" s="328" t="s">
        <v>925</v>
      </c>
      <c r="F1585" s="328">
        <v>17.063448749999999</v>
      </c>
      <c r="G1585" s="328">
        <v>7124.9546249999994</v>
      </c>
      <c r="H1585" s="328">
        <v>7717.4988749999993</v>
      </c>
      <c r="I1585" s="329">
        <v>3.0948944051903968E-4</v>
      </c>
      <c r="J1585" s="329">
        <v>0.57253560663800318</v>
      </c>
      <c r="K1585" s="329">
        <v>0.8372443662314708</v>
      </c>
    </row>
    <row r="1586" spans="1:11" ht="11.25" x14ac:dyDescent="0.15">
      <c r="A1586" s="326">
        <v>1.1499999999999999</v>
      </c>
      <c r="B1586" s="327">
        <v>-40</v>
      </c>
      <c r="C1586" s="327" t="s">
        <v>115</v>
      </c>
      <c r="D1586" s="327" t="s">
        <v>79</v>
      </c>
      <c r="E1586" s="328" t="s">
        <v>926</v>
      </c>
      <c r="F1586" s="328">
        <v>872.49890499999992</v>
      </c>
      <c r="G1586" s="328">
        <v>8053.8789499999993</v>
      </c>
      <c r="H1586" s="328">
        <v>8325.4272999999994</v>
      </c>
      <c r="I1586" s="329">
        <v>1.5825007120083199E-2</v>
      </c>
      <c r="J1586" s="329">
        <v>0.64718060859612758</v>
      </c>
      <c r="K1586" s="329">
        <v>0.90319638736515984</v>
      </c>
    </row>
    <row r="1587" spans="1:11" ht="11.25" x14ac:dyDescent="0.15">
      <c r="A1587" s="326">
        <v>1.1499999999999999</v>
      </c>
      <c r="B1587" s="327">
        <v>-40</v>
      </c>
      <c r="C1587" s="327" t="s">
        <v>115</v>
      </c>
      <c r="D1587" s="327" t="s">
        <v>114</v>
      </c>
      <c r="E1587" s="328" t="s">
        <v>927</v>
      </c>
      <c r="F1587" s="328">
        <v>58.409396999999991</v>
      </c>
      <c r="G1587" s="328">
        <v>7510.9420999999993</v>
      </c>
      <c r="H1587" s="328">
        <v>8202.7889999999989</v>
      </c>
      <c r="I1587" s="329">
        <v>1.0594043363352601E-3</v>
      </c>
      <c r="J1587" s="329">
        <v>0.60355216530890077</v>
      </c>
      <c r="K1587" s="329">
        <v>0.8898917886315183</v>
      </c>
    </row>
    <row r="1588" spans="1:11" ht="11.25" x14ac:dyDescent="0.15">
      <c r="A1588" s="326">
        <v>1.1499999999999999</v>
      </c>
      <c r="B1588" s="327">
        <v>-40</v>
      </c>
      <c r="C1588" s="327" t="s">
        <v>115</v>
      </c>
      <c r="D1588" s="327" t="s">
        <v>113</v>
      </c>
      <c r="E1588" s="328" t="s">
        <v>928</v>
      </c>
      <c r="F1588" s="328">
        <v>19.177468999999999</v>
      </c>
      <c r="G1588" s="328">
        <v>7504.5779999999986</v>
      </c>
      <c r="H1588" s="328">
        <v>8084.8955999999998</v>
      </c>
      <c r="I1588" s="329">
        <v>3.4783262389329278E-4</v>
      </c>
      <c r="J1588" s="329">
        <v>0.60304076923047234</v>
      </c>
      <c r="K1588" s="329">
        <v>0.87710194744532533</v>
      </c>
    </row>
    <row r="1589" spans="1:11" ht="11.25" x14ac:dyDescent="0.15">
      <c r="A1589" s="326">
        <v>1.175</v>
      </c>
      <c r="B1589" s="327">
        <v>-40</v>
      </c>
      <c r="C1589" s="327" t="s">
        <v>115</v>
      </c>
      <c r="D1589" s="327" t="s">
        <v>79</v>
      </c>
      <c r="E1589" s="328" t="s">
        <v>929</v>
      </c>
      <c r="F1589" s="328">
        <v>964.70284749999996</v>
      </c>
      <c r="G1589" s="328">
        <v>8639.6363500000007</v>
      </c>
      <c r="H1589" s="328">
        <v>8709.6463750000003</v>
      </c>
      <c r="I1589" s="329">
        <v>1.7497362280875339E-2</v>
      </c>
      <c r="J1589" s="329">
        <v>0.69424995654326627</v>
      </c>
      <c r="K1589" s="329">
        <v>0.94487896628777979</v>
      </c>
    </row>
    <row r="1590" spans="1:11" ht="11.25" x14ac:dyDescent="0.15">
      <c r="A1590" s="326">
        <v>1.175</v>
      </c>
      <c r="B1590" s="327">
        <v>-40</v>
      </c>
      <c r="C1590" s="327" t="s">
        <v>115</v>
      </c>
      <c r="D1590" s="327" t="s">
        <v>114</v>
      </c>
      <c r="E1590" s="328" t="s">
        <v>930</v>
      </c>
      <c r="F1590" s="328">
        <v>64.861844750000003</v>
      </c>
      <c r="G1590" s="328">
        <v>7993.1360750000003</v>
      </c>
      <c r="H1590" s="328">
        <v>8581.8063750000001</v>
      </c>
      <c r="I1590" s="329">
        <v>1.1764360380377569E-3</v>
      </c>
      <c r="J1590" s="329">
        <v>0.64229953066406131</v>
      </c>
      <c r="K1590" s="329">
        <v>0.93101005337795684</v>
      </c>
    </row>
    <row r="1591" spans="1:11" ht="11.25" x14ac:dyDescent="0.15">
      <c r="A1591" s="326">
        <v>1.175</v>
      </c>
      <c r="B1591" s="327">
        <v>-40</v>
      </c>
      <c r="C1591" s="327" t="s">
        <v>115</v>
      </c>
      <c r="D1591" s="327" t="s">
        <v>113</v>
      </c>
      <c r="E1591" s="328" t="s">
        <v>931</v>
      </c>
      <c r="F1591" s="328">
        <v>21.538760499999999</v>
      </c>
      <c r="G1591" s="328">
        <v>7908.6124500000005</v>
      </c>
      <c r="H1591" s="328">
        <v>8460.2549749999998</v>
      </c>
      <c r="I1591" s="329">
        <v>3.9066070606732367E-4</v>
      </c>
      <c r="J1591" s="329">
        <v>0.63550751759708435</v>
      </c>
      <c r="K1591" s="329">
        <v>0.91782336861053626</v>
      </c>
    </row>
    <row r="1592" spans="1:11" ht="11.25" x14ac:dyDescent="0.15">
      <c r="A1592" s="326">
        <v>1.2</v>
      </c>
      <c r="B1592" s="327">
        <v>-40</v>
      </c>
      <c r="C1592" s="327" t="s">
        <v>115</v>
      </c>
      <c r="D1592" s="327" t="s">
        <v>79</v>
      </c>
      <c r="E1592" s="328" t="s">
        <v>932</v>
      </c>
      <c r="F1592" s="328">
        <v>1065.3765599999999</v>
      </c>
      <c r="G1592" s="328">
        <v>9259.7795999999998</v>
      </c>
      <c r="H1592" s="328">
        <v>9102.2267999999985</v>
      </c>
      <c r="I1592" s="329">
        <v>1.9323338460315597E-2</v>
      </c>
      <c r="J1592" s="329">
        <v>0.74408242713829298</v>
      </c>
      <c r="K1592" s="329">
        <v>0.9874686387254068</v>
      </c>
    </row>
    <row r="1593" spans="1:11" ht="11.25" x14ac:dyDescent="0.15">
      <c r="A1593" s="326">
        <v>1.2</v>
      </c>
      <c r="B1593" s="327">
        <v>-40</v>
      </c>
      <c r="C1593" s="327" t="s">
        <v>115</v>
      </c>
      <c r="D1593" s="327" t="s">
        <v>114</v>
      </c>
      <c r="E1593" s="328" t="s">
        <v>933</v>
      </c>
      <c r="F1593" s="328">
        <v>71.978148000000004</v>
      </c>
      <c r="G1593" s="328">
        <v>8510.0903999999991</v>
      </c>
      <c r="H1593" s="328">
        <v>8970.3492000000006</v>
      </c>
      <c r="I1593" s="329">
        <v>1.3055084631772716E-3</v>
      </c>
      <c r="J1593" s="329">
        <v>0.68384011213380136</v>
      </c>
      <c r="K1593" s="329">
        <v>0.97316170076266872</v>
      </c>
    </row>
    <row r="1594" spans="1:11" ht="11.25" x14ac:dyDescent="0.15">
      <c r="A1594" s="326">
        <v>1.2</v>
      </c>
      <c r="B1594" s="327">
        <v>-40</v>
      </c>
      <c r="C1594" s="327" t="s">
        <v>115</v>
      </c>
      <c r="D1594" s="327" t="s">
        <v>113</v>
      </c>
      <c r="E1594" s="328" t="s">
        <v>934</v>
      </c>
      <c r="F1594" s="328">
        <v>24.174935999999999</v>
      </c>
      <c r="G1594" s="328">
        <v>8339.7960000000003</v>
      </c>
      <c r="H1594" s="328">
        <v>8844.7212</v>
      </c>
      <c r="I1594" s="329">
        <v>4.3847451513713434E-4</v>
      </c>
      <c r="J1594" s="329">
        <v>0.67015586953259965</v>
      </c>
      <c r="K1594" s="329">
        <v>0.95953275996921406</v>
      </c>
    </row>
    <row r="1595" spans="1:11" ht="11.25" x14ac:dyDescent="0.15">
      <c r="A1595" s="326">
        <v>1.2250000000000001</v>
      </c>
      <c r="B1595" s="327">
        <v>-40</v>
      </c>
      <c r="C1595" s="327" t="s">
        <v>115</v>
      </c>
      <c r="D1595" s="327" t="s">
        <v>79</v>
      </c>
      <c r="E1595" s="328" t="s">
        <v>935</v>
      </c>
      <c r="F1595" s="328">
        <v>1175.1935825</v>
      </c>
      <c r="G1595" s="328">
        <v>9915.4072500000002</v>
      </c>
      <c r="H1595" s="328">
        <v>9504.4295500000007</v>
      </c>
      <c r="I1595" s="329">
        <v>2.1315152035106089E-2</v>
      </c>
      <c r="J1595" s="329">
        <v>0.79676629588944292</v>
      </c>
      <c r="K1595" s="329">
        <v>1.0311022034300479</v>
      </c>
    </row>
    <row r="1596" spans="1:11" ht="11.25" x14ac:dyDescent="0.15">
      <c r="A1596" s="326">
        <v>1.2250000000000001</v>
      </c>
      <c r="B1596" s="327">
        <v>-40</v>
      </c>
      <c r="C1596" s="327" t="s">
        <v>115</v>
      </c>
      <c r="D1596" s="327" t="s">
        <v>114</v>
      </c>
      <c r="E1596" s="328" t="s">
        <v>936</v>
      </c>
      <c r="F1596" s="328">
        <v>79.823609250000018</v>
      </c>
      <c r="G1596" s="328">
        <v>9060.7909000000018</v>
      </c>
      <c r="H1596" s="328">
        <v>9367.0286500000002</v>
      </c>
      <c r="I1596" s="329">
        <v>1.4478060402058493E-3</v>
      </c>
      <c r="J1596" s="329">
        <v>0.72809241427998561</v>
      </c>
      <c r="K1596" s="329">
        <v>1.016196062035873</v>
      </c>
    </row>
    <row r="1597" spans="1:11" ht="11.25" x14ac:dyDescent="0.15">
      <c r="A1597" s="326">
        <v>1.2250000000000001</v>
      </c>
      <c r="B1597" s="327">
        <v>-40</v>
      </c>
      <c r="C1597" s="327" t="s">
        <v>115</v>
      </c>
      <c r="D1597" s="327" t="s">
        <v>113</v>
      </c>
      <c r="E1597" s="328" t="s">
        <v>937</v>
      </c>
      <c r="F1597" s="328">
        <v>27.116820500000006</v>
      </c>
      <c r="G1597" s="328">
        <v>8799.3403750000016</v>
      </c>
      <c r="H1597" s="328">
        <v>9237.8205500000004</v>
      </c>
      <c r="I1597" s="329">
        <v>4.9183314159748797E-4</v>
      </c>
      <c r="J1597" s="329">
        <v>0.70708319487927973</v>
      </c>
      <c r="K1597" s="329">
        <v>1.0021787287587791</v>
      </c>
    </row>
    <row r="1598" spans="1:11" ht="11.25" x14ac:dyDescent="0.15">
      <c r="A1598" s="326">
        <v>1.25</v>
      </c>
      <c r="B1598" s="327">
        <v>-40</v>
      </c>
      <c r="C1598" s="327" t="s">
        <v>115</v>
      </c>
      <c r="D1598" s="327" t="s">
        <v>79</v>
      </c>
      <c r="E1598" s="328" t="s">
        <v>938</v>
      </c>
      <c r="F1598" s="328">
        <v>1294.8737500000002</v>
      </c>
      <c r="G1598" s="328">
        <v>10609.741249999999</v>
      </c>
      <c r="H1598" s="328">
        <v>9914.9475000000002</v>
      </c>
      <c r="I1598" s="329">
        <v>2.3485859060601154E-2</v>
      </c>
      <c r="J1598" s="329">
        <v>0.85256046705574573</v>
      </c>
      <c r="K1598" s="329">
        <v>1.0756378549981722</v>
      </c>
    </row>
    <row r="1599" spans="1:11" ht="11.25" x14ac:dyDescent="0.15">
      <c r="A1599" s="326">
        <v>1.25</v>
      </c>
      <c r="B1599" s="327">
        <v>-40</v>
      </c>
      <c r="C1599" s="327" t="s">
        <v>115</v>
      </c>
      <c r="D1599" s="327" t="s">
        <v>114</v>
      </c>
      <c r="E1599" s="328" t="s">
        <v>939</v>
      </c>
      <c r="F1599" s="328">
        <v>88.468500000000006</v>
      </c>
      <c r="G1599" s="328">
        <v>9645.6975000000002</v>
      </c>
      <c r="H1599" s="328">
        <v>9772.7462499999983</v>
      </c>
      <c r="I1599" s="329">
        <v>1.604603323144664E-3</v>
      </c>
      <c r="J1599" s="329">
        <v>0.77509339501360974</v>
      </c>
      <c r="K1599" s="329">
        <v>1.0602109404806661</v>
      </c>
    </row>
    <row r="1600" spans="1:11" ht="11.25" x14ac:dyDescent="0.15">
      <c r="A1600" s="326">
        <v>1.25</v>
      </c>
      <c r="B1600" s="327">
        <v>-40</v>
      </c>
      <c r="C1600" s="327" t="s">
        <v>115</v>
      </c>
      <c r="D1600" s="327" t="s">
        <v>113</v>
      </c>
      <c r="E1600" s="328" t="s">
        <v>940</v>
      </c>
      <c r="F1600" s="328">
        <v>30.398462500000001</v>
      </c>
      <c r="G1600" s="328">
        <v>9289.5362499999992</v>
      </c>
      <c r="H1600" s="328">
        <v>9639.4912499999991</v>
      </c>
      <c r="I1600" s="329">
        <v>5.5135414238953364E-4</v>
      </c>
      <c r="J1600" s="329">
        <v>0.74647356400244735</v>
      </c>
      <c r="K1600" s="329">
        <v>1.0457545732262978</v>
      </c>
    </row>
    <row r="1601" spans="1:11" ht="11.25" x14ac:dyDescent="0.15">
      <c r="A1601" s="326">
        <v>1.2749999999999999</v>
      </c>
      <c r="B1601" s="327">
        <v>-40</v>
      </c>
      <c r="C1601" s="327" t="s">
        <v>115</v>
      </c>
      <c r="D1601" s="327" t="s">
        <v>79</v>
      </c>
      <c r="E1601" s="328" t="s">
        <v>941</v>
      </c>
      <c r="F1601" s="328">
        <v>1425.1873499999997</v>
      </c>
      <c r="G1601" s="328">
        <v>11341.442475</v>
      </c>
      <c r="H1601" s="328">
        <v>10334.587724999999</v>
      </c>
      <c r="I1601" s="329">
        <v>2.5849430677741082E-2</v>
      </c>
      <c r="J1601" s="329">
        <v>0.91135733339131841</v>
      </c>
      <c r="K1601" s="329">
        <v>1.1211631501638752</v>
      </c>
    </row>
    <row r="1602" spans="1:11" ht="11.25" x14ac:dyDescent="0.15">
      <c r="A1602" s="326">
        <v>1.2749999999999999</v>
      </c>
      <c r="B1602" s="327">
        <v>-40</v>
      </c>
      <c r="C1602" s="327" t="s">
        <v>115</v>
      </c>
      <c r="D1602" s="327" t="s">
        <v>114</v>
      </c>
      <c r="E1602" s="328" t="s">
        <v>942</v>
      </c>
      <c r="F1602" s="328">
        <v>97.993312500000002</v>
      </c>
      <c r="G1602" s="328">
        <v>10267.483200000001</v>
      </c>
      <c r="H1602" s="328">
        <v>10187.425950000001</v>
      </c>
      <c r="I1602" s="329">
        <v>1.7773602455501511E-3</v>
      </c>
      <c r="J1602" s="329">
        <v>0.82505784695541218</v>
      </c>
      <c r="K1602" s="329">
        <v>1.1051980856994672</v>
      </c>
    </row>
    <row r="1603" spans="1:11" ht="11.25" x14ac:dyDescent="0.15">
      <c r="A1603" s="326">
        <v>1.2749999999999999</v>
      </c>
      <c r="B1603" s="327">
        <v>-40</v>
      </c>
      <c r="C1603" s="327" t="s">
        <v>115</v>
      </c>
      <c r="D1603" s="327" t="s">
        <v>113</v>
      </c>
      <c r="E1603" s="328" t="s">
        <v>943</v>
      </c>
      <c r="F1603" s="328">
        <v>34.057621499999996</v>
      </c>
      <c r="G1603" s="328">
        <v>9810.2184749999997</v>
      </c>
      <c r="H1603" s="328">
        <v>10049.43525</v>
      </c>
      <c r="I1603" s="329">
        <v>6.1772238296459365E-4</v>
      </c>
      <c r="J1603" s="329">
        <v>0.78831370604489581</v>
      </c>
      <c r="K1603" s="329">
        <v>1.0902279589733603</v>
      </c>
    </row>
    <row r="1604" spans="1:11" ht="11.25" x14ac:dyDescent="0.15">
      <c r="A1604" s="326">
        <v>1.3</v>
      </c>
      <c r="B1604" s="327">
        <v>-40</v>
      </c>
      <c r="C1604" s="327" t="s">
        <v>115</v>
      </c>
      <c r="D1604" s="327" t="s">
        <v>79</v>
      </c>
      <c r="E1604" s="328" t="s">
        <v>944</v>
      </c>
      <c r="F1604" s="328">
        <v>1566.9550000000002</v>
      </c>
      <c r="G1604" s="328">
        <v>12111.4617</v>
      </c>
      <c r="H1604" s="328">
        <v>10763.028900000001</v>
      </c>
      <c r="I1604" s="329">
        <v>2.8420750891200226E-2</v>
      </c>
      <c r="J1604" s="329">
        <v>0.97323329573940143</v>
      </c>
      <c r="K1604" s="329">
        <v>1.1676432295056871</v>
      </c>
    </row>
    <row r="1605" spans="1:11" ht="11.25" x14ac:dyDescent="0.15">
      <c r="A1605" s="326">
        <v>1.3</v>
      </c>
      <c r="B1605" s="327">
        <v>-40</v>
      </c>
      <c r="C1605" s="327" t="s">
        <v>115</v>
      </c>
      <c r="D1605" s="327" t="s">
        <v>114</v>
      </c>
      <c r="E1605" s="328" t="s">
        <v>945</v>
      </c>
      <c r="F1605" s="328">
        <v>108.47955300000001</v>
      </c>
      <c r="G1605" s="328">
        <v>10926.0164</v>
      </c>
      <c r="H1605" s="328">
        <v>10610.327000000001</v>
      </c>
      <c r="I1605" s="329">
        <v>1.967555132471419E-3</v>
      </c>
      <c r="J1605" s="329">
        <v>0.87797519520494793</v>
      </c>
      <c r="K1605" s="329">
        <v>1.1510771363246444</v>
      </c>
    </row>
    <row r="1606" spans="1:11" ht="11.25" x14ac:dyDescent="0.15">
      <c r="A1606" s="326">
        <v>1.3</v>
      </c>
      <c r="B1606" s="327">
        <v>-40</v>
      </c>
      <c r="C1606" s="327" t="s">
        <v>115</v>
      </c>
      <c r="D1606" s="327" t="s">
        <v>113</v>
      </c>
      <c r="E1606" s="328" t="s">
        <v>946</v>
      </c>
      <c r="F1606" s="328">
        <v>38.136189000000002</v>
      </c>
      <c r="G1606" s="328">
        <v>10364.017300000001</v>
      </c>
      <c r="H1606" s="328">
        <v>10468.217499999999</v>
      </c>
      <c r="I1606" s="329">
        <v>6.9169767319976017E-4</v>
      </c>
      <c r="J1606" s="329">
        <v>0.83281497839184637</v>
      </c>
      <c r="K1606" s="329">
        <v>1.1356601754426161</v>
      </c>
    </row>
    <row r="1607" spans="1:11" ht="11.25" x14ac:dyDescent="0.15">
      <c r="A1607" s="326">
        <v>1.325</v>
      </c>
      <c r="B1607" s="327">
        <v>-40</v>
      </c>
      <c r="C1607" s="327" t="s">
        <v>115</v>
      </c>
      <c r="D1607" s="327" t="s">
        <v>79</v>
      </c>
      <c r="E1607" s="328" t="s">
        <v>947</v>
      </c>
      <c r="F1607" s="328">
        <v>1721.05575</v>
      </c>
      <c r="G1607" s="328">
        <v>12917.255399999998</v>
      </c>
      <c r="H1607" s="328">
        <v>11200.825224999999</v>
      </c>
      <c r="I1607" s="329">
        <v>3.1215763529021428E-2</v>
      </c>
      <c r="J1607" s="329">
        <v>1.0379839656223806</v>
      </c>
      <c r="K1607" s="329">
        <v>1.2151382162364872</v>
      </c>
    </row>
    <row r="1608" spans="1:11" ht="11.25" x14ac:dyDescent="0.15">
      <c r="A1608" s="326">
        <v>1.325</v>
      </c>
      <c r="B1608" s="327">
        <v>-40</v>
      </c>
      <c r="C1608" s="327" t="s">
        <v>115</v>
      </c>
      <c r="D1608" s="327" t="s">
        <v>114</v>
      </c>
      <c r="E1608" s="328" t="s">
        <v>948</v>
      </c>
      <c r="F1608" s="328">
        <v>120.02504549999998</v>
      </c>
      <c r="G1608" s="328">
        <v>11621.687625</v>
      </c>
      <c r="H1608" s="328">
        <v>11042.573849999999</v>
      </c>
      <c r="I1608" s="329">
        <v>2.1769622732372481E-3</v>
      </c>
      <c r="J1608" s="329">
        <v>0.93387682094000002</v>
      </c>
      <c r="K1608" s="329">
        <v>1.1979700799901267</v>
      </c>
    </row>
    <row r="1609" spans="1:11" ht="11.25" x14ac:dyDescent="0.15">
      <c r="A1609" s="326">
        <v>1.325</v>
      </c>
      <c r="B1609" s="327">
        <v>-40</v>
      </c>
      <c r="C1609" s="327" t="s">
        <v>115</v>
      </c>
      <c r="D1609" s="327" t="s">
        <v>113</v>
      </c>
      <c r="E1609" s="328" t="s">
        <v>949</v>
      </c>
      <c r="F1609" s="328">
        <v>42.680581999999994</v>
      </c>
      <c r="G1609" s="328">
        <v>10953.568300000001</v>
      </c>
      <c r="H1609" s="328">
        <v>10895.742649999998</v>
      </c>
      <c r="I1609" s="329">
        <v>7.7412190453040707E-4</v>
      </c>
      <c r="J1609" s="329">
        <v>0.88018916632627697</v>
      </c>
      <c r="K1609" s="329">
        <v>1.1820408784472232</v>
      </c>
    </row>
    <row r="1610" spans="1:11" ht="11.25" x14ac:dyDescent="0.15">
      <c r="A1610" s="326">
        <v>1.35</v>
      </c>
      <c r="B1610" s="327">
        <v>-40</v>
      </c>
      <c r="C1610" s="327" t="s">
        <v>115</v>
      </c>
      <c r="D1610" s="327" t="s">
        <v>79</v>
      </c>
      <c r="E1610" s="328" t="s">
        <v>950</v>
      </c>
      <c r="F1610" s="328">
        <v>1888.4232000000002</v>
      </c>
      <c r="G1610" s="328">
        <v>13762.116</v>
      </c>
      <c r="H1610" s="328">
        <v>11647.320750000001</v>
      </c>
      <c r="I1610" s="329">
        <v>3.4251401823513238E-2</v>
      </c>
      <c r="J1610" s="329">
        <v>1.1058739104156148</v>
      </c>
      <c r="K1610" s="329">
        <v>1.2635769486430164</v>
      </c>
    </row>
    <row r="1611" spans="1:11" ht="11.25" x14ac:dyDescent="0.15">
      <c r="A1611" s="326">
        <v>1.35</v>
      </c>
      <c r="B1611" s="327">
        <v>-40</v>
      </c>
      <c r="C1611" s="327" t="s">
        <v>115</v>
      </c>
      <c r="D1611" s="327" t="s">
        <v>114</v>
      </c>
      <c r="E1611" s="328" t="s">
        <v>951</v>
      </c>
      <c r="F1611" s="328">
        <v>132.73205400000001</v>
      </c>
      <c r="G1611" s="328">
        <v>12355.804800000002</v>
      </c>
      <c r="H1611" s="328">
        <v>11483.4969</v>
      </c>
      <c r="I1611" s="329">
        <v>2.4074364879727475E-3</v>
      </c>
      <c r="J1611" s="329">
        <v>0.99286782428719711</v>
      </c>
      <c r="K1611" s="329">
        <v>1.2458042741420627</v>
      </c>
    </row>
    <row r="1612" spans="1:11" ht="11.25" x14ac:dyDescent="0.15">
      <c r="A1612" s="326">
        <v>1.35</v>
      </c>
      <c r="B1612" s="327">
        <v>-40</v>
      </c>
      <c r="C1612" s="327" t="s">
        <v>115</v>
      </c>
      <c r="D1612" s="327" t="s">
        <v>113</v>
      </c>
      <c r="E1612" s="328" t="s">
        <v>952</v>
      </c>
      <c r="F1612" s="328">
        <v>47.742223500000001</v>
      </c>
      <c r="G1612" s="328">
        <v>11576.596950000001</v>
      </c>
      <c r="H1612" s="328">
        <v>11331.976950000002</v>
      </c>
      <c r="I1612" s="329">
        <v>8.6592776505101002E-4</v>
      </c>
      <c r="J1612" s="329">
        <v>0.93025349723850459</v>
      </c>
      <c r="K1612" s="329">
        <v>1.2293664065681369</v>
      </c>
    </row>
    <row r="1613" spans="1:11" ht="11.25" x14ac:dyDescent="0.15">
      <c r="A1613" s="326">
        <v>1.375</v>
      </c>
      <c r="B1613" s="327">
        <v>-40</v>
      </c>
      <c r="C1613" s="327" t="s">
        <v>115</v>
      </c>
      <c r="D1613" s="327" t="s">
        <v>79</v>
      </c>
      <c r="E1613" s="328" t="s">
        <v>953</v>
      </c>
      <c r="F1613" s="328">
        <v>2070.0583749999996</v>
      </c>
      <c r="G1613" s="328">
        <v>14643.667500000001</v>
      </c>
      <c r="H1613" s="328">
        <v>12103.242249999999</v>
      </c>
      <c r="I1613" s="329">
        <v>3.7545821932421626E-2</v>
      </c>
      <c r="J1613" s="329">
        <v>1.1767122033451143</v>
      </c>
      <c r="K1613" s="329">
        <v>1.3130382719942038</v>
      </c>
    </row>
    <row r="1614" spans="1:11" ht="11.25" x14ac:dyDescent="0.15">
      <c r="A1614" s="326">
        <v>1.375</v>
      </c>
      <c r="B1614" s="327">
        <v>-40</v>
      </c>
      <c r="C1614" s="327" t="s">
        <v>115</v>
      </c>
      <c r="D1614" s="327" t="s">
        <v>114</v>
      </c>
      <c r="E1614" s="328" t="s">
        <v>954</v>
      </c>
      <c r="F1614" s="328">
        <v>146.71084999999999</v>
      </c>
      <c r="G1614" s="328">
        <v>13127.265249999999</v>
      </c>
      <c r="H1614" s="328">
        <v>11932.721625000002</v>
      </c>
      <c r="I1614" s="329">
        <v>2.6609778333686941E-3</v>
      </c>
      <c r="J1614" s="329">
        <v>1.0548595982682103</v>
      </c>
      <c r="K1614" s="329">
        <v>1.2945390878777023</v>
      </c>
    </row>
    <row r="1615" spans="1:11" ht="11.25" x14ac:dyDescent="0.15">
      <c r="A1615" s="326">
        <v>1.375</v>
      </c>
      <c r="B1615" s="327">
        <v>-40</v>
      </c>
      <c r="C1615" s="327" t="s">
        <v>115</v>
      </c>
      <c r="D1615" s="327" t="s">
        <v>113</v>
      </c>
      <c r="E1615" s="328" t="s">
        <v>955</v>
      </c>
      <c r="F1615" s="328">
        <v>53.378104999999998</v>
      </c>
      <c r="G1615" s="328">
        <v>12233.164624999999</v>
      </c>
      <c r="H1615" s="328">
        <v>11777.053750000001</v>
      </c>
      <c r="I1615" s="329">
        <v>9.6814894189643547E-4</v>
      </c>
      <c r="J1615" s="329">
        <v>0.9830129030017416</v>
      </c>
      <c r="K1615" s="329">
        <v>1.2776512264788271</v>
      </c>
    </row>
    <row r="1616" spans="1:11" ht="11.25" x14ac:dyDescent="0.15">
      <c r="A1616" s="326">
        <v>1.4</v>
      </c>
      <c r="B1616" s="327">
        <v>-40</v>
      </c>
      <c r="C1616" s="327" t="s">
        <v>115</v>
      </c>
      <c r="D1616" s="327" t="s">
        <v>79</v>
      </c>
      <c r="E1616" s="328" t="s">
        <v>956</v>
      </c>
      <c r="F1616" s="328">
        <v>2267.0241999999998</v>
      </c>
      <c r="G1616" s="328">
        <v>15564.317999999997</v>
      </c>
      <c r="H1616" s="328">
        <v>12568.561599999999</v>
      </c>
      <c r="I1616" s="329">
        <v>4.1118302728873818E-2</v>
      </c>
      <c r="J1616" s="329">
        <v>1.2506923506248702</v>
      </c>
      <c r="K1616" s="329">
        <v>1.3635191351075127</v>
      </c>
    </row>
    <row r="1617" spans="1:11" ht="11.25" x14ac:dyDescent="0.15">
      <c r="A1617" s="326">
        <v>1.4</v>
      </c>
      <c r="B1617" s="327">
        <v>-40</v>
      </c>
      <c r="C1617" s="327" t="s">
        <v>115</v>
      </c>
      <c r="D1617" s="327" t="s">
        <v>114</v>
      </c>
      <c r="E1617" s="328" t="s">
        <v>957</v>
      </c>
      <c r="F1617" s="328">
        <v>162.08723999999998</v>
      </c>
      <c r="G1617" s="328">
        <v>13936.581400000001</v>
      </c>
      <c r="H1617" s="328">
        <v>12391.163399999999</v>
      </c>
      <c r="I1617" s="329">
        <v>2.9398681332151746E-3</v>
      </c>
      <c r="J1617" s="329">
        <v>1.1198933195043206</v>
      </c>
      <c r="K1617" s="329">
        <v>1.3442738270180308</v>
      </c>
    </row>
    <row r="1618" spans="1:11" ht="11.25" x14ac:dyDescent="0.15">
      <c r="A1618" s="326">
        <v>1.4</v>
      </c>
      <c r="B1618" s="327">
        <v>-40</v>
      </c>
      <c r="C1618" s="327" t="s">
        <v>115</v>
      </c>
      <c r="D1618" s="327" t="s">
        <v>113</v>
      </c>
      <c r="E1618" s="328" t="s">
        <v>958</v>
      </c>
      <c r="F1618" s="328">
        <v>59.651367999999998</v>
      </c>
      <c r="G1618" s="328">
        <v>12929.415800000001</v>
      </c>
      <c r="H1618" s="328">
        <v>12230.223599999999</v>
      </c>
      <c r="I1618" s="329">
        <v>1.0819306682370027E-3</v>
      </c>
      <c r="J1618" s="329">
        <v>1.0389611314230627</v>
      </c>
      <c r="K1618" s="329">
        <v>1.3268140329791986</v>
      </c>
    </row>
    <row r="1619" spans="1:11" ht="11.25" x14ac:dyDescent="0.15">
      <c r="A1619" s="326">
        <v>0.9</v>
      </c>
      <c r="B1619" s="327">
        <v>-20</v>
      </c>
      <c r="C1619" s="327" t="s">
        <v>115</v>
      </c>
      <c r="D1619" s="327" t="s">
        <v>79</v>
      </c>
      <c r="E1619" s="328" t="s">
        <v>959</v>
      </c>
      <c r="F1619" s="328">
        <v>645.56640000000004</v>
      </c>
      <c r="G1619" s="328">
        <v>4098.4488000000001</v>
      </c>
      <c r="H1619" s="328">
        <v>4978.0053000000007</v>
      </c>
      <c r="I1619" s="329">
        <v>1.1709003665152427E-2</v>
      </c>
      <c r="J1619" s="329">
        <v>0.32933653524604672</v>
      </c>
      <c r="K1619" s="329">
        <v>0.54004632329737834</v>
      </c>
    </row>
    <row r="1620" spans="1:11" ht="11.25" x14ac:dyDescent="0.15">
      <c r="A1620" s="326">
        <v>0.9</v>
      </c>
      <c r="B1620" s="327">
        <v>-20</v>
      </c>
      <c r="C1620" s="327" t="s">
        <v>115</v>
      </c>
      <c r="D1620" s="327" t="s">
        <v>114</v>
      </c>
      <c r="E1620" s="328" t="s">
        <v>960</v>
      </c>
      <c r="F1620" s="328">
        <v>50.347709999999999</v>
      </c>
      <c r="G1620" s="328">
        <v>4202.5374000000002</v>
      </c>
      <c r="H1620" s="328">
        <v>4894.1639999999998</v>
      </c>
      <c r="I1620" s="329">
        <v>9.1318495033513431E-4</v>
      </c>
      <c r="J1620" s="329">
        <v>0.33770071900323106</v>
      </c>
      <c r="K1620" s="329">
        <v>0.53095067492483183</v>
      </c>
    </row>
    <row r="1621" spans="1:11" ht="11.25" x14ac:dyDescent="0.15">
      <c r="A1621" s="326">
        <v>0.9</v>
      </c>
      <c r="B1621" s="327">
        <v>-20</v>
      </c>
      <c r="C1621" s="327" t="s">
        <v>115</v>
      </c>
      <c r="D1621" s="327" t="s">
        <v>113</v>
      </c>
      <c r="E1621" s="328" t="s">
        <v>961</v>
      </c>
      <c r="F1621" s="328">
        <v>12.568248000000001</v>
      </c>
      <c r="G1621" s="328">
        <v>4500.6966000000002</v>
      </c>
      <c r="H1621" s="328">
        <v>4810.7754000000004</v>
      </c>
      <c r="I1621" s="329">
        <v>2.279574369058623E-4</v>
      </c>
      <c r="J1621" s="329">
        <v>0.36165971487496995</v>
      </c>
      <c r="K1621" s="329">
        <v>0.52190413838640837</v>
      </c>
    </row>
    <row r="1622" spans="1:11" ht="11.25" x14ac:dyDescent="0.15">
      <c r="A1622" s="326">
        <v>0.92500000000000004</v>
      </c>
      <c r="B1622" s="327">
        <v>-20</v>
      </c>
      <c r="C1622" s="327" t="s">
        <v>115</v>
      </c>
      <c r="D1622" s="327" t="s">
        <v>79</v>
      </c>
      <c r="E1622" s="328" t="s">
        <v>962</v>
      </c>
      <c r="F1622" s="328">
        <v>718.7706025</v>
      </c>
      <c r="G1622" s="328">
        <v>4399.6329999999998</v>
      </c>
      <c r="H1622" s="328">
        <v>5275.5201250000009</v>
      </c>
      <c r="I1622" s="329">
        <v>1.3036749773650422E-2</v>
      </c>
      <c r="J1622" s="329">
        <v>0.35353860918652202</v>
      </c>
      <c r="K1622" s="329">
        <v>0.57232266245027419</v>
      </c>
    </row>
    <row r="1623" spans="1:11" ht="11.25" x14ac:dyDescent="0.15">
      <c r="A1623" s="326">
        <v>0.92500000000000004</v>
      </c>
      <c r="B1623" s="327">
        <v>-20</v>
      </c>
      <c r="C1623" s="327" t="s">
        <v>115</v>
      </c>
      <c r="D1623" s="327" t="s">
        <v>114</v>
      </c>
      <c r="E1623" s="328" t="s">
        <v>963</v>
      </c>
      <c r="F1623" s="328">
        <v>55.883616000000004</v>
      </c>
      <c r="G1623" s="328">
        <v>4460.5905000000002</v>
      </c>
      <c r="H1623" s="328">
        <v>5187.9855250000001</v>
      </c>
      <c r="I1623" s="329">
        <v>1.0135928148769372E-3</v>
      </c>
      <c r="J1623" s="329">
        <v>0.35843693360801077</v>
      </c>
      <c r="K1623" s="329">
        <v>0.56282634092339534</v>
      </c>
    </row>
    <row r="1624" spans="1:11" ht="11.25" x14ac:dyDescent="0.15">
      <c r="A1624" s="326">
        <v>0.92500000000000004</v>
      </c>
      <c r="B1624" s="327">
        <v>-20</v>
      </c>
      <c r="C1624" s="327" t="s">
        <v>115</v>
      </c>
      <c r="D1624" s="327" t="s">
        <v>113</v>
      </c>
      <c r="E1624" s="328" t="s">
        <v>964</v>
      </c>
      <c r="F1624" s="328">
        <v>14.018032750000001</v>
      </c>
      <c r="G1624" s="328">
        <v>4749.1090999999997</v>
      </c>
      <c r="H1624" s="328">
        <v>5101.4499249999999</v>
      </c>
      <c r="I1624" s="329">
        <v>2.542530045677358E-4</v>
      </c>
      <c r="J1624" s="329">
        <v>0.38162124570141542</v>
      </c>
      <c r="K1624" s="329">
        <v>0.55343839740024703</v>
      </c>
    </row>
    <row r="1625" spans="1:11" ht="11.25" x14ac:dyDescent="0.15">
      <c r="A1625" s="326">
        <v>0.95</v>
      </c>
      <c r="B1625" s="327">
        <v>-20</v>
      </c>
      <c r="C1625" s="327" t="s">
        <v>115</v>
      </c>
      <c r="D1625" s="327" t="s">
        <v>79</v>
      </c>
      <c r="E1625" s="328" t="s">
        <v>965</v>
      </c>
      <c r="F1625" s="328">
        <v>798.98733500000003</v>
      </c>
      <c r="G1625" s="328">
        <v>4723.7410500000005</v>
      </c>
      <c r="H1625" s="328">
        <v>5581.1483499999995</v>
      </c>
      <c r="I1625" s="329">
        <v>1.4491686113040223E-2</v>
      </c>
      <c r="J1625" s="329">
        <v>0.37958276087443693</v>
      </c>
      <c r="K1625" s="329">
        <v>0.60547919589292709</v>
      </c>
    </row>
    <row r="1626" spans="1:11" ht="11.25" x14ac:dyDescent="0.15">
      <c r="A1626" s="326">
        <v>0.95</v>
      </c>
      <c r="B1626" s="327">
        <v>-20</v>
      </c>
      <c r="C1626" s="327" t="s">
        <v>115</v>
      </c>
      <c r="D1626" s="327" t="s">
        <v>114</v>
      </c>
      <c r="E1626" s="328" t="s">
        <v>966</v>
      </c>
      <c r="F1626" s="328">
        <v>61.958144999999995</v>
      </c>
      <c r="G1626" s="328">
        <v>4735.4127500000004</v>
      </c>
      <c r="H1626" s="328">
        <v>5490.6124</v>
      </c>
      <c r="I1626" s="329">
        <v>1.1237699900289815E-3</v>
      </c>
      <c r="J1626" s="329">
        <v>0.38052065650910516</v>
      </c>
      <c r="K1626" s="329">
        <v>0.59565726843862421</v>
      </c>
    </row>
    <row r="1627" spans="1:11" ht="11.25" x14ac:dyDescent="0.15">
      <c r="A1627" s="326">
        <v>0.95</v>
      </c>
      <c r="B1627" s="327">
        <v>-20</v>
      </c>
      <c r="C1627" s="327" t="s">
        <v>115</v>
      </c>
      <c r="D1627" s="327" t="s">
        <v>113</v>
      </c>
      <c r="E1627" s="328" t="s">
        <v>967</v>
      </c>
      <c r="F1627" s="328">
        <v>15.6210495</v>
      </c>
      <c r="G1627" s="328">
        <v>5009.4677999999994</v>
      </c>
      <c r="H1627" s="328">
        <v>5400.9438</v>
      </c>
      <c r="I1627" s="329">
        <v>2.8332782785632504E-4</v>
      </c>
      <c r="J1627" s="329">
        <v>0.40254272999058471</v>
      </c>
      <c r="K1627" s="329">
        <v>0.58592943674161435</v>
      </c>
    </row>
    <row r="1628" spans="1:11" ht="11.25" x14ac:dyDescent="0.15">
      <c r="A1628" s="326">
        <v>0.97499999999999998</v>
      </c>
      <c r="B1628" s="327">
        <v>-20</v>
      </c>
      <c r="C1628" s="327" t="s">
        <v>115</v>
      </c>
      <c r="D1628" s="327" t="s">
        <v>79</v>
      </c>
      <c r="E1628" s="328" t="s">
        <v>968</v>
      </c>
      <c r="F1628" s="328">
        <v>886.7795625</v>
      </c>
      <c r="G1628" s="328">
        <v>5074.2597749999995</v>
      </c>
      <c r="H1628" s="328">
        <v>5895.6650999999993</v>
      </c>
      <c r="I1628" s="329">
        <v>1.6084023498581658E-2</v>
      </c>
      <c r="J1628" s="329">
        <v>0.40774917896665797</v>
      </c>
      <c r="K1628" s="329">
        <v>0.6396000142160696</v>
      </c>
    </row>
    <row r="1629" spans="1:11" ht="11.25" x14ac:dyDescent="0.15">
      <c r="A1629" s="326">
        <v>0.97499999999999998</v>
      </c>
      <c r="B1629" s="327">
        <v>-20</v>
      </c>
      <c r="C1629" s="327" t="s">
        <v>115</v>
      </c>
      <c r="D1629" s="327" t="s">
        <v>114</v>
      </c>
      <c r="E1629" s="328" t="s">
        <v>969</v>
      </c>
      <c r="F1629" s="328">
        <v>68.619515250000006</v>
      </c>
      <c r="G1629" s="328">
        <v>5028.8189249999996</v>
      </c>
      <c r="H1629" s="328">
        <v>5801.7365249999993</v>
      </c>
      <c r="I1629" s="329">
        <v>1.2445910375187322E-3</v>
      </c>
      <c r="J1629" s="329">
        <v>0.4040977164675692</v>
      </c>
      <c r="K1629" s="329">
        <v>0.62941003278288143</v>
      </c>
    </row>
    <row r="1630" spans="1:11" ht="11.25" x14ac:dyDescent="0.15">
      <c r="A1630" s="326">
        <v>0.97499999999999998</v>
      </c>
      <c r="B1630" s="327">
        <v>-20</v>
      </c>
      <c r="C1630" s="327" t="s">
        <v>115</v>
      </c>
      <c r="D1630" s="327" t="s">
        <v>113</v>
      </c>
      <c r="E1630" s="328" t="s">
        <v>970</v>
      </c>
      <c r="F1630" s="328">
        <v>17.3925375</v>
      </c>
      <c r="G1630" s="328">
        <v>5281.0270499999997</v>
      </c>
      <c r="H1630" s="328">
        <v>5708.8170749999999</v>
      </c>
      <c r="I1630" s="329">
        <v>3.154583096855738E-4</v>
      </c>
      <c r="J1630" s="329">
        <v>0.42436425000298922</v>
      </c>
      <c r="K1630" s="329">
        <v>0.61932952777913741</v>
      </c>
    </row>
    <row r="1631" spans="1:11" ht="11.25" x14ac:dyDescent="0.15">
      <c r="A1631" s="326">
        <v>1</v>
      </c>
      <c r="B1631" s="327">
        <v>-20</v>
      </c>
      <c r="C1631" s="327" t="s">
        <v>115</v>
      </c>
      <c r="D1631" s="327" t="s">
        <v>79</v>
      </c>
      <c r="E1631" s="328" t="s">
        <v>971</v>
      </c>
      <c r="F1631" s="328">
        <v>982.74799999999993</v>
      </c>
      <c r="G1631" s="328">
        <v>5452.6860000000006</v>
      </c>
      <c r="H1631" s="328">
        <v>6219.1850000000004</v>
      </c>
      <c r="I1631" s="329">
        <v>1.782465743867899E-2</v>
      </c>
      <c r="J1631" s="329">
        <v>0.43815814291119748</v>
      </c>
      <c r="K1631" s="329">
        <v>0.67469755268364329</v>
      </c>
    </row>
    <row r="1632" spans="1:11" ht="11.25" x14ac:dyDescent="0.15">
      <c r="A1632" s="326">
        <v>1</v>
      </c>
      <c r="B1632" s="327">
        <v>-20</v>
      </c>
      <c r="C1632" s="327" t="s">
        <v>115</v>
      </c>
      <c r="D1632" s="327" t="s">
        <v>114</v>
      </c>
      <c r="E1632" s="328" t="s">
        <v>972</v>
      </c>
      <c r="F1632" s="328">
        <v>75.918750000000003</v>
      </c>
      <c r="G1632" s="328">
        <v>5341.817</v>
      </c>
      <c r="H1632" s="328">
        <v>6121.5109999999995</v>
      </c>
      <c r="I1632" s="329">
        <v>1.3769813949483598E-3</v>
      </c>
      <c r="J1632" s="329">
        <v>0.42924911071194338</v>
      </c>
      <c r="K1632" s="329">
        <v>0.66410124323782005</v>
      </c>
    </row>
    <row r="1633" spans="1:11" ht="11.25" x14ac:dyDescent="0.15">
      <c r="A1633" s="326">
        <v>1</v>
      </c>
      <c r="B1633" s="327">
        <v>-20</v>
      </c>
      <c r="C1633" s="327" t="s">
        <v>115</v>
      </c>
      <c r="D1633" s="327" t="s">
        <v>113</v>
      </c>
      <c r="E1633" s="328" t="s">
        <v>973</v>
      </c>
      <c r="F1633" s="328">
        <v>19.349530000000001</v>
      </c>
      <c r="G1633" s="328">
        <v>5565.6050000000005</v>
      </c>
      <c r="H1633" s="328">
        <v>6025.3139999999994</v>
      </c>
      <c r="I1633" s="329">
        <v>3.5095339176415756E-4</v>
      </c>
      <c r="J1633" s="329">
        <v>0.44723190570248778</v>
      </c>
      <c r="K1633" s="329">
        <v>0.65366516833805288</v>
      </c>
    </row>
    <row r="1634" spans="1:11" ht="11.25" x14ac:dyDescent="0.15">
      <c r="A1634" s="326">
        <v>1.0249999999999999</v>
      </c>
      <c r="B1634" s="327">
        <v>-20</v>
      </c>
      <c r="C1634" s="327" t="s">
        <v>115</v>
      </c>
      <c r="D1634" s="327" t="s">
        <v>79</v>
      </c>
      <c r="E1634" s="328" t="s">
        <v>974</v>
      </c>
      <c r="F1634" s="328">
        <v>1087.5331999999999</v>
      </c>
      <c r="G1634" s="328">
        <v>5859.9168</v>
      </c>
      <c r="H1634" s="328">
        <v>6550.9338749999988</v>
      </c>
      <c r="I1634" s="329">
        <v>1.9725205997051496E-2</v>
      </c>
      <c r="J1634" s="329">
        <v>0.47088173841334835</v>
      </c>
      <c r="K1634" s="329">
        <v>0.71068782376708128</v>
      </c>
    </row>
    <row r="1635" spans="1:11" ht="11.25" x14ac:dyDescent="0.15">
      <c r="A1635" s="326">
        <v>1.0249999999999999</v>
      </c>
      <c r="B1635" s="327">
        <v>-20</v>
      </c>
      <c r="C1635" s="327" t="s">
        <v>115</v>
      </c>
      <c r="D1635" s="327" t="s">
        <v>114</v>
      </c>
      <c r="E1635" s="328" t="s">
        <v>975</v>
      </c>
      <c r="F1635" s="328">
        <v>83.912567999999993</v>
      </c>
      <c r="G1635" s="328">
        <v>5677.1264999999994</v>
      </c>
      <c r="H1635" s="328">
        <v>6449.6136499999993</v>
      </c>
      <c r="I1635" s="329">
        <v>1.521969802431403E-3</v>
      </c>
      <c r="J1635" s="329">
        <v>0.45619337044384101</v>
      </c>
      <c r="K1635" s="329">
        <v>0.69969594816845282</v>
      </c>
    </row>
    <row r="1636" spans="1:11" ht="11.25" x14ac:dyDescent="0.15">
      <c r="A1636" s="326">
        <v>1.0249999999999999</v>
      </c>
      <c r="B1636" s="327">
        <v>-20</v>
      </c>
      <c r="C1636" s="327" t="s">
        <v>115</v>
      </c>
      <c r="D1636" s="327" t="s">
        <v>113</v>
      </c>
      <c r="E1636" s="328" t="s">
        <v>976</v>
      </c>
      <c r="F1636" s="328">
        <v>21.510516749999997</v>
      </c>
      <c r="G1636" s="328">
        <v>5865.6670499999991</v>
      </c>
      <c r="H1636" s="328">
        <v>6350.0144</v>
      </c>
      <c r="I1636" s="329">
        <v>3.9014843316670855E-4</v>
      </c>
      <c r="J1636" s="329">
        <v>0.47134380772401002</v>
      </c>
      <c r="K1636" s="329">
        <v>0.68889077510733221</v>
      </c>
    </row>
    <row r="1637" spans="1:11" ht="11.25" x14ac:dyDescent="0.15">
      <c r="A1637" s="326">
        <v>1.05</v>
      </c>
      <c r="B1637" s="327">
        <v>-20</v>
      </c>
      <c r="C1637" s="327" t="s">
        <v>115</v>
      </c>
      <c r="D1637" s="327" t="s">
        <v>79</v>
      </c>
      <c r="E1637" s="328" t="s">
        <v>977</v>
      </c>
      <c r="F1637" s="328">
        <v>1201.8163500000001</v>
      </c>
      <c r="G1637" s="328">
        <v>6298.0386000000008</v>
      </c>
      <c r="H1637" s="328">
        <v>6891.9280500000004</v>
      </c>
      <c r="I1637" s="329">
        <v>2.1798024257442941E-2</v>
      </c>
      <c r="J1637" s="329">
        <v>0.50608762304652022</v>
      </c>
      <c r="K1637" s="329">
        <v>0.74768108499855757</v>
      </c>
    </row>
    <row r="1638" spans="1:11" ht="11.25" x14ac:dyDescent="0.15">
      <c r="A1638" s="326">
        <v>1.05</v>
      </c>
      <c r="B1638" s="327">
        <v>-20</v>
      </c>
      <c r="C1638" s="327" t="s">
        <v>115</v>
      </c>
      <c r="D1638" s="327" t="s">
        <v>114</v>
      </c>
      <c r="E1638" s="328" t="s">
        <v>978</v>
      </c>
      <c r="F1638" s="328">
        <v>92.662626000000003</v>
      </c>
      <c r="G1638" s="328">
        <v>6037.4191499999997</v>
      </c>
      <c r="H1638" s="328">
        <v>6786.44085</v>
      </c>
      <c r="I1638" s="329">
        <v>1.680674563385964E-3</v>
      </c>
      <c r="J1638" s="329">
        <v>0.48514518582960764</v>
      </c>
      <c r="K1638" s="329">
        <v>0.73623714890734138</v>
      </c>
    </row>
    <row r="1639" spans="1:11" ht="11.25" x14ac:dyDescent="0.15">
      <c r="A1639" s="326">
        <v>1.05</v>
      </c>
      <c r="B1639" s="327">
        <v>-20</v>
      </c>
      <c r="C1639" s="327" t="s">
        <v>115</v>
      </c>
      <c r="D1639" s="327" t="s">
        <v>113</v>
      </c>
      <c r="E1639" s="328" t="s">
        <v>979</v>
      </c>
      <c r="F1639" s="328">
        <v>23.895868500000002</v>
      </c>
      <c r="G1639" s="328">
        <v>6182.0640000000003</v>
      </c>
      <c r="H1639" s="328">
        <v>6683.54925</v>
      </c>
      <c r="I1639" s="329">
        <v>4.3341290973089748E-4</v>
      </c>
      <c r="J1639" s="329">
        <v>0.49676832328107079</v>
      </c>
      <c r="K1639" s="329">
        <v>0.72507480035014227</v>
      </c>
    </row>
    <row r="1640" spans="1:11" ht="11.25" x14ac:dyDescent="0.15">
      <c r="A1640" s="326">
        <v>1.075</v>
      </c>
      <c r="B1640" s="327">
        <v>-20</v>
      </c>
      <c r="C1640" s="327" t="s">
        <v>115</v>
      </c>
      <c r="D1640" s="327" t="s">
        <v>79</v>
      </c>
      <c r="E1640" s="328" t="s">
        <v>980</v>
      </c>
      <c r="F1640" s="328">
        <v>1326.3242500000001</v>
      </c>
      <c r="G1640" s="328">
        <v>6766.5122499999989</v>
      </c>
      <c r="H1640" s="328">
        <v>7241.476275</v>
      </c>
      <c r="I1640" s="329">
        <v>2.4056294603360003E-2</v>
      </c>
      <c r="J1640" s="329">
        <v>0.54373247266500724</v>
      </c>
      <c r="K1640" s="329">
        <v>0.78560234509170668</v>
      </c>
    </row>
    <row r="1641" spans="1:11" ht="11.25" x14ac:dyDescent="0.15">
      <c r="A1641" s="326">
        <v>1.075</v>
      </c>
      <c r="B1641" s="327">
        <v>-20</v>
      </c>
      <c r="C1641" s="327" t="s">
        <v>115</v>
      </c>
      <c r="D1641" s="327" t="s">
        <v>114</v>
      </c>
      <c r="E1641" s="328" t="s">
        <v>981</v>
      </c>
      <c r="F1641" s="328">
        <v>102.2342415</v>
      </c>
      <c r="G1641" s="328">
        <v>6423.7366750000001</v>
      </c>
      <c r="H1641" s="328">
        <v>7131.9326999999994</v>
      </c>
      <c r="I1641" s="329">
        <v>1.8542803783275867E-3</v>
      </c>
      <c r="J1641" s="329">
        <v>0.51618826612582314</v>
      </c>
      <c r="K1641" s="329">
        <v>0.77371834711372112</v>
      </c>
    </row>
    <row r="1642" spans="1:11" ht="11.25" x14ac:dyDescent="0.15">
      <c r="A1642" s="326">
        <v>1.075</v>
      </c>
      <c r="B1642" s="327">
        <v>-20</v>
      </c>
      <c r="C1642" s="327" t="s">
        <v>115</v>
      </c>
      <c r="D1642" s="327" t="s">
        <v>113</v>
      </c>
      <c r="E1642" s="328" t="s">
        <v>982</v>
      </c>
      <c r="F1642" s="328">
        <v>26.528075999999999</v>
      </c>
      <c r="G1642" s="328">
        <v>6517.3455249999997</v>
      </c>
      <c r="H1642" s="328">
        <v>7025.5668249999999</v>
      </c>
      <c r="I1642" s="329">
        <v>4.8115474893588344E-4</v>
      </c>
      <c r="J1642" s="329">
        <v>0.52371033504306008</v>
      </c>
      <c r="K1642" s="329">
        <v>0.76217908665571033</v>
      </c>
    </row>
    <row r="1643" spans="1:11" ht="11.25" x14ac:dyDescent="0.15">
      <c r="A1643" s="326">
        <v>1.1000000000000001</v>
      </c>
      <c r="B1643" s="327">
        <v>-20</v>
      </c>
      <c r="C1643" s="327" t="s">
        <v>115</v>
      </c>
      <c r="D1643" s="327" t="s">
        <v>79</v>
      </c>
      <c r="E1643" s="328" t="s">
        <v>983</v>
      </c>
      <c r="F1643" s="328">
        <v>1461.8285000000001</v>
      </c>
      <c r="G1643" s="328">
        <v>7270.1145000000006</v>
      </c>
      <c r="H1643" s="328">
        <v>7598.8121000000001</v>
      </c>
      <c r="I1643" s="329">
        <v>2.6514011981299327E-2</v>
      </c>
      <c r="J1643" s="329">
        <v>0.58420012963735102</v>
      </c>
      <c r="K1643" s="329">
        <v>0.82436845457609897</v>
      </c>
    </row>
    <row r="1644" spans="1:11" ht="11.25" x14ac:dyDescent="0.15">
      <c r="A1644" s="326">
        <v>1.1000000000000001</v>
      </c>
      <c r="B1644" s="327">
        <v>-20</v>
      </c>
      <c r="C1644" s="327" t="s">
        <v>115</v>
      </c>
      <c r="D1644" s="327" t="s">
        <v>114</v>
      </c>
      <c r="E1644" s="328" t="s">
        <v>984</v>
      </c>
      <c r="F1644" s="328">
        <v>112.69884999999999</v>
      </c>
      <c r="G1644" s="328">
        <v>6838.2127</v>
      </c>
      <c r="H1644" s="328">
        <v>7486.2260000000006</v>
      </c>
      <c r="I1644" s="329">
        <v>2.0440829134051328E-3</v>
      </c>
      <c r="J1644" s="329">
        <v>0.54949406172733317</v>
      </c>
      <c r="K1644" s="329">
        <v>0.8121543837394547</v>
      </c>
    </row>
    <row r="1645" spans="1:11" ht="11.25" x14ac:dyDescent="0.15">
      <c r="A1645" s="326">
        <v>1.1000000000000001</v>
      </c>
      <c r="B1645" s="327">
        <v>-20</v>
      </c>
      <c r="C1645" s="327" t="s">
        <v>115</v>
      </c>
      <c r="D1645" s="327" t="s">
        <v>113</v>
      </c>
      <c r="E1645" s="328" t="s">
        <v>985</v>
      </c>
      <c r="F1645" s="328">
        <v>29.431369000000004</v>
      </c>
      <c r="G1645" s="328">
        <v>6872.3852999999999</v>
      </c>
      <c r="H1645" s="328">
        <v>7376.1049999999996</v>
      </c>
      <c r="I1645" s="329">
        <v>5.3381341948938719E-4</v>
      </c>
      <c r="J1645" s="329">
        <v>0.55224004837583029</v>
      </c>
      <c r="K1645" s="329">
        <v>0.80020774294985342</v>
      </c>
    </row>
    <row r="1646" spans="1:11" ht="11.25" x14ac:dyDescent="0.15">
      <c r="A1646" s="326">
        <v>1.125</v>
      </c>
      <c r="B1646" s="327">
        <v>-20</v>
      </c>
      <c r="C1646" s="327" t="s">
        <v>115</v>
      </c>
      <c r="D1646" s="327" t="s">
        <v>79</v>
      </c>
      <c r="E1646" s="328" t="s">
        <v>986</v>
      </c>
      <c r="F1646" s="328">
        <v>1609.1505</v>
      </c>
      <c r="G1646" s="328">
        <v>7806.0329999999994</v>
      </c>
      <c r="H1646" s="328">
        <v>7965.8876249999994</v>
      </c>
      <c r="I1646" s="329">
        <v>2.9186074588581221E-2</v>
      </c>
      <c r="J1646" s="329">
        <v>0.62726460368037384</v>
      </c>
      <c r="K1646" s="329">
        <v>0.86419118992929445</v>
      </c>
    </row>
    <row r="1647" spans="1:11" ht="11.25" x14ac:dyDescent="0.15">
      <c r="A1647" s="326">
        <v>1.125</v>
      </c>
      <c r="B1647" s="327">
        <v>-20</v>
      </c>
      <c r="C1647" s="327" t="s">
        <v>115</v>
      </c>
      <c r="D1647" s="327" t="s">
        <v>114</v>
      </c>
      <c r="E1647" s="328" t="s">
        <v>987</v>
      </c>
      <c r="F1647" s="328">
        <v>124.1350875</v>
      </c>
      <c r="G1647" s="328">
        <v>7283.0115000000005</v>
      </c>
      <c r="H1647" s="328">
        <v>7849.0293750000001</v>
      </c>
      <c r="I1647" s="329">
        <v>2.2515084343167754E-3</v>
      </c>
      <c r="J1647" s="329">
        <v>0.58523648595222511</v>
      </c>
      <c r="K1647" s="329">
        <v>0.85151364853345357</v>
      </c>
    </row>
    <row r="1648" spans="1:11" ht="11.25" x14ac:dyDescent="0.15">
      <c r="A1648" s="326">
        <v>1.125</v>
      </c>
      <c r="B1648" s="327">
        <v>-20</v>
      </c>
      <c r="C1648" s="327" t="s">
        <v>115</v>
      </c>
      <c r="D1648" s="327" t="s">
        <v>113</v>
      </c>
      <c r="E1648" s="328" t="s">
        <v>988</v>
      </c>
      <c r="F1648" s="328">
        <v>32.633133749999999</v>
      </c>
      <c r="G1648" s="328">
        <v>7249.7137500000008</v>
      </c>
      <c r="H1648" s="328">
        <v>7735.3447500000002</v>
      </c>
      <c r="I1648" s="329">
        <v>5.9188564132854398E-4</v>
      </c>
      <c r="J1648" s="329">
        <v>0.58256079908833436</v>
      </c>
      <c r="K1648" s="329">
        <v>0.83918040257513948</v>
      </c>
    </row>
    <row r="1649" spans="1:11" ht="11.25" x14ac:dyDescent="0.15">
      <c r="A1649" s="326">
        <v>1.1499999999999999</v>
      </c>
      <c r="B1649" s="327">
        <v>-20</v>
      </c>
      <c r="C1649" s="327" t="s">
        <v>115</v>
      </c>
      <c r="D1649" s="327" t="s">
        <v>79</v>
      </c>
      <c r="E1649" s="328" t="s">
        <v>989</v>
      </c>
      <c r="F1649" s="328">
        <v>1769.1634499999998</v>
      </c>
      <c r="G1649" s="328">
        <v>8376.3067499999997</v>
      </c>
      <c r="H1649" s="328">
        <v>8341.8584999999985</v>
      </c>
      <c r="I1649" s="329">
        <v>3.2088320148483111E-2</v>
      </c>
      <c r="J1649" s="329">
        <v>0.67308974146586242</v>
      </c>
      <c r="K1649" s="329">
        <v>0.90497895058327527</v>
      </c>
    </row>
    <row r="1650" spans="1:11" ht="11.25" x14ac:dyDescent="0.15">
      <c r="A1650" s="326">
        <v>1.1499999999999999</v>
      </c>
      <c r="B1650" s="327">
        <v>-20</v>
      </c>
      <c r="C1650" s="327" t="s">
        <v>115</v>
      </c>
      <c r="D1650" s="327" t="s">
        <v>114</v>
      </c>
      <c r="E1650" s="328" t="s">
        <v>990</v>
      </c>
      <c r="F1650" s="328">
        <v>136.62724499999999</v>
      </c>
      <c r="G1650" s="328">
        <v>7758.6187499999996</v>
      </c>
      <c r="H1650" s="328">
        <v>8220.1309999999994</v>
      </c>
      <c r="I1650" s="329">
        <v>2.4780857747006015E-3</v>
      </c>
      <c r="J1650" s="329">
        <v>0.62345456588844395</v>
      </c>
      <c r="K1650" s="329">
        <v>0.8917731613449269</v>
      </c>
    </row>
    <row r="1651" spans="1:11" ht="11.25" x14ac:dyDescent="0.15">
      <c r="A1651" s="326">
        <v>1.1499999999999999</v>
      </c>
      <c r="B1651" s="327">
        <v>-20</v>
      </c>
      <c r="C1651" s="327" t="s">
        <v>115</v>
      </c>
      <c r="D1651" s="327" t="s">
        <v>113</v>
      </c>
      <c r="E1651" s="328" t="s">
        <v>991</v>
      </c>
      <c r="F1651" s="328">
        <v>36.162969000000004</v>
      </c>
      <c r="G1651" s="328">
        <v>7650.351999999999</v>
      </c>
      <c r="H1651" s="328">
        <v>8102.7079499999991</v>
      </c>
      <c r="I1651" s="329">
        <v>6.5590826375690192E-4</v>
      </c>
      <c r="J1651" s="329">
        <v>0.61475464109559297</v>
      </c>
      <c r="K1651" s="329">
        <v>0.87903434677940917</v>
      </c>
    </row>
    <row r="1652" spans="1:11" ht="11.25" x14ac:dyDescent="0.15">
      <c r="A1652" s="326">
        <v>1.175</v>
      </c>
      <c r="B1652" s="327">
        <v>-20</v>
      </c>
      <c r="C1652" s="327" t="s">
        <v>115</v>
      </c>
      <c r="D1652" s="327" t="s">
        <v>79</v>
      </c>
      <c r="E1652" s="328" t="s">
        <v>992</v>
      </c>
      <c r="F1652" s="328">
        <v>1942.793175</v>
      </c>
      <c r="G1652" s="328">
        <v>8982.1653000000006</v>
      </c>
      <c r="H1652" s="328">
        <v>8726.1797999999999</v>
      </c>
      <c r="I1652" s="329">
        <v>3.5237540873732154E-2</v>
      </c>
      <c r="J1652" s="329">
        <v>0.72177434518866457</v>
      </c>
      <c r="K1652" s="329">
        <v>0.94667261953735804</v>
      </c>
    </row>
    <row r="1653" spans="1:11" ht="11.25" x14ac:dyDescent="0.15">
      <c r="A1653" s="326">
        <v>1.175</v>
      </c>
      <c r="B1653" s="327">
        <v>-20</v>
      </c>
      <c r="C1653" s="327" t="s">
        <v>115</v>
      </c>
      <c r="D1653" s="327" t="s">
        <v>114</v>
      </c>
      <c r="E1653" s="328" t="s">
        <v>993</v>
      </c>
      <c r="F1653" s="328">
        <v>150.26522750000004</v>
      </c>
      <c r="G1653" s="328">
        <v>8266.8182500000003</v>
      </c>
      <c r="H1653" s="328">
        <v>8600.0576499999988</v>
      </c>
      <c r="I1653" s="329">
        <v>2.7254455924943795E-3</v>
      </c>
      <c r="J1653" s="329">
        <v>0.66429164125797724</v>
      </c>
      <c r="K1653" s="329">
        <v>0.93299007014476076</v>
      </c>
    </row>
    <row r="1654" spans="1:11" ht="11.25" x14ac:dyDescent="0.15">
      <c r="A1654" s="326">
        <v>1.175</v>
      </c>
      <c r="B1654" s="327">
        <v>-20</v>
      </c>
      <c r="C1654" s="327" t="s">
        <v>115</v>
      </c>
      <c r="D1654" s="327" t="s">
        <v>113</v>
      </c>
      <c r="E1654" s="328" t="s">
        <v>994</v>
      </c>
      <c r="F1654" s="328">
        <v>40.053576249999999</v>
      </c>
      <c r="G1654" s="328">
        <v>8077.2179000000006</v>
      </c>
      <c r="H1654" s="328">
        <v>8479.1043250000002</v>
      </c>
      <c r="I1654" s="329">
        <v>7.2647441241321139E-4</v>
      </c>
      <c r="J1654" s="329">
        <v>0.64905604227954483</v>
      </c>
      <c r="K1654" s="329">
        <v>0.91986826843497904</v>
      </c>
    </row>
    <row r="1655" spans="1:11" ht="11.25" x14ac:dyDescent="0.15">
      <c r="A1655" s="326">
        <v>1.2</v>
      </c>
      <c r="B1655" s="327">
        <v>-20</v>
      </c>
      <c r="C1655" s="327" t="s">
        <v>115</v>
      </c>
      <c r="D1655" s="327" t="s">
        <v>79</v>
      </c>
      <c r="E1655" s="328" t="s">
        <v>995</v>
      </c>
      <c r="F1655" s="328">
        <v>2131.0236</v>
      </c>
      <c r="G1655" s="328">
        <v>9623.9448000000011</v>
      </c>
      <c r="H1655" s="328">
        <v>9119.0627999999997</v>
      </c>
      <c r="I1655" s="329">
        <v>3.8651582769683057E-2</v>
      </c>
      <c r="J1655" s="329">
        <v>0.77334542664805483</v>
      </c>
      <c r="K1655" s="329">
        <v>0.98929511727476371</v>
      </c>
    </row>
    <row r="1656" spans="1:11" ht="11.25" x14ac:dyDescent="0.15">
      <c r="A1656" s="326">
        <v>1.2</v>
      </c>
      <c r="B1656" s="327">
        <v>-20</v>
      </c>
      <c r="C1656" s="327" t="s">
        <v>115</v>
      </c>
      <c r="D1656" s="327" t="s">
        <v>114</v>
      </c>
      <c r="E1656" s="328" t="s">
        <v>996</v>
      </c>
      <c r="F1656" s="328">
        <v>165.14940000000001</v>
      </c>
      <c r="G1656" s="328">
        <v>8808.9012000000002</v>
      </c>
      <c r="H1656" s="328">
        <v>8988.8315999999995</v>
      </c>
      <c r="I1656" s="329">
        <v>2.9954082645839751E-3</v>
      </c>
      <c r="J1656" s="329">
        <v>0.70785146822689193</v>
      </c>
      <c r="K1656" s="329">
        <v>0.9751667914695249</v>
      </c>
    </row>
    <row r="1657" spans="1:11" ht="11.25" x14ac:dyDescent="0.15">
      <c r="A1657" s="326">
        <v>1.2</v>
      </c>
      <c r="B1657" s="327">
        <v>-20</v>
      </c>
      <c r="C1657" s="327" t="s">
        <v>115</v>
      </c>
      <c r="D1657" s="327" t="s">
        <v>113</v>
      </c>
      <c r="E1657" s="328" t="s">
        <v>997</v>
      </c>
      <c r="F1657" s="328">
        <v>44.340731999999996</v>
      </c>
      <c r="G1657" s="328">
        <v>8531.4912000000004</v>
      </c>
      <c r="H1657" s="328">
        <v>8863.627199999999</v>
      </c>
      <c r="I1657" s="329">
        <v>8.0423298595394901E-4</v>
      </c>
      <c r="J1657" s="329">
        <v>0.6855598030869966</v>
      </c>
      <c r="K1657" s="329">
        <v>0.96158380555332779</v>
      </c>
    </row>
    <row r="1658" spans="1:11" ht="11.25" x14ac:dyDescent="0.15">
      <c r="A1658" s="326">
        <v>1.2250000000000001</v>
      </c>
      <c r="B1658" s="327">
        <v>-20</v>
      </c>
      <c r="C1658" s="327" t="s">
        <v>115</v>
      </c>
      <c r="D1658" s="327" t="s">
        <v>79</v>
      </c>
      <c r="E1658" s="328" t="s">
        <v>998</v>
      </c>
      <c r="F1658" s="328">
        <v>2334.8965500000004</v>
      </c>
      <c r="G1658" s="328">
        <v>10301.95355</v>
      </c>
      <c r="H1658" s="328">
        <v>9521.0515749999995</v>
      </c>
      <c r="I1658" s="329">
        <v>4.2349342006804819E-2</v>
      </c>
      <c r="J1658" s="329">
        <v>0.82782775971794775</v>
      </c>
      <c r="K1658" s="329">
        <v>1.0329054685826595</v>
      </c>
    </row>
    <row r="1659" spans="1:11" ht="11.25" x14ac:dyDescent="0.15">
      <c r="A1659" s="326">
        <v>1.2250000000000001</v>
      </c>
      <c r="B1659" s="327">
        <v>-20</v>
      </c>
      <c r="C1659" s="327" t="s">
        <v>115</v>
      </c>
      <c r="D1659" s="327" t="s">
        <v>114</v>
      </c>
      <c r="E1659" s="328" t="s">
        <v>999</v>
      </c>
      <c r="F1659" s="328">
        <v>181.38648500000002</v>
      </c>
      <c r="G1659" s="328">
        <v>9385.5714750000006</v>
      </c>
      <c r="H1659" s="328">
        <v>9386.0136999999995</v>
      </c>
      <c r="I1659" s="329">
        <v>3.2899094774358081E-3</v>
      </c>
      <c r="J1659" s="329">
        <v>0.75419060764663659</v>
      </c>
      <c r="K1659" s="329">
        <v>1.0182556834770389</v>
      </c>
    </row>
    <row r="1660" spans="1:11" ht="11.25" x14ac:dyDescent="0.15">
      <c r="A1660" s="326">
        <v>1.2250000000000001</v>
      </c>
      <c r="B1660" s="327">
        <v>-20</v>
      </c>
      <c r="C1660" s="327" t="s">
        <v>115</v>
      </c>
      <c r="D1660" s="327" t="s">
        <v>113</v>
      </c>
      <c r="E1660" s="328" t="s">
        <v>1000</v>
      </c>
      <c r="F1660" s="328">
        <v>49.063932750000006</v>
      </c>
      <c r="G1660" s="328">
        <v>9016.1359750000011</v>
      </c>
      <c r="H1660" s="328">
        <v>9257.1375750000007</v>
      </c>
      <c r="I1660" s="329">
        <v>8.8990035478386461E-4</v>
      </c>
      <c r="J1660" s="329">
        <v>0.72450410587384617</v>
      </c>
      <c r="K1660" s="329">
        <v>1.0042743650025361</v>
      </c>
    </row>
    <row r="1661" spans="1:11" ht="11.25" x14ac:dyDescent="0.15">
      <c r="A1661" s="326">
        <v>1.25</v>
      </c>
      <c r="B1661" s="327">
        <v>-20</v>
      </c>
      <c r="C1661" s="327" t="s">
        <v>115</v>
      </c>
      <c r="D1661" s="327" t="s">
        <v>79</v>
      </c>
      <c r="E1661" s="328" t="s">
        <v>1001</v>
      </c>
      <c r="F1661" s="328">
        <v>2555.5212500000002</v>
      </c>
      <c r="G1661" s="328">
        <v>11017.825000000001</v>
      </c>
      <c r="H1661" s="328">
        <v>9932.1775000000016</v>
      </c>
      <c r="I1661" s="329">
        <v>4.6350937227564684E-2</v>
      </c>
      <c r="J1661" s="329">
        <v>0.88535260253764181</v>
      </c>
      <c r="K1661" s="329">
        <v>1.0775070772246762</v>
      </c>
    </row>
    <row r="1662" spans="1:11" ht="11.25" x14ac:dyDescent="0.15">
      <c r="A1662" s="326">
        <v>1.25</v>
      </c>
      <c r="B1662" s="327">
        <v>-20</v>
      </c>
      <c r="C1662" s="327" t="s">
        <v>115</v>
      </c>
      <c r="D1662" s="327" t="s">
        <v>114</v>
      </c>
      <c r="E1662" s="328" t="s">
        <v>1002</v>
      </c>
      <c r="F1662" s="328">
        <v>199.09287500000002</v>
      </c>
      <c r="G1662" s="328">
        <v>9997.619999999999</v>
      </c>
      <c r="H1662" s="328">
        <v>9792.61</v>
      </c>
      <c r="I1662" s="329">
        <v>3.6110603077866726E-3</v>
      </c>
      <c r="J1662" s="329">
        <v>0.80337261539209215</v>
      </c>
      <c r="K1662" s="329">
        <v>1.0623658890007892</v>
      </c>
    </row>
    <row r="1663" spans="1:11" ht="11.25" x14ac:dyDescent="0.15">
      <c r="A1663" s="326">
        <v>1.25</v>
      </c>
      <c r="B1663" s="327">
        <v>-20</v>
      </c>
      <c r="C1663" s="327" t="s">
        <v>115</v>
      </c>
      <c r="D1663" s="327" t="s">
        <v>113</v>
      </c>
      <c r="E1663" s="328" t="s">
        <v>1003</v>
      </c>
      <c r="F1663" s="328">
        <v>54.266687500000003</v>
      </c>
      <c r="G1663" s="328">
        <v>9530.9950000000008</v>
      </c>
      <c r="H1663" s="328">
        <v>9659.0575000000008</v>
      </c>
      <c r="I1663" s="329">
        <v>9.8426566629425177E-4</v>
      </c>
      <c r="J1663" s="329">
        <v>0.76587631660724798</v>
      </c>
      <c r="K1663" s="329">
        <v>1.0478772470155802</v>
      </c>
    </row>
    <row r="1664" spans="1:11" ht="11.25" x14ac:dyDescent="0.15">
      <c r="A1664" s="326">
        <v>1.2749999999999999</v>
      </c>
      <c r="B1664" s="327">
        <v>-20</v>
      </c>
      <c r="C1664" s="327" t="s">
        <v>115</v>
      </c>
      <c r="D1664" s="327" t="s">
        <v>79</v>
      </c>
      <c r="E1664" s="328" t="s">
        <v>1004</v>
      </c>
      <c r="F1664" s="328">
        <v>2794.0681500000005</v>
      </c>
      <c r="G1664" s="328">
        <v>11768.1276</v>
      </c>
      <c r="H1664" s="328">
        <v>10351.805324999999</v>
      </c>
      <c r="I1664" s="329">
        <v>5.0677597546953598E-2</v>
      </c>
      <c r="J1664" s="329">
        <v>0.9456442081495261</v>
      </c>
      <c r="K1664" s="329">
        <v>1.1230310271579003</v>
      </c>
    </row>
    <row r="1665" spans="1:11" ht="11.25" x14ac:dyDescent="0.15">
      <c r="A1665" s="326">
        <v>1.2749999999999999</v>
      </c>
      <c r="B1665" s="327">
        <v>-20</v>
      </c>
      <c r="C1665" s="327" t="s">
        <v>115</v>
      </c>
      <c r="D1665" s="327" t="s">
        <v>114</v>
      </c>
      <c r="E1665" s="328" t="s">
        <v>1005</v>
      </c>
      <c r="F1665" s="328">
        <v>218.39449500000001</v>
      </c>
      <c r="G1665" s="328">
        <v>10646.038350000001</v>
      </c>
      <c r="H1665" s="328">
        <v>10207.286624999999</v>
      </c>
      <c r="I1665" s="329">
        <v>3.9611447287283127E-3</v>
      </c>
      <c r="J1665" s="329">
        <v>0.85547717084706298</v>
      </c>
      <c r="K1665" s="329">
        <v>1.1073527006236323</v>
      </c>
    </row>
    <row r="1666" spans="1:11" ht="11.25" x14ac:dyDescent="0.15">
      <c r="A1666" s="326">
        <v>1.2749999999999999</v>
      </c>
      <c r="B1666" s="327">
        <v>-20</v>
      </c>
      <c r="C1666" s="327" t="s">
        <v>115</v>
      </c>
      <c r="D1666" s="327" t="s">
        <v>113</v>
      </c>
      <c r="E1666" s="328" t="s">
        <v>1006</v>
      </c>
      <c r="F1666" s="328">
        <v>59.996438249999997</v>
      </c>
      <c r="G1666" s="328">
        <v>10076.7279</v>
      </c>
      <c r="H1666" s="328">
        <v>10069.505024999999</v>
      </c>
      <c r="I1666" s="329">
        <v>1.0881894029263932E-3</v>
      </c>
      <c r="J1666" s="329">
        <v>0.80972944036855421</v>
      </c>
      <c r="K1666" s="329">
        <v>1.0924052584226305</v>
      </c>
    </row>
    <row r="1667" spans="1:11" ht="11.25" x14ac:dyDescent="0.15">
      <c r="A1667" s="326">
        <v>1.3</v>
      </c>
      <c r="B1667" s="327">
        <v>-20</v>
      </c>
      <c r="C1667" s="327" t="s">
        <v>115</v>
      </c>
      <c r="D1667" s="327" t="s">
        <v>79</v>
      </c>
      <c r="E1667" s="328" t="s">
        <v>1007</v>
      </c>
      <c r="F1667" s="328">
        <v>3051.7825000000003</v>
      </c>
      <c r="G1667" s="328">
        <v>12558.8112</v>
      </c>
      <c r="H1667" s="328">
        <v>10780.511300000002</v>
      </c>
      <c r="I1667" s="329">
        <v>5.5351908769954626E-2</v>
      </c>
      <c r="J1667" s="329">
        <v>1.0091806849989797</v>
      </c>
      <c r="K1667" s="329">
        <v>1.1695398337223226</v>
      </c>
    </row>
    <row r="1668" spans="1:11" ht="11.25" x14ac:dyDescent="0.15">
      <c r="A1668" s="326">
        <v>1.3</v>
      </c>
      <c r="B1668" s="327">
        <v>-20</v>
      </c>
      <c r="C1668" s="327" t="s">
        <v>115</v>
      </c>
      <c r="D1668" s="327" t="s">
        <v>114</v>
      </c>
      <c r="E1668" s="328" t="s">
        <v>1008</v>
      </c>
      <c r="F1668" s="328">
        <v>239.4288</v>
      </c>
      <c r="G1668" s="328">
        <v>11330.1721</v>
      </c>
      <c r="H1668" s="328">
        <v>10630.808500000001</v>
      </c>
      <c r="I1668" s="329">
        <v>4.3426558394969866E-3</v>
      </c>
      <c r="J1668" s="329">
        <v>0.91045168678340582</v>
      </c>
      <c r="K1668" s="329">
        <v>1.153299102374101</v>
      </c>
    </row>
    <row r="1669" spans="1:11" ht="11.25" x14ac:dyDescent="0.15">
      <c r="A1669" s="326">
        <v>1.3</v>
      </c>
      <c r="B1669" s="327">
        <v>-20</v>
      </c>
      <c r="C1669" s="327" t="s">
        <v>115</v>
      </c>
      <c r="D1669" s="327" t="s">
        <v>113</v>
      </c>
      <c r="E1669" s="328" t="s">
        <v>1009</v>
      </c>
      <c r="F1669" s="328">
        <v>66.305941000000004</v>
      </c>
      <c r="G1669" s="328">
        <v>10656.685000000001</v>
      </c>
      <c r="H1669" s="328">
        <v>10488.961600000001</v>
      </c>
      <c r="I1669" s="329">
        <v>1.2026284301512294E-3</v>
      </c>
      <c r="J1669" s="329">
        <v>0.85633269716789384</v>
      </c>
      <c r="K1669" s="329">
        <v>1.1379106300444048</v>
      </c>
    </row>
    <row r="1670" spans="1:11" ht="11.25" x14ac:dyDescent="0.15">
      <c r="A1670" s="326">
        <v>1.325</v>
      </c>
      <c r="B1670" s="327">
        <v>-20</v>
      </c>
      <c r="C1670" s="327" t="s">
        <v>115</v>
      </c>
      <c r="D1670" s="327" t="s">
        <v>79</v>
      </c>
      <c r="E1670" s="328" t="s">
        <v>1010</v>
      </c>
      <c r="F1670" s="328">
        <v>3329.9767499999998</v>
      </c>
      <c r="G1670" s="328">
        <v>13385.375249999999</v>
      </c>
      <c r="H1670" s="328">
        <v>11218.74055</v>
      </c>
      <c r="I1670" s="329">
        <v>6.0397675546035798E-2</v>
      </c>
      <c r="J1670" s="329">
        <v>1.075600385151374</v>
      </c>
      <c r="K1670" s="329">
        <v>1.2170817869669017</v>
      </c>
    </row>
    <row r="1671" spans="1:11" ht="11.25" x14ac:dyDescent="0.15">
      <c r="A1671" s="326">
        <v>1.325</v>
      </c>
      <c r="B1671" s="327">
        <v>-20</v>
      </c>
      <c r="C1671" s="327" t="s">
        <v>115</v>
      </c>
      <c r="D1671" s="327" t="s">
        <v>114</v>
      </c>
      <c r="E1671" s="328" t="s">
        <v>1011</v>
      </c>
      <c r="F1671" s="328">
        <v>262.34165249999995</v>
      </c>
      <c r="G1671" s="328">
        <v>12051.866099999999</v>
      </c>
      <c r="H1671" s="328">
        <v>11063.426700000002</v>
      </c>
      <c r="I1671" s="329">
        <v>4.7582392309213177E-3</v>
      </c>
      <c r="J1671" s="329">
        <v>0.96844440868049531</v>
      </c>
      <c r="K1671" s="329">
        <v>1.2002323324977271</v>
      </c>
    </row>
    <row r="1672" spans="1:11" ht="11.25" x14ac:dyDescent="0.15">
      <c r="A1672" s="326">
        <v>1.325</v>
      </c>
      <c r="B1672" s="327">
        <v>-20</v>
      </c>
      <c r="C1672" s="327" t="s">
        <v>115</v>
      </c>
      <c r="D1672" s="327" t="s">
        <v>113</v>
      </c>
      <c r="E1672" s="328" t="s">
        <v>1012</v>
      </c>
      <c r="F1672" s="328">
        <v>73.253446499999995</v>
      </c>
      <c r="G1672" s="328">
        <v>11270.711025000001</v>
      </c>
      <c r="H1672" s="328">
        <v>10917.12815</v>
      </c>
      <c r="I1672" s="329">
        <v>1.328639274834544E-3</v>
      </c>
      <c r="J1672" s="329">
        <v>0.90567360966737465</v>
      </c>
      <c r="K1672" s="329">
        <v>1.1843609162838395</v>
      </c>
    </row>
    <row r="1673" spans="1:11" ht="11.25" x14ac:dyDescent="0.15">
      <c r="A1673" s="326">
        <v>1.35</v>
      </c>
      <c r="B1673" s="327">
        <v>-20</v>
      </c>
      <c r="C1673" s="327" t="s">
        <v>115</v>
      </c>
      <c r="D1673" s="327" t="s">
        <v>79</v>
      </c>
      <c r="E1673" s="328" t="s">
        <v>1013</v>
      </c>
      <c r="F1673" s="328">
        <v>3630.0474000000004</v>
      </c>
      <c r="G1673" s="328">
        <v>14249.155500000001</v>
      </c>
      <c r="H1673" s="328">
        <v>11665.9791</v>
      </c>
      <c r="I1673" s="329">
        <v>6.5840226987149642E-2</v>
      </c>
      <c r="J1673" s="329">
        <v>1.1450106446497883</v>
      </c>
      <c r="K1673" s="329">
        <v>1.2656011275478269</v>
      </c>
    </row>
    <row r="1674" spans="1:11" ht="11.25" x14ac:dyDescent="0.15">
      <c r="A1674" s="326">
        <v>1.35</v>
      </c>
      <c r="B1674" s="327">
        <v>-20</v>
      </c>
      <c r="C1674" s="327" t="s">
        <v>115</v>
      </c>
      <c r="D1674" s="327" t="s">
        <v>114</v>
      </c>
      <c r="E1674" s="328" t="s">
        <v>1014</v>
      </c>
      <c r="F1674" s="328">
        <v>287.29606500000006</v>
      </c>
      <c r="G1674" s="328">
        <v>12811.720050000002</v>
      </c>
      <c r="H1674" s="328">
        <v>11504.52585</v>
      </c>
      <c r="I1674" s="329">
        <v>5.210851553099527E-3</v>
      </c>
      <c r="J1674" s="329">
        <v>1.0295035262632315</v>
      </c>
      <c r="K1674" s="329">
        <v>1.2480856311205908</v>
      </c>
    </row>
    <row r="1675" spans="1:11" ht="11.25" x14ac:dyDescent="0.15">
      <c r="A1675" s="326">
        <v>1.35</v>
      </c>
      <c r="B1675" s="327">
        <v>-20</v>
      </c>
      <c r="C1675" s="327" t="s">
        <v>115</v>
      </c>
      <c r="D1675" s="327" t="s">
        <v>113</v>
      </c>
      <c r="E1675" s="328" t="s">
        <v>1015</v>
      </c>
      <c r="F1675" s="328">
        <v>80.90084250000001</v>
      </c>
      <c r="G1675" s="328">
        <v>11920.613400000002</v>
      </c>
      <c r="H1675" s="328">
        <v>11353.336649999999</v>
      </c>
      <c r="I1675" s="329">
        <v>1.4673444301723561E-3</v>
      </c>
      <c r="J1675" s="329">
        <v>0.95789741600861222</v>
      </c>
      <c r="K1675" s="329">
        <v>1.2316836454533051</v>
      </c>
    </row>
    <row r="1676" spans="1:11" ht="11.25" x14ac:dyDescent="0.15">
      <c r="A1676" s="326">
        <v>1.375</v>
      </c>
      <c r="B1676" s="327">
        <v>-20</v>
      </c>
      <c r="C1676" s="327" t="s">
        <v>115</v>
      </c>
      <c r="D1676" s="327" t="s">
        <v>79</v>
      </c>
      <c r="E1676" s="328" t="s">
        <v>1016</v>
      </c>
      <c r="F1676" s="328">
        <v>3953.4659999999999</v>
      </c>
      <c r="G1676" s="328">
        <v>15151.1525</v>
      </c>
      <c r="H1676" s="328">
        <v>12122.6325</v>
      </c>
      <c r="I1676" s="329">
        <v>7.1706253429632494E-2</v>
      </c>
      <c r="J1676" s="329">
        <v>1.2174918640765939</v>
      </c>
      <c r="K1676" s="329">
        <v>1.315141852161207</v>
      </c>
    </row>
    <row r="1677" spans="1:11" ht="11.25" x14ac:dyDescent="0.15">
      <c r="A1677" s="326">
        <v>1.375</v>
      </c>
      <c r="B1677" s="327">
        <v>-20</v>
      </c>
      <c r="C1677" s="327" t="s">
        <v>115</v>
      </c>
      <c r="D1677" s="327" t="s">
        <v>114</v>
      </c>
      <c r="E1677" s="328" t="s">
        <v>1017</v>
      </c>
      <c r="F1677" s="328">
        <v>314.46552499999996</v>
      </c>
      <c r="G1677" s="328">
        <v>13608.1055</v>
      </c>
      <c r="H1677" s="328">
        <v>11954.068500000001</v>
      </c>
      <c r="I1677" s="329">
        <v>5.7036394471414271E-3</v>
      </c>
      <c r="J1677" s="329">
        <v>1.093498183174247</v>
      </c>
      <c r="K1677" s="329">
        <v>1.2968549354236338</v>
      </c>
    </row>
    <row r="1678" spans="1:11" ht="11.25" x14ac:dyDescent="0.15">
      <c r="A1678" s="326">
        <v>1.375</v>
      </c>
      <c r="B1678" s="327">
        <v>-20</v>
      </c>
      <c r="C1678" s="327" t="s">
        <v>115</v>
      </c>
      <c r="D1678" s="327" t="s">
        <v>113</v>
      </c>
      <c r="E1678" s="328" t="s">
        <v>1018</v>
      </c>
      <c r="F1678" s="328">
        <v>89.318735000000004</v>
      </c>
      <c r="G1678" s="328">
        <v>12606.182875</v>
      </c>
      <c r="H1678" s="328">
        <v>11798.660499999998</v>
      </c>
      <c r="I1678" s="329">
        <v>1.620024517201915E-3</v>
      </c>
      <c r="J1678" s="329">
        <v>1.0129873016177604</v>
      </c>
      <c r="K1678" s="329">
        <v>1.2799952669514043</v>
      </c>
    </row>
    <row r="1679" spans="1:11" ht="11.25" x14ac:dyDescent="0.15">
      <c r="A1679" s="326">
        <v>1.4</v>
      </c>
      <c r="B1679" s="327">
        <v>-20</v>
      </c>
      <c r="C1679" s="327" t="s">
        <v>115</v>
      </c>
      <c r="D1679" s="327" t="s">
        <v>79</v>
      </c>
      <c r="E1679" s="328" t="s">
        <v>1019</v>
      </c>
      <c r="F1679" s="328">
        <v>4301.7939999999999</v>
      </c>
      <c r="G1679" s="328">
        <v>16092.411999999998</v>
      </c>
      <c r="H1679" s="328">
        <v>12587.275399999999</v>
      </c>
      <c r="I1679" s="329">
        <v>7.802407577707067E-2</v>
      </c>
      <c r="J1679" s="329">
        <v>1.2931280761228261</v>
      </c>
      <c r="K1679" s="329">
        <v>1.365549329588206</v>
      </c>
    </row>
    <row r="1680" spans="1:11" ht="11.25" x14ac:dyDescent="0.15">
      <c r="A1680" s="326">
        <v>1.4</v>
      </c>
      <c r="B1680" s="327">
        <v>-20</v>
      </c>
      <c r="C1680" s="327" t="s">
        <v>115</v>
      </c>
      <c r="D1680" s="327" t="s">
        <v>114</v>
      </c>
      <c r="E1680" s="328" t="s">
        <v>1020</v>
      </c>
      <c r="F1680" s="328">
        <v>344.03851999999995</v>
      </c>
      <c r="G1680" s="328">
        <v>14444.303999999996</v>
      </c>
      <c r="H1680" s="328">
        <v>12412.527399999999</v>
      </c>
      <c r="I1680" s="329">
        <v>6.2400216176579449E-3</v>
      </c>
      <c r="J1680" s="329">
        <v>1.1606920729131989</v>
      </c>
      <c r="K1680" s="329">
        <v>1.3465915323951072</v>
      </c>
    </row>
    <row r="1681" spans="1:11" ht="11.25" x14ac:dyDescent="0.15">
      <c r="A1681" s="326">
        <v>1.4</v>
      </c>
      <c r="B1681" s="327">
        <v>-20</v>
      </c>
      <c r="C1681" s="327" t="s">
        <v>115</v>
      </c>
      <c r="D1681" s="327" t="s">
        <v>113</v>
      </c>
      <c r="E1681" s="328" t="s">
        <v>1021</v>
      </c>
      <c r="F1681" s="328">
        <v>98.584863999999996</v>
      </c>
      <c r="G1681" s="328">
        <v>13327.2426</v>
      </c>
      <c r="H1681" s="328">
        <v>12252.433199999998</v>
      </c>
      <c r="I1681" s="329">
        <v>1.7880895503615947E-3</v>
      </c>
      <c r="J1681" s="329">
        <v>1.0709290554678921</v>
      </c>
      <c r="K1681" s="329">
        <v>1.3292234745324056</v>
      </c>
    </row>
    <row r="1682" spans="1:11" ht="11.25" x14ac:dyDescent="0.15">
      <c r="A1682" s="326">
        <v>0.9</v>
      </c>
      <c r="B1682" s="327">
        <v>0</v>
      </c>
      <c r="C1682" s="327" t="s">
        <v>115</v>
      </c>
      <c r="D1682" s="327" t="s">
        <v>79</v>
      </c>
      <c r="E1682" s="328" t="s">
        <v>1022</v>
      </c>
      <c r="F1682" s="328">
        <v>1269.1989000000001</v>
      </c>
      <c r="G1682" s="328">
        <v>4218.8886000000002</v>
      </c>
      <c r="H1682" s="328">
        <v>4991.0634</v>
      </c>
      <c r="I1682" s="329">
        <v>2.3020179755184639E-2</v>
      </c>
      <c r="J1682" s="329">
        <v>0.33901464234786705</v>
      </c>
      <c r="K1682" s="329">
        <v>0.54146295073533013</v>
      </c>
    </row>
    <row r="1683" spans="1:11" ht="11.25" x14ac:dyDescent="0.15">
      <c r="A1683" s="326">
        <v>0.9</v>
      </c>
      <c r="B1683" s="327">
        <v>0</v>
      </c>
      <c r="C1683" s="327" t="s">
        <v>115</v>
      </c>
      <c r="D1683" s="327" t="s">
        <v>114</v>
      </c>
      <c r="E1683" s="328" t="s">
        <v>1023</v>
      </c>
      <c r="F1683" s="328">
        <v>121.79690999999998</v>
      </c>
      <c r="G1683" s="328">
        <v>4264.4232000000002</v>
      </c>
      <c r="H1683" s="328">
        <v>4908.2084999999997</v>
      </c>
      <c r="I1683" s="329">
        <v>2.2090995838603745E-3</v>
      </c>
      <c r="J1683" s="329">
        <v>0.34267363825817698</v>
      </c>
      <c r="K1683" s="329">
        <v>0.53247431343673735</v>
      </c>
    </row>
    <row r="1684" spans="1:11" ht="11.25" x14ac:dyDescent="0.15">
      <c r="A1684" s="326">
        <v>0.9</v>
      </c>
      <c r="B1684" s="327">
        <v>0</v>
      </c>
      <c r="C1684" s="327" t="s">
        <v>115</v>
      </c>
      <c r="D1684" s="327" t="s">
        <v>113</v>
      </c>
      <c r="E1684" s="328" t="s">
        <v>1024</v>
      </c>
      <c r="F1684" s="328">
        <v>30.350727000000003</v>
      </c>
      <c r="G1684" s="328">
        <v>4521.1526999999996</v>
      </c>
      <c r="H1684" s="328">
        <v>4825.0880999999999</v>
      </c>
      <c r="I1684" s="329">
        <v>5.5048833657241265E-4</v>
      </c>
      <c r="J1684" s="329">
        <v>0.36330349314997157</v>
      </c>
      <c r="K1684" s="329">
        <v>0.52345687297499111</v>
      </c>
    </row>
    <row r="1685" spans="1:11" ht="11.25" x14ac:dyDescent="0.15">
      <c r="A1685" s="326">
        <v>0.92500000000000004</v>
      </c>
      <c r="B1685" s="327">
        <v>0</v>
      </c>
      <c r="C1685" s="327" t="s">
        <v>115</v>
      </c>
      <c r="D1685" s="327" t="s">
        <v>79</v>
      </c>
      <c r="E1685" s="328" t="s">
        <v>1025</v>
      </c>
      <c r="F1685" s="328">
        <v>1404.1786750000001</v>
      </c>
      <c r="G1685" s="328">
        <v>4537.4117500000002</v>
      </c>
      <c r="H1685" s="328">
        <v>5288.6431000000002</v>
      </c>
      <c r="I1685" s="329">
        <v>2.5468384432807963E-2</v>
      </c>
      <c r="J1685" s="329">
        <v>0.36461001165360457</v>
      </c>
      <c r="K1685" s="329">
        <v>0.57374632794927904</v>
      </c>
    </row>
    <row r="1686" spans="1:11" ht="11.25" x14ac:dyDescent="0.15">
      <c r="A1686" s="326">
        <v>0.92500000000000004</v>
      </c>
      <c r="B1686" s="327">
        <v>0</v>
      </c>
      <c r="C1686" s="327" t="s">
        <v>115</v>
      </c>
      <c r="D1686" s="327" t="s">
        <v>114</v>
      </c>
      <c r="E1686" s="328" t="s">
        <v>1026</v>
      </c>
      <c r="F1686" s="328">
        <v>134.342005</v>
      </c>
      <c r="G1686" s="328">
        <v>4536.9557249999998</v>
      </c>
      <c r="H1686" s="328">
        <v>5202.2989750000006</v>
      </c>
      <c r="I1686" s="329">
        <v>2.4366370816835039E-3</v>
      </c>
      <c r="J1686" s="329">
        <v>0.36457336713251509</v>
      </c>
      <c r="K1686" s="329">
        <v>0.56437915687684581</v>
      </c>
    </row>
    <row r="1687" spans="1:11" ht="11.25" x14ac:dyDescent="0.15">
      <c r="A1687" s="326">
        <v>0.92500000000000004</v>
      </c>
      <c r="B1687" s="327">
        <v>0</v>
      </c>
      <c r="C1687" s="327" t="s">
        <v>115</v>
      </c>
      <c r="D1687" s="327" t="s">
        <v>113</v>
      </c>
      <c r="E1687" s="328" t="s">
        <v>1027</v>
      </c>
      <c r="F1687" s="328">
        <v>33.504656249999996</v>
      </c>
      <c r="G1687" s="328">
        <v>4777.9478250000002</v>
      </c>
      <c r="H1687" s="328">
        <v>5116.0741750000007</v>
      </c>
      <c r="I1687" s="329">
        <v>6.076929388377743E-4</v>
      </c>
      <c r="J1687" s="329">
        <v>0.3839386214296211</v>
      </c>
      <c r="K1687" s="329">
        <v>0.55502493095485816</v>
      </c>
    </row>
    <row r="1688" spans="1:11" ht="11.25" x14ac:dyDescent="0.15">
      <c r="A1688" s="326">
        <v>0.95</v>
      </c>
      <c r="B1688" s="327">
        <v>0</v>
      </c>
      <c r="C1688" s="327" t="s">
        <v>115</v>
      </c>
      <c r="D1688" s="327" t="s">
        <v>79</v>
      </c>
      <c r="E1688" s="328" t="s">
        <v>1028</v>
      </c>
      <c r="F1688" s="328">
        <v>1551.1011000000001</v>
      </c>
      <c r="G1688" s="328">
        <v>4880.7399500000001</v>
      </c>
      <c r="H1688" s="328">
        <v>5594.6981999999998</v>
      </c>
      <c r="I1688" s="329">
        <v>2.8133199721859691E-2</v>
      </c>
      <c r="J1688" s="329">
        <v>0.39219862514080045</v>
      </c>
      <c r="K1688" s="329">
        <v>0.60694917156244499</v>
      </c>
    </row>
    <row r="1689" spans="1:11" ht="11.25" x14ac:dyDescent="0.15">
      <c r="A1689" s="326">
        <v>0.95</v>
      </c>
      <c r="B1689" s="327">
        <v>0</v>
      </c>
      <c r="C1689" s="327" t="s">
        <v>115</v>
      </c>
      <c r="D1689" s="327" t="s">
        <v>114</v>
      </c>
      <c r="E1689" s="328" t="s">
        <v>1029</v>
      </c>
      <c r="F1689" s="328">
        <v>148.00781499999999</v>
      </c>
      <c r="G1689" s="328">
        <v>4827.5884000000005</v>
      </c>
      <c r="H1689" s="328">
        <v>5505.3050999999996</v>
      </c>
      <c r="I1689" s="329">
        <v>2.6845016226157404E-3</v>
      </c>
      <c r="J1689" s="329">
        <v>0.38792755865341211</v>
      </c>
      <c r="K1689" s="329">
        <v>0.59725122789349083</v>
      </c>
    </row>
    <row r="1690" spans="1:11" ht="11.25" x14ac:dyDescent="0.15">
      <c r="A1690" s="326">
        <v>0.95</v>
      </c>
      <c r="B1690" s="327">
        <v>0</v>
      </c>
      <c r="C1690" s="327" t="s">
        <v>115</v>
      </c>
      <c r="D1690" s="327" t="s">
        <v>113</v>
      </c>
      <c r="E1690" s="328" t="s">
        <v>1030</v>
      </c>
      <c r="F1690" s="328">
        <v>36.949717999999997</v>
      </c>
      <c r="G1690" s="328">
        <v>5047.1695</v>
      </c>
      <c r="H1690" s="328">
        <v>5416.0108</v>
      </c>
      <c r="I1690" s="329">
        <v>6.7017797625209207E-4</v>
      </c>
      <c r="J1690" s="329">
        <v>0.405572302362182</v>
      </c>
      <c r="K1690" s="329">
        <v>0.5875640026897706</v>
      </c>
    </row>
    <row r="1691" spans="1:11" ht="11.25" x14ac:dyDescent="0.15">
      <c r="A1691" s="326">
        <v>0.97499999999999998</v>
      </c>
      <c r="B1691" s="327">
        <v>0</v>
      </c>
      <c r="C1691" s="327" t="s">
        <v>115</v>
      </c>
      <c r="D1691" s="327" t="s">
        <v>79</v>
      </c>
      <c r="E1691" s="328" t="s">
        <v>1031</v>
      </c>
      <c r="F1691" s="328">
        <v>1710.8344500000001</v>
      </c>
      <c r="G1691" s="328">
        <v>5250.8274000000001</v>
      </c>
      <c r="H1691" s="328">
        <v>5909.4408750000002</v>
      </c>
      <c r="I1691" s="329">
        <v>3.1030374018101062E-2</v>
      </c>
      <c r="J1691" s="329">
        <v>0.42193751525967776</v>
      </c>
      <c r="K1691" s="329">
        <v>0.64109449969589072</v>
      </c>
    </row>
    <row r="1692" spans="1:11" ht="11.25" x14ac:dyDescent="0.15">
      <c r="A1692" s="326">
        <v>0.97499999999999998</v>
      </c>
      <c r="B1692" s="327">
        <v>0</v>
      </c>
      <c r="C1692" s="327" t="s">
        <v>115</v>
      </c>
      <c r="D1692" s="327" t="s">
        <v>114</v>
      </c>
      <c r="E1692" s="328" t="s">
        <v>1032</v>
      </c>
      <c r="F1692" s="328">
        <v>162.8843775</v>
      </c>
      <c r="G1692" s="328">
        <v>5138.477175</v>
      </c>
      <c r="H1692" s="328">
        <v>5816.9679749999996</v>
      </c>
      <c r="I1692" s="329">
        <v>2.9543262678224445E-3</v>
      </c>
      <c r="J1692" s="329">
        <v>0.41290945717203886</v>
      </c>
      <c r="K1692" s="329">
        <v>0.63106243933435457</v>
      </c>
    </row>
    <row r="1693" spans="1:11" ht="11.25" x14ac:dyDescent="0.15">
      <c r="A1693" s="326">
        <v>0.97499999999999998</v>
      </c>
      <c r="B1693" s="327">
        <v>0</v>
      </c>
      <c r="C1693" s="327" t="s">
        <v>115</v>
      </c>
      <c r="D1693" s="327" t="s">
        <v>113</v>
      </c>
      <c r="E1693" s="328" t="s">
        <v>1033</v>
      </c>
      <c r="F1693" s="328">
        <v>40.710959249999995</v>
      </c>
      <c r="G1693" s="328">
        <v>5329.3743749999994</v>
      </c>
      <c r="H1693" s="328">
        <v>5724.4599749999998</v>
      </c>
      <c r="I1693" s="329">
        <v>7.3839774044950456E-4</v>
      </c>
      <c r="J1693" s="329">
        <v>0.42824926633012117</v>
      </c>
      <c r="K1693" s="329">
        <v>0.62102657109701187</v>
      </c>
    </row>
    <row r="1694" spans="1:11" ht="11.25" x14ac:dyDescent="0.15">
      <c r="A1694" s="326">
        <v>1</v>
      </c>
      <c r="B1694" s="327">
        <v>0</v>
      </c>
      <c r="C1694" s="327" t="s">
        <v>115</v>
      </c>
      <c r="D1694" s="327" t="s">
        <v>79</v>
      </c>
      <c r="E1694" s="328" t="s">
        <v>1034</v>
      </c>
      <c r="F1694" s="328">
        <v>1884.3019999999999</v>
      </c>
      <c r="G1694" s="328">
        <v>5649.1900000000005</v>
      </c>
      <c r="H1694" s="328">
        <v>6232.991</v>
      </c>
      <c r="I1694" s="329">
        <v>3.4176653283464017E-2</v>
      </c>
      <c r="J1694" s="329">
        <v>0.45394849425631839</v>
      </c>
      <c r="K1694" s="329">
        <v>0.67619531716763126</v>
      </c>
    </row>
    <row r="1695" spans="1:11" ht="11.25" x14ac:dyDescent="0.15">
      <c r="A1695" s="326">
        <v>1</v>
      </c>
      <c r="B1695" s="327">
        <v>0</v>
      </c>
      <c r="C1695" s="327" t="s">
        <v>115</v>
      </c>
      <c r="D1695" s="327" t="s">
        <v>114</v>
      </c>
      <c r="E1695" s="328" t="s">
        <v>1035</v>
      </c>
      <c r="F1695" s="328">
        <v>179.0668</v>
      </c>
      <c r="G1695" s="328">
        <v>5470.3969999999999</v>
      </c>
      <c r="H1695" s="328">
        <v>6136.7659999999996</v>
      </c>
      <c r="I1695" s="329">
        <v>3.2478360359323478E-3</v>
      </c>
      <c r="J1695" s="329">
        <v>0.43958133487000456</v>
      </c>
      <c r="K1695" s="329">
        <v>0.66575620464613783</v>
      </c>
    </row>
    <row r="1696" spans="1:11" ht="11.25" x14ac:dyDescent="0.15">
      <c r="A1696" s="326">
        <v>1</v>
      </c>
      <c r="B1696" s="327">
        <v>0</v>
      </c>
      <c r="C1696" s="327" t="s">
        <v>115</v>
      </c>
      <c r="D1696" s="327" t="s">
        <v>113</v>
      </c>
      <c r="E1696" s="328" t="s">
        <v>1036</v>
      </c>
      <c r="F1696" s="328">
        <v>44.815529999999995</v>
      </c>
      <c r="G1696" s="328">
        <v>5626.7830000000004</v>
      </c>
      <c r="H1696" s="328">
        <v>6041.1019999999999</v>
      </c>
      <c r="I1696" s="329">
        <v>8.1284466636700494E-4</v>
      </c>
      <c r="J1696" s="329">
        <v>0.45214794870716857</v>
      </c>
      <c r="K1696" s="329">
        <v>0.65537795304565838</v>
      </c>
    </row>
    <row r="1697" spans="1:11" ht="11.25" x14ac:dyDescent="0.15">
      <c r="A1697" s="326">
        <v>1.0249999999999999</v>
      </c>
      <c r="B1697" s="327">
        <v>0</v>
      </c>
      <c r="C1697" s="327" t="s">
        <v>115</v>
      </c>
      <c r="D1697" s="327" t="s">
        <v>79</v>
      </c>
      <c r="E1697" s="328" t="s">
        <v>1037</v>
      </c>
      <c r="F1697" s="328">
        <v>2072.475175</v>
      </c>
      <c r="G1697" s="328">
        <v>6076.620249999999</v>
      </c>
      <c r="H1697" s="328">
        <v>6565.2633749999995</v>
      </c>
      <c r="I1697" s="329">
        <v>3.7589656803719056E-2</v>
      </c>
      <c r="J1697" s="329">
        <v>0.48829524456691176</v>
      </c>
      <c r="K1697" s="329">
        <v>0.71224238092869985</v>
      </c>
    </row>
    <row r="1698" spans="1:11" ht="11.25" x14ac:dyDescent="0.15">
      <c r="A1698" s="326">
        <v>1.0249999999999999</v>
      </c>
      <c r="B1698" s="327">
        <v>0</v>
      </c>
      <c r="C1698" s="327" t="s">
        <v>115</v>
      </c>
      <c r="D1698" s="327" t="s">
        <v>114</v>
      </c>
      <c r="E1698" s="328" t="s">
        <v>1038</v>
      </c>
      <c r="F1698" s="328">
        <v>196.65988249999998</v>
      </c>
      <c r="G1698" s="328">
        <v>5827.0245499999992</v>
      </c>
      <c r="H1698" s="328">
        <v>6465.4837249999991</v>
      </c>
      <c r="I1698" s="329">
        <v>3.5669317439398105E-3</v>
      </c>
      <c r="J1698" s="329">
        <v>0.46823863606412608</v>
      </c>
      <c r="K1698" s="329">
        <v>0.70141763690474324</v>
      </c>
    </row>
    <row r="1699" spans="1:11" ht="11.25" x14ac:dyDescent="0.15">
      <c r="A1699" s="326">
        <v>1.0249999999999999</v>
      </c>
      <c r="B1699" s="327">
        <v>0</v>
      </c>
      <c r="C1699" s="327" t="s">
        <v>115</v>
      </c>
      <c r="D1699" s="327" t="s">
        <v>113</v>
      </c>
      <c r="E1699" s="328" t="s">
        <v>1039</v>
      </c>
      <c r="F1699" s="328">
        <v>49.292885499999997</v>
      </c>
      <c r="G1699" s="328">
        <v>5940.4602749999995</v>
      </c>
      <c r="H1699" s="328">
        <v>6366.4400249999999</v>
      </c>
      <c r="I1699" s="329">
        <v>8.94053000567314E-4</v>
      </c>
      <c r="J1699" s="329">
        <v>0.47735392100915786</v>
      </c>
      <c r="K1699" s="329">
        <v>0.69067273351326464</v>
      </c>
    </row>
    <row r="1700" spans="1:11" ht="11.25" x14ac:dyDescent="0.15">
      <c r="A1700" s="326">
        <v>1.05</v>
      </c>
      <c r="B1700" s="327">
        <v>0</v>
      </c>
      <c r="C1700" s="327" t="s">
        <v>115</v>
      </c>
      <c r="D1700" s="327" t="s">
        <v>79</v>
      </c>
      <c r="E1700" s="328" t="s">
        <v>1040</v>
      </c>
      <c r="F1700" s="328">
        <v>2276.3874000000001</v>
      </c>
      <c r="G1700" s="328">
        <v>6535.2776999999996</v>
      </c>
      <c r="H1700" s="328">
        <v>6905.9214000000002</v>
      </c>
      <c r="I1700" s="329">
        <v>4.1288128393774527E-2</v>
      </c>
      <c r="J1700" s="329">
        <v>0.52515129982562014</v>
      </c>
      <c r="K1700" s="329">
        <v>0.74919917442648831</v>
      </c>
    </row>
    <row r="1701" spans="1:11" ht="11.25" x14ac:dyDescent="0.15">
      <c r="A1701" s="326">
        <v>1.05</v>
      </c>
      <c r="B1701" s="327">
        <v>0</v>
      </c>
      <c r="C1701" s="327" t="s">
        <v>115</v>
      </c>
      <c r="D1701" s="327" t="s">
        <v>114</v>
      </c>
      <c r="E1701" s="328" t="s">
        <v>1041</v>
      </c>
      <c r="F1701" s="328">
        <v>215.77437</v>
      </c>
      <c r="G1701" s="328">
        <v>6208.8725999999997</v>
      </c>
      <c r="H1701" s="328">
        <v>6802.7830500000009</v>
      </c>
      <c r="I1701" s="329">
        <v>3.9136220366734632E-3</v>
      </c>
      <c r="J1701" s="329">
        <v>0.49892256550041902</v>
      </c>
      <c r="K1701" s="329">
        <v>0.73801005682782728</v>
      </c>
    </row>
    <row r="1702" spans="1:11" ht="11.25" x14ac:dyDescent="0.15">
      <c r="A1702" s="326">
        <v>1.05</v>
      </c>
      <c r="B1702" s="327">
        <v>0</v>
      </c>
      <c r="C1702" s="327" t="s">
        <v>115</v>
      </c>
      <c r="D1702" s="327" t="s">
        <v>113</v>
      </c>
      <c r="E1702" s="328" t="s">
        <v>1042</v>
      </c>
      <c r="F1702" s="328">
        <v>54.174959999999999</v>
      </c>
      <c r="G1702" s="328">
        <v>6272.481600000001</v>
      </c>
      <c r="H1702" s="328">
        <v>6700.2211499999994</v>
      </c>
      <c r="I1702" s="329">
        <v>9.8260195264110103E-4</v>
      </c>
      <c r="J1702" s="329">
        <v>0.50403395488033909</v>
      </c>
      <c r="K1702" s="329">
        <v>0.72688347626645389</v>
      </c>
    </row>
    <row r="1703" spans="1:11" ht="11.25" x14ac:dyDescent="0.15">
      <c r="A1703" s="326">
        <v>1.075</v>
      </c>
      <c r="B1703" s="327">
        <v>0</v>
      </c>
      <c r="C1703" s="327" t="s">
        <v>115</v>
      </c>
      <c r="D1703" s="327" t="s">
        <v>79</v>
      </c>
      <c r="E1703" s="328" t="s">
        <v>1043</v>
      </c>
      <c r="F1703" s="328">
        <v>2497.1282500000002</v>
      </c>
      <c r="G1703" s="328">
        <v>7026.26235</v>
      </c>
      <c r="H1703" s="328">
        <v>7255.5200749999995</v>
      </c>
      <c r="I1703" s="329">
        <v>4.5291830292911256E-2</v>
      </c>
      <c r="J1703" s="329">
        <v>0.56460505205743849</v>
      </c>
      <c r="K1703" s="329">
        <v>0.787125907663069</v>
      </c>
    </row>
    <row r="1704" spans="1:11" ht="11.25" x14ac:dyDescent="0.15">
      <c r="A1704" s="326">
        <v>1.075</v>
      </c>
      <c r="B1704" s="327">
        <v>0</v>
      </c>
      <c r="C1704" s="327" t="s">
        <v>115</v>
      </c>
      <c r="D1704" s="327" t="s">
        <v>114</v>
      </c>
      <c r="E1704" s="328" t="s">
        <v>1044</v>
      </c>
      <c r="F1704" s="328">
        <v>236.52967000000001</v>
      </c>
      <c r="G1704" s="328">
        <v>6618.3826250000002</v>
      </c>
      <c r="H1704" s="328">
        <v>7148.6854999999996</v>
      </c>
      <c r="I1704" s="329">
        <v>4.2900726756338221E-3</v>
      </c>
      <c r="J1704" s="329">
        <v>0.5318293112872694</v>
      </c>
      <c r="K1704" s="329">
        <v>0.77553579958709162</v>
      </c>
    </row>
    <row r="1705" spans="1:11" ht="11.25" x14ac:dyDescent="0.15">
      <c r="A1705" s="326">
        <v>1.075</v>
      </c>
      <c r="B1705" s="327">
        <v>0</v>
      </c>
      <c r="C1705" s="327" t="s">
        <v>115</v>
      </c>
      <c r="D1705" s="327" t="s">
        <v>113</v>
      </c>
      <c r="E1705" s="328" t="s">
        <v>1045</v>
      </c>
      <c r="F1705" s="328">
        <v>59.496756500000004</v>
      </c>
      <c r="G1705" s="328">
        <v>6624.2725499999997</v>
      </c>
      <c r="H1705" s="328">
        <v>7042.5378499999988</v>
      </c>
      <c r="I1705" s="329">
        <v>1.079126391836969E-3</v>
      </c>
      <c r="J1705" s="329">
        <v>0.53230260437619592</v>
      </c>
      <c r="K1705" s="329">
        <v>0.7640202135934091</v>
      </c>
    </row>
    <row r="1706" spans="1:11" ht="11.25" x14ac:dyDescent="0.15">
      <c r="A1706" s="326">
        <v>1.1000000000000001</v>
      </c>
      <c r="B1706" s="327">
        <v>0</v>
      </c>
      <c r="C1706" s="327" t="s">
        <v>115</v>
      </c>
      <c r="D1706" s="327" t="s">
        <v>79</v>
      </c>
      <c r="E1706" s="328" t="s">
        <v>1046</v>
      </c>
      <c r="F1706" s="328">
        <v>2735.8463000000006</v>
      </c>
      <c r="G1706" s="328">
        <v>7549.2208000000001</v>
      </c>
      <c r="H1706" s="328">
        <v>7614.1703000000007</v>
      </c>
      <c r="I1706" s="329">
        <v>4.9621594856847744E-2</v>
      </c>
      <c r="J1706" s="329">
        <v>0.60662810331542727</v>
      </c>
      <c r="K1706" s="329">
        <v>0.82603461179020765</v>
      </c>
    </row>
    <row r="1707" spans="1:11" ht="11.25" x14ac:dyDescent="0.15">
      <c r="A1707" s="326">
        <v>1.1000000000000001</v>
      </c>
      <c r="B1707" s="327">
        <v>0</v>
      </c>
      <c r="C1707" s="327" t="s">
        <v>115</v>
      </c>
      <c r="D1707" s="327" t="s">
        <v>114</v>
      </c>
      <c r="E1707" s="328" t="s">
        <v>1047</v>
      </c>
      <c r="F1707" s="328">
        <v>259.05428999999998</v>
      </c>
      <c r="G1707" s="328">
        <v>7056.5857999999998</v>
      </c>
      <c r="H1707" s="328">
        <v>7502.9867000000004</v>
      </c>
      <c r="I1707" s="329">
        <v>4.6986144741787356E-3</v>
      </c>
      <c r="J1707" s="329">
        <v>0.56704173492138121</v>
      </c>
      <c r="K1707" s="329">
        <v>0.81397269325609789</v>
      </c>
    </row>
    <row r="1708" spans="1:11" ht="11.25" x14ac:dyDescent="0.15">
      <c r="A1708" s="326">
        <v>1.1000000000000001</v>
      </c>
      <c r="B1708" s="327">
        <v>0</v>
      </c>
      <c r="C1708" s="327" t="s">
        <v>115</v>
      </c>
      <c r="D1708" s="327" t="s">
        <v>113</v>
      </c>
      <c r="E1708" s="328" t="s">
        <v>1048</v>
      </c>
      <c r="F1708" s="328">
        <v>65.295108999999997</v>
      </c>
      <c r="G1708" s="328">
        <v>6998.0735000000004</v>
      </c>
      <c r="H1708" s="328">
        <v>7393.2518000000009</v>
      </c>
      <c r="I1708" s="329">
        <v>1.1842943972882219E-3</v>
      </c>
      <c r="J1708" s="329">
        <v>0.56233989793581796</v>
      </c>
      <c r="K1708" s="329">
        <v>0.80206793910037111</v>
      </c>
    </row>
    <row r="1709" spans="1:11" ht="11.25" x14ac:dyDescent="0.15">
      <c r="A1709" s="326">
        <v>1.125</v>
      </c>
      <c r="B1709" s="327">
        <v>0</v>
      </c>
      <c r="C1709" s="327" t="s">
        <v>115</v>
      </c>
      <c r="D1709" s="327" t="s">
        <v>79</v>
      </c>
      <c r="E1709" s="328" t="s">
        <v>1049</v>
      </c>
      <c r="F1709" s="328">
        <v>2993.758875</v>
      </c>
      <c r="G1709" s="328">
        <v>8105.5709999999999</v>
      </c>
      <c r="H1709" s="328">
        <v>7981.1358749999999</v>
      </c>
      <c r="I1709" s="329">
        <v>5.429950139901582E-2</v>
      </c>
      <c r="J1709" s="329">
        <v>0.65133439493762479</v>
      </c>
      <c r="K1709" s="329">
        <v>0.8658454190538033</v>
      </c>
    </row>
    <row r="1710" spans="1:11" ht="11.25" x14ac:dyDescent="0.15">
      <c r="A1710" s="326">
        <v>1.125</v>
      </c>
      <c r="B1710" s="327">
        <v>0</v>
      </c>
      <c r="C1710" s="327" t="s">
        <v>115</v>
      </c>
      <c r="D1710" s="327" t="s">
        <v>114</v>
      </c>
      <c r="E1710" s="328" t="s">
        <v>1050</v>
      </c>
      <c r="F1710" s="328">
        <v>283.48593750000003</v>
      </c>
      <c r="G1710" s="328">
        <v>7525.4467500000001</v>
      </c>
      <c r="H1710" s="328">
        <v>7866.6221250000008</v>
      </c>
      <c r="I1710" s="329">
        <v>5.1417451112800664E-3</v>
      </c>
      <c r="J1710" s="329">
        <v>0.60471770656830526</v>
      </c>
      <c r="K1710" s="329">
        <v>0.85342222423428504</v>
      </c>
    </row>
    <row r="1711" spans="1:11" ht="11.25" x14ac:dyDescent="0.15">
      <c r="A1711" s="326">
        <v>1.125</v>
      </c>
      <c r="B1711" s="327">
        <v>0</v>
      </c>
      <c r="C1711" s="327" t="s">
        <v>115</v>
      </c>
      <c r="D1711" s="327" t="s">
        <v>113</v>
      </c>
      <c r="E1711" s="328" t="s">
        <v>1051</v>
      </c>
      <c r="F1711" s="328">
        <v>71.611548749999997</v>
      </c>
      <c r="G1711" s="328">
        <v>7395.3157499999998</v>
      </c>
      <c r="H1711" s="328">
        <v>7752.7721250000004</v>
      </c>
      <c r="I1711" s="329">
        <v>1.2988592448135337E-3</v>
      </c>
      <c r="J1711" s="329">
        <v>0.59426084965500103</v>
      </c>
      <c r="K1711" s="329">
        <v>0.84107103732265065</v>
      </c>
    </row>
    <row r="1712" spans="1:11" ht="11.25" x14ac:dyDescent="0.15">
      <c r="A1712" s="326">
        <v>1.1499999999999999</v>
      </c>
      <c r="B1712" s="327">
        <v>0</v>
      </c>
      <c r="C1712" s="327" t="s">
        <v>115</v>
      </c>
      <c r="D1712" s="327" t="s">
        <v>79</v>
      </c>
      <c r="E1712" s="328" t="s">
        <v>1052</v>
      </c>
      <c r="F1712" s="328">
        <v>3272.1478999999999</v>
      </c>
      <c r="G1712" s="328">
        <v>8696.2424999999985</v>
      </c>
      <c r="H1712" s="328">
        <v>8357.1109499999984</v>
      </c>
      <c r="I1712" s="329">
        <v>5.9348800919658794E-2</v>
      </c>
      <c r="J1712" s="329">
        <v>0.69879862220297084</v>
      </c>
      <c r="K1712" s="329">
        <v>0.90663363535104302</v>
      </c>
    </row>
    <row r="1713" spans="1:11" ht="11.25" x14ac:dyDescent="0.15">
      <c r="A1713" s="326">
        <v>1.1499999999999999</v>
      </c>
      <c r="B1713" s="327">
        <v>0</v>
      </c>
      <c r="C1713" s="327" t="s">
        <v>115</v>
      </c>
      <c r="D1713" s="327" t="s">
        <v>114</v>
      </c>
      <c r="E1713" s="328" t="s">
        <v>1053</v>
      </c>
      <c r="F1713" s="328">
        <v>309.97306999999995</v>
      </c>
      <c r="G1713" s="328">
        <v>8026.0236499999992</v>
      </c>
      <c r="H1713" s="328">
        <v>8238.1434499999996</v>
      </c>
      <c r="I1713" s="329">
        <v>5.6221572447521266E-3</v>
      </c>
      <c r="J1713" s="329">
        <v>0.64494225734717714</v>
      </c>
      <c r="K1713" s="329">
        <v>0.89372726882570397</v>
      </c>
    </row>
    <row r="1714" spans="1:11" ht="11.25" x14ac:dyDescent="0.15">
      <c r="A1714" s="326">
        <v>1.1499999999999999</v>
      </c>
      <c r="B1714" s="327">
        <v>0</v>
      </c>
      <c r="C1714" s="327" t="s">
        <v>115</v>
      </c>
      <c r="D1714" s="327" t="s">
        <v>113</v>
      </c>
      <c r="E1714" s="328" t="s">
        <v>1054</v>
      </c>
      <c r="F1714" s="328">
        <v>78.490432499999997</v>
      </c>
      <c r="G1714" s="328">
        <v>7817.5734999999995</v>
      </c>
      <c r="H1714" s="328">
        <v>8120.5708999999997</v>
      </c>
      <c r="I1714" s="329">
        <v>1.4236254579264025E-3</v>
      </c>
      <c r="J1714" s="329">
        <v>0.62819195655715176</v>
      </c>
      <c r="K1714" s="329">
        <v>0.88097223552989834</v>
      </c>
    </row>
    <row r="1715" spans="1:11" ht="11.25" x14ac:dyDescent="0.15">
      <c r="A1715" s="326">
        <v>1.175</v>
      </c>
      <c r="B1715" s="327">
        <v>0</v>
      </c>
      <c r="C1715" s="327" t="s">
        <v>115</v>
      </c>
      <c r="D1715" s="327" t="s">
        <v>79</v>
      </c>
      <c r="E1715" s="328" t="s">
        <v>1055</v>
      </c>
      <c r="F1715" s="328">
        <v>3572.3619000000003</v>
      </c>
      <c r="G1715" s="328">
        <v>9321.4677000000011</v>
      </c>
      <c r="H1715" s="328">
        <v>8741.712125</v>
      </c>
      <c r="I1715" s="329">
        <v>6.4793952380964817E-2</v>
      </c>
      <c r="J1715" s="329">
        <v>0.74903945993565579</v>
      </c>
      <c r="K1715" s="329">
        <v>0.94835766696157631</v>
      </c>
    </row>
    <row r="1716" spans="1:11" ht="11.25" x14ac:dyDescent="0.15">
      <c r="A1716" s="326">
        <v>1.175</v>
      </c>
      <c r="B1716" s="327">
        <v>0</v>
      </c>
      <c r="C1716" s="327" t="s">
        <v>115</v>
      </c>
      <c r="D1716" s="327" t="s">
        <v>114</v>
      </c>
      <c r="E1716" s="328" t="s">
        <v>1056</v>
      </c>
      <c r="F1716" s="328">
        <v>338.67295250000001</v>
      </c>
      <c r="G1716" s="328">
        <v>8559.1923250000018</v>
      </c>
      <c r="H1716" s="328">
        <v>8618.3383000000013</v>
      </c>
      <c r="I1716" s="329">
        <v>6.1427032790282981E-3</v>
      </c>
      <c r="J1716" s="329">
        <v>0.68778576539008018</v>
      </c>
      <c r="K1716" s="329">
        <v>0.93497327370221528</v>
      </c>
    </row>
    <row r="1717" spans="1:11" ht="11.25" x14ac:dyDescent="0.15">
      <c r="A1717" s="326">
        <v>1.175</v>
      </c>
      <c r="B1717" s="327">
        <v>0</v>
      </c>
      <c r="C1717" s="327" t="s">
        <v>115</v>
      </c>
      <c r="D1717" s="327" t="s">
        <v>113</v>
      </c>
      <c r="E1717" s="328" t="s">
        <v>1057</v>
      </c>
      <c r="F1717" s="328">
        <v>85.979943500000019</v>
      </c>
      <c r="G1717" s="328">
        <v>8266.9051999999992</v>
      </c>
      <c r="H1717" s="328">
        <v>8497.0289499999999</v>
      </c>
      <c r="I1717" s="329">
        <v>1.5594669635394574E-3</v>
      </c>
      <c r="J1717" s="329">
        <v>0.66429862824577113</v>
      </c>
      <c r="K1717" s="329">
        <v>0.9218128480897525</v>
      </c>
    </row>
    <row r="1718" spans="1:11" ht="11.25" x14ac:dyDescent="0.15">
      <c r="A1718" s="326">
        <v>1.2</v>
      </c>
      <c r="B1718" s="327">
        <v>0</v>
      </c>
      <c r="C1718" s="327" t="s">
        <v>115</v>
      </c>
      <c r="D1718" s="327" t="s">
        <v>79</v>
      </c>
      <c r="E1718" s="328" t="s">
        <v>1058</v>
      </c>
      <c r="F1718" s="328">
        <v>3895.8287999999998</v>
      </c>
      <c r="G1718" s="328">
        <v>9982.1351999999988</v>
      </c>
      <c r="H1718" s="328">
        <v>9135.6143999999986</v>
      </c>
      <c r="I1718" s="329">
        <v>7.0660854867921216E-2</v>
      </c>
      <c r="J1718" s="329">
        <v>0.80212831282059771</v>
      </c>
      <c r="K1718" s="329">
        <v>0.99109074226630167</v>
      </c>
    </row>
    <row r="1719" spans="1:11" ht="11.25" x14ac:dyDescent="0.15">
      <c r="A1719" s="326">
        <v>1.2</v>
      </c>
      <c r="B1719" s="327">
        <v>0</v>
      </c>
      <c r="C1719" s="327" t="s">
        <v>115</v>
      </c>
      <c r="D1719" s="327" t="s">
        <v>114</v>
      </c>
      <c r="E1719" s="328" t="s">
        <v>1059</v>
      </c>
      <c r="F1719" s="328">
        <v>369.75803999999999</v>
      </c>
      <c r="G1719" s="328">
        <v>9126.6839999999993</v>
      </c>
      <c r="H1719" s="328">
        <v>9007.4495999999999</v>
      </c>
      <c r="I1719" s="329">
        <v>6.7065111281807378E-3</v>
      </c>
      <c r="J1719" s="329">
        <v>0.73338734568198838</v>
      </c>
      <c r="K1719" s="329">
        <v>0.9771865929444552</v>
      </c>
    </row>
    <row r="1720" spans="1:11" ht="11.25" x14ac:dyDescent="0.15">
      <c r="A1720" s="326">
        <v>1.2</v>
      </c>
      <c r="B1720" s="327">
        <v>0</v>
      </c>
      <c r="C1720" s="327" t="s">
        <v>115</v>
      </c>
      <c r="D1720" s="327" t="s">
        <v>113</v>
      </c>
      <c r="E1720" s="328" t="s">
        <v>1060</v>
      </c>
      <c r="F1720" s="328">
        <v>94.132463999999999</v>
      </c>
      <c r="G1720" s="328">
        <v>8744.9880000000012</v>
      </c>
      <c r="H1720" s="328">
        <v>8882.3171999999995</v>
      </c>
      <c r="I1720" s="329">
        <v>1.7073338482080679E-3</v>
      </c>
      <c r="J1720" s="329">
        <v>0.70271563443424157</v>
      </c>
      <c r="K1720" s="329">
        <v>0.96361141805555406</v>
      </c>
    </row>
    <row r="1721" spans="1:11" ht="11.25" x14ac:dyDescent="0.15">
      <c r="A1721" s="326">
        <v>1.2250000000000001</v>
      </c>
      <c r="B1721" s="327">
        <v>0</v>
      </c>
      <c r="C1721" s="327" t="s">
        <v>115</v>
      </c>
      <c r="D1721" s="327" t="s">
        <v>79</v>
      </c>
      <c r="E1721" s="328" t="s">
        <v>1061</v>
      </c>
      <c r="F1721" s="328">
        <v>4244.050475</v>
      </c>
      <c r="G1721" s="328">
        <v>10680.428325000001</v>
      </c>
      <c r="H1721" s="328">
        <v>9537.1823750000021</v>
      </c>
      <c r="I1721" s="329">
        <v>7.6976748738575768E-2</v>
      </c>
      <c r="J1721" s="329">
        <v>0.85824062496504494</v>
      </c>
      <c r="K1721" s="329">
        <v>1.034655442459113</v>
      </c>
    </row>
    <row r="1722" spans="1:11" ht="11.25" x14ac:dyDescent="0.15">
      <c r="A1722" s="326">
        <v>1.2250000000000001</v>
      </c>
      <c r="B1722" s="327">
        <v>0</v>
      </c>
      <c r="C1722" s="327" t="s">
        <v>115</v>
      </c>
      <c r="D1722" s="327" t="s">
        <v>114</v>
      </c>
      <c r="E1722" s="328" t="s">
        <v>1062</v>
      </c>
      <c r="F1722" s="328">
        <v>403.41161000000005</v>
      </c>
      <c r="G1722" s="328">
        <v>9728.6241500000015</v>
      </c>
      <c r="H1722" s="328">
        <v>9405.9775250000002</v>
      </c>
      <c r="I1722" s="329">
        <v>7.3169050000976539E-3</v>
      </c>
      <c r="J1722" s="329">
        <v>0.78175708094048091</v>
      </c>
      <c r="K1722" s="329">
        <v>1.0204214887826706</v>
      </c>
    </row>
    <row r="1723" spans="1:11" ht="11.25" x14ac:dyDescent="0.15">
      <c r="A1723" s="326">
        <v>1.2250000000000001</v>
      </c>
      <c r="B1723" s="327">
        <v>0</v>
      </c>
      <c r="C1723" s="327" t="s">
        <v>115</v>
      </c>
      <c r="D1723" s="327" t="s">
        <v>113</v>
      </c>
      <c r="E1723" s="328" t="s">
        <v>1063</v>
      </c>
      <c r="F1723" s="328">
        <v>103.00487225000001</v>
      </c>
      <c r="G1723" s="328">
        <v>9254.059150000001</v>
      </c>
      <c r="H1723" s="328">
        <v>9276.2108250000019</v>
      </c>
      <c r="I1723" s="329">
        <v>1.8682577449876691E-3</v>
      </c>
      <c r="J1723" s="329">
        <v>0.74362275244794485</v>
      </c>
      <c r="K1723" s="329">
        <v>1.0063435549521393</v>
      </c>
    </row>
    <row r="1724" spans="1:11" ht="11.25" x14ac:dyDescent="0.15">
      <c r="A1724" s="326">
        <v>1.25</v>
      </c>
      <c r="B1724" s="327">
        <v>0</v>
      </c>
      <c r="C1724" s="327" t="s">
        <v>115</v>
      </c>
      <c r="D1724" s="327" t="s">
        <v>79</v>
      </c>
      <c r="E1724" s="328" t="s">
        <v>1064</v>
      </c>
      <c r="F1724" s="328">
        <v>4618.6062500000007</v>
      </c>
      <c r="G1724" s="328">
        <v>11416.046249999999</v>
      </c>
      <c r="H1724" s="328">
        <v>9948.27</v>
      </c>
      <c r="I1724" s="329">
        <v>8.3770279105520221E-2</v>
      </c>
      <c r="J1724" s="329">
        <v>0.91735222315907039</v>
      </c>
      <c r="K1724" s="329">
        <v>1.0792528960685537</v>
      </c>
    </row>
    <row r="1725" spans="1:11" ht="11.25" x14ac:dyDescent="0.15">
      <c r="A1725" s="326">
        <v>1.25</v>
      </c>
      <c r="B1725" s="327">
        <v>0</v>
      </c>
      <c r="C1725" s="327" t="s">
        <v>115</v>
      </c>
      <c r="D1725" s="327" t="s">
        <v>114</v>
      </c>
      <c r="E1725" s="328" t="s">
        <v>1065</v>
      </c>
      <c r="F1725" s="328">
        <v>439.82887499999998</v>
      </c>
      <c r="G1725" s="328">
        <v>10366.953750000001</v>
      </c>
      <c r="H1725" s="328">
        <v>9812.07</v>
      </c>
      <c r="I1725" s="329">
        <v>7.9774255745262892E-3</v>
      </c>
      <c r="J1725" s="329">
        <v>0.83305094090257059</v>
      </c>
      <c r="K1725" s="329">
        <v>1.0644770361004852</v>
      </c>
    </row>
    <row r="1726" spans="1:11" ht="11.25" x14ac:dyDescent="0.15">
      <c r="A1726" s="326">
        <v>1.25</v>
      </c>
      <c r="B1726" s="327">
        <v>0</v>
      </c>
      <c r="C1726" s="327" t="s">
        <v>115</v>
      </c>
      <c r="D1726" s="327" t="s">
        <v>113</v>
      </c>
      <c r="E1726" s="328" t="s">
        <v>1066</v>
      </c>
      <c r="F1726" s="328">
        <v>112.65893750000001</v>
      </c>
      <c r="G1726" s="328">
        <v>9792.9812499999989</v>
      </c>
      <c r="H1726" s="328">
        <v>9678.5137500000001</v>
      </c>
      <c r="I1726" s="329">
        <v>2.0433589977726201E-3</v>
      </c>
      <c r="J1726" s="329">
        <v>0.78692858493303597</v>
      </c>
      <c r="K1726" s="329">
        <v>1.0499879872909379</v>
      </c>
    </row>
    <row r="1727" spans="1:11" ht="11.25" x14ac:dyDescent="0.15">
      <c r="A1727" s="326">
        <v>1.2749999999999999</v>
      </c>
      <c r="B1727" s="327">
        <v>0</v>
      </c>
      <c r="C1727" s="327" t="s">
        <v>115</v>
      </c>
      <c r="D1727" s="327" t="s">
        <v>79</v>
      </c>
      <c r="E1727" s="328" t="s">
        <v>1067</v>
      </c>
      <c r="F1727" s="328">
        <v>5021.16165</v>
      </c>
      <c r="G1727" s="328">
        <v>12187.125749999999</v>
      </c>
      <c r="H1727" s="328">
        <v>10368.409649999998</v>
      </c>
      <c r="I1727" s="329">
        <v>9.1071654539599339E-2</v>
      </c>
      <c r="J1727" s="329">
        <v>0.97931338537470036</v>
      </c>
      <c r="K1727" s="329">
        <v>1.1248323720996352</v>
      </c>
    </row>
    <row r="1728" spans="1:11" ht="11.25" x14ac:dyDescent="0.15">
      <c r="A1728" s="326">
        <v>1.2749999999999999</v>
      </c>
      <c r="B1728" s="327">
        <v>0</v>
      </c>
      <c r="C1728" s="327" t="s">
        <v>115</v>
      </c>
      <c r="D1728" s="327" t="s">
        <v>114</v>
      </c>
      <c r="E1728" s="328" t="s">
        <v>1068</v>
      </c>
      <c r="F1728" s="328">
        <v>479.22328499999998</v>
      </c>
      <c r="G1728" s="328">
        <v>11040.787274999997</v>
      </c>
      <c r="H1728" s="328">
        <v>10226.615624999999</v>
      </c>
      <c r="I1728" s="329">
        <v>8.6919443150873174E-3</v>
      </c>
      <c r="J1728" s="329">
        <v>0.88719776797922689</v>
      </c>
      <c r="K1728" s="329">
        <v>1.1094496359931094</v>
      </c>
    </row>
    <row r="1729" spans="1:11" ht="11.25" x14ac:dyDescent="0.15">
      <c r="A1729" s="326">
        <v>1.2749999999999999</v>
      </c>
      <c r="B1729" s="327">
        <v>0</v>
      </c>
      <c r="C1729" s="327" t="s">
        <v>115</v>
      </c>
      <c r="D1729" s="327" t="s">
        <v>113</v>
      </c>
      <c r="E1729" s="328" t="s">
        <v>1069</v>
      </c>
      <c r="F1729" s="328">
        <v>123.162705</v>
      </c>
      <c r="G1729" s="328">
        <v>10365.299924999998</v>
      </c>
      <c r="H1729" s="328">
        <v>10089.550574999999</v>
      </c>
      <c r="I1729" s="329">
        <v>2.2338717818261408E-3</v>
      </c>
      <c r="J1729" s="329">
        <v>0.83291804550189996</v>
      </c>
      <c r="K1729" s="329">
        <v>1.0945799297866756</v>
      </c>
    </row>
    <row r="1730" spans="1:11" ht="11.25" x14ac:dyDescent="0.15">
      <c r="A1730" s="326">
        <v>1.3</v>
      </c>
      <c r="B1730" s="327">
        <v>0</v>
      </c>
      <c r="C1730" s="327" t="s">
        <v>115</v>
      </c>
      <c r="D1730" s="327" t="s">
        <v>79</v>
      </c>
      <c r="E1730" s="328" t="s">
        <v>1070</v>
      </c>
      <c r="F1730" s="328">
        <v>5453.4674999999997</v>
      </c>
      <c r="G1730" s="328">
        <v>12995.037899999999</v>
      </c>
      <c r="H1730" s="328">
        <v>10797.650500000002</v>
      </c>
      <c r="I1730" s="329">
        <v>9.8912630746100849E-2</v>
      </c>
      <c r="J1730" s="329">
        <v>1.0442342862443623</v>
      </c>
      <c r="K1730" s="329">
        <v>1.1713992053755145</v>
      </c>
    </row>
    <row r="1731" spans="1:11" ht="11.25" x14ac:dyDescent="0.15">
      <c r="A1731" s="326">
        <v>1.3</v>
      </c>
      <c r="B1731" s="327">
        <v>0</v>
      </c>
      <c r="C1731" s="327" t="s">
        <v>115</v>
      </c>
      <c r="D1731" s="327" t="s">
        <v>114</v>
      </c>
      <c r="E1731" s="328" t="s">
        <v>1071</v>
      </c>
      <c r="F1731" s="328">
        <v>521.82026000000008</v>
      </c>
      <c r="G1731" s="328">
        <v>11751.832300000002</v>
      </c>
      <c r="H1731" s="328">
        <v>10650.7973</v>
      </c>
      <c r="I1731" s="329">
        <v>9.46454979207529E-3</v>
      </c>
      <c r="J1731" s="329">
        <v>0.9443347767268877</v>
      </c>
      <c r="K1731" s="329">
        <v>1.1554676171298259</v>
      </c>
    </row>
    <row r="1732" spans="1:11" ht="11.25" x14ac:dyDescent="0.15">
      <c r="A1732" s="326">
        <v>1.3</v>
      </c>
      <c r="B1732" s="327">
        <v>0</v>
      </c>
      <c r="C1732" s="327" t="s">
        <v>115</v>
      </c>
      <c r="D1732" s="327" t="s">
        <v>113</v>
      </c>
      <c r="E1732" s="328" t="s">
        <v>1072</v>
      </c>
      <c r="F1732" s="328">
        <v>134.58861000000002</v>
      </c>
      <c r="G1732" s="328">
        <v>10969.450699999999</v>
      </c>
      <c r="H1732" s="328">
        <v>10509.3794</v>
      </c>
      <c r="I1732" s="329">
        <v>2.4411098963294416E-3</v>
      </c>
      <c r="J1732" s="329">
        <v>0.88146541859698768</v>
      </c>
      <c r="K1732" s="329">
        <v>1.1401256855044344</v>
      </c>
    </row>
    <row r="1733" spans="1:11" ht="11.25" x14ac:dyDescent="0.15">
      <c r="A1733" s="326">
        <v>1.325</v>
      </c>
      <c r="B1733" s="327">
        <v>0</v>
      </c>
      <c r="C1733" s="327" t="s">
        <v>115</v>
      </c>
      <c r="D1733" s="327" t="s">
        <v>79</v>
      </c>
      <c r="E1733" s="328" t="s">
        <v>1073</v>
      </c>
      <c r="F1733" s="328">
        <v>5917.3678499999996</v>
      </c>
      <c r="G1733" s="328">
        <v>13841.38725</v>
      </c>
      <c r="H1733" s="328">
        <v>11236.234525</v>
      </c>
      <c r="I1733" s="329">
        <v>0.10732665430497178</v>
      </c>
      <c r="J1733" s="329">
        <v>1.1122438616077885</v>
      </c>
      <c r="K1733" s="329">
        <v>1.2189796469146614</v>
      </c>
    </row>
    <row r="1734" spans="1:11" ht="11.25" x14ac:dyDescent="0.15">
      <c r="A1734" s="326">
        <v>1.325</v>
      </c>
      <c r="B1734" s="327">
        <v>0</v>
      </c>
      <c r="C1734" s="327" t="s">
        <v>115</v>
      </c>
      <c r="D1734" s="327" t="s">
        <v>114</v>
      </c>
      <c r="E1734" s="328" t="s">
        <v>1074</v>
      </c>
      <c r="F1734" s="328">
        <v>567.86373000000003</v>
      </c>
      <c r="G1734" s="328">
        <v>12498.466624999997</v>
      </c>
      <c r="H1734" s="328">
        <v>11083.094999999999</v>
      </c>
      <c r="I1734" s="329">
        <v>1.0299666302145107E-2</v>
      </c>
      <c r="J1734" s="329">
        <v>1.0043316130156001</v>
      </c>
      <c r="K1734" s="329">
        <v>1.202366077333336</v>
      </c>
    </row>
    <row r="1735" spans="1:11" ht="11.25" x14ac:dyDescent="0.15">
      <c r="A1735" s="326">
        <v>1.325</v>
      </c>
      <c r="B1735" s="327">
        <v>0</v>
      </c>
      <c r="C1735" s="327" t="s">
        <v>115</v>
      </c>
      <c r="D1735" s="327" t="s">
        <v>113</v>
      </c>
      <c r="E1735" s="328" t="s">
        <v>1075</v>
      </c>
      <c r="F1735" s="328">
        <v>147.01709750000001</v>
      </c>
      <c r="G1735" s="328">
        <v>11609.777199999999</v>
      </c>
      <c r="H1735" s="328">
        <v>10937.405949999998</v>
      </c>
      <c r="I1735" s="329">
        <v>2.6665324178389268E-3</v>
      </c>
      <c r="J1735" s="329">
        <v>0.93291974222699803</v>
      </c>
      <c r="K1735" s="329">
        <v>1.1865607836352381</v>
      </c>
    </row>
    <row r="1736" spans="1:11" ht="11.25" x14ac:dyDescent="0.15">
      <c r="A1736" s="326">
        <v>1.35</v>
      </c>
      <c r="B1736" s="327">
        <v>0</v>
      </c>
      <c r="C1736" s="327" t="s">
        <v>115</v>
      </c>
      <c r="D1736" s="327" t="s">
        <v>79</v>
      </c>
      <c r="E1736" s="328" t="s">
        <v>1076</v>
      </c>
      <c r="F1736" s="328">
        <v>6414.7963500000005</v>
      </c>
      <c r="G1736" s="328">
        <v>14725.8675</v>
      </c>
      <c r="H1736" s="328">
        <v>11683.252349999999</v>
      </c>
      <c r="I1736" s="329">
        <v>0.11634879692213909</v>
      </c>
      <c r="J1736" s="329">
        <v>1.1833174983038373</v>
      </c>
      <c r="K1736" s="329">
        <v>1.2674750418150327</v>
      </c>
    </row>
    <row r="1737" spans="1:11" ht="11.25" x14ac:dyDescent="0.15">
      <c r="A1737" s="326">
        <v>1.35</v>
      </c>
      <c r="B1737" s="327">
        <v>0</v>
      </c>
      <c r="C1737" s="327" t="s">
        <v>115</v>
      </c>
      <c r="D1737" s="327" t="s">
        <v>114</v>
      </c>
      <c r="E1737" s="328" t="s">
        <v>1077</v>
      </c>
      <c r="F1737" s="328">
        <v>617.61649499999999</v>
      </c>
      <c r="G1737" s="328">
        <v>13282.648650000003</v>
      </c>
      <c r="H1737" s="328">
        <v>11524.67865</v>
      </c>
      <c r="I1737" s="329">
        <v>1.1202060397836062E-2</v>
      </c>
      <c r="J1737" s="329">
        <v>1.067345646792411</v>
      </c>
      <c r="K1737" s="329">
        <v>1.2502719376607119</v>
      </c>
    </row>
    <row r="1738" spans="1:11" ht="11.25" x14ac:dyDescent="0.15">
      <c r="A1738" s="326">
        <v>1.35</v>
      </c>
      <c r="B1738" s="327">
        <v>0</v>
      </c>
      <c r="C1738" s="327" t="s">
        <v>115</v>
      </c>
      <c r="D1738" s="327" t="s">
        <v>113</v>
      </c>
      <c r="E1738" s="328" t="s">
        <v>1078</v>
      </c>
      <c r="F1738" s="328">
        <v>160.53484500000002</v>
      </c>
      <c r="G1738" s="328">
        <v>12284.099550000001</v>
      </c>
      <c r="H1738" s="328">
        <v>11374.70175</v>
      </c>
      <c r="I1738" s="329">
        <v>2.9117114652957108E-3</v>
      </c>
      <c r="J1738" s="329">
        <v>0.98710584951421676</v>
      </c>
      <c r="K1738" s="329">
        <v>1.2340014701655209</v>
      </c>
    </row>
    <row r="1739" spans="1:11" ht="11.25" x14ac:dyDescent="0.15">
      <c r="A1739" s="326">
        <v>1.375</v>
      </c>
      <c r="B1739" s="327">
        <v>0</v>
      </c>
      <c r="C1739" s="327" t="s">
        <v>115</v>
      </c>
      <c r="D1739" s="327" t="s">
        <v>79</v>
      </c>
      <c r="E1739" s="328" t="s">
        <v>1079</v>
      </c>
      <c r="F1739" s="328">
        <v>6947.7924999999996</v>
      </c>
      <c r="G1739" s="328">
        <v>15645.39625</v>
      </c>
      <c r="H1739" s="328">
        <v>12139.96025</v>
      </c>
      <c r="I1739" s="329">
        <v>0.12601605016496914</v>
      </c>
      <c r="J1739" s="329">
        <v>1.2572075058071952</v>
      </c>
      <c r="K1739" s="329">
        <v>1.3170216789421301</v>
      </c>
    </row>
    <row r="1740" spans="1:11" ht="11.25" x14ac:dyDescent="0.15">
      <c r="A1740" s="326">
        <v>1.375</v>
      </c>
      <c r="B1740" s="327">
        <v>0</v>
      </c>
      <c r="C1740" s="327" t="s">
        <v>115</v>
      </c>
      <c r="D1740" s="327" t="s">
        <v>114</v>
      </c>
      <c r="E1740" s="328" t="s">
        <v>1080</v>
      </c>
      <c r="F1740" s="328">
        <v>671.35969999999998</v>
      </c>
      <c r="G1740" s="328">
        <v>14105.286249999999</v>
      </c>
      <c r="H1740" s="328">
        <v>11975.38925</v>
      </c>
      <c r="I1740" s="329">
        <v>1.2176831365349302E-2</v>
      </c>
      <c r="J1740" s="329">
        <v>1.1334498316115851</v>
      </c>
      <c r="K1740" s="329">
        <v>1.2991679487600081</v>
      </c>
    </row>
    <row r="1741" spans="1:11" ht="11.25" x14ac:dyDescent="0.15">
      <c r="A1741" s="326">
        <v>1.375</v>
      </c>
      <c r="B1741" s="327">
        <v>0</v>
      </c>
      <c r="C1741" s="327" t="s">
        <v>115</v>
      </c>
      <c r="D1741" s="327" t="s">
        <v>113</v>
      </c>
      <c r="E1741" s="328" t="s">
        <v>1081</v>
      </c>
      <c r="F1741" s="328">
        <v>175.23646250000002</v>
      </c>
      <c r="G1741" s="328">
        <v>12995.119500000001</v>
      </c>
      <c r="H1741" s="328">
        <v>11819.946874999998</v>
      </c>
      <c r="I1741" s="329">
        <v>3.1783630338890717E-3</v>
      </c>
      <c r="J1741" s="329">
        <v>1.0442408433254893</v>
      </c>
      <c r="K1741" s="329">
        <v>1.2823045510646776</v>
      </c>
    </row>
    <row r="1742" spans="1:11" ht="11.25" x14ac:dyDescent="0.15">
      <c r="A1742" s="326">
        <v>1.4</v>
      </c>
      <c r="B1742" s="327">
        <v>0</v>
      </c>
      <c r="C1742" s="327" t="s">
        <v>115</v>
      </c>
      <c r="D1742" s="327" t="s">
        <v>79</v>
      </c>
      <c r="E1742" s="328" t="s">
        <v>1082</v>
      </c>
      <c r="F1742" s="328">
        <v>7518.4927999999991</v>
      </c>
      <c r="G1742" s="328">
        <v>16606.52</v>
      </c>
      <c r="H1742" s="328">
        <v>12605.590200000001</v>
      </c>
      <c r="I1742" s="329">
        <v>0.13636716494480214</v>
      </c>
      <c r="J1742" s="329">
        <v>1.3344399372011626</v>
      </c>
      <c r="K1742" s="329">
        <v>1.3675362379593015</v>
      </c>
    </row>
    <row r="1743" spans="1:11" ht="11.25" x14ac:dyDescent="0.15">
      <c r="A1743" s="326">
        <v>1.4</v>
      </c>
      <c r="B1743" s="327">
        <v>0</v>
      </c>
      <c r="C1743" s="327" t="s">
        <v>115</v>
      </c>
      <c r="D1743" s="327" t="s">
        <v>114</v>
      </c>
      <c r="E1743" s="328" t="s">
        <v>1083</v>
      </c>
      <c r="F1743" s="328">
        <v>729.39481999999998</v>
      </c>
      <c r="G1743" s="328">
        <v>14967.021999999999</v>
      </c>
      <c r="H1743" s="328">
        <v>12434.0272</v>
      </c>
      <c r="I1743" s="329">
        <v>1.3229447227617786E-2</v>
      </c>
      <c r="J1743" s="329">
        <v>1.2026958024780878</v>
      </c>
      <c r="K1743" s="329">
        <v>1.3489239702375559</v>
      </c>
    </row>
    <row r="1744" spans="1:11" ht="11.25" x14ac:dyDescent="0.15">
      <c r="A1744" s="326">
        <v>1.4</v>
      </c>
      <c r="B1744" s="327">
        <v>0</v>
      </c>
      <c r="C1744" s="327" t="s">
        <v>115</v>
      </c>
      <c r="D1744" s="327" t="s">
        <v>113</v>
      </c>
      <c r="E1744" s="328" t="s">
        <v>1084</v>
      </c>
      <c r="F1744" s="328">
        <v>191.22418000000002</v>
      </c>
      <c r="G1744" s="328">
        <v>13741.7294</v>
      </c>
      <c r="H1744" s="328">
        <v>12274.547599999998</v>
      </c>
      <c r="I1744" s="329">
        <v>3.4683413270668478E-3</v>
      </c>
      <c r="J1744" s="329">
        <v>1.104235716909465</v>
      </c>
      <c r="K1744" s="329">
        <v>1.3316225881717438</v>
      </c>
    </row>
    <row r="1745" spans="1:11" ht="11.25" x14ac:dyDescent="0.15">
      <c r="A1745" s="326">
        <v>0.9</v>
      </c>
      <c r="B1745" s="327">
        <v>25</v>
      </c>
      <c r="C1745" s="327" t="s">
        <v>115</v>
      </c>
      <c r="D1745" s="327" t="s">
        <v>79</v>
      </c>
      <c r="E1745" s="328" t="s">
        <v>1085</v>
      </c>
      <c r="F1745" s="328">
        <v>2620.6182000000003</v>
      </c>
      <c r="G1745" s="328">
        <v>4381.8417000000009</v>
      </c>
      <c r="H1745" s="328">
        <v>5006.186099999999</v>
      </c>
      <c r="I1745" s="329">
        <v>4.7531637502765262E-2</v>
      </c>
      <c r="J1745" s="329">
        <v>0.35210896460989038</v>
      </c>
      <c r="K1745" s="329">
        <v>0.54310355938099153</v>
      </c>
    </row>
    <row r="1746" spans="1:11" ht="11.25" x14ac:dyDescent="0.15">
      <c r="A1746" s="326">
        <v>0.9</v>
      </c>
      <c r="B1746" s="327">
        <v>25</v>
      </c>
      <c r="C1746" s="327" t="s">
        <v>115</v>
      </c>
      <c r="D1746" s="327" t="s">
        <v>114</v>
      </c>
      <c r="E1746" s="328" t="s">
        <v>1086</v>
      </c>
      <c r="F1746" s="328">
        <v>322.82234999999997</v>
      </c>
      <c r="G1746" s="328">
        <v>4366.1808000000001</v>
      </c>
      <c r="H1746" s="328">
        <v>4925.4317999999994</v>
      </c>
      <c r="I1746" s="329">
        <v>5.855211918314087E-3</v>
      </c>
      <c r="J1746" s="329">
        <v>0.3508505112787581</v>
      </c>
      <c r="K1746" s="329">
        <v>0.53434280880375673</v>
      </c>
    </row>
    <row r="1747" spans="1:11" ht="11.25" x14ac:dyDescent="0.15">
      <c r="A1747" s="326">
        <v>0.9</v>
      </c>
      <c r="B1747" s="327">
        <v>25</v>
      </c>
      <c r="C1747" s="327" t="s">
        <v>115</v>
      </c>
      <c r="D1747" s="327" t="s">
        <v>113</v>
      </c>
      <c r="E1747" s="328" t="s">
        <v>1087</v>
      </c>
      <c r="F1747" s="328">
        <v>86.797701000000004</v>
      </c>
      <c r="G1747" s="328">
        <v>4563.7524000000003</v>
      </c>
      <c r="H1747" s="328">
        <v>4843.0098000000007</v>
      </c>
      <c r="I1747" s="329">
        <v>1.5742990947729071E-3</v>
      </c>
      <c r="J1747" s="329">
        <v>0.36672665110195607</v>
      </c>
      <c r="K1747" s="329">
        <v>0.52540113530678079</v>
      </c>
    </row>
    <row r="1748" spans="1:11" ht="11.25" x14ac:dyDescent="0.15">
      <c r="A1748" s="326">
        <v>0.92500000000000004</v>
      </c>
      <c r="B1748" s="327">
        <v>25</v>
      </c>
      <c r="C1748" s="327" t="s">
        <v>115</v>
      </c>
      <c r="D1748" s="327" t="s">
        <v>79</v>
      </c>
      <c r="E1748" s="328" t="s">
        <v>1088</v>
      </c>
      <c r="F1748" s="328">
        <v>2879.7469999999998</v>
      </c>
      <c r="G1748" s="328">
        <v>4722.1027999999997</v>
      </c>
      <c r="H1748" s="328">
        <v>5304.2497000000003</v>
      </c>
      <c r="I1748" s="329">
        <v>5.2231603407041791E-2</v>
      </c>
      <c r="J1748" s="329">
        <v>0.37945111702448397</v>
      </c>
      <c r="K1748" s="329">
        <v>0.57543943320755842</v>
      </c>
    </row>
    <row r="1749" spans="1:11" ht="11.25" x14ac:dyDescent="0.15">
      <c r="A1749" s="326">
        <v>0.92500000000000004</v>
      </c>
      <c r="B1749" s="327">
        <v>25</v>
      </c>
      <c r="C1749" s="327" t="s">
        <v>115</v>
      </c>
      <c r="D1749" s="327" t="s">
        <v>114</v>
      </c>
      <c r="E1749" s="328" t="s">
        <v>1089</v>
      </c>
      <c r="F1749" s="328">
        <v>354.04079000000002</v>
      </c>
      <c r="G1749" s="328">
        <v>4657.977175</v>
      </c>
      <c r="H1749" s="328">
        <v>5220.1116999999995</v>
      </c>
      <c r="I1749" s="329">
        <v>6.4214384573352346E-3</v>
      </c>
      <c r="J1749" s="329">
        <v>0.3742982135264612</v>
      </c>
      <c r="K1749" s="329">
        <v>0.56631159689336341</v>
      </c>
    </row>
    <row r="1750" spans="1:11" ht="11.25" x14ac:dyDescent="0.15">
      <c r="A1750" s="326">
        <v>0.92500000000000004</v>
      </c>
      <c r="B1750" s="327">
        <v>25</v>
      </c>
      <c r="C1750" s="327" t="s">
        <v>115</v>
      </c>
      <c r="D1750" s="327" t="s">
        <v>113</v>
      </c>
      <c r="E1750" s="328" t="s">
        <v>1090</v>
      </c>
      <c r="F1750" s="328">
        <v>95.080657500000001</v>
      </c>
      <c r="G1750" s="328">
        <v>4832.2286750000003</v>
      </c>
      <c r="H1750" s="328">
        <v>5134.6019249999999</v>
      </c>
      <c r="I1750" s="329">
        <v>1.7245317710968269E-3</v>
      </c>
      <c r="J1750" s="329">
        <v>0.38830043438412487</v>
      </c>
      <c r="K1750" s="329">
        <v>0.55703494152404598</v>
      </c>
    </row>
    <row r="1751" spans="1:11" ht="11.25" x14ac:dyDescent="0.15">
      <c r="A1751" s="326">
        <v>0.95</v>
      </c>
      <c r="B1751" s="327">
        <v>25</v>
      </c>
      <c r="C1751" s="327" t="s">
        <v>115</v>
      </c>
      <c r="D1751" s="327" t="s">
        <v>79</v>
      </c>
      <c r="E1751" s="328" t="s">
        <v>1091</v>
      </c>
      <c r="F1751" s="328">
        <v>3159.7769499999999</v>
      </c>
      <c r="G1751" s="328">
        <v>5087.4618500000006</v>
      </c>
      <c r="H1751" s="328">
        <v>5610.4729500000003</v>
      </c>
      <c r="I1751" s="329">
        <v>5.7310665314387728E-2</v>
      </c>
      <c r="J1751" s="329">
        <v>0.40881005000610066</v>
      </c>
      <c r="K1751" s="329">
        <v>0.60866051882405503</v>
      </c>
    </row>
    <row r="1752" spans="1:11" ht="11.25" x14ac:dyDescent="0.15">
      <c r="A1752" s="326">
        <v>0.95</v>
      </c>
      <c r="B1752" s="327">
        <v>25</v>
      </c>
      <c r="C1752" s="327" t="s">
        <v>115</v>
      </c>
      <c r="D1752" s="327" t="s">
        <v>114</v>
      </c>
      <c r="E1752" s="328" t="s">
        <v>1092</v>
      </c>
      <c r="F1752" s="328">
        <v>387.82495999999998</v>
      </c>
      <c r="G1752" s="328">
        <v>4970.1188000000002</v>
      </c>
      <c r="H1752" s="328">
        <v>5523.6305999999995</v>
      </c>
      <c r="I1752" s="329">
        <v>7.0342010954684026E-3</v>
      </c>
      <c r="J1752" s="329">
        <v>0.3993807865437381</v>
      </c>
      <c r="K1752" s="329">
        <v>0.59923929707003154</v>
      </c>
    </row>
    <row r="1753" spans="1:11" ht="11.25" x14ac:dyDescent="0.15">
      <c r="A1753" s="326">
        <v>0.95</v>
      </c>
      <c r="B1753" s="327">
        <v>25</v>
      </c>
      <c r="C1753" s="327" t="s">
        <v>115</v>
      </c>
      <c r="D1753" s="327" t="s">
        <v>113</v>
      </c>
      <c r="E1753" s="328" t="s">
        <v>1093</v>
      </c>
      <c r="F1753" s="328">
        <v>104.041625</v>
      </c>
      <c r="G1753" s="328">
        <v>5114.1615999999995</v>
      </c>
      <c r="H1753" s="328">
        <v>5434.9024999999992</v>
      </c>
      <c r="I1753" s="329">
        <v>1.8870619171837541E-3</v>
      </c>
      <c r="J1753" s="329">
        <v>0.41095554543279361</v>
      </c>
      <c r="K1753" s="329">
        <v>0.58961349691707421</v>
      </c>
    </row>
    <row r="1754" spans="1:11" ht="11.25" x14ac:dyDescent="0.15">
      <c r="A1754" s="326">
        <v>0.97499999999999998</v>
      </c>
      <c r="B1754" s="327">
        <v>25</v>
      </c>
      <c r="C1754" s="327" t="s">
        <v>115</v>
      </c>
      <c r="D1754" s="327" t="s">
        <v>79</v>
      </c>
      <c r="E1754" s="328" t="s">
        <v>1094</v>
      </c>
      <c r="F1754" s="328">
        <v>3462.0611999999996</v>
      </c>
      <c r="G1754" s="328">
        <v>5480.5998000000009</v>
      </c>
      <c r="H1754" s="328">
        <v>5925.6346499999991</v>
      </c>
      <c r="I1754" s="329">
        <v>6.2793366073237392E-2</v>
      </c>
      <c r="J1754" s="329">
        <v>0.44040119500874986</v>
      </c>
      <c r="K1754" s="329">
        <v>0.64285130550906533</v>
      </c>
    </row>
    <row r="1755" spans="1:11" ht="11.25" x14ac:dyDescent="0.15">
      <c r="A1755" s="326">
        <v>0.97499999999999998</v>
      </c>
      <c r="B1755" s="327">
        <v>25</v>
      </c>
      <c r="C1755" s="327" t="s">
        <v>115</v>
      </c>
      <c r="D1755" s="327" t="s">
        <v>114</v>
      </c>
      <c r="E1755" s="328" t="s">
        <v>1095</v>
      </c>
      <c r="F1755" s="328">
        <v>424.35938999999996</v>
      </c>
      <c r="G1755" s="328">
        <v>5303.7582000000002</v>
      </c>
      <c r="H1755" s="328">
        <v>5835.5348999999997</v>
      </c>
      <c r="I1755" s="329">
        <v>7.6968467579041407E-3</v>
      </c>
      <c r="J1755" s="329">
        <v>0.42619084307477734</v>
      </c>
      <c r="K1755" s="329">
        <v>0.63307669986179682</v>
      </c>
    </row>
    <row r="1756" spans="1:11" ht="11.25" x14ac:dyDescent="0.15">
      <c r="A1756" s="326">
        <v>0.97499999999999998</v>
      </c>
      <c r="B1756" s="327">
        <v>25</v>
      </c>
      <c r="C1756" s="327" t="s">
        <v>115</v>
      </c>
      <c r="D1756" s="327" t="s">
        <v>113</v>
      </c>
      <c r="E1756" s="328" t="s">
        <v>1096</v>
      </c>
      <c r="F1756" s="328">
        <v>113.73102</v>
      </c>
      <c r="G1756" s="328">
        <v>5411.6019749999996</v>
      </c>
      <c r="H1756" s="328">
        <v>5743.4627249999994</v>
      </c>
      <c r="I1756" s="329">
        <v>2.0628039656672404E-3</v>
      </c>
      <c r="J1756" s="329">
        <v>0.4348567791251079</v>
      </c>
      <c r="K1756" s="329">
        <v>0.62308811274905451</v>
      </c>
    </row>
    <row r="1757" spans="1:11" ht="11.25" x14ac:dyDescent="0.15">
      <c r="A1757" s="326">
        <v>1</v>
      </c>
      <c r="B1757" s="327">
        <v>25</v>
      </c>
      <c r="C1757" s="327" t="s">
        <v>115</v>
      </c>
      <c r="D1757" s="327" t="s">
        <v>79</v>
      </c>
      <c r="E1757" s="328" t="s">
        <v>1097</v>
      </c>
      <c r="F1757" s="328">
        <v>3788.0239999999999</v>
      </c>
      <c r="G1757" s="328">
        <v>5901.83</v>
      </c>
      <c r="H1757" s="328">
        <v>6249.6040000000003</v>
      </c>
      <c r="I1757" s="329">
        <v>6.8705538113020367E-2</v>
      </c>
      <c r="J1757" s="329">
        <v>0.47424973170609719</v>
      </c>
      <c r="K1757" s="329">
        <v>0.67799760322966884</v>
      </c>
    </row>
    <row r="1758" spans="1:11" ht="11.25" x14ac:dyDescent="0.15">
      <c r="A1758" s="326">
        <v>1</v>
      </c>
      <c r="B1758" s="327">
        <v>25</v>
      </c>
      <c r="C1758" s="327" t="s">
        <v>115</v>
      </c>
      <c r="D1758" s="327" t="s">
        <v>114</v>
      </c>
      <c r="E1758" s="328" t="s">
        <v>1098</v>
      </c>
      <c r="F1758" s="328">
        <v>463.84089999999998</v>
      </c>
      <c r="G1758" s="328">
        <v>5660.85</v>
      </c>
      <c r="H1758" s="328">
        <v>6156.2030000000004</v>
      </c>
      <c r="I1758" s="329">
        <v>8.4129452805282307E-3</v>
      </c>
      <c r="J1758" s="329">
        <v>0.45488544972126621</v>
      </c>
      <c r="K1758" s="329">
        <v>0.66786485655655903</v>
      </c>
    </row>
    <row r="1759" spans="1:11" ht="11.25" x14ac:dyDescent="0.15">
      <c r="A1759" s="326">
        <v>1</v>
      </c>
      <c r="B1759" s="327">
        <v>25</v>
      </c>
      <c r="C1759" s="327" t="s">
        <v>115</v>
      </c>
      <c r="D1759" s="327" t="s">
        <v>113</v>
      </c>
      <c r="E1759" s="328" t="s">
        <v>1099</v>
      </c>
      <c r="F1759" s="328">
        <v>124.2025</v>
      </c>
      <c r="G1759" s="328">
        <v>5725.9520000000002</v>
      </c>
      <c r="H1759" s="328">
        <v>6060.616</v>
      </c>
      <c r="I1759" s="329">
        <v>2.252731133034641E-3</v>
      </c>
      <c r="J1759" s="329">
        <v>0.46011681118602038</v>
      </c>
      <c r="K1759" s="329">
        <v>0.65749495841582639</v>
      </c>
    </row>
    <row r="1760" spans="1:11" ht="11.25" x14ac:dyDescent="0.15">
      <c r="A1760" s="326">
        <v>1.0249999999999999</v>
      </c>
      <c r="B1760" s="327">
        <v>25</v>
      </c>
      <c r="C1760" s="327" t="s">
        <v>115</v>
      </c>
      <c r="D1760" s="327" t="s">
        <v>79</v>
      </c>
      <c r="E1760" s="328" t="s">
        <v>1100</v>
      </c>
      <c r="F1760" s="328">
        <v>4139.1590999999989</v>
      </c>
      <c r="G1760" s="328">
        <v>6353.4512249999989</v>
      </c>
      <c r="H1760" s="328">
        <v>6581.8058499999997</v>
      </c>
      <c r="I1760" s="329">
        <v>7.5074274424054607E-2</v>
      </c>
      <c r="J1760" s="329">
        <v>0.51054038135019542</v>
      </c>
      <c r="K1760" s="329">
        <v>0.71403701598101466</v>
      </c>
    </row>
    <row r="1761" spans="1:11" ht="11.25" x14ac:dyDescent="0.15">
      <c r="A1761" s="326">
        <v>1.0249999999999999</v>
      </c>
      <c r="B1761" s="327">
        <v>25</v>
      </c>
      <c r="C1761" s="327" t="s">
        <v>115</v>
      </c>
      <c r="D1761" s="327" t="s">
        <v>114</v>
      </c>
      <c r="E1761" s="328" t="s">
        <v>1101</v>
      </c>
      <c r="F1761" s="328">
        <v>506.47915</v>
      </c>
      <c r="G1761" s="328">
        <v>6043.3784749999995</v>
      </c>
      <c r="H1761" s="328">
        <v>6484.8756999999996</v>
      </c>
      <c r="I1761" s="329">
        <v>9.186299385583397E-3</v>
      </c>
      <c r="J1761" s="329">
        <v>0.48562405565174743</v>
      </c>
      <c r="K1761" s="329">
        <v>0.70352140421094211</v>
      </c>
    </row>
    <row r="1762" spans="1:11" ht="11.25" x14ac:dyDescent="0.15">
      <c r="A1762" s="326">
        <v>1.0249999999999999</v>
      </c>
      <c r="B1762" s="327">
        <v>25</v>
      </c>
      <c r="C1762" s="327" t="s">
        <v>115</v>
      </c>
      <c r="D1762" s="327" t="s">
        <v>113</v>
      </c>
      <c r="E1762" s="328" t="s">
        <v>1102</v>
      </c>
      <c r="F1762" s="328">
        <v>135.51207249999999</v>
      </c>
      <c r="G1762" s="328">
        <v>6058.7883250000004</v>
      </c>
      <c r="H1762" s="328">
        <v>6386.3588499999996</v>
      </c>
      <c r="I1762" s="329">
        <v>2.4578592590551508E-3</v>
      </c>
      <c r="J1762" s="329">
        <v>0.48686233551208424</v>
      </c>
      <c r="K1762" s="329">
        <v>0.69283365692683629</v>
      </c>
    </row>
    <row r="1763" spans="1:11" ht="11.25" x14ac:dyDescent="0.15">
      <c r="A1763" s="326">
        <v>1.05</v>
      </c>
      <c r="B1763" s="327">
        <v>25</v>
      </c>
      <c r="C1763" s="327" t="s">
        <v>115</v>
      </c>
      <c r="D1763" s="327" t="s">
        <v>79</v>
      </c>
      <c r="E1763" s="328" t="s">
        <v>1103</v>
      </c>
      <c r="F1763" s="328">
        <v>4517.0349000000006</v>
      </c>
      <c r="G1763" s="328">
        <v>6835.1346000000003</v>
      </c>
      <c r="H1763" s="328">
        <v>6923.2506000000003</v>
      </c>
      <c r="I1763" s="329">
        <v>8.1928021966015313E-2</v>
      </c>
      <c r="J1763" s="329">
        <v>0.549246716734481</v>
      </c>
      <c r="K1763" s="329">
        <v>0.75107915851282203</v>
      </c>
    </row>
    <row r="1764" spans="1:11" ht="11.25" x14ac:dyDescent="0.15">
      <c r="A1764" s="326">
        <v>1.05</v>
      </c>
      <c r="B1764" s="327">
        <v>25</v>
      </c>
      <c r="C1764" s="327" t="s">
        <v>115</v>
      </c>
      <c r="D1764" s="327" t="s">
        <v>114</v>
      </c>
      <c r="E1764" s="328" t="s">
        <v>1104</v>
      </c>
      <c r="F1764" s="328">
        <v>552.49782000000005</v>
      </c>
      <c r="G1764" s="328">
        <v>6452.6269500000008</v>
      </c>
      <c r="H1764" s="328">
        <v>6822.4695000000002</v>
      </c>
      <c r="I1764" s="329">
        <v>1.0020966083998061E-2</v>
      </c>
      <c r="J1764" s="329">
        <v>0.51850978422574567</v>
      </c>
      <c r="K1764" s="329">
        <v>0.74014577069323384</v>
      </c>
    </row>
    <row r="1765" spans="1:11" ht="11.25" x14ac:dyDescent="0.15">
      <c r="A1765" s="326">
        <v>1.05</v>
      </c>
      <c r="B1765" s="327">
        <v>25</v>
      </c>
      <c r="C1765" s="327" t="s">
        <v>115</v>
      </c>
      <c r="D1765" s="327" t="s">
        <v>113</v>
      </c>
      <c r="E1765" s="328" t="s">
        <v>1105</v>
      </c>
      <c r="F1765" s="328">
        <v>147.72198</v>
      </c>
      <c r="G1765" s="328">
        <v>6411.2349000000004</v>
      </c>
      <c r="H1765" s="328">
        <v>6720.4630500000003</v>
      </c>
      <c r="I1765" s="329">
        <v>2.6793172712265903E-3</v>
      </c>
      <c r="J1765" s="329">
        <v>0.51518366866374787</v>
      </c>
      <c r="K1765" s="329">
        <v>0.7290794489528537</v>
      </c>
    </row>
    <row r="1766" spans="1:11" ht="11.25" x14ac:dyDescent="0.15">
      <c r="A1766" s="326">
        <v>1.075</v>
      </c>
      <c r="B1766" s="327">
        <v>25</v>
      </c>
      <c r="C1766" s="327" t="s">
        <v>115</v>
      </c>
      <c r="D1766" s="327" t="s">
        <v>79</v>
      </c>
      <c r="E1766" s="328" t="s">
        <v>1106</v>
      </c>
      <c r="F1766" s="328">
        <v>4923.2957499999993</v>
      </c>
      <c r="G1766" s="328">
        <v>7350.18995</v>
      </c>
      <c r="H1766" s="328">
        <v>7273.0124749999995</v>
      </c>
      <c r="I1766" s="329">
        <v>8.9296605246771452E-2</v>
      </c>
      <c r="J1766" s="329">
        <v>0.59063470343543478</v>
      </c>
      <c r="K1766" s="329">
        <v>0.78902359674460676</v>
      </c>
    </row>
    <row r="1767" spans="1:11" ht="11.25" x14ac:dyDescent="0.15">
      <c r="A1767" s="326">
        <v>1.075</v>
      </c>
      <c r="B1767" s="327">
        <v>25</v>
      </c>
      <c r="C1767" s="327" t="s">
        <v>115</v>
      </c>
      <c r="D1767" s="327" t="s">
        <v>114</v>
      </c>
      <c r="E1767" s="328" t="s">
        <v>1107</v>
      </c>
      <c r="F1767" s="328">
        <v>602.13469750000002</v>
      </c>
      <c r="G1767" s="328">
        <v>6890.7542999999996</v>
      </c>
      <c r="H1767" s="328">
        <v>7168.9191499999997</v>
      </c>
      <c r="I1767" s="329">
        <v>1.0921258262423428E-2</v>
      </c>
      <c r="J1767" s="329">
        <v>0.55371611483686167</v>
      </c>
      <c r="K1767" s="329">
        <v>0.77773087725994716</v>
      </c>
    </row>
    <row r="1768" spans="1:11" ht="11.25" x14ac:dyDescent="0.15">
      <c r="A1768" s="326">
        <v>1.075</v>
      </c>
      <c r="B1768" s="327">
        <v>25</v>
      </c>
      <c r="C1768" s="327" t="s">
        <v>115</v>
      </c>
      <c r="D1768" s="327" t="s">
        <v>113</v>
      </c>
      <c r="E1768" s="328" t="s">
        <v>1108</v>
      </c>
      <c r="F1768" s="328">
        <v>160.89793750000001</v>
      </c>
      <c r="G1768" s="328">
        <v>6785.9245999999994</v>
      </c>
      <c r="H1768" s="328">
        <v>7063.4476750000003</v>
      </c>
      <c r="I1768" s="329">
        <v>2.9182970797472828E-3</v>
      </c>
      <c r="J1768" s="329">
        <v>0.54529237896174654</v>
      </c>
      <c r="K1768" s="329">
        <v>0.76628864711878975</v>
      </c>
    </row>
    <row r="1769" spans="1:11" ht="11.25" x14ac:dyDescent="0.15">
      <c r="A1769" s="326">
        <v>1.1000000000000001</v>
      </c>
      <c r="B1769" s="327">
        <v>25</v>
      </c>
      <c r="C1769" s="327" t="s">
        <v>115</v>
      </c>
      <c r="D1769" s="327" t="s">
        <v>79</v>
      </c>
      <c r="E1769" s="328" t="s">
        <v>1109</v>
      </c>
      <c r="F1769" s="328">
        <v>5359.6664000000001</v>
      </c>
      <c r="G1769" s="328">
        <v>7896.0882000000001</v>
      </c>
      <c r="H1769" s="328">
        <v>7631.8099000000002</v>
      </c>
      <c r="I1769" s="329">
        <v>9.7211307034558048E-2</v>
      </c>
      <c r="J1769" s="329">
        <v>0.63450111412522558</v>
      </c>
      <c r="K1769" s="329">
        <v>0.8279482700831059</v>
      </c>
    </row>
    <row r="1770" spans="1:11" ht="11.25" x14ac:dyDescent="0.15">
      <c r="A1770" s="326">
        <v>1.1000000000000001</v>
      </c>
      <c r="B1770" s="327">
        <v>25</v>
      </c>
      <c r="C1770" s="327" t="s">
        <v>115</v>
      </c>
      <c r="D1770" s="327" t="s">
        <v>114</v>
      </c>
      <c r="E1770" s="328" t="s">
        <v>1110</v>
      </c>
      <c r="F1770" s="328">
        <v>655.64323000000013</v>
      </c>
      <c r="G1770" s="328">
        <v>7358.0562</v>
      </c>
      <c r="H1770" s="328">
        <v>7523.7008000000005</v>
      </c>
      <c r="I1770" s="329">
        <v>1.1891772841805858E-2</v>
      </c>
      <c r="J1770" s="329">
        <v>0.59126680685963251</v>
      </c>
      <c r="K1770" s="329">
        <v>0.8162198932631799</v>
      </c>
    </row>
    <row r="1771" spans="1:11" ht="11.25" x14ac:dyDescent="0.15">
      <c r="A1771" s="326">
        <v>1.1000000000000001</v>
      </c>
      <c r="B1771" s="327">
        <v>25</v>
      </c>
      <c r="C1771" s="327" t="s">
        <v>115</v>
      </c>
      <c r="D1771" s="327" t="s">
        <v>113</v>
      </c>
      <c r="E1771" s="328" t="s">
        <v>1111</v>
      </c>
      <c r="F1771" s="328">
        <v>175.10999000000001</v>
      </c>
      <c r="G1771" s="328">
        <v>7183.9702000000016</v>
      </c>
      <c r="H1771" s="328">
        <v>7414.6457</v>
      </c>
      <c r="I1771" s="329">
        <v>3.176069130479537E-3</v>
      </c>
      <c r="J1771" s="329">
        <v>0.57727788498391142</v>
      </c>
      <c r="K1771" s="329">
        <v>0.80438888822350507</v>
      </c>
    </row>
    <row r="1772" spans="1:11" ht="11.25" x14ac:dyDescent="0.15">
      <c r="A1772" s="326">
        <v>1.125</v>
      </c>
      <c r="B1772" s="327">
        <v>25</v>
      </c>
      <c r="C1772" s="327" t="s">
        <v>115</v>
      </c>
      <c r="D1772" s="327" t="s">
        <v>79</v>
      </c>
      <c r="E1772" s="328" t="s">
        <v>1112</v>
      </c>
      <c r="F1772" s="328">
        <v>5827.9511249999996</v>
      </c>
      <c r="G1772" s="328">
        <v>8476.162875</v>
      </c>
      <c r="H1772" s="328">
        <v>7999.0571250000003</v>
      </c>
      <c r="I1772" s="329">
        <v>0.105704852487605</v>
      </c>
      <c r="J1772" s="329">
        <v>0.68111381882669131</v>
      </c>
      <c r="K1772" s="329">
        <v>0.8677896325666723</v>
      </c>
    </row>
    <row r="1773" spans="1:11" ht="11.25" x14ac:dyDescent="0.15">
      <c r="A1773" s="326">
        <v>1.125</v>
      </c>
      <c r="B1773" s="327">
        <v>25</v>
      </c>
      <c r="C1773" s="327" t="s">
        <v>115</v>
      </c>
      <c r="D1773" s="327" t="s">
        <v>114</v>
      </c>
      <c r="E1773" s="328" t="s">
        <v>1113</v>
      </c>
      <c r="F1773" s="328">
        <v>713.29308750000007</v>
      </c>
      <c r="G1773" s="328">
        <v>7857.0697499999997</v>
      </c>
      <c r="H1773" s="328">
        <v>7887.4830000000002</v>
      </c>
      <c r="I1773" s="329">
        <v>1.293740097976814E-2</v>
      </c>
      <c r="J1773" s="329">
        <v>0.63136573248188987</v>
      </c>
      <c r="K1773" s="329">
        <v>0.85568534734596913</v>
      </c>
    </row>
    <row r="1774" spans="1:11" ht="11.25" x14ac:dyDescent="0.15">
      <c r="A1774" s="326">
        <v>1.125</v>
      </c>
      <c r="B1774" s="327">
        <v>25</v>
      </c>
      <c r="C1774" s="327" t="s">
        <v>115</v>
      </c>
      <c r="D1774" s="327" t="s">
        <v>113</v>
      </c>
      <c r="E1774" s="328" t="s">
        <v>1114</v>
      </c>
      <c r="F1774" s="328">
        <v>190.43426249999999</v>
      </c>
      <c r="G1774" s="328">
        <v>7606.9226250000002</v>
      </c>
      <c r="H1774" s="328">
        <v>7774.453125</v>
      </c>
      <c r="I1774" s="329">
        <v>3.4540141456914412E-3</v>
      </c>
      <c r="J1774" s="329">
        <v>0.61126481345875616</v>
      </c>
      <c r="K1774" s="329">
        <v>0.84342313291712701</v>
      </c>
    </row>
    <row r="1775" spans="1:11" ht="11.25" x14ac:dyDescent="0.15">
      <c r="A1775" s="326">
        <v>1.1499999999999999</v>
      </c>
      <c r="B1775" s="327">
        <v>25</v>
      </c>
      <c r="C1775" s="327" t="s">
        <v>115</v>
      </c>
      <c r="D1775" s="327" t="s">
        <v>79</v>
      </c>
      <c r="E1775" s="328" t="s">
        <v>1115</v>
      </c>
      <c r="F1775" s="328">
        <v>6330.0450499999988</v>
      </c>
      <c r="G1775" s="328">
        <v>9090.4682499999981</v>
      </c>
      <c r="H1775" s="328">
        <v>8375.2752</v>
      </c>
      <c r="I1775" s="329">
        <v>0.11481161456208061</v>
      </c>
      <c r="J1775" s="329">
        <v>0.73047717888270147</v>
      </c>
      <c r="K1775" s="329">
        <v>0.90860421108103573</v>
      </c>
    </row>
    <row r="1776" spans="1:11" ht="11.25" x14ac:dyDescent="0.15">
      <c r="A1776" s="326">
        <v>1.1499999999999999</v>
      </c>
      <c r="B1776" s="327">
        <v>25</v>
      </c>
      <c r="C1776" s="327" t="s">
        <v>115</v>
      </c>
      <c r="D1776" s="327" t="s">
        <v>114</v>
      </c>
      <c r="E1776" s="328" t="s">
        <v>1116</v>
      </c>
      <c r="F1776" s="328">
        <v>775.37174499999992</v>
      </c>
      <c r="G1776" s="328">
        <v>8388.228799999999</v>
      </c>
      <c r="H1776" s="328">
        <v>8259.7369999999992</v>
      </c>
      <c r="I1776" s="329">
        <v>1.4063356773308883E-2</v>
      </c>
      <c r="J1776" s="329">
        <v>0.6740477543218556</v>
      </c>
      <c r="K1776" s="329">
        <v>0.89606987727661058</v>
      </c>
    </row>
    <row r="1777" spans="1:11" ht="11.25" x14ac:dyDescent="0.15">
      <c r="A1777" s="326">
        <v>1.1499999999999999</v>
      </c>
      <c r="B1777" s="327">
        <v>25</v>
      </c>
      <c r="C1777" s="327" t="s">
        <v>115</v>
      </c>
      <c r="D1777" s="327" t="s">
        <v>113</v>
      </c>
      <c r="E1777" s="328" t="s">
        <v>1117</v>
      </c>
      <c r="F1777" s="328">
        <v>206.94939999999997</v>
      </c>
      <c r="G1777" s="328">
        <v>8056.7412999999997</v>
      </c>
      <c r="H1777" s="328">
        <v>8143.1258499999985</v>
      </c>
      <c r="I1777" s="329">
        <v>3.7535585543192695E-3</v>
      </c>
      <c r="J1777" s="329">
        <v>0.64741061669862277</v>
      </c>
      <c r="K1777" s="329">
        <v>0.88341914289250301</v>
      </c>
    </row>
    <row r="1778" spans="1:11" ht="11.25" x14ac:dyDescent="0.15">
      <c r="A1778" s="326">
        <v>1.175</v>
      </c>
      <c r="B1778" s="327">
        <v>25</v>
      </c>
      <c r="C1778" s="327" t="s">
        <v>115</v>
      </c>
      <c r="D1778" s="327" t="s">
        <v>79</v>
      </c>
      <c r="E1778" s="328" t="s">
        <v>1118</v>
      </c>
      <c r="F1778" s="328">
        <v>6867.9243499999993</v>
      </c>
      <c r="G1778" s="328">
        <v>9739.1379000000015</v>
      </c>
      <c r="H1778" s="328">
        <v>8759.9164000000001</v>
      </c>
      <c r="I1778" s="329">
        <v>0.12456743626393751</v>
      </c>
      <c r="J1778" s="329">
        <v>0.78260192789756455</v>
      </c>
      <c r="K1778" s="329">
        <v>0.95033258486333994</v>
      </c>
    </row>
    <row r="1779" spans="1:11" ht="11.25" x14ac:dyDescent="0.15">
      <c r="A1779" s="326">
        <v>1.175</v>
      </c>
      <c r="B1779" s="327">
        <v>25</v>
      </c>
      <c r="C1779" s="327" t="s">
        <v>115</v>
      </c>
      <c r="D1779" s="327" t="s">
        <v>114</v>
      </c>
      <c r="E1779" s="328" t="s">
        <v>1119</v>
      </c>
      <c r="F1779" s="328">
        <v>842.18477500000006</v>
      </c>
      <c r="G1779" s="328">
        <v>8952.6387250000007</v>
      </c>
      <c r="H1779" s="328">
        <v>8640.750250000001</v>
      </c>
      <c r="I1779" s="329">
        <v>1.5275182564040774E-2</v>
      </c>
      <c r="J1779" s="329">
        <v>0.71940169632010176</v>
      </c>
      <c r="K1779" s="329">
        <v>0.93740466749671858</v>
      </c>
    </row>
    <row r="1780" spans="1:11" ht="11.25" x14ac:dyDescent="0.15">
      <c r="A1780" s="326">
        <v>1.175</v>
      </c>
      <c r="B1780" s="327">
        <v>25</v>
      </c>
      <c r="C1780" s="327" t="s">
        <v>115</v>
      </c>
      <c r="D1780" s="327" t="s">
        <v>113</v>
      </c>
      <c r="E1780" s="328" t="s">
        <v>1120</v>
      </c>
      <c r="F1780" s="328">
        <v>224.74401250000003</v>
      </c>
      <c r="G1780" s="328">
        <v>8534.2176999999992</v>
      </c>
      <c r="H1780" s="328">
        <v>8520.183500000001</v>
      </c>
      <c r="I1780" s="329">
        <v>4.0763095261518618E-3</v>
      </c>
      <c r="J1780" s="329">
        <v>0.68577889477440479</v>
      </c>
      <c r="K1780" s="329">
        <v>0.92432480395189387</v>
      </c>
    </row>
    <row r="1781" spans="1:11" ht="11.25" x14ac:dyDescent="0.15">
      <c r="A1781" s="326">
        <v>1.2</v>
      </c>
      <c r="B1781" s="327">
        <v>25</v>
      </c>
      <c r="C1781" s="327" t="s">
        <v>115</v>
      </c>
      <c r="D1781" s="327" t="s">
        <v>79</v>
      </c>
      <c r="E1781" s="328" t="s">
        <v>1121</v>
      </c>
      <c r="F1781" s="328">
        <v>7443.6635999999999</v>
      </c>
      <c r="G1781" s="328">
        <v>10423.210799999999</v>
      </c>
      <c r="H1781" s="328">
        <v>9154.3307999999997</v>
      </c>
      <c r="I1781" s="329">
        <v>0.13500994533569546</v>
      </c>
      <c r="J1781" s="329">
        <v>0.83757155414779727</v>
      </c>
      <c r="K1781" s="329">
        <v>0.99312121881186977</v>
      </c>
    </row>
    <row r="1782" spans="1:11" ht="11.25" x14ac:dyDescent="0.15">
      <c r="A1782" s="326">
        <v>1.2</v>
      </c>
      <c r="B1782" s="327">
        <v>25</v>
      </c>
      <c r="C1782" s="327" t="s">
        <v>115</v>
      </c>
      <c r="D1782" s="327" t="s">
        <v>114</v>
      </c>
      <c r="E1782" s="328" t="s">
        <v>1122</v>
      </c>
      <c r="F1782" s="328">
        <v>914.05775999999992</v>
      </c>
      <c r="G1782" s="328">
        <v>9552.1175999999996</v>
      </c>
      <c r="H1782" s="328">
        <v>9029.8932000000004</v>
      </c>
      <c r="I1782" s="329">
        <v>1.6578783626286956E-2</v>
      </c>
      <c r="J1782" s="329">
        <v>0.76757365241375786</v>
      </c>
      <c r="K1782" s="329">
        <v>0.97962142033637412</v>
      </c>
    </row>
    <row r="1783" spans="1:11" ht="11.25" x14ac:dyDescent="0.15">
      <c r="A1783" s="326">
        <v>1.2</v>
      </c>
      <c r="B1783" s="327">
        <v>25</v>
      </c>
      <c r="C1783" s="327" t="s">
        <v>115</v>
      </c>
      <c r="D1783" s="327" t="s">
        <v>113</v>
      </c>
      <c r="E1783" s="328" t="s">
        <v>1123</v>
      </c>
      <c r="F1783" s="328">
        <v>243.91007999999999</v>
      </c>
      <c r="G1783" s="328">
        <v>9041.6988000000001</v>
      </c>
      <c r="H1783" s="328">
        <v>8905.6799999999985</v>
      </c>
      <c r="I1783" s="329">
        <v>4.4239353545779663E-3</v>
      </c>
      <c r="J1783" s="329">
        <v>0.72655824211597775</v>
      </c>
      <c r="K1783" s="329">
        <v>0.96614596622928361</v>
      </c>
    </row>
    <row r="1784" spans="1:11" ht="11.25" x14ac:dyDescent="0.15">
      <c r="A1784" s="326">
        <v>1.2250000000000001</v>
      </c>
      <c r="B1784" s="327">
        <v>25</v>
      </c>
      <c r="C1784" s="327" t="s">
        <v>115</v>
      </c>
      <c r="D1784" s="327" t="s">
        <v>79</v>
      </c>
      <c r="E1784" s="328" t="s">
        <v>1124</v>
      </c>
      <c r="F1784" s="328">
        <v>8059.4293499999994</v>
      </c>
      <c r="G1784" s="328">
        <v>11143.750274999999</v>
      </c>
      <c r="H1784" s="328">
        <v>9556.9698000000008</v>
      </c>
      <c r="I1784" s="329">
        <v>0.14617843772257513</v>
      </c>
      <c r="J1784" s="329">
        <v>0.89547150258792541</v>
      </c>
      <c r="K1784" s="329">
        <v>1.0368021107478695</v>
      </c>
    </row>
    <row r="1785" spans="1:11" ht="11.25" x14ac:dyDescent="0.15">
      <c r="A1785" s="326">
        <v>1.2250000000000001</v>
      </c>
      <c r="B1785" s="327">
        <v>25</v>
      </c>
      <c r="C1785" s="327" t="s">
        <v>115</v>
      </c>
      <c r="D1785" s="327" t="s">
        <v>114</v>
      </c>
      <c r="E1785" s="328" t="s">
        <v>1125</v>
      </c>
      <c r="F1785" s="328">
        <v>991.33700750000014</v>
      </c>
      <c r="G1785" s="328">
        <v>10185.4781</v>
      </c>
      <c r="H1785" s="328">
        <v>9427.851125000001</v>
      </c>
      <c r="I1785" s="329">
        <v>1.798044113544128E-2</v>
      </c>
      <c r="J1785" s="329">
        <v>0.81846821345639043</v>
      </c>
      <c r="K1785" s="329">
        <v>1.0227944788751635</v>
      </c>
    </row>
    <row r="1786" spans="1:11" ht="11.25" x14ac:dyDescent="0.15">
      <c r="A1786" s="326">
        <v>1.2250000000000001</v>
      </c>
      <c r="B1786" s="327">
        <v>25</v>
      </c>
      <c r="C1786" s="327" t="s">
        <v>115</v>
      </c>
      <c r="D1786" s="327" t="s">
        <v>113</v>
      </c>
      <c r="E1786" s="328" t="s">
        <v>1126</v>
      </c>
      <c r="F1786" s="328">
        <v>264.547325</v>
      </c>
      <c r="G1786" s="328">
        <v>9579.6053500000016</v>
      </c>
      <c r="H1786" s="328">
        <v>9299.9317250000022</v>
      </c>
      <c r="I1786" s="329">
        <v>4.7982447630968246E-3</v>
      </c>
      <c r="J1786" s="329">
        <v>0.76978246867290212</v>
      </c>
      <c r="K1786" s="329">
        <v>1.0089169521380172</v>
      </c>
    </row>
    <row r="1787" spans="1:11" ht="11.25" x14ac:dyDescent="0.15">
      <c r="A1787" s="326">
        <v>1.25</v>
      </c>
      <c r="B1787" s="327">
        <v>25</v>
      </c>
      <c r="C1787" s="327" t="s">
        <v>115</v>
      </c>
      <c r="D1787" s="327" t="s">
        <v>79</v>
      </c>
      <c r="E1787" s="328" t="s">
        <v>1127</v>
      </c>
      <c r="F1787" s="328">
        <v>8717.4850000000006</v>
      </c>
      <c r="G1787" s="328">
        <v>11900.626250000001</v>
      </c>
      <c r="H1787" s="328">
        <v>9967.9225000000006</v>
      </c>
      <c r="I1787" s="329">
        <v>0.15811396599313612</v>
      </c>
      <c r="J1787" s="329">
        <v>0.95629132086099367</v>
      </c>
      <c r="K1787" s="329">
        <v>1.0813849268176174</v>
      </c>
    </row>
    <row r="1788" spans="1:11" ht="11.25" x14ac:dyDescent="0.15">
      <c r="A1788" s="326">
        <v>1.25</v>
      </c>
      <c r="B1788" s="327">
        <v>25</v>
      </c>
      <c r="C1788" s="327" t="s">
        <v>115</v>
      </c>
      <c r="D1788" s="327" t="s">
        <v>114</v>
      </c>
      <c r="E1788" s="328" t="s">
        <v>1128</v>
      </c>
      <c r="F1788" s="328">
        <v>1074.3912500000001</v>
      </c>
      <c r="G1788" s="328">
        <v>10855.560000000001</v>
      </c>
      <c r="H1788" s="328">
        <v>9834.4862500000017</v>
      </c>
      <c r="I1788" s="329">
        <v>1.9486843001831722E-2</v>
      </c>
      <c r="J1788" s="329">
        <v>0.87231357350507233</v>
      </c>
      <c r="K1788" s="329">
        <v>1.0669088963868967</v>
      </c>
    </row>
    <row r="1789" spans="1:11" ht="11.25" x14ac:dyDescent="0.15">
      <c r="A1789" s="326">
        <v>1.25</v>
      </c>
      <c r="B1789" s="327">
        <v>25</v>
      </c>
      <c r="C1789" s="327" t="s">
        <v>115</v>
      </c>
      <c r="D1789" s="327" t="s">
        <v>113</v>
      </c>
      <c r="E1789" s="328" t="s">
        <v>1129</v>
      </c>
      <c r="F1789" s="328">
        <v>286.76237500000002</v>
      </c>
      <c r="G1789" s="328">
        <v>10149.571250000001</v>
      </c>
      <c r="H1789" s="328">
        <v>9702.8787499999999</v>
      </c>
      <c r="I1789" s="329">
        <v>5.2011717151060136E-3</v>
      </c>
      <c r="J1789" s="329">
        <v>0.81558286874484998</v>
      </c>
      <c r="K1789" s="329">
        <v>1.0526312606251669</v>
      </c>
    </row>
    <row r="1790" spans="1:11" ht="11.25" x14ac:dyDescent="0.15">
      <c r="A1790" s="326">
        <v>1.2749999999999999</v>
      </c>
      <c r="B1790" s="327">
        <v>25</v>
      </c>
      <c r="C1790" s="327" t="s">
        <v>115</v>
      </c>
      <c r="D1790" s="327" t="s">
        <v>79</v>
      </c>
      <c r="E1790" s="328" t="s">
        <v>1130</v>
      </c>
      <c r="F1790" s="328">
        <v>9420.198524999998</v>
      </c>
      <c r="G1790" s="328">
        <v>12695.19795</v>
      </c>
      <c r="H1790" s="328">
        <v>10387.979625</v>
      </c>
      <c r="I1790" s="329">
        <v>0.17085947945197963</v>
      </c>
      <c r="J1790" s="329">
        <v>1.0201402313762502</v>
      </c>
      <c r="K1790" s="329">
        <v>1.1269554500010934</v>
      </c>
    </row>
    <row r="1791" spans="1:11" ht="11.25" x14ac:dyDescent="0.15">
      <c r="A1791" s="326">
        <v>1.2749999999999999</v>
      </c>
      <c r="B1791" s="327">
        <v>25</v>
      </c>
      <c r="C1791" s="327" t="s">
        <v>115</v>
      </c>
      <c r="D1791" s="327" t="s">
        <v>114</v>
      </c>
      <c r="E1791" s="328" t="s">
        <v>1131</v>
      </c>
      <c r="F1791" s="328">
        <v>1163.6126849999998</v>
      </c>
      <c r="G1791" s="328">
        <v>11560.093499999999</v>
      </c>
      <c r="H1791" s="328">
        <v>10250.18655</v>
      </c>
      <c r="I1791" s="329">
        <v>2.1105102733789821E-2</v>
      </c>
      <c r="J1791" s="329">
        <v>0.92892733963404528</v>
      </c>
      <c r="K1791" s="329">
        <v>1.1120067629176165</v>
      </c>
    </row>
    <row r="1792" spans="1:11" ht="11.25" x14ac:dyDescent="0.15">
      <c r="A1792" s="326">
        <v>1.2749999999999999</v>
      </c>
      <c r="B1792" s="327">
        <v>25</v>
      </c>
      <c r="C1792" s="327" t="s">
        <v>115</v>
      </c>
      <c r="D1792" s="327" t="s">
        <v>113</v>
      </c>
      <c r="E1792" s="328" t="s">
        <v>1132</v>
      </c>
      <c r="F1792" s="328">
        <v>310.66994249999999</v>
      </c>
      <c r="G1792" s="328">
        <v>10752.338925</v>
      </c>
      <c r="H1792" s="328">
        <v>10114.52145</v>
      </c>
      <c r="I1792" s="329">
        <v>5.6347968162302024E-3</v>
      </c>
      <c r="J1792" s="329">
        <v>0.8640191009219641</v>
      </c>
      <c r="K1792" s="329">
        <v>1.0972889323731672</v>
      </c>
    </row>
    <row r="1793" spans="1:11" ht="11.25" x14ac:dyDescent="0.15">
      <c r="A1793" s="326">
        <v>1.3</v>
      </c>
      <c r="B1793" s="327">
        <v>25</v>
      </c>
      <c r="C1793" s="327" t="s">
        <v>115</v>
      </c>
      <c r="D1793" s="327" t="s">
        <v>79</v>
      </c>
      <c r="E1793" s="328" t="s">
        <v>1133</v>
      </c>
      <c r="F1793" s="328">
        <v>10170.0417</v>
      </c>
      <c r="G1793" s="328">
        <v>13526.448000000002</v>
      </c>
      <c r="H1793" s="328">
        <v>10817.641899999999</v>
      </c>
      <c r="I1793" s="329">
        <v>0.18445981008313478</v>
      </c>
      <c r="J1793" s="329">
        <v>1.0869364815551237</v>
      </c>
      <c r="K1793" s="329">
        <v>1.1735680021961135</v>
      </c>
    </row>
    <row r="1794" spans="1:11" ht="11.25" x14ac:dyDescent="0.15">
      <c r="A1794" s="326">
        <v>1.3</v>
      </c>
      <c r="B1794" s="327">
        <v>25</v>
      </c>
      <c r="C1794" s="327" t="s">
        <v>115</v>
      </c>
      <c r="D1794" s="327" t="s">
        <v>114</v>
      </c>
      <c r="E1794" s="328" t="s">
        <v>1134</v>
      </c>
      <c r="F1794" s="328">
        <v>1259.4191999999998</v>
      </c>
      <c r="G1794" s="328">
        <v>12301.333200000001</v>
      </c>
      <c r="H1794" s="328">
        <v>10674.7017</v>
      </c>
      <c r="I1794" s="329">
        <v>2.2842799793736684E-2</v>
      </c>
      <c r="J1794" s="329">
        <v>0.9884906833519953</v>
      </c>
      <c r="K1794" s="329">
        <v>1.1580609215866591</v>
      </c>
    </row>
    <row r="1795" spans="1:11" ht="11.25" x14ac:dyDescent="0.15">
      <c r="A1795" s="326">
        <v>1.3</v>
      </c>
      <c r="B1795" s="327">
        <v>25</v>
      </c>
      <c r="C1795" s="327" t="s">
        <v>115</v>
      </c>
      <c r="D1795" s="327" t="s">
        <v>113</v>
      </c>
      <c r="E1795" s="328" t="s">
        <v>1135</v>
      </c>
      <c r="F1795" s="328">
        <v>336.39294000000001</v>
      </c>
      <c r="G1795" s="328">
        <v>11388.275600000003</v>
      </c>
      <c r="H1795" s="328">
        <v>10534.581200000001</v>
      </c>
      <c r="I1795" s="329">
        <v>6.101349400141334E-3</v>
      </c>
      <c r="J1795" s="329">
        <v>0.91512067407822562</v>
      </c>
      <c r="K1795" s="329">
        <v>1.1428597403336802</v>
      </c>
    </row>
    <row r="1796" spans="1:11" ht="11.25" x14ac:dyDescent="0.15">
      <c r="A1796" s="326">
        <v>1.325</v>
      </c>
      <c r="B1796" s="327">
        <v>25</v>
      </c>
      <c r="C1796" s="327" t="s">
        <v>115</v>
      </c>
      <c r="D1796" s="327" t="s">
        <v>79</v>
      </c>
      <c r="E1796" s="328" t="s">
        <v>1136</v>
      </c>
      <c r="F1796" s="328">
        <v>10969.598149999998</v>
      </c>
      <c r="G1796" s="328">
        <v>14396.03225</v>
      </c>
      <c r="H1796" s="328">
        <v>11256.007499999998</v>
      </c>
      <c r="I1796" s="329">
        <v>0.19896181855747025</v>
      </c>
      <c r="J1796" s="329">
        <v>1.1568131295199664</v>
      </c>
      <c r="K1796" s="329">
        <v>1.2211247475736342</v>
      </c>
    </row>
    <row r="1797" spans="1:11" ht="11.25" x14ac:dyDescent="0.15">
      <c r="A1797" s="326">
        <v>1.325</v>
      </c>
      <c r="B1797" s="327">
        <v>25</v>
      </c>
      <c r="C1797" s="327" t="s">
        <v>115</v>
      </c>
      <c r="D1797" s="327" t="s">
        <v>114</v>
      </c>
      <c r="E1797" s="328" t="s">
        <v>1137</v>
      </c>
      <c r="F1797" s="328">
        <v>1362.2550249999999</v>
      </c>
      <c r="G1797" s="328">
        <v>13081.257274999998</v>
      </c>
      <c r="H1797" s="328">
        <v>11107.985124999999</v>
      </c>
      <c r="I1797" s="329">
        <v>2.4707991432945255E-2</v>
      </c>
      <c r="J1797" s="329">
        <v>1.0511625636535076</v>
      </c>
      <c r="K1797" s="329">
        <v>1.2050663196357421</v>
      </c>
    </row>
    <row r="1798" spans="1:11" ht="11.25" x14ac:dyDescent="0.15">
      <c r="A1798" s="326">
        <v>1.325</v>
      </c>
      <c r="B1798" s="327">
        <v>25</v>
      </c>
      <c r="C1798" s="327" t="s">
        <v>115</v>
      </c>
      <c r="D1798" s="327" t="s">
        <v>113</v>
      </c>
      <c r="E1798" s="328" t="s">
        <v>1138</v>
      </c>
      <c r="F1798" s="328">
        <v>364.06362499999994</v>
      </c>
      <c r="G1798" s="328">
        <v>12059.271524999998</v>
      </c>
      <c r="H1798" s="328">
        <v>10963.183825</v>
      </c>
      <c r="I1798" s="329">
        <v>6.6032282960725311E-3</v>
      </c>
      <c r="J1798" s="329">
        <v>0.96903948187294897</v>
      </c>
      <c r="K1798" s="329">
        <v>1.1893573348193378</v>
      </c>
    </row>
    <row r="1799" spans="1:11" ht="11.25" x14ac:dyDescent="0.15">
      <c r="A1799" s="326">
        <v>1.35</v>
      </c>
      <c r="B1799" s="327">
        <v>25</v>
      </c>
      <c r="C1799" s="327" t="s">
        <v>115</v>
      </c>
      <c r="D1799" s="327" t="s">
        <v>79</v>
      </c>
      <c r="E1799" s="328" t="s">
        <v>1139</v>
      </c>
      <c r="F1799" s="328">
        <v>11821.559850000001</v>
      </c>
      <c r="G1799" s="328">
        <v>15303.222000000003</v>
      </c>
      <c r="H1799" s="328">
        <v>11703.568499999999</v>
      </c>
      <c r="I1799" s="329">
        <v>0.21441433075121133</v>
      </c>
      <c r="J1799" s="329">
        <v>1.2297116195720388</v>
      </c>
      <c r="K1799" s="329">
        <v>1.2696790696233313</v>
      </c>
    </row>
    <row r="1800" spans="1:11" ht="11.25" x14ac:dyDescent="0.15">
      <c r="A1800" s="326">
        <v>1.35</v>
      </c>
      <c r="B1800" s="327">
        <v>25</v>
      </c>
      <c r="C1800" s="327" t="s">
        <v>115</v>
      </c>
      <c r="D1800" s="327" t="s">
        <v>114</v>
      </c>
      <c r="E1800" s="328" t="s">
        <v>1140</v>
      </c>
      <c r="F1800" s="328">
        <v>1472.5935000000004</v>
      </c>
      <c r="G1800" s="328">
        <v>13897.696500000002</v>
      </c>
      <c r="H1800" s="328">
        <v>11549.74005</v>
      </c>
      <c r="I1800" s="329">
        <v>2.6709262887256283E-2</v>
      </c>
      <c r="J1800" s="329">
        <v>1.1167686694563834</v>
      </c>
      <c r="K1800" s="329">
        <v>1.2529907609867306</v>
      </c>
    </row>
    <row r="1801" spans="1:11" ht="11.25" x14ac:dyDescent="0.15">
      <c r="A1801" s="326">
        <v>1.35</v>
      </c>
      <c r="B1801" s="327">
        <v>25</v>
      </c>
      <c r="C1801" s="327" t="s">
        <v>115</v>
      </c>
      <c r="D1801" s="327" t="s">
        <v>113</v>
      </c>
      <c r="E1801" s="328" t="s">
        <v>1141</v>
      </c>
      <c r="F1801" s="328">
        <v>393.82389000000006</v>
      </c>
      <c r="G1801" s="328">
        <v>12765.072149999998</v>
      </c>
      <c r="H1801" s="328">
        <v>11400.547499999999</v>
      </c>
      <c r="I1801" s="329">
        <v>7.1430070887124652E-3</v>
      </c>
      <c r="J1801" s="329">
        <v>1.0257550695879876</v>
      </c>
      <c r="K1801" s="329">
        <v>1.2368053848701441</v>
      </c>
    </row>
    <row r="1802" spans="1:11" ht="11.25" x14ac:dyDescent="0.15">
      <c r="A1802" s="326">
        <v>1.375</v>
      </c>
      <c r="B1802" s="327">
        <v>25</v>
      </c>
      <c r="C1802" s="327" t="s">
        <v>115</v>
      </c>
      <c r="D1802" s="327" t="s">
        <v>79</v>
      </c>
      <c r="E1802" s="328" t="s">
        <v>1142</v>
      </c>
      <c r="F1802" s="328">
        <v>12728.7435</v>
      </c>
      <c r="G1802" s="328">
        <v>16247.233749999999</v>
      </c>
      <c r="H1802" s="328">
        <v>12160.376250000003</v>
      </c>
      <c r="I1802" s="329">
        <v>0.23086843474859461</v>
      </c>
      <c r="J1802" s="329">
        <v>1.3055689924826277</v>
      </c>
      <c r="K1802" s="329">
        <v>1.3192365391264775</v>
      </c>
    </row>
    <row r="1803" spans="1:11" ht="11.25" x14ac:dyDescent="0.15">
      <c r="A1803" s="326">
        <v>1.375</v>
      </c>
      <c r="B1803" s="327">
        <v>25</v>
      </c>
      <c r="C1803" s="327" t="s">
        <v>115</v>
      </c>
      <c r="D1803" s="327" t="s">
        <v>114</v>
      </c>
      <c r="E1803" s="328" t="s">
        <v>1143</v>
      </c>
      <c r="F1803" s="328">
        <v>1590.9355</v>
      </c>
      <c r="G1803" s="328">
        <v>14752.38875</v>
      </c>
      <c r="H1803" s="328">
        <v>12000.576499999999</v>
      </c>
      <c r="I1803" s="329">
        <v>2.8855698810410686E-2</v>
      </c>
      <c r="J1803" s="329">
        <v>1.1854486501155652</v>
      </c>
      <c r="K1803" s="329">
        <v>1.301900425110821</v>
      </c>
    </row>
    <row r="1804" spans="1:11" ht="11.25" x14ac:dyDescent="0.15">
      <c r="A1804" s="326">
        <v>1.375</v>
      </c>
      <c r="B1804" s="327">
        <v>25</v>
      </c>
      <c r="C1804" s="327" t="s">
        <v>115</v>
      </c>
      <c r="D1804" s="327" t="s">
        <v>113</v>
      </c>
      <c r="E1804" s="328" t="s">
        <v>1144</v>
      </c>
      <c r="F1804" s="328">
        <v>425.82663749999995</v>
      </c>
      <c r="G1804" s="328">
        <v>13505.019</v>
      </c>
      <c r="H1804" s="328">
        <v>11847.637999999999</v>
      </c>
      <c r="I1804" s="329">
        <v>7.7234590573596043E-3</v>
      </c>
      <c r="J1804" s="329">
        <v>1.085214524551833</v>
      </c>
      <c r="K1804" s="329">
        <v>1.2853086640261921</v>
      </c>
    </row>
    <row r="1805" spans="1:11" ht="11.25" x14ac:dyDescent="0.15">
      <c r="A1805" s="326">
        <v>1.4</v>
      </c>
      <c r="B1805" s="327">
        <v>25</v>
      </c>
      <c r="C1805" s="327" t="s">
        <v>115</v>
      </c>
      <c r="D1805" s="327" t="s">
        <v>79</v>
      </c>
      <c r="E1805" s="328" t="s">
        <v>1145</v>
      </c>
      <c r="F1805" s="328">
        <v>13694.080399999997</v>
      </c>
      <c r="G1805" s="328">
        <v>17228.876</v>
      </c>
      <c r="H1805" s="328">
        <v>12626.6322</v>
      </c>
      <c r="I1805" s="329">
        <v>0.24837729719900536</v>
      </c>
      <c r="J1805" s="329">
        <v>1.3844502163901056</v>
      </c>
      <c r="K1805" s="329">
        <v>1.3698190106865267</v>
      </c>
    </row>
    <row r="1806" spans="1:11" ht="11.25" x14ac:dyDescent="0.15">
      <c r="A1806" s="326">
        <v>1.4</v>
      </c>
      <c r="B1806" s="327">
        <v>25</v>
      </c>
      <c r="C1806" s="327" t="s">
        <v>115</v>
      </c>
      <c r="D1806" s="327" t="s">
        <v>114</v>
      </c>
      <c r="E1806" s="328" t="s">
        <v>1146</v>
      </c>
      <c r="F1806" s="328">
        <v>1717.8196</v>
      </c>
      <c r="G1806" s="328">
        <v>15645.041999999998</v>
      </c>
      <c r="H1806" s="328">
        <v>12460.285599999999</v>
      </c>
      <c r="I1806" s="329">
        <v>3.115706764241552E-2</v>
      </c>
      <c r="J1806" s="329">
        <v>1.2571790395573272</v>
      </c>
      <c r="K1806" s="329">
        <v>1.3517726518923687</v>
      </c>
    </row>
    <row r="1807" spans="1:11" ht="11.25" x14ac:dyDescent="0.15">
      <c r="A1807" s="326">
        <v>1.4</v>
      </c>
      <c r="B1807" s="327">
        <v>25</v>
      </c>
      <c r="C1807" s="327" t="s">
        <v>115</v>
      </c>
      <c r="D1807" s="327" t="s">
        <v>113</v>
      </c>
      <c r="E1807" s="328" t="s">
        <v>1147</v>
      </c>
      <c r="F1807" s="328">
        <v>460.23501999999996</v>
      </c>
      <c r="G1807" s="328">
        <v>14285.039999999999</v>
      </c>
      <c r="H1807" s="328">
        <v>12301.6628</v>
      </c>
      <c r="I1807" s="329">
        <v>8.347543391371514E-3</v>
      </c>
      <c r="J1807" s="329">
        <v>1.1478941933960933</v>
      </c>
      <c r="K1807" s="329">
        <v>1.3345642210513782</v>
      </c>
    </row>
    <row r="1808" spans="1:11" ht="11.25" x14ac:dyDescent="0.15">
      <c r="A1808" s="326">
        <v>0.9</v>
      </c>
      <c r="B1808" s="327">
        <v>50</v>
      </c>
      <c r="C1808" s="327" t="s">
        <v>115</v>
      </c>
      <c r="D1808" s="327" t="s">
        <v>79</v>
      </c>
      <c r="E1808" s="328" t="s">
        <v>1148</v>
      </c>
      <c r="F1808" s="328">
        <v>4858.3701000000001</v>
      </c>
      <c r="G1808" s="328">
        <v>4557.3056999999999</v>
      </c>
      <c r="H1808" s="328">
        <v>5020.6238999999996</v>
      </c>
      <c r="I1808" s="329">
        <v>8.8119011936753464E-2</v>
      </c>
      <c r="J1808" s="329">
        <v>0.36620861758601442</v>
      </c>
      <c r="K1808" s="329">
        <v>0.54466986562950104</v>
      </c>
    </row>
    <row r="1809" spans="1:11" ht="11.25" x14ac:dyDescent="0.15">
      <c r="A1809" s="326">
        <v>0.9</v>
      </c>
      <c r="B1809" s="327">
        <v>50</v>
      </c>
      <c r="C1809" s="327" t="s">
        <v>115</v>
      </c>
      <c r="D1809" s="327" t="s">
        <v>114</v>
      </c>
      <c r="E1809" s="328" t="s">
        <v>1149</v>
      </c>
      <c r="F1809" s="328">
        <v>747.48698999999999</v>
      </c>
      <c r="G1809" s="328">
        <v>4497.0506999999998</v>
      </c>
      <c r="H1809" s="328">
        <v>4942.5165000000006</v>
      </c>
      <c r="I1809" s="329">
        <v>1.3557595168465638E-2</v>
      </c>
      <c r="J1809" s="329">
        <v>0.36136674352594306</v>
      </c>
      <c r="K1809" s="329">
        <v>0.53619626794323161</v>
      </c>
    </row>
    <row r="1810" spans="1:11" ht="11.25" x14ac:dyDescent="0.15">
      <c r="A1810" s="326">
        <v>0.9</v>
      </c>
      <c r="B1810" s="327">
        <v>50</v>
      </c>
      <c r="C1810" s="327" t="s">
        <v>115</v>
      </c>
      <c r="D1810" s="327" t="s">
        <v>113</v>
      </c>
      <c r="E1810" s="328" t="s">
        <v>1150</v>
      </c>
      <c r="F1810" s="328">
        <v>220.51611000000003</v>
      </c>
      <c r="G1810" s="328">
        <v>4626.3861000000006</v>
      </c>
      <c r="H1810" s="328">
        <v>4860.9431999999997</v>
      </c>
      <c r="I1810" s="329">
        <v>3.9996256623875655E-3</v>
      </c>
      <c r="J1810" s="329">
        <v>0.37175966889825995</v>
      </c>
      <c r="K1810" s="329">
        <v>0.5273466669305058</v>
      </c>
    </row>
    <row r="1811" spans="1:11" ht="11.25" x14ac:dyDescent="0.15">
      <c r="A1811" s="326">
        <v>0.92500000000000004</v>
      </c>
      <c r="B1811" s="327">
        <v>50</v>
      </c>
      <c r="C1811" s="327" t="s">
        <v>115</v>
      </c>
      <c r="D1811" s="327" t="s">
        <v>79</v>
      </c>
      <c r="E1811" s="328" t="s">
        <v>1151</v>
      </c>
      <c r="F1811" s="328">
        <v>5307.9395250000007</v>
      </c>
      <c r="G1811" s="328">
        <v>4917.2528250000005</v>
      </c>
      <c r="H1811" s="328">
        <v>5318.8554500000009</v>
      </c>
      <c r="I1811" s="329">
        <v>9.627310738698984E-2</v>
      </c>
      <c r="J1811" s="329">
        <v>0.39513266783138429</v>
      </c>
      <c r="K1811" s="329">
        <v>0.57702395976210052</v>
      </c>
    </row>
    <row r="1812" spans="1:11" ht="11.25" x14ac:dyDescent="0.15">
      <c r="A1812" s="326">
        <v>0.92500000000000004</v>
      </c>
      <c r="B1812" s="327">
        <v>50</v>
      </c>
      <c r="C1812" s="327" t="s">
        <v>115</v>
      </c>
      <c r="D1812" s="327" t="s">
        <v>114</v>
      </c>
      <c r="E1812" s="328" t="s">
        <v>1152</v>
      </c>
      <c r="F1812" s="328">
        <v>816.05756999999994</v>
      </c>
      <c r="G1812" s="328">
        <v>4809.0481750000008</v>
      </c>
      <c r="H1812" s="328">
        <v>5237.5155750000004</v>
      </c>
      <c r="I1812" s="329">
        <v>1.4801298639621551E-2</v>
      </c>
      <c r="J1812" s="329">
        <v>0.38643773317012636</v>
      </c>
      <c r="K1812" s="329">
        <v>0.56819968220835448</v>
      </c>
    </row>
    <row r="1813" spans="1:11" ht="11.25" x14ac:dyDescent="0.15">
      <c r="A1813" s="326">
        <v>0.92500000000000004</v>
      </c>
      <c r="B1813" s="327">
        <v>50</v>
      </c>
      <c r="C1813" s="327" t="s">
        <v>115</v>
      </c>
      <c r="D1813" s="327" t="s">
        <v>113</v>
      </c>
      <c r="E1813" s="328" t="s">
        <v>1153</v>
      </c>
      <c r="F1813" s="328">
        <v>240.33100250000001</v>
      </c>
      <c r="G1813" s="328">
        <v>4908.3765250000006</v>
      </c>
      <c r="H1813" s="328">
        <v>5152.8318250000002</v>
      </c>
      <c r="I1813" s="329">
        <v>4.3590195975538029E-3</v>
      </c>
      <c r="J1813" s="329">
        <v>0.39441940043914447</v>
      </c>
      <c r="K1813" s="329">
        <v>0.55901263939212154</v>
      </c>
    </row>
    <row r="1814" spans="1:11" ht="11.25" x14ac:dyDescent="0.15">
      <c r="A1814" s="326">
        <v>0.95</v>
      </c>
      <c r="B1814" s="327">
        <v>50</v>
      </c>
      <c r="C1814" s="327" t="s">
        <v>115</v>
      </c>
      <c r="D1814" s="327" t="s">
        <v>79</v>
      </c>
      <c r="E1814" s="328" t="s">
        <v>1154</v>
      </c>
      <c r="F1814" s="328">
        <v>5790.7686999999996</v>
      </c>
      <c r="G1814" s="328">
        <v>5303.7312499999998</v>
      </c>
      <c r="H1814" s="328">
        <v>5625.5209499999992</v>
      </c>
      <c r="I1814" s="329">
        <v>0.10503045377260953</v>
      </c>
      <c r="J1814" s="329">
        <v>0.42618867747016492</v>
      </c>
      <c r="K1814" s="329">
        <v>0.61029302352889703</v>
      </c>
    </row>
    <row r="1815" spans="1:11" ht="11.25" x14ac:dyDescent="0.15">
      <c r="A1815" s="326">
        <v>0.95</v>
      </c>
      <c r="B1815" s="327">
        <v>50</v>
      </c>
      <c r="C1815" s="327" t="s">
        <v>115</v>
      </c>
      <c r="D1815" s="327" t="s">
        <v>114</v>
      </c>
      <c r="E1815" s="328" t="s">
        <v>1155</v>
      </c>
      <c r="F1815" s="328">
        <v>889.87877500000002</v>
      </c>
      <c r="G1815" s="328">
        <v>5143.2838499999998</v>
      </c>
      <c r="H1815" s="328">
        <v>5541.3832499999999</v>
      </c>
      <c r="I1815" s="329">
        <v>1.6140235672142095E-2</v>
      </c>
      <c r="J1815" s="329">
        <v>0.41329570420544182</v>
      </c>
      <c r="K1815" s="329">
        <v>0.60116521976064929</v>
      </c>
    </row>
    <row r="1816" spans="1:11" ht="11.25" x14ac:dyDescent="0.15">
      <c r="A1816" s="326">
        <v>0.95</v>
      </c>
      <c r="B1816" s="327">
        <v>50</v>
      </c>
      <c r="C1816" s="327" t="s">
        <v>115</v>
      </c>
      <c r="D1816" s="327" t="s">
        <v>113</v>
      </c>
      <c r="E1816" s="328" t="s">
        <v>1156</v>
      </c>
      <c r="F1816" s="328">
        <v>261.63645999999994</v>
      </c>
      <c r="G1816" s="328">
        <v>5205.6836499999999</v>
      </c>
      <c r="H1816" s="328">
        <v>5453.4911499999998</v>
      </c>
      <c r="I1816" s="329">
        <v>4.745448754887964E-3</v>
      </c>
      <c r="J1816" s="329">
        <v>0.41830992664297628</v>
      </c>
      <c r="K1816" s="329">
        <v>0.59163011431351653</v>
      </c>
    </row>
    <row r="1817" spans="1:11" ht="11.25" x14ac:dyDescent="0.15">
      <c r="A1817" s="326">
        <v>0.97499999999999998</v>
      </c>
      <c r="B1817" s="327">
        <v>50</v>
      </c>
      <c r="C1817" s="327" t="s">
        <v>115</v>
      </c>
      <c r="D1817" s="327" t="s">
        <v>79</v>
      </c>
      <c r="E1817" s="328" t="s">
        <v>1157</v>
      </c>
      <c r="F1817" s="328">
        <v>6308.7823500000004</v>
      </c>
      <c r="G1817" s="328">
        <v>5717.6076750000002</v>
      </c>
      <c r="H1817" s="328">
        <v>5940.7705500000002</v>
      </c>
      <c r="I1817" s="329">
        <v>0.11442596092175637</v>
      </c>
      <c r="J1817" s="329">
        <v>0.45944629138241394</v>
      </c>
      <c r="K1817" s="329">
        <v>0.64449334617639797</v>
      </c>
    </row>
    <row r="1818" spans="1:11" ht="11.25" x14ac:dyDescent="0.15">
      <c r="A1818" s="326">
        <v>0.97499999999999998</v>
      </c>
      <c r="B1818" s="327">
        <v>50</v>
      </c>
      <c r="C1818" s="327" t="s">
        <v>115</v>
      </c>
      <c r="D1818" s="327" t="s">
        <v>114</v>
      </c>
      <c r="E1818" s="328" t="s">
        <v>1158</v>
      </c>
      <c r="F1818" s="328">
        <v>969.29917499999988</v>
      </c>
      <c r="G1818" s="328">
        <v>5500.7520750000003</v>
      </c>
      <c r="H1818" s="328">
        <v>5853.6640499999994</v>
      </c>
      <c r="I1818" s="329">
        <v>1.7580728477665848E-2</v>
      </c>
      <c r="J1818" s="329">
        <v>0.44202055900466591</v>
      </c>
      <c r="K1818" s="329">
        <v>0.63504346771598263</v>
      </c>
    </row>
    <row r="1819" spans="1:11" ht="11.25" x14ac:dyDescent="0.15">
      <c r="A1819" s="326">
        <v>0.97499999999999998</v>
      </c>
      <c r="B1819" s="327">
        <v>50</v>
      </c>
      <c r="C1819" s="327" t="s">
        <v>115</v>
      </c>
      <c r="D1819" s="327" t="s">
        <v>113</v>
      </c>
      <c r="E1819" s="328" t="s">
        <v>1159</v>
      </c>
      <c r="F1819" s="328">
        <v>284.529765</v>
      </c>
      <c r="G1819" s="328">
        <v>5520.1019249999999</v>
      </c>
      <c r="H1819" s="328">
        <v>5762.3250749999997</v>
      </c>
      <c r="I1819" s="329">
        <v>5.1606776022264456E-3</v>
      </c>
      <c r="J1819" s="329">
        <v>0.44357544302725777</v>
      </c>
      <c r="K1819" s="329">
        <v>0.62513442289787025</v>
      </c>
    </row>
    <row r="1820" spans="1:11" ht="11.25" x14ac:dyDescent="0.15">
      <c r="A1820" s="326">
        <v>1</v>
      </c>
      <c r="B1820" s="327">
        <v>50</v>
      </c>
      <c r="C1820" s="327" t="s">
        <v>115</v>
      </c>
      <c r="D1820" s="327" t="s">
        <v>79</v>
      </c>
      <c r="E1820" s="328" t="s">
        <v>1160</v>
      </c>
      <c r="F1820" s="328">
        <v>6863.99</v>
      </c>
      <c r="G1820" s="328">
        <v>6160.7829999999994</v>
      </c>
      <c r="H1820" s="328">
        <v>6265.174</v>
      </c>
      <c r="I1820" s="329">
        <v>0.12449607672823369</v>
      </c>
      <c r="J1820" s="329">
        <v>0.49505825902296141</v>
      </c>
      <c r="K1820" s="329">
        <v>0.67968673788240619</v>
      </c>
    </row>
    <row r="1821" spans="1:11" ht="11.25" x14ac:dyDescent="0.15">
      <c r="A1821" s="326">
        <v>1</v>
      </c>
      <c r="B1821" s="327">
        <v>50</v>
      </c>
      <c r="C1821" s="327" t="s">
        <v>115</v>
      </c>
      <c r="D1821" s="327" t="s">
        <v>114</v>
      </c>
      <c r="E1821" s="328" t="s">
        <v>1161</v>
      </c>
      <c r="F1821" s="328">
        <v>1054.6849999999999</v>
      </c>
      <c r="G1821" s="328">
        <v>5883.2090000000007</v>
      </c>
      <c r="H1821" s="328">
        <v>6174.6769999999997</v>
      </c>
      <c r="I1821" s="329">
        <v>1.912941957726004E-2</v>
      </c>
      <c r="J1821" s="329">
        <v>0.47275341543570326</v>
      </c>
      <c r="K1821" s="329">
        <v>0.6698690359768974</v>
      </c>
    </row>
    <row r="1822" spans="1:11" ht="11.25" x14ac:dyDescent="0.15">
      <c r="A1822" s="326">
        <v>1</v>
      </c>
      <c r="B1822" s="327">
        <v>50</v>
      </c>
      <c r="C1822" s="327" t="s">
        <v>115</v>
      </c>
      <c r="D1822" s="327" t="s">
        <v>113</v>
      </c>
      <c r="E1822" s="328" t="s">
        <v>1162</v>
      </c>
      <c r="F1822" s="328">
        <v>309.11469999999997</v>
      </c>
      <c r="G1822" s="328">
        <v>5853.2890000000007</v>
      </c>
      <c r="H1822" s="328">
        <v>6079.902</v>
      </c>
      <c r="I1822" s="329">
        <v>5.6065885015894453E-3</v>
      </c>
      <c r="J1822" s="329">
        <v>0.47034915235583713</v>
      </c>
      <c r="K1822" s="329">
        <v>0.65958722886622412</v>
      </c>
    </row>
    <row r="1823" spans="1:11" ht="11.25" x14ac:dyDescent="0.15">
      <c r="A1823" s="326">
        <v>1.0249999999999999</v>
      </c>
      <c r="B1823" s="327">
        <v>50</v>
      </c>
      <c r="C1823" s="327" t="s">
        <v>115</v>
      </c>
      <c r="D1823" s="327" t="s">
        <v>79</v>
      </c>
      <c r="E1823" s="328" t="s">
        <v>1163</v>
      </c>
      <c r="F1823" s="328">
        <v>7458.4903999999997</v>
      </c>
      <c r="G1823" s="328">
        <v>6633.8153750000001</v>
      </c>
      <c r="H1823" s="328">
        <v>6597.6092999999992</v>
      </c>
      <c r="I1823" s="329">
        <v>0.13527886741023726</v>
      </c>
      <c r="J1823" s="329">
        <v>0.53306943130885376</v>
      </c>
      <c r="K1823" s="329">
        <v>0.71575147680489393</v>
      </c>
    </row>
    <row r="1824" spans="1:11" ht="11.25" x14ac:dyDescent="0.15">
      <c r="A1824" s="326">
        <v>1.0249999999999999</v>
      </c>
      <c r="B1824" s="327">
        <v>50</v>
      </c>
      <c r="C1824" s="327" t="s">
        <v>115</v>
      </c>
      <c r="D1824" s="327" t="s">
        <v>114</v>
      </c>
      <c r="E1824" s="328" t="s">
        <v>1164</v>
      </c>
      <c r="F1824" s="328">
        <v>1146.422525</v>
      </c>
      <c r="G1824" s="328">
        <v>6292.3243249999996</v>
      </c>
      <c r="H1824" s="328">
        <v>6504.0708749999994</v>
      </c>
      <c r="I1824" s="329">
        <v>2.079331505951719E-2</v>
      </c>
      <c r="J1824" s="329">
        <v>0.50562844455685763</v>
      </c>
      <c r="K1824" s="329">
        <v>0.70560382137586553</v>
      </c>
    </row>
    <row r="1825" spans="1:11" ht="11.25" x14ac:dyDescent="0.15">
      <c r="A1825" s="326">
        <v>1.0249999999999999</v>
      </c>
      <c r="B1825" s="327">
        <v>50</v>
      </c>
      <c r="C1825" s="327" t="s">
        <v>115</v>
      </c>
      <c r="D1825" s="327" t="s">
        <v>113</v>
      </c>
      <c r="E1825" s="328" t="s">
        <v>1165</v>
      </c>
      <c r="F1825" s="328">
        <v>335.50135999999998</v>
      </c>
      <c r="G1825" s="328">
        <v>6206.1556499999997</v>
      </c>
      <c r="H1825" s="328">
        <v>6405.9640249999993</v>
      </c>
      <c r="I1825" s="329">
        <v>6.0851783083872134E-3</v>
      </c>
      <c r="J1825" s="329">
        <v>0.49870424121650048</v>
      </c>
      <c r="K1825" s="329">
        <v>0.69496055355275022</v>
      </c>
    </row>
    <row r="1826" spans="1:11" ht="11.25" x14ac:dyDescent="0.15">
      <c r="A1826" s="326">
        <v>1.05</v>
      </c>
      <c r="B1826" s="327">
        <v>50</v>
      </c>
      <c r="C1826" s="327" t="s">
        <v>115</v>
      </c>
      <c r="D1826" s="327" t="s">
        <v>79</v>
      </c>
      <c r="E1826" s="328" t="s">
        <v>1166</v>
      </c>
      <c r="F1826" s="328">
        <v>8094.4699500000006</v>
      </c>
      <c r="G1826" s="328">
        <v>7137.2920500000009</v>
      </c>
      <c r="H1826" s="328">
        <v>6939.2914500000006</v>
      </c>
      <c r="I1826" s="329">
        <v>0.14681398894368758</v>
      </c>
      <c r="J1826" s="329">
        <v>0.57352699752798042</v>
      </c>
      <c r="K1826" s="329">
        <v>0.75281937402947985</v>
      </c>
    </row>
    <row r="1827" spans="1:11" ht="11.25" x14ac:dyDescent="0.15">
      <c r="A1827" s="326">
        <v>1.05</v>
      </c>
      <c r="B1827" s="327">
        <v>50</v>
      </c>
      <c r="C1827" s="327" t="s">
        <v>115</v>
      </c>
      <c r="D1827" s="327" t="s">
        <v>114</v>
      </c>
      <c r="E1827" s="328" t="s">
        <v>1167</v>
      </c>
      <c r="F1827" s="328">
        <v>1244.9230500000001</v>
      </c>
      <c r="G1827" s="328">
        <v>6728.9019000000008</v>
      </c>
      <c r="H1827" s="328">
        <v>6841.9134000000004</v>
      </c>
      <c r="I1827" s="329">
        <v>2.2579874905637495E-2</v>
      </c>
      <c r="J1827" s="329">
        <v>0.54071024084930408</v>
      </c>
      <c r="K1827" s="329">
        <v>0.74225517116043749</v>
      </c>
    </row>
    <row r="1828" spans="1:11" ht="11.25" x14ac:dyDescent="0.15">
      <c r="A1828" s="326">
        <v>1.05</v>
      </c>
      <c r="B1828" s="327">
        <v>50</v>
      </c>
      <c r="C1828" s="327" t="s">
        <v>115</v>
      </c>
      <c r="D1828" s="327" t="s">
        <v>113</v>
      </c>
      <c r="E1828" s="328" t="s">
        <v>1168</v>
      </c>
      <c r="F1828" s="328">
        <v>363.80620500000003</v>
      </c>
      <c r="G1828" s="328">
        <v>6580.60095</v>
      </c>
      <c r="H1828" s="328">
        <v>6740.5169999999998</v>
      </c>
      <c r="I1828" s="329">
        <v>6.5985593236423017E-3</v>
      </c>
      <c r="J1828" s="329">
        <v>0.52879331241367311</v>
      </c>
      <c r="K1828" s="329">
        <v>0.73125503160341643</v>
      </c>
    </row>
    <row r="1829" spans="1:11" ht="11.25" x14ac:dyDescent="0.15">
      <c r="A1829" s="326">
        <v>1.075</v>
      </c>
      <c r="B1829" s="327">
        <v>50</v>
      </c>
      <c r="C1829" s="327" t="s">
        <v>115</v>
      </c>
      <c r="D1829" s="327" t="s">
        <v>79</v>
      </c>
      <c r="E1829" s="328" t="s">
        <v>1169</v>
      </c>
      <c r="F1829" s="328">
        <v>8774.2048250000007</v>
      </c>
      <c r="G1829" s="328">
        <v>7673.6897000000008</v>
      </c>
      <c r="H1829" s="328">
        <v>7289.2084249999989</v>
      </c>
      <c r="I1829" s="329">
        <v>0.15914272560455922</v>
      </c>
      <c r="J1829" s="329">
        <v>0.6166299743335274</v>
      </c>
      <c r="K1829" s="329">
        <v>0.79078063851589775</v>
      </c>
    </row>
    <row r="1830" spans="1:11" ht="11.25" x14ac:dyDescent="0.15">
      <c r="A1830" s="326">
        <v>1.075</v>
      </c>
      <c r="B1830" s="327">
        <v>50</v>
      </c>
      <c r="C1830" s="327" t="s">
        <v>115</v>
      </c>
      <c r="D1830" s="327" t="s">
        <v>114</v>
      </c>
      <c r="E1830" s="328" t="s">
        <v>1170</v>
      </c>
      <c r="F1830" s="328">
        <v>1350.6203249999999</v>
      </c>
      <c r="G1830" s="328">
        <v>7195.4264999999996</v>
      </c>
      <c r="H1830" s="328">
        <v>7188.67335</v>
      </c>
      <c r="I1830" s="329">
        <v>2.4496966285194457E-2</v>
      </c>
      <c r="J1830" s="329">
        <v>0.57819847185295781</v>
      </c>
      <c r="K1830" s="329">
        <v>0.77987394108506625</v>
      </c>
    </row>
    <row r="1831" spans="1:11" ht="11.25" x14ac:dyDescent="0.15">
      <c r="A1831" s="326">
        <v>1.075</v>
      </c>
      <c r="B1831" s="327">
        <v>50</v>
      </c>
      <c r="C1831" s="327" t="s">
        <v>115</v>
      </c>
      <c r="D1831" s="327" t="s">
        <v>113</v>
      </c>
      <c r="E1831" s="328" t="s">
        <v>1171</v>
      </c>
      <c r="F1831" s="328">
        <v>394.15337249999993</v>
      </c>
      <c r="G1831" s="328">
        <v>6979.1214499999996</v>
      </c>
      <c r="H1831" s="328">
        <v>7083.9006249999993</v>
      </c>
      <c r="I1831" s="329">
        <v>7.1489830995459004E-3</v>
      </c>
      <c r="J1831" s="329">
        <v>0.5608169796837198</v>
      </c>
      <c r="K1831" s="329">
        <v>0.7685075158789505</v>
      </c>
    </row>
    <row r="1832" spans="1:11" ht="11.25" x14ac:dyDescent="0.15">
      <c r="A1832" s="326">
        <v>1.1000000000000001</v>
      </c>
      <c r="B1832" s="327">
        <v>50</v>
      </c>
      <c r="C1832" s="327" t="s">
        <v>115</v>
      </c>
      <c r="D1832" s="327" t="s">
        <v>79</v>
      </c>
      <c r="E1832" s="328" t="s">
        <v>1172</v>
      </c>
      <c r="F1832" s="328">
        <v>9500.0674999999992</v>
      </c>
      <c r="G1832" s="328">
        <v>8240.6060000000016</v>
      </c>
      <c r="H1832" s="328">
        <v>7648.6883000000007</v>
      </c>
      <c r="I1832" s="329">
        <v>0.17230810831650384</v>
      </c>
      <c r="J1832" s="329">
        <v>0.66218531956963445</v>
      </c>
      <c r="K1832" s="329">
        <v>0.82977934845964807</v>
      </c>
    </row>
    <row r="1833" spans="1:11" ht="11.25" x14ac:dyDescent="0.15">
      <c r="A1833" s="326">
        <v>1.1000000000000001</v>
      </c>
      <c r="B1833" s="327">
        <v>50</v>
      </c>
      <c r="C1833" s="327" t="s">
        <v>115</v>
      </c>
      <c r="D1833" s="327" t="s">
        <v>114</v>
      </c>
      <c r="E1833" s="328" t="s">
        <v>1173</v>
      </c>
      <c r="F1833" s="328">
        <v>1463.9746</v>
      </c>
      <c r="G1833" s="328">
        <v>7692.1636000000008</v>
      </c>
      <c r="H1833" s="328">
        <v>7543.9001000000007</v>
      </c>
      <c r="I1833" s="329">
        <v>2.6552937013280209E-2</v>
      </c>
      <c r="J1833" s="329">
        <v>0.61811447017948795</v>
      </c>
      <c r="K1833" s="329">
        <v>0.81841124442509627</v>
      </c>
    </row>
    <row r="1834" spans="1:11" ht="11.25" x14ac:dyDescent="0.15">
      <c r="A1834" s="326">
        <v>1.1000000000000001</v>
      </c>
      <c r="B1834" s="327">
        <v>50</v>
      </c>
      <c r="C1834" s="327" t="s">
        <v>115</v>
      </c>
      <c r="D1834" s="327" t="s">
        <v>113</v>
      </c>
      <c r="E1834" s="328" t="s">
        <v>1174</v>
      </c>
      <c r="F1834" s="328">
        <v>426.67416000000003</v>
      </c>
      <c r="G1834" s="328">
        <v>7402.2454000000007</v>
      </c>
      <c r="H1834" s="328">
        <v>7436.0363000000007</v>
      </c>
      <c r="I1834" s="329">
        <v>7.7388310532670737E-3</v>
      </c>
      <c r="J1834" s="329">
        <v>0.59481769128773487</v>
      </c>
      <c r="K1834" s="329">
        <v>0.8067094793412215</v>
      </c>
    </row>
    <row r="1835" spans="1:11" ht="11.25" x14ac:dyDescent="0.15">
      <c r="A1835" s="326">
        <v>1.125</v>
      </c>
      <c r="B1835" s="327">
        <v>50</v>
      </c>
      <c r="C1835" s="327" t="s">
        <v>115</v>
      </c>
      <c r="D1835" s="327" t="s">
        <v>79</v>
      </c>
      <c r="E1835" s="328" t="s">
        <v>1175</v>
      </c>
      <c r="F1835" s="328">
        <v>10274.527125000001</v>
      </c>
      <c r="G1835" s="328">
        <v>8843.4449999999997</v>
      </c>
      <c r="H1835" s="328">
        <v>8015.5912500000004</v>
      </c>
      <c r="I1835" s="329">
        <v>0.18635492145243779</v>
      </c>
      <c r="J1835" s="329">
        <v>0.71062728316600554</v>
      </c>
      <c r="K1835" s="329">
        <v>0.86958336175679374</v>
      </c>
    </row>
    <row r="1836" spans="1:11" ht="11.25" x14ac:dyDescent="0.15">
      <c r="A1836" s="326">
        <v>1.125</v>
      </c>
      <c r="B1836" s="327">
        <v>50</v>
      </c>
      <c r="C1836" s="327" t="s">
        <v>115</v>
      </c>
      <c r="D1836" s="327" t="s">
        <v>114</v>
      </c>
      <c r="E1836" s="328" t="s">
        <v>1176</v>
      </c>
      <c r="F1836" s="328">
        <v>1585.4715000000001</v>
      </c>
      <c r="G1836" s="328">
        <v>8220.6179999999986</v>
      </c>
      <c r="H1836" s="328">
        <v>7907.90625</v>
      </c>
      <c r="I1836" s="329">
        <v>2.8756595145742896E-2</v>
      </c>
      <c r="J1836" s="329">
        <v>0.66057915611908724</v>
      </c>
      <c r="K1836" s="329">
        <v>0.85790099405737041</v>
      </c>
    </row>
    <row r="1837" spans="1:11" ht="11.25" x14ac:dyDescent="0.15">
      <c r="A1837" s="326">
        <v>1.125</v>
      </c>
      <c r="B1837" s="327">
        <v>50</v>
      </c>
      <c r="C1837" s="327" t="s">
        <v>115</v>
      </c>
      <c r="D1837" s="327" t="s">
        <v>113</v>
      </c>
      <c r="E1837" s="328" t="s">
        <v>1177</v>
      </c>
      <c r="F1837" s="328">
        <v>461.50784999999996</v>
      </c>
      <c r="G1837" s="328">
        <v>7851.1646250000003</v>
      </c>
      <c r="H1837" s="328">
        <v>7796.1487500000003</v>
      </c>
      <c r="I1837" s="329">
        <v>8.3706294304452897E-3</v>
      </c>
      <c r="J1837" s="329">
        <v>0.63089121797589076</v>
      </c>
      <c r="K1837" s="329">
        <v>0.84577681512652303</v>
      </c>
    </row>
    <row r="1838" spans="1:11" ht="11.25" x14ac:dyDescent="0.15">
      <c r="A1838" s="326">
        <v>1.1499999999999999</v>
      </c>
      <c r="B1838" s="327">
        <v>50</v>
      </c>
      <c r="C1838" s="327" t="s">
        <v>115</v>
      </c>
      <c r="D1838" s="327" t="s">
        <v>79</v>
      </c>
      <c r="E1838" s="328" t="s">
        <v>1178</v>
      </c>
      <c r="F1838" s="328">
        <v>11100.150749999999</v>
      </c>
      <c r="G1838" s="328">
        <v>9479.4614999999994</v>
      </c>
      <c r="H1838" s="328">
        <v>8391.9455999999991</v>
      </c>
      <c r="I1838" s="329">
        <v>0.20132972505306107</v>
      </c>
      <c r="J1838" s="329">
        <v>0.76173527077080794</v>
      </c>
      <c r="K1838" s="329">
        <v>0.91041272426761188</v>
      </c>
    </row>
    <row r="1839" spans="1:11" ht="11.25" x14ac:dyDescent="0.15">
      <c r="A1839" s="326">
        <v>1.1499999999999999</v>
      </c>
      <c r="B1839" s="327">
        <v>50</v>
      </c>
      <c r="C1839" s="327" t="s">
        <v>115</v>
      </c>
      <c r="D1839" s="327" t="s">
        <v>114</v>
      </c>
      <c r="E1839" s="328" t="s">
        <v>1179</v>
      </c>
      <c r="F1839" s="328">
        <v>1715.6251999999997</v>
      </c>
      <c r="G1839" s="328">
        <v>8782.6822499999998</v>
      </c>
      <c r="H1839" s="328">
        <v>8280.6198499999991</v>
      </c>
      <c r="I1839" s="329">
        <v>3.1117266565961088E-2</v>
      </c>
      <c r="J1839" s="329">
        <v>0.70574460815076034</v>
      </c>
      <c r="K1839" s="329">
        <v>0.89833538437891736</v>
      </c>
    </row>
    <row r="1840" spans="1:11" ht="11.25" x14ac:dyDescent="0.15">
      <c r="A1840" s="326">
        <v>1.1499999999999999</v>
      </c>
      <c r="B1840" s="327">
        <v>50</v>
      </c>
      <c r="C1840" s="327" t="s">
        <v>115</v>
      </c>
      <c r="D1840" s="327" t="s">
        <v>113</v>
      </c>
      <c r="E1840" s="328" t="s">
        <v>1180</v>
      </c>
      <c r="F1840" s="328">
        <v>498.80249499999996</v>
      </c>
      <c r="G1840" s="328">
        <v>8328.0642499999994</v>
      </c>
      <c r="H1840" s="328">
        <v>8164.9229499999992</v>
      </c>
      <c r="I1840" s="329">
        <v>9.0470635431803368E-3</v>
      </c>
      <c r="J1840" s="329">
        <v>0.66921314849693048</v>
      </c>
      <c r="K1840" s="329">
        <v>0.88578383376849423</v>
      </c>
    </row>
    <row r="1841" spans="1:11" ht="11.25" x14ac:dyDescent="0.15">
      <c r="A1841" s="326">
        <v>1.175</v>
      </c>
      <c r="B1841" s="327">
        <v>50</v>
      </c>
      <c r="C1841" s="327" t="s">
        <v>115</v>
      </c>
      <c r="D1841" s="327" t="s">
        <v>79</v>
      </c>
      <c r="E1841" s="328" t="s">
        <v>1181</v>
      </c>
      <c r="F1841" s="328">
        <v>11979.6185</v>
      </c>
      <c r="G1841" s="328">
        <v>10149.602999999999</v>
      </c>
      <c r="H1841" s="328">
        <v>8777.5390500000012</v>
      </c>
      <c r="I1841" s="329">
        <v>0.21728113006443306</v>
      </c>
      <c r="J1841" s="329">
        <v>0.81558542006011669</v>
      </c>
      <c r="K1841" s="329">
        <v>0.95224440431022905</v>
      </c>
    </row>
    <row r="1842" spans="1:11" ht="11.25" x14ac:dyDescent="0.15">
      <c r="A1842" s="326">
        <v>1.175</v>
      </c>
      <c r="B1842" s="327">
        <v>50</v>
      </c>
      <c r="C1842" s="327" t="s">
        <v>115</v>
      </c>
      <c r="D1842" s="327" t="s">
        <v>114</v>
      </c>
      <c r="E1842" s="328" t="s">
        <v>1182</v>
      </c>
      <c r="F1842" s="328">
        <v>1854.9783749999999</v>
      </c>
      <c r="G1842" s="328">
        <v>9378.3424000000014</v>
      </c>
      <c r="H1842" s="328">
        <v>8661.6523250000009</v>
      </c>
      <c r="I1842" s="329">
        <v>3.3644794077965473E-2</v>
      </c>
      <c r="J1842" s="329">
        <v>0.75360970530291727</v>
      </c>
      <c r="K1842" s="329">
        <v>0.93967226025179984</v>
      </c>
    </row>
    <row r="1843" spans="1:11" ht="11.25" x14ac:dyDescent="0.15">
      <c r="A1843" s="326">
        <v>1.175</v>
      </c>
      <c r="B1843" s="327">
        <v>50</v>
      </c>
      <c r="C1843" s="327" t="s">
        <v>115</v>
      </c>
      <c r="D1843" s="327" t="s">
        <v>113</v>
      </c>
      <c r="E1843" s="328" t="s">
        <v>1183</v>
      </c>
      <c r="F1843" s="328">
        <v>538.71529250000003</v>
      </c>
      <c r="G1843" s="328">
        <v>8833.8567999999996</v>
      </c>
      <c r="H1843" s="328">
        <v>8542.4626750000007</v>
      </c>
      <c r="I1843" s="329">
        <v>9.7709845716198399E-3</v>
      </c>
      <c r="J1843" s="329">
        <v>0.7098568100623166</v>
      </c>
      <c r="K1843" s="329">
        <v>0.92674179345265806</v>
      </c>
    </row>
    <row r="1844" spans="1:11" ht="11.25" x14ac:dyDescent="0.15">
      <c r="A1844" s="326">
        <v>1.2</v>
      </c>
      <c r="B1844" s="327">
        <v>50</v>
      </c>
      <c r="C1844" s="327" t="s">
        <v>115</v>
      </c>
      <c r="D1844" s="327" t="s">
        <v>79</v>
      </c>
      <c r="E1844" s="328" t="s">
        <v>1184</v>
      </c>
      <c r="F1844" s="328">
        <v>12915.696</v>
      </c>
      <c r="G1844" s="328">
        <v>10855.106399999999</v>
      </c>
      <c r="H1844" s="328">
        <v>9171.2579999999998</v>
      </c>
      <c r="I1844" s="329">
        <v>0.2342592981945692</v>
      </c>
      <c r="J1844" s="329">
        <v>0.87227712384821965</v>
      </c>
      <c r="K1844" s="329">
        <v>0.99495759132913475</v>
      </c>
    </row>
    <row r="1845" spans="1:11" ht="11.25" x14ac:dyDescent="0.15">
      <c r="A1845" s="326">
        <v>1.2</v>
      </c>
      <c r="B1845" s="327">
        <v>50</v>
      </c>
      <c r="C1845" s="327" t="s">
        <v>115</v>
      </c>
      <c r="D1845" s="327" t="s">
        <v>114</v>
      </c>
      <c r="E1845" s="328" t="s">
        <v>1185</v>
      </c>
      <c r="F1845" s="328">
        <v>2004.1067999999998</v>
      </c>
      <c r="G1845" s="328">
        <v>10007.584800000001</v>
      </c>
      <c r="H1845" s="328">
        <v>9051.6</v>
      </c>
      <c r="I1845" s="329">
        <v>3.6349620839245811E-2</v>
      </c>
      <c r="J1845" s="329">
        <v>0.80417335071088403</v>
      </c>
      <c r="K1845" s="329">
        <v>0.9819763148822982</v>
      </c>
    </row>
    <row r="1846" spans="1:11" ht="11.25" x14ac:dyDescent="0.15">
      <c r="A1846" s="326">
        <v>1.2</v>
      </c>
      <c r="B1846" s="327">
        <v>50</v>
      </c>
      <c r="C1846" s="327" t="s">
        <v>115</v>
      </c>
      <c r="D1846" s="327" t="s">
        <v>113</v>
      </c>
      <c r="E1846" s="328" t="s">
        <v>1186</v>
      </c>
      <c r="F1846" s="328">
        <v>581.41272000000004</v>
      </c>
      <c r="G1846" s="328">
        <v>9369.8747999999996</v>
      </c>
      <c r="H1846" s="328">
        <v>8928.4871999999996</v>
      </c>
      <c r="I1846" s="329">
        <v>1.0545412012530767E-2</v>
      </c>
      <c r="J1846" s="329">
        <v>0.75292927956578226</v>
      </c>
      <c r="K1846" s="329">
        <v>0.96862023930904684</v>
      </c>
    </row>
    <row r="1847" spans="1:11" ht="11.25" x14ac:dyDescent="0.15">
      <c r="A1847" s="326">
        <v>1.2250000000000001</v>
      </c>
      <c r="B1847" s="327">
        <v>50</v>
      </c>
      <c r="C1847" s="327" t="s">
        <v>115</v>
      </c>
      <c r="D1847" s="327" t="s">
        <v>79</v>
      </c>
      <c r="E1847" s="328" t="s">
        <v>1187</v>
      </c>
      <c r="F1847" s="328">
        <v>13911.271500000003</v>
      </c>
      <c r="G1847" s="328">
        <v>11597.86145</v>
      </c>
      <c r="H1847" s="328">
        <v>9574.3452000000016</v>
      </c>
      <c r="I1847" s="329">
        <v>0.25231661527060661</v>
      </c>
      <c r="J1847" s="329">
        <v>0.93196223561623892</v>
      </c>
      <c r="K1847" s="329">
        <v>1.0386871069100514</v>
      </c>
    </row>
    <row r="1848" spans="1:11" ht="11.25" x14ac:dyDescent="0.15">
      <c r="A1848" s="326">
        <v>1.2250000000000001</v>
      </c>
      <c r="B1848" s="327">
        <v>50</v>
      </c>
      <c r="C1848" s="327" t="s">
        <v>115</v>
      </c>
      <c r="D1848" s="327" t="s">
        <v>114</v>
      </c>
      <c r="E1848" s="328" t="s">
        <v>1188</v>
      </c>
      <c r="F1848" s="328">
        <v>2163.6170500000003</v>
      </c>
      <c r="G1848" s="328">
        <v>10672.672850000001</v>
      </c>
      <c r="H1848" s="328">
        <v>9450.0126000000018</v>
      </c>
      <c r="I1848" s="329">
        <v>3.9242748644347479E-2</v>
      </c>
      <c r="J1848" s="329">
        <v>0.85761742301954613</v>
      </c>
      <c r="K1848" s="329">
        <v>1.0251986995160289</v>
      </c>
    </row>
    <row r="1849" spans="1:11" ht="11.25" x14ac:dyDescent="0.15">
      <c r="A1849" s="326">
        <v>1.2250000000000001</v>
      </c>
      <c r="B1849" s="327">
        <v>50</v>
      </c>
      <c r="C1849" s="327" t="s">
        <v>115</v>
      </c>
      <c r="D1849" s="327" t="s">
        <v>113</v>
      </c>
      <c r="E1849" s="328" t="s">
        <v>1189</v>
      </c>
      <c r="F1849" s="328">
        <v>627.07223250000004</v>
      </c>
      <c r="G1849" s="328">
        <v>9937.1779500000011</v>
      </c>
      <c r="H1849" s="328">
        <v>9323.2851250000003</v>
      </c>
      <c r="I1849" s="329">
        <v>1.1373564467818981E-2</v>
      </c>
      <c r="J1849" s="329">
        <v>0.79851571066995242</v>
      </c>
      <c r="K1849" s="329">
        <v>1.0114504805387388</v>
      </c>
    </row>
    <row r="1850" spans="1:11" ht="11.25" x14ac:dyDescent="0.15">
      <c r="A1850" s="326">
        <v>1.25</v>
      </c>
      <c r="B1850" s="327">
        <v>50</v>
      </c>
      <c r="C1850" s="327" t="s">
        <v>115</v>
      </c>
      <c r="D1850" s="327" t="s">
        <v>79</v>
      </c>
      <c r="E1850" s="328" t="s">
        <v>1190</v>
      </c>
      <c r="F1850" s="328">
        <v>14969.349999999999</v>
      </c>
      <c r="G1850" s="328">
        <v>12375.784999999998</v>
      </c>
      <c r="H1850" s="328">
        <v>9985.6062500000007</v>
      </c>
      <c r="I1850" s="329">
        <v>0.27150758468059905</v>
      </c>
      <c r="J1850" s="329">
        <v>0.99447336095793015</v>
      </c>
      <c r="K1850" s="329">
        <v>1.0833033747890588</v>
      </c>
    </row>
    <row r="1851" spans="1:11" ht="11.25" x14ac:dyDescent="0.15">
      <c r="A1851" s="326">
        <v>1.25</v>
      </c>
      <c r="B1851" s="327">
        <v>50</v>
      </c>
      <c r="C1851" s="327" t="s">
        <v>115</v>
      </c>
      <c r="D1851" s="327" t="s">
        <v>114</v>
      </c>
      <c r="E1851" s="328" t="s">
        <v>1191</v>
      </c>
      <c r="F1851" s="328">
        <v>2334.1512500000003</v>
      </c>
      <c r="G1851" s="328">
        <v>11373.971249999999</v>
      </c>
      <c r="H1851" s="328">
        <v>9856.9037499999995</v>
      </c>
      <c r="I1851" s="329">
        <v>4.2335824078313433E-2</v>
      </c>
      <c r="J1851" s="329">
        <v>0.91397122820300858</v>
      </c>
      <c r="K1851" s="329">
        <v>1.0693408922814205</v>
      </c>
    </row>
    <row r="1852" spans="1:11" ht="11.25" x14ac:dyDescent="0.15">
      <c r="A1852" s="326">
        <v>1.25</v>
      </c>
      <c r="B1852" s="327">
        <v>50</v>
      </c>
      <c r="C1852" s="327" t="s">
        <v>115</v>
      </c>
      <c r="D1852" s="327" t="s">
        <v>113</v>
      </c>
      <c r="E1852" s="328" t="s">
        <v>1192</v>
      </c>
      <c r="F1852" s="328">
        <v>675.8805000000001</v>
      </c>
      <c r="G1852" s="328">
        <v>10536.641250000001</v>
      </c>
      <c r="H1852" s="328">
        <v>9726.4637500000008</v>
      </c>
      <c r="I1852" s="329">
        <v>1.2258827677067851E-2</v>
      </c>
      <c r="J1852" s="329">
        <v>0.84668641521289101</v>
      </c>
      <c r="K1852" s="329">
        <v>1.0551899144970236</v>
      </c>
    </row>
    <row r="1853" spans="1:11" ht="11.25" x14ac:dyDescent="0.15">
      <c r="A1853" s="326">
        <v>1.2749999999999999</v>
      </c>
      <c r="B1853" s="327">
        <v>50</v>
      </c>
      <c r="C1853" s="327" t="s">
        <v>115</v>
      </c>
      <c r="D1853" s="327" t="s">
        <v>79</v>
      </c>
      <c r="E1853" s="328" t="s">
        <v>1193</v>
      </c>
      <c r="F1853" s="328">
        <v>16093.05</v>
      </c>
      <c r="G1853" s="328">
        <v>13191.557999999999</v>
      </c>
      <c r="H1853" s="328">
        <v>10406.176424999998</v>
      </c>
      <c r="I1853" s="329">
        <v>0.29188876842642564</v>
      </c>
      <c r="J1853" s="329">
        <v>1.0600259313273035</v>
      </c>
      <c r="K1853" s="329">
        <v>1.1289295569663425</v>
      </c>
    </row>
    <row r="1854" spans="1:11" ht="11.25" x14ac:dyDescent="0.15">
      <c r="A1854" s="326">
        <v>1.2749999999999999</v>
      </c>
      <c r="B1854" s="327">
        <v>50</v>
      </c>
      <c r="C1854" s="327" t="s">
        <v>115</v>
      </c>
      <c r="D1854" s="327" t="s">
        <v>114</v>
      </c>
      <c r="E1854" s="328" t="s">
        <v>1194</v>
      </c>
      <c r="F1854" s="328">
        <v>2516.3884499999999</v>
      </c>
      <c r="G1854" s="328">
        <v>12111.334650000001</v>
      </c>
      <c r="H1854" s="328">
        <v>10272.820349999998</v>
      </c>
      <c r="I1854" s="329">
        <v>4.5641163455838518E-2</v>
      </c>
      <c r="J1854" s="329">
        <v>0.97322308646051459</v>
      </c>
      <c r="K1854" s="329">
        <v>1.1144622244399751</v>
      </c>
    </row>
    <row r="1855" spans="1:11" ht="11.25" x14ac:dyDescent="0.15">
      <c r="A1855" s="326">
        <v>1.2749999999999999</v>
      </c>
      <c r="B1855" s="327">
        <v>50</v>
      </c>
      <c r="C1855" s="327" t="s">
        <v>115</v>
      </c>
      <c r="D1855" s="327" t="s">
        <v>113</v>
      </c>
      <c r="E1855" s="328" t="s">
        <v>1195</v>
      </c>
      <c r="F1855" s="328">
        <v>728.03902499999992</v>
      </c>
      <c r="G1855" s="328">
        <v>11169.67575</v>
      </c>
      <c r="H1855" s="328">
        <v>10138.585799999999</v>
      </c>
      <c r="I1855" s="329">
        <v>1.320485640531942E-2</v>
      </c>
      <c r="J1855" s="329">
        <v>0.89755478007357037</v>
      </c>
      <c r="K1855" s="329">
        <v>1.099899589244111</v>
      </c>
    </row>
    <row r="1856" spans="1:11" ht="11.25" x14ac:dyDescent="0.15">
      <c r="A1856" s="326">
        <v>1.3</v>
      </c>
      <c r="B1856" s="327">
        <v>50</v>
      </c>
      <c r="C1856" s="327" t="s">
        <v>115</v>
      </c>
      <c r="D1856" s="327" t="s">
        <v>79</v>
      </c>
      <c r="E1856" s="328" t="s">
        <v>1196</v>
      </c>
      <c r="F1856" s="328">
        <v>17285.593000000001</v>
      </c>
      <c r="G1856" s="328">
        <v>14044.394</v>
      </c>
      <c r="H1856" s="328">
        <v>10835.464900000001</v>
      </c>
      <c r="I1856" s="329">
        <v>0.31351859667933946</v>
      </c>
      <c r="J1856" s="329">
        <v>1.1285567504443064</v>
      </c>
      <c r="K1856" s="329">
        <v>1.1755015569113185</v>
      </c>
    </row>
    <row r="1857" spans="1:11" ht="11.25" x14ac:dyDescent="0.15">
      <c r="A1857" s="326">
        <v>1.3</v>
      </c>
      <c r="B1857" s="327">
        <v>50</v>
      </c>
      <c r="C1857" s="327" t="s">
        <v>115</v>
      </c>
      <c r="D1857" s="327" t="s">
        <v>114</v>
      </c>
      <c r="E1857" s="328" t="s">
        <v>1197</v>
      </c>
      <c r="F1857" s="328">
        <v>2711.0446999999999</v>
      </c>
      <c r="G1857" s="328">
        <v>12884.223300000001</v>
      </c>
      <c r="H1857" s="328">
        <v>10697.8235</v>
      </c>
      <c r="I1857" s="329">
        <v>4.9171754181586994E-2</v>
      </c>
      <c r="J1857" s="329">
        <v>1.0353296254325264</v>
      </c>
      <c r="K1857" s="329">
        <v>1.1605693245162456</v>
      </c>
    </row>
    <row r="1858" spans="1:11" ht="11.25" x14ac:dyDescent="0.15">
      <c r="A1858" s="326">
        <v>1.3</v>
      </c>
      <c r="B1858" s="327">
        <v>50</v>
      </c>
      <c r="C1858" s="327" t="s">
        <v>115</v>
      </c>
      <c r="D1858" s="327" t="s">
        <v>113</v>
      </c>
      <c r="E1858" s="328" t="s">
        <v>1198</v>
      </c>
      <c r="F1858" s="328">
        <v>783.75777999999991</v>
      </c>
      <c r="G1858" s="328">
        <v>11836.1412</v>
      </c>
      <c r="H1858" s="328">
        <v>10559.646500000001</v>
      </c>
      <c r="I1858" s="329">
        <v>1.4215459042806021E-2</v>
      </c>
      <c r="J1858" s="329">
        <v>0.9511095352688036</v>
      </c>
      <c r="K1858" s="329">
        <v>1.1455789867570108</v>
      </c>
    </row>
    <row r="1859" spans="1:11" ht="11.25" x14ac:dyDescent="0.15">
      <c r="A1859" s="326">
        <v>1.325</v>
      </c>
      <c r="B1859" s="327">
        <v>50</v>
      </c>
      <c r="C1859" s="327" t="s">
        <v>115</v>
      </c>
      <c r="D1859" s="327" t="s">
        <v>79</v>
      </c>
      <c r="E1859" s="328" t="s">
        <v>1199</v>
      </c>
      <c r="F1859" s="328">
        <v>18550.344499999999</v>
      </c>
      <c r="G1859" s="328">
        <v>14934.843499999999</v>
      </c>
      <c r="H1859" s="328">
        <v>11274.300450000001</v>
      </c>
      <c r="I1859" s="329">
        <v>0.33645811142020426</v>
      </c>
      <c r="J1859" s="329">
        <v>1.2001100544996297</v>
      </c>
      <c r="K1859" s="329">
        <v>1.2231092855149186</v>
      </c>
    </row>
    <row r="1860" spans="1:11" ht="11.25" x14ac:dyDescent="0.15">
      <c r="A1860" s="326">
        <v>1.325</v>
      </c>
      <c r="B1860" s="327">
        <v>50</v>
      </c>
      <c r="C1860" s="327" t="s">
        <v>115</v>
      </c>
      <c r="D1860" s="327" t="s">
        <v>114</v>
      </c>
      <c r="E1860" s="328" t="s">
        <v>1200</v>
      </c>
      <c r="F1860" s="328">
        <v>2918.8795999999998</v>
      </c>
      <c r="G1860" s="328">
        <v>13696.180499999999</v>
      </c>
      <c r="H1860" s="328">
        <v>11131.2773</v>
      </c>
      <c r="I1860" s="329">
        <v>5.2941373551254597E-2</v>
      </c>
      <c r="J1860" s="329">
        <v>1.1005755719028301</v>
      </c>
      <c r="K1860" s="329">
        <v>1.2075932059511001</v>
      </c>
    </row>
    <row r="1861" spans="1:11" ht="11.25" x14ac:dyDescent="0.15">
      <c r="A1861" s="326">
        <v>1.325</v>
      </c>
      <c r="B1861" s="327">
        <v>50</v>
      </c>
      <c r="C1861" s="327" t="s">
        <v>115</v>
      </c>
      <c r="D1861" s="327" t="s">
        <v>113</v>
      </c>
      <c r="E1861" s="328" t="s">
        <v>1201</v>
      </c>
      <c r="F1861" s="328">
        <v>843.26405249999993</v>
      </c>
      <c r="G1861" s="328">
        <v>12537.44945</v>
      </c>
      <c r="H1861" s="328">
        <v>10988.565525</v>
      </c>
      <c r="I1861" s="329">
        <v>1.5294758031728087E-2</v>
      </c>
      <c r="J1861" s="329">
        <v>1.0074641319626718</v>
      </c>
      <c r="K1861" s="329">
        <v>1.1921109063681743</v>
      </c>
    </row>
    <row r="1862" spans="1:11" ht="11.25" x14ac:dyDescent="0.15">
      <c r="A1862" s="326">
        <v>1.35</v>
      </c>
      <c r="B1862" s="327">
        <v>50</v>
      </c>
      <c r="C1862" s="327" t="s">
        <v>115</v>
      </c>
      <c r="D1862" s="327" t="s">
        <v>79</v>
      </c>
      <c r="E1862" s="328" t="s">
        <v>1202</v>
      </c>
      <c r="F1862" s="328">
        <v>19890.7785</v>
      </c>
      <c r="G1862" s="328">
        <v>15863.985000000002</v>
      </c>
      <c r="H1862" s="328">
        <v>11722.19175</v>
      </c>
      <c r="I1862" s="329">
        <v>0.3607703225558751</v>
      </c>
      <c r="J1862" s="329">
        <v>1.2747725078559617</v>
      </c>
      <c r="K1862" s="329">
        <v>1.2716994406523352</v>
      </c>
    </row>
    <row r="1863" spans="1:11" ht="11.25" x14ac:dyDescent="0.15">
      <c r="A1863" s="326">
        <v>1.35</v>
      </c>
      <c r="B1863" s="327">
        <v>50</v>
      </c>
      <c r="C1863" s="327" t="s">
        <v>115</v>
      </c>
      <c r="D1863" s="327" t="s">
        <v>114</v>
      </c>
      <c r="E1863" s="328" t="s">
        <v>1203</v>
      </c>
      <c r="F1863" s="328">
        <v>3140.69265</v>
      </c>
      <c r="G1863" s="328">
        <v>14545.237500000001</v>
      </c>
      <c r="H1863" s="328">
        <v>11573.803800000002</v>
      </c>
      <c r="I1863" s="329">
        <v>5.6964522549450045E-2</v>
      </c>
      <c r="J1863" s="329">
        <v>1.1688027242357819</v>
      </c>
      <c r="K1863" s="329">
        <v>1.2556013527657808</v>
      </c>
    </row>
    <row r="1864" spans="1:11" ht="11.25" x14ac:dyDescent="0.15">
      <c r="A1864" s="326">
        <v>1.35</v>
      </c>
      <c r="B1864" s="327">
        <v>50</v>
      </c>
      <c r="C1864" s="327" t="s">
        <v>115</v>
      </c>
      <c r="D1864" s="327" t="s">
        <v>113</v>
      </c>
      <c r="E1864" s="328" t="s">
        <v>1204</v>
      </c>
      <c r="F1864" s="328">
        <v>906.79743000000008</v>
      </c>
      <c r="G1864" s="328">
        <v>13273.883100000001</v>
      </c>
      <c r="H1864" s="328">
        <v>11426.274449999999</v>
      </c>
      <c r="I1864" s="329">
        <v>1.6447098906356962E-2</v>
      </c>
      <c r="J1864" s="329">
        <v>1.0666412788699604</v>
      </c>
      <c r="K1864" s="329">
        <v>1.2395964113797293</v>
      </c>
    </row>
    <row r="1865" spans="1:11" ht="11.25" x14ac:dyDescent="0.15">
      <c r="A1865" s="326">
        <v>1.375</v>
      </c>
      <c r="B1865" s="327">
        <v>50</v>
      </c>
      <c r="C1865" s="327" t="s">
        <v>115</v>
      </c>
      <c r="D1865" s="327" t="s">
        <v>79</v>
      </c>
      <c r="E1865" s="328" t="s">
        <v>1205</v>
      </c>
      <c r="F1865" s="328">
        <v>21310.506250000002</v>
      </c>
      <c r="G1865" s="328">
        <v>16831.2925</v>
      </c>
      <c r="H1865" s="328">
        <v>12178.740749999999</v>
      </c>
      <c r="I1865" s="329">
        <v>0.38652072937424209</v>
      </c>
      <c r="J1865" s="329">
        <v>1.3525018430540774</v>
      </c>
      <c r="K1865" s="329">
        <v>1.3212288392761362</v>
      </c>
    </row>
    <row r="1866" spans="1:11" ht="11.25" x14ac:dyDescent="0.15">
      <c r="A1866" s="326">
        <v>1.375</v>
      </c>
      <c r="B1866" s="327">
        <v>50</v>
      </c>
      <c r="C1866" s="327" t="s">
        <v>115</v>
      </c>
      <c r="D1866" s="327" t="s">
        <v>114</v>
      </c>
      <c r="E1866" s="328" t="s">
        <v>1206</v>
      </c>
      <c r="F1866" s="328">
        <v>3377.3327500000005</v>
      </c>
      <c r="G1866" s="328">
        <v>15433.6325</v>
      </c>
      <c r="H1866" s="328">
        <v>12024.798499999999</v>
      </c>
      <c r="I1866" s="329">
        <v>6.1256598156578981E-2</v>
      </c>
      <c r="J1866" s="329">
        <v>1.24019093609533</v>
      </c>
      <c r="K1866" s="329">
        <v>1.3045281848769483</v>
      </c>
    </row>
    <row r="1867" spans="1:11" ht="11.25" x14ac:dyDescent="0.15">
      <c r="A1867" s="326">
        <v>1.375</v>
      </c>
      <c r="B1867" s="327">
        <v>50</v>
      </c>
      <c r="C1867" s="327" t="s">
        <v>115</v>
      </c>
      <c r="D1867" s="327" t="s">
        <v>113</v>
      </c>
      <c r="E1867" s="328" t="s">
        <v>1207</v>
      </c>
      <c r="F1867" s="328">
        <v>974.61003750000009</v>
      </c>
      <c r="G1867" s="328">
        <v>14046.518749999999</v>
      </c>
      <c r="H1867" s="328">
        <v>11872.867875</v>
      </c>
      <c r="I1867" s="329">
        <v>1.7677054600706985E-2</v>
      </c>
      <c r="J1867" s="329">
        <v>1.128727487676223</v>
      </c>
      <c r="K1867" s="329">
        <v>1.2880457646136509</v>
      </c>
    </row>
    <row r="1868" spans="1:11" ht="11.25" x14ac:dyDescent="0.15">
      <c r="A1868" s="326">
        <v>1.4</v>
      </c>
      <c r="B1868" s="327">
        <v>50</v>
      </c>
      <c r="C1868" s="327" t="s">
        <v>115</v>
      </c>
      <c r="D1868" s="327" t="s">
        <v>79</v>
      </c>
      <c r="E1868" s="328" t="s">
        <v>1208</v>
      </c>
      <c r="F1868" s="328">
        <v>22813.294000000002</v>
      </c>
      <c r="G1868" s="328">
        <v>17834.851999999999</v>
      </c>
      <c r="H1868" s="328">
        <v>12646.1888</v>
      </c>
      <c r="I1868" s="329">
        <v>0.41377764248603999</v>
      </c>
      <c r="J1868" s="329">
        <v>1.4331442579704854</v>
      </c>
      <c r="K1868" s="329">
        <v>1.3719406375811782</v>
      </c>
    </row>
    <row r="1869" spans="1:11" ht="11.25" x14ac:dyDescent="0.15">
      <c r="A1869" s="326">
        <v>1.4</v>
      </c>
      <c r="B1869" s="327">
        <v>50</v>
      </c>
      <c r="C1869" s="327" t="s">
        <v>115</v>
      </c>
      <c r="D1869" s="327" t="s">
        <v>114</v>
      </c>
      <c r="E1869" s="328" t="s">
        <v>1209</v>
      </c>
      <c r="F1869" s="328">
        <v>3629.6903999999995</v>
      </c>
      <c r="G1869" s="328">
        <v>16359.475999999999</v>
      </c>
      <c r="H1869" s="328">
        <v>12484.736599999998</v>
      </c>
      <c r="I1869" s="329">
        <v>6.5833751875823424E-2</v>
      </c>
      <c r="J1869" s="329">
        <v>1.3145883740894495</v>
      </c>
      <c r="K1869" s="329">
        <v>1.3544252550647566</v>
      </c>
    </row>
    <row r="1870" spans="1:11" ht="11.25" x14ac:dyDescent="0.15">
      <c r="A1870" s="326">
        <v>1.4</v>
      </c>
      <c r="B1870" s="327">
        <v>50</v>
      </c>
      <c r="C1870" s="327" t="s">
        <v>115</v>
      </c>
      <c r="D1870" s="327" t="s">
        <v>113</v>
      </c>
      <c r="E1870" s="328" t="s">
        <v>1210</v>
      </c>
      <c r="F1870" s="328">
        <v>1046.9758599999998</v>
      </c>
      <c r="G1870" s="328">
        <v>14855.4</v>
      </c>
      <c r="H1870" s="328">
        <v>12328.702399999996</v>
      </c>
      <c r="I1870" s="329">
        <v>1.8989594536001426E-2</v>
      </c>
      <c r="J1870" s="329">
        <v>1.1937262619199056</v>
      </c>
      <c r="K1870" s="329">
        <v>1.3374976523523512</v>
      </c>
    </row>
    <row r="1871" spans="1:11" ht="11.25" x14ac:dyDescent="0.15">
      <c r="A1871" s="326">
        <v>0.9</v>
      </c>
      <c r="B1871" s="327">
        <v>75</v>
      </c>
      <c r="C1871" s="327" t="s">
        <v>115</v>
      </c>
      <c r="D1871" s="327" t="s">
        <v>79</v>
      </c>
      <c r="E1871" s="328" t="s">
        <v>1211</v>
      </c>
      <c r="F1871" s="328">
        <v>8264.4480000000021</v>
      </c>
      <c r="G1871" s="328">
        <v>4744.3392000000003</v>
      </c>
      <c r="H1871" s="328">
        <v>5034.3191999999999</v>
      </c>
      <c r="I1871" s="329">
        <v>0.14989697716991104</v>
      </c>
      <c r="J1871" s="329">
        <v>0.3812379537741209</v>
      </c>
      <c r="K1871" s="329">
        <v>0.54615562065902157</v>
      </c>
    </row>
    <row r="1872" spans="1:11" ht="11.25" x14ac:dyDescent="0.15">
      <c r="A1872" s="326">
        <v>0.9</v>
      </c>
      <c r="B1872" s="327">
        <v>75</v>
      </c>
      <c r="C1872" s="327" t="s">
        <v>115</v>
      </c>
      <c r="D1872" s="327" t="s">
        <v>114</v>
      </c>
      <c r="E1872" s="328" t="s">
        <v>1212</v>
      </c>
      <c r="F1872" s="328">
        <v>1544.3964000000001</v>
      </c>
      <c r="G1872" s="328">
        <v>4658.4332999999997</v>
      </c>
      <c r="H1872" s="328">
        <v>4959.2178000000004</v>
      </c>
      <c r="I1872" s="329">
        <v>2.8011592778137483E-2</v>
      </c>
      <c r="J1872" s="329">
        <v>0.37433486608318928</v>
      </c>
      <c r="K1872" s="329">
        <v>0.53800813336235564</v>
      </c>
    </row>
    <row r="1873" spans="1:11" ht="11.25" x14ac:dyDescent="0.15">
      <c r="A1873" s="326">
        <v>0.9</v>
      </c>
      <c r="B1873" s="327">
        <v>75</v>
      </c>
      <c r="C1873" s="327" t="s">
        <v>115</v>
      </c>
      <c r="D1873" s="327" t="s">
        <v>113</v>
      </c>
      <c r="E1873" s="328" t="s">
        <v>1213</v>
      </c>
      <c r="F1873" s="328">
        <v>498.19491000000011</v>
      </c>
      <c r="G1873" s="328">
        <v>4711.7601000000004</v>
      </c>
      <c r="H1873" s="328">
        <v>4878.3941999999997</v>
      </c>
      <c r="I1873" s="329">
        <v>9.0360434296925685E-3</v>
      </c>
      <c r="J1873" s="329">
        <v>0.37862001502728709</v>
      </c>
      <c r="K1873" s="329">
        <v>0.52923986467134843</v>
      </c>
    </row>
    <row r="1874" spans="1:11" ht="11.25" x14ac:dyDescent="0.15">
      <c r="A1874" s="326">
        <v>0.92500000000000004</v>
      </c>
      <c r="B1874" s="327">
        <v>75</v>
      </c>
      <c r="C1874" s="327" t="s">
        <v>115</v>
      </c>
      <c r="D1874" s="327" t="s">
        <v>79</v>
      </c>
      <c r="E1874" s="328" t="s">
        <v>1214</v>
      </c>
      <c r="F1874" s="328">
        <v>8983.9552000000003</v>
      </c>
      <c r="G1874" s="328">
        <v>5123.2003750000003</v>
      </c>
      <c r="H1874" s="328">
        <v>5332.4733000000006</v>
      </c>
      <c r="I1874" s="329">
        <v>0.16294708702987826</v>
      </c>
      <c r="J1874" s="329">
        <v>0.41168186872890727</v>
      </c>
      <c r="K1874" s="329">
        <v>0.57850131251295334</v>
      </c>
    </row>
    <row r="1875" spans="1:11" ht="11.25" x14ac:dyDescent="0.15">
      <c r="A1875" s="326">
        <v>0.92500000000000004</v>
      </c>
      <c r="B1875" s="327">
        <v>75</v>
      </c>
      <c r="C1875" s="327" t="s">
        <v>115</v>
      </c>
      <c r="D1875" s="327" t="s">
        <v>114</v>
      </c>
      <c r="E1875" s="328" t="s">
        <v>1215</v>
      </c>
      <c r="F1875" s="328">
        <v>1679.5650500000002</v>
      </c>
      <c r="G1875" s="328">
        <v>4992.4571750000005</v>
      </c>
      <c r="H1875" s="328">
        <v>5254.4893250000005</v>
      </c>
      <c r="I1875" s="329">
        <v>3.0463223188678841E-2</v>
      </c>
      <c r="J1875" s="329">
        <v>0.40117581763587395</v>
      </c>
      <c r="K1875" s="329">
        <v>0.57004110477173919</v>
      </c>
    </row>
    <row r="1876" spans="1:11" ht="11.25" x14ac:dyDescent="0.15">
      <c r="A1876" s="326">
        <v>0.92500000000000004</v>
      </c>
      <c r="B1876" s="327">
        <v>75</v>
      </c>
      <c r="C1876" s="327" t="s">
        <v>115</v>
      </c>
      <c r="D1876" s="327" t="s">
        <v>113</v>
      </c>
      <c r="E1876" s="328" t="s">
        <v>1216</v>
      </c>
      <c r="F1876" s="328">
        <v>540.82946249999998</v>
      </c>
      <c r="G1876" s="328">
        <v>5009.3550750000004</v>
      </c>
      <c r="H1876" s="328">
        <v>5170.7083750000002</v>
      </c>
      <c r="I1876" s="329">
        <v>9.8093304710947116E-3</v>
      </c>
      <c r="J1876" s="329">
        <v>0.40253367181693245</v>
      </c>
      <c r="K1876" s="329">
        <v>0.56095200355887764</v>
      </c>
    </row>
    <row r="1877" spans="1:11" ht="11.25" x14ac:dyDescent="0.15">
      <c r="A1877" s="326">
        <v>0.95</v>
      </c>
      <c r="B1877" s="327">
        <v>75</v>
      </c>
      <c r="C1877" s="327" t="s">
        <v>115</v>
      </c>
      <c r="D1877" s="327" t="s">
        <v>79</v>
      </c>
      <c r="E1877" s="328" t="s">
        <v>1217</v>
      </c>
      <c r="F1877" s="328">
        <v>9752.5194999999985</v>
      </c>
      <c r="G1877" s="328">
        <v>5529.3657499999999</v>
      </c>
      <c r="H1877" s="328">
        <v>5639.4555499999988</v>
      </c>
      <c r="I1877" s="329">
        <v>0.1768869733151702</v>
      </c>
      <c r="J1877" s="329">
        <v>0.4443198505281214</v>
      </c>
      <c r="K1877" s="329">
        <v>0.61180473937552726</v>
      </c>
    </row>
    <row r="1878" spans="1:11" ht="11.25" x14ac:dyDescent="0.15">
      <c r="A1878" s="326">
        <v>0.95</v>
      </c>
      <c r="B1878" s="327">
        <v>75</v>
      </c>
      <c r="C1878" s="327" t="s">
        <v>115</v>
      </c>
      <c r="D1878" s="327" t="s">
        <v>114</v>
      </c>
      <c r="E1878" s="328" t="s">
        <v>1218</v>
      </c>
      <c r="F1878" s="328">
        <v>1824.4531500000001</v>
      </c>
      <c r="G1878" s="328">
        <v>5349.7121999999999</v>
      </c>
      <c r="H1878" s="328">
        <v>5558.5193500000005</v>
      </c>
      <c r="I1878" s="329">
        <v>3.3091140772272057E-2</v>
      </c>
      <c r="J1878" s="329">
        <v>0.42988354045352628</v>
      </c>
      <c r="K1878" s="329">
        <v>0.60302425510572144</v>
      </c>
    </row>
    <row r="1879" spans="1:11" ht="11.25" x14ac:dyDescent="0.15">
      <c r="A1879" s="326">
        <v>0.95</v>
      </c>
      <c r="B1879" s="327">
        <v>75</v>
      </c>
      <c r="C1879" s="327" t="s">
        <v>115</v>
      </c>
      <c r="D1879" s="327" t="s">
        <v>113</v>
      </c>
      <c r="E1879" s="328" t="s">
        <v>1219</v>
      </c>
      <c r="F1879" s="328">
        <v>586.45732499999997</v>
      </c>
      <c r="G1879" s="328">
        <v>5323.4475499999999</v>
      </c>
      <c r="H1879" s="328">
        <v>5471.6228499999997</v>
      </c>
      <c r="I1879" s="329">
        <v>1.0636908872395601E-2</v>
      </c>
      <c r="J1879" s="329">
        <v>0.42777300809053809</v>
      </c>
      <c r="K1879" s="329">
        <v>0.59359715880825237</v>
      </c>
    </row>
    <row r="1880" spans="1:11" ht="11.25" x14ac:dyDescent="0.15">
      <c r="A1880" s="326">
        <v>0.97499999999999998</v>
      </c>
      <c r="B1880" s="327">
        <v>75</v>
      </c>
      <c r="C1880" s="327" t="s">
        <v>115</v>
      </c>
      <c r="D1880" s="327" t="s">
        <v>79</v>
      </c>
      <c r="E1880" s="328" t="s">
        <v>1220</v>
      </c>
      <c r="F1880" s="328">
        <v>10572.705</v>
      </c>
      <c r="G1880" s="328">
        <v>5963.0317499999992</v>
      </c>
      <c r="H1880" s="328">
        <v>5954.8885499999997</v>
      </c>
      <c r="I1880" s="329">
        <v>0.19176314256066515</v>
      </c>
      <c r="J1880" s="329">
        <v>0.47916768317495401</v>
      </c>
      <c r="K1880" s="329">
        <v>0.6460249584453347</v>
      </c>
    </row>
    <row r="1881" spans="1:11" ht="11.25" x14ac:dyDescent="0.15">
      <c r="A1881" s="326">
        <v>0.97499999999999998</v>
      </c>
      <c r="B1881" s="327">
        <v>75</v>
      </c>
      <c r="C1881" s="327" t="s">
        <v>115</v>
      </c>
      <c r="D1881" s="327" t="s">
        <v>114</v>
      </c>
      <c r="E1881" s="328" t="s">
        <v>1221</v>
      </c>
      <c r="F1881" s="328">
        <v>1979.6487750000001</v>
      </c>
      <c r="G1881" s="328">
        <v>5732.1049499999999</v>
      </c>
      <c r="H1881" s="328">
        <v>5871.0804749999998</v>
      </c>
      <c r="I1881" s="329">
        <v>3.5906011778477805E-2</v>
      </c>
      <c r="J1881" s="329">
        <v>0.46061124001346898</v>
      </c>
      <c r="K1881" s="329">
        <v>0.63693291453642586</v>
      </c>
    </row>
    <row r="1882" spans="1:11" ht="11.25" x14ac:dyDescent="0.15">
      <c r="A1882" s="326">
        <v>0.97499999999999998</v>
      </c>
      <c r="B1882" s="327">
        <v>75</v>
      </c>
      <c r="C1882" s="327" t="s">
        <v>115</v>
      </c>
      <c r="D1882" s="327" t="s">
        <v>113</v>
      </c>
      <c r="E1882" s="328" t="s">
        <v>1222</v>
      </c>
      <c r="F1882" s="328">
        <v>635.2583249999999</v>
      </c>
      <c r="G1882" s="328">
        <v>5656.4517750000005</v>
      </c>
      <c r="H1882" s="328">
        <v>5780.9524499999998</v>
      </c>
      <c r="I1882" s="329">
        <v>1.1522040266878187E-2</v>
      </c>
      <c r="J1882" s="329">
        <v>0.45453202425387168</v>
      </c>
      <c r="K1882" s="329">
        <v>0.62715524143364632</v>
      </c>
    </row>
    <row r="1883" spans="1:11" ht="11.25" x14ac:dyDescent="0.15">
      <c r="A1883" s="326">
        <v>1</v>
      </c>
      <c r="B1883" s="327">
        <v>75</v>
      </c>
      <c r="C1883" s="327" t="s">
        <v>115</v>
      </c>
      <c r="D1883" s="327" t="s">
        <v>79</v>
      </c>
      <c r="E1883" s="328" t="s">
        <v>1223</v>
      </c>
      <c r="F1883" s="328">
        <v>11447.14</v>
      </c>
      <c r="G1883" s="328">
        <v>6426.2370000000001</v>
      </c>
      <c r="H1883" s="328">
        <v>6279.4249999999993</v>
      </c>
      <c r="I1883" s="329">
        <v>0.20762326573302597</v>
      </c>
      <c r="J1883" s="329">
        <v>0.51638918320754668</v>
      </c>
      <c r="K1883" s="329">
        <v>0.68123277885454225</v>
      </c>
    </row>
    <row r="1884" spans="1:11" ht="11.25" x14ac:dyDescent="0.15">
      <c r="A1884" s="326">
        <v>1</v>
      </c>
      <c r="B1884" s="327">
        <v>75</v>
      </c>
      <c r="C1884" s="327" t="s">
        <v>115</v>
      </c>
      <c r="D1884" s="327" t="s">
        <v>114</v>
      </c>
      <c r="E1884" s="328" t="s">
        <v>1224</v>
      </c>
      <c r="F1884" s="328">
        <v>2145.7780000000002</v>
      </c>
      <c r="G1884" s="328">
        <v>6140.6750000000002</v>
      </c>
      <c r="H1884" s="328">
        <v>6192.3939999999993</v>
      </c>
      <c r="I1884" s="329">
        <v>3.8919191684392875E-2</v>
      </c>
      <c r="J1884" s="329">
        <v>0.49344245280605142</v>
      </c>
      <c r="K1884" s="329">
        <v>0.6717910911241386</v>
      </c>
    </row>
    <row r="1885" spans="1:11" ht="11.25" x14ac:dyDescent="0.15">
      <c r="A1885" s="326">
        <v>1</v>
      </c>
      <c r="B1885" s="327">
        <v>75</v>
      </c>
      <c r="C1885" s="327" t="s">
        <v>115</v>
      </c>
      <c r="D1885" s="327" t="s">
        <v>113</v>
      </c>
      <c r="E1885" s="328" t="s">
        <v>1225</v>
      </c>
      <c r="F1885" s="328">
        <v>687.41989999999998</v>
      </c>
      <c r="G1885" s="328">
        <v>6009.3420000000006</v>
      </c>
      <c r="H1885" s="328">
        <v>6099.1669999999995</v>
      </c>
      <c r="I1885" s="329">
        <v>1.2468124314708316E-2</v>
      </c>
      <c r="J1885" s="329">
        <v>0.48288900751634356</v>
      </c>
      <c r="K1885" s="329">
        <v>0.66167722110032723</v>
      </c>
    </row>
    <row r="1886" spans="1:11" ht="11.25" x14ac:dyDescent="0.15">
      <c r="A1886" s="326">
        <v>1.0249999999999999</v>
      </c>
      <c r="B1886" s="327">
        <v>75</v>
      </c>
      <c r="C1886" s="327" t="s">
        <v>115</v>
      </c>
      <c r="D1886" s="327" t="s">
        <v>79</v>
      </c>
      <c r="E1886" s="328" t="s">
        <v>1226</v>
      </c>
      <c r="F1886" s="328">
        <v>12378.576499999999</v>
      </c>
      <c r="G1886" s="328">
        <v>6919.3024749999995</v>
      </c>
      <c r="H1886" s="328">
        <v>6612.0853749999997</v>
      </c>
      <c r="I1886" s="329">
        <v>0.22451725741592141</v>
      </c>
      <c r="J1886" s="329">
        <v>0.55601014301701068</v>
      </c>
      <c r="K1886" s="329">
        <v>0.71732193537381661</v>
      </c>
    </row>
    <row r="1887" spans="1:11" ht="11.25" x14ac:dyDescent="0.15">
      <c r="A1887" s="326">
        <v>1.0249999999999999</v>
      </c>
      <c r="B1887" s="327">
        <v>75</v>
      </c>
      <c r="C1887" s="327" t="s">
        <v>115</v>
      </c>
      <c r="D1887" s="327" t="s">
        <v>114</v>
      </c>
      <c r="E1887" s="328" t="s">
        <v>1227</v>
      </c>
      <c r="F1887" s="328">
        <v>2323.4925499999995</v>
      </c>
      <c r="G1887" s="328">
        <v>6576.603975</v>
      </c>
      <c r="H1887" s="328">
        <v>6522.3086999999996</v>
      </c>
      <c r="I1887" s="329">
        <v>4.214250119570094E-2</v>
      </c>
      <c r="J1887" s="329">
        <v>0.52847212994630521</v>
      </c>
      <c r="K1887" s="329">
        <v>0.70758237899937604</v>
      </c>
    </row>
    <row r="1888" spans="1:11" ht="11.25" x14ac:dyDescent="0.15">
      <c r="A1888" s="326">
        <v>1.0249999999999999</v>
      </c>
      <c r="B1888" s="327">
        <v>75</v>
      </c>
      <c r="C1888" s="327" t="s">
        <v>115</v>
      </c>
      <c r="D1888" s="327" t="s">
        <v>113</v>
      </c>
      <c r="E1888" s="328" t="s">
        <v>1228</v>
      </c>
      <c r="F1888" s="328">
        <v>743.14252749999991</v>
      </c>
      <c r="G1888" s="328">
        <v>6384.0495249999985</v>
      </c>
      <c r="H1888" s="328">
        <v>6425.6522249999998</v>
      </c>
      <c r="I1888" s="329">
        <v>1.3478797189922117E-2</v>
      </c>
      <c r="J1888" s="329">
        <v>0.51299915016692899</v>
      </c>
      <c r="K1888" s="329">
        <v>0.69709645726951475</v>
      </c>
    </row>
    <row r="1889" spans="1:11" ht="11.25" x14ac:dyDescent="0.15">
      <c r="A1889" s="326">
        <v>1.05</v>
      </c>
      <c r="B1889" s="327">
        <v>75</v>
      </c>
      <c r="C1889" s="327" t="s">
        <v>115</v>
      </c>
      <c r="D1889" s="327" t="s">
        <v>79</v>
      </c>
      <c r="E1889" s="328" t="s">
        <v>1229</v>
      </c>
      <c r="F1889" s="328">
        <v>13369.8495</v>
      </c>
      <c r="G1889" s="328">
        <v>7443.4436999999998</v>
      </c>
      <c r="H1889" s="328">
        <v>6953.8402500000002</v>
      </c>
      <c r="I1889" s="329">
        <v>0.24249653761105958</v>
      </c>
      <c r="J1889" s="329">
        <v>0.59812823779987556</v>
      </c>
      <c r="K1889" s="329">
        <v>0.75439772227840374</v>
      </c>
    </row>
    <row r="1890" spans="1:11" ht="11.25" x14ac:dyDescent="0.15">
      <c r="A1890" s="326">
        <v>1.05</v>
      </c>
      <c r="B1890" s="327">
        <v>75</v>
      </c>
      <c r="C1890" s="327" t="s">
        <v>115</v>
      </c>
      <c r="D1890" s="327" t="s">
        <v>114</v>
      </c>
      <c r="E1890" s="328" t="s">
        <v>1230</v>
      </c>
      <c r="F1890" s="328">
        <v>2513.4837000000002</v>
      </c>
      <c r="G1890" s="328">
        <v>7041.4564500000006</v>
      </c>
      <c r="H1890" s="328">
        <v>6860.5939500000004</v>
      </c>
      <c r="I1890" s="329">
        <v>4.5588478358850285E-2</v>
      </c>
      <c r="J1890" s="329">
        <v>0.56582599502741826</v>
      </c>
      <c r="K1890" s="329">
        <v>0.74428175846533107</v>
      </c>
    </row>
    <row r="1891" spans="1:11" ht="11.25" x14ac:dyDescent="0.15">
      <c r="A1891" s="326">
        <v>1.05</v>
      </c>
      <c r="B1891" s="327">
        <v>75</v>
      </c>
      <c r="C1891" s="327" t="s">
        <v>115</v>
      </c>
      <c r="D1891" s="327" t="s">
        <v>113</v>
      </c>
      <c r="E1891" s="328" t="s">
        <v>1231</v>
      </c>
      <c r="F1891" s="328">
        <v>802.63522499999999</v>
      </c>
      <c r="G1891" s="328">
        <v>6782.0067000000008</v>
      </c>
      <c r="H1891" s="328">
        <v>6760.6371000000008</v>
      </c>
      <c r="I1891" s="329">
        <v>1.4557849961375689E-2</v>
      </c>
      <c r="J1891" s="329">
        <v>0.54497755067563014</v>
      </c>
      <c r="K1891" s="329">
        <v>0.73343779063530734</v>
      </c>
    </row>
    <row r="1892" spans="1:11" ht="11.25" x14ac:dyDescent="0.15">
      <c r="A1892" s="326">
        <v>1.075</v>
      </c>
      <c r="B1892" s="327">
        <v>75</v>
      </c>
      <c r="C1892" s="327" t="s">
        <v>115</v>
      </c>
      <c r="D1892" s="327" t="s">
        <v>79</v>
      </c>
      <c r="E1892" s="328" t="s">
        <v>1232</v>
      </c>
      <c r="F1892" s="328">
        <v>14423.909249999999</v>
      </c>
      <c r="G1892" s="328">
        <v>8000.0489499999994</v>
      </c>
      <c r="H1892" s="328">
        <v>7303.5962249999993</v>
      </c>
      <c r="I1892" s="329">
        <v>0.26161461667471536</v>
      </c>
      <c r="J1892" s="329">
        <v>0.64285502431841379</v>
      </c>
      <c r="K1892" s="329">
        <v>0.79234152043989614</v>
      </c>
    </row>
    <row r="1893" spans="1:11" ht="11.25" x14ac:dyDescent="0.15">
      <c r="A1893" s="326">
        <v>1.075</v>
      </c>
      <c r="B1893" s="327">
        <v>75</v>
      </c>
      <c r="C1893" s="327" t="s">
        <v>115</v>
      </c>
      <c r="D1893" s="327" t="s">
        <v>114</v>
      </c>
      <c r="E1893" s="328" t="s">
        <v>1233</v>
      </c>
      <c r="F1893" s="328">
        <v>2716.4776999999999</v>
      </c>
      <c r="G1893" s="328">
        <v>7536.8723</v>
      </c>
      <c r="H1893" s="328">
        <v>7207.7330999999995</v>
      </c>
      <c r="I1893" s="329">
        <v>4.9270295581685837E-2</v>
      </c>
      <c r="J1893" s="329">
        <v>0.60563582247847114</v>
      </c>
      <c r="K1893" s="329">
        <v>0.78194166646705143</v>
      </c>
    </row>
    <row r="1894" spans="1:11" ht="11.25" x14ac:dyDescent="0.15">
      <c r="A1894" s="326">
        <v>1.075</v>
      </c>
      <c r="B1894" s="327">
        <v>75</v>
      </c>
      <c r="C1894" s="327" t="s">
        <v>115</v>
      </c>
      <c r="D1894" s="327" t="s">
        <v>113</v>
      </c>
      <c r="E1894" s="328" t="s">
        <v>1234</v>
      </c>
      <c r="F1894" s="328">
        <v>866.11911500000008</v>
      </c>
      <c r="G1894" s="328">
        <v>7204.5704499999993</v>
      </c>
      <c r="H1894" s="328">
        <v>7104.3783000000003</v>
      </c>
      <c r="I1894" s="329">
        <v>1.5709293253170515E-2</v>
      </c>
      <c r="J1894" s="329">
        <v>0.57893324663200663</v>
      </c>
      <c r="K1894" s="329">
        <v>0.77072906696758214</v>
      </c>
    </row>
    <row r="1895" spans="1:11" ht="11.25" x14ac:dyDescent="0.15">
      <c r="A1895" s="326">
        <v>1.1000000000000001</v>
      </c>
      <c r="B1895" s="327">
        <v>75</v>
      </c>
      <c r="C1895" s="327" t="s">
        <v>115</v>
      </c>
      <c r="D1895" s="327" t="s">
        <v>79</v>
      </c>
      <c r="E1895" s="328" t="s">
        <v>1235</v>
      </c>
      <c r="F1895" s="328">
        <v>15543.803000000004</v>
      </c>
      <c r="G1895" s="328">
        <v>8589.2268000000004</v>
      </c>
      <c r="H1895" s="328">
        <v>7662.8750000000009</v>
      </c>
      <c r="I1895" s="329">
        <v>0.28192676430713759</v>
      </c>
      <c r="J1895" s="329">
        <v>0.69019922726727467</v>
      </c>
      <c r="K1895" s="329">
        <v>0.83131841375046311</v>
      </c>
    </row>
    <row r="1896" spans="1:11" ht="11.25" x14ac:dyDescent="0.15">
      <c r="A1896" s="326">
        <v>1.1000000000000001</v>
      </c>
      <c r="B1896" s="327">
        <v>75</v>
      </c>
      <c r="C1896" s="327" t="s">
        <v>115</v>
      </c>
      <c r="D1896" s="327" t="s">
        <v>114</v>
      </c>
      <c r="E1896" s="328" t="s">
        <v>1236</v>
      </c>
      <c r="F1896" s="328">
        <v>2933.2369000000003</v>
      </c>
      <c r="G1896" s="328">
        <v>8063.3223000000007</v>
      </c>
      <c r="H1896" s="328">
        <v>7563.2183000000005</v>
      </c>
      <c r="I1896" s="329">
        <v>5.3201780038211938E-2</v>
      </c>
      <c r="J1896" s="329">
        <v>0.6479394420772524</v>
      </c>
      <c r="K1896" s="329">
        <v>0.82050700814047905</v>
      </c>
    </row>
    <row r="1897" spans="1:11" ht="11.25" x14ac:dyDescent="0.15">
      <c r="A1897" s="326">
        <v>1.1000000000000001</v>
      </c>
      <c r="B1897" s="327">
        <v>75</v>
      </c>
      <c r="C1897" s="327" t="s">
        <v>115</v>
      </c>
      <c r="D1897" s="327" t="s">
        <v>113</v>
      </c>
      <c r="E1897" s="328" t="s">
        <v>1237</v>
      </c>
      <c r="F1897" s="328">
        <v>933.82674000000009</v>
      </c>
      <c r="G1897" s="328">
        <v>7652.5526000000009</v>
      </c>
      <c r="H1897" s="328">
        <v>7456.5788000000011</v>
      </c>
      <c r="I1897" s="329">
        <v>1.6937344820420242E-2</v>
      </c>
      <c r="J1897" s="329">
        <v>0.61493147335941511</v>
      </c>
      <c r="K1897" s="329">
        <v>0.80893806306658167</v>
      </c>
    </row>
    <row r="1898" spans="1:11" ht="11.25" x14ac:dyDescent="0.15">
      <c r="A1898" s="326">
        <v>1.125</v>
      </c>
      <c r="B1898" s="327">
        <v>75</v>
      </c>
      <c r="C1898" s="327" t="s">
        <v>115</v>
      </c>
      <c r="D1898" s="327" t="s">
        <v>79</v>
      </c>
      <c r="E1898" s="328" t="s">
        <v>1238</v>
      </c>
      <c r="F1898" s="328">
        <v>16732.67625</v>
      </c>
      <c r="G1898" s="328">
        <v>9211.0038750000003</v>
      </c>
      <c r="H1898" s="328">
        <v>8030.7281250000005</v>
      </c>
      <c r="I1898" s="329">
        <v>0.30349003222450699</v>
      </c>
      <c r="J1898" s="329">
        <v>0.74016298613524478</v>
      </c>
      <c r="K1898" s="329">
        <v>0.87122550819845423</v>
      </c>
    </row>
    <row r="1899" spans="1:11" ht="11.25" x14ac:dyDescent="0.15">
      <c r="A1899" s="326">
        <v>1.125</v>
      </c>
      <c r="B1899" s="327">
        <v>75</v>
      </c>
      <c r="C1899" s="327" t="s">
        <v>115</v>
      </c>
      <c r="D1899" s="327" t="s">
        <v>114</v>
      </c>
      <c r="E1899" s="328" t="s">
        <v>1239</v>
      </c>
      <c r="F1899" s="328">
        <v>3164.5653750000001</v>
      </c>
      <c r="G1899" s="328">
        <v>8621.8053749999999</v>
      </c>
      <c r="H1899" s="328">
        <v>7927.6488749999999</v>
      </c>
      <c r="I1899" s="329">
        <v>5.7397515692405095E-2</v>
      </c>
      <c r="J1899" s="329">
        <v>0.69281712382700567</v>
      </c>
      <c r="K1899" s="329">
        <v>0.86004280215136519</v>
      </c>
    </row>
    <row r="1900" spans="1:11" ht="11.25" x14ac:dyDescent="0.15">
      <c r="A1900" s="326">
        <v>1.125</v>
      </c>
      <c r="B1900" s="327">
        <v>75</v>
      </c>
      <c r="C1900" s="327" t="s">
        <v>115</v>
      </c>
      <c r="D1900" s="327" t="s">
        <v>113</v>
      </c>
      <c r="E1900" s="328" t="s">
        <v>1240</v>
      </c>
      <c r="F1900" s="328">
        <v>1006.0036875000001</v>
      </c>
      <c r="G1900" s="328">
        <v>8128.0597500000003</v>
      </c>
      <c r="H1900" s="328">
        <v>7817.0940000000001</v>
      </c>
      <c r="I1900" s="329">
        <v>1.824645902279666E-2</v>
      </c>
      <c r="J1900" s="329">
        <v>0.65314150962135942</v>
      </c>
      <c r="K1900" s="329">
        <v>0.84804909178581955</v>
      </c>
    </row>
    <row r="1901" spans="1:11" ht="11.25" x14ac:dyDescent="0.15">
      <c r="A1901" s="326">
        <v>1.1499999999999999</v>
      </c>
      <c r="B1901" s="327">
        <v>75</v>
      </c>
      <c r="C1901" s="327" t="s">
        <v>115</v>
      </c>
      <c r="D1901" s="327" t="s">
        <v>79</v>
      </c>
      <c r="E1901" s="328" t="s">
        <v>1241</v>
      </c>
      <c r="F1901" s="328">
        <v>17993.808499999999</v>
      </c>
      <c r="G1901" s="328">
        <v>9867.7486499999995</v>
      </c>
      <c r="H1901" s="328">
        <v>8407.3049999999985</v>
      </c>
      <c r="I1901" s="329">
        <v>0.32636390257694775</v>
      </c>
      <c r="J1901" s="329">
        <v>0.79293662301450607</v>
      </c>
      <c r="K1901" s="329">
        <v>0.91207901166550864</v>
      </c>
    </row>
    <row r="1902" spans="1:11" ht="11.25" x14ac:dyDescent="0.15">
      <c r="A1902" s="326">
        <v>1.1499999999999999</v>
      </c>
      <c r="B1902" s="327">
        <v>75</v>
      </c>
      <c r="C1902" s="327" t="s">
        <v>115</v>
      </c>
      <c r="D1902" s="327" t="s">
        <v>114</v>
      </c>
      <c r="E1902" s="328" t="s">
        <v>1242</v>
      </c>
      <c r="F1902" s="328">
        <v>3411.3094000000001</v>
      </c>
      <c r="G1902" s="328">
        <v>9213.9563999999991</v>
      </c>
      <c r="H1902" s="328">
        <v>8300.6689499999993</v>
      </c>
      <c r="I1902" s="329">
        <v>6.187285191355827E-2</v>
      </c>
      <c r="J1902" s="329">
        <v>0.74040024037487973</v>
      </c>
      <c r="K1902" s="329">
        <v>0.90051044087000254</v>
      </c>
    </row>
    <row r="1903" spans="1:11" ht="11.25" x14ac:dyDescent="0.15">
      <c r="A1903" s="326">
        <v>1.1499999999999999</v>
      </c>
      <c r="B1903" s="327">
        <v>75</v>
      </c>
      <c r="C1903" s="327" t="s">
        <v>115</v>
      </c>
      <c r="D1903" s="327" t="s">
        <v>113</v>
      </c>
      <c r="E1903" s="328" t="s">
        <v>1243</v>
      </c>
      <c r="F1903" s="328">
        <v>1082.9088849999998</v>
      </c>
      <c r="G1903" s="328">
        <v>8632.2679999999982</v>
      </c>
      <c r="H1903" s="328">
        <v>8186.4532500000005</v>
      </c>
      <c r="I1903" s="329">
        <v>1.964133217511185E-2</v>
      </c>
      <c r="J1903" s="329">
        <v>0.69365786256383655</v>
      </c>
      <c r="K1903" s="329">
        <v>0.8881195804488945</v>
      </c>
    </row>
    <row r="1904" spans="1:11" ht="11.25" x14ac:dyDescent="0.15">
      <c r="A1904" s="326">
        <v>1.175</v>
      </c>
      <c r="B1904" s="327">
        <v>75</v>
      </c>
      <c r="C1904" s="327" t="s">
        <v>115</v>
      </c>
      <c r="D1904" s="327" t="s">
        <v>79</v>
      </c>
      <c r="E1904" s="328" t="s">
        <v>1244</v>
      </c>
      <c r="F1904" s="328">
        <v>19330.571250000001</v>
      </c>
      <c r="G1904" s="328">
        <v>10558.466575</v>
      </c>
      <c r="H1904" s="328">
        <v>8792.7212250000011</v>
      </c>
      <c r="I1904" s="329">
        <v>0.35060952617072411</v>
      </c>
      <c r="J1904" s="329">
        <v>0.84844021946100534</v>
      </c>
      <c r="K1904" s="329">
        <v>0.95389146518989654</v>
      </c>
    </row>
    <row r="1905" spans="1:11" ht="11.25" x14ac:dyDescent="0.15">
      <c r="A1905" s="326">
        <v>1.175</v>
      </c>
      <c r="B1905" s="327">
        <v>75</v>
      </c>
      <c r="C1905" s="327" t="s">
        <v>115</v>
      </c>
      <c r="D1905" s="327" t="s">
        <v>114</v>
      </c>
      <c r="E1905" s="328" t="s">
        <v>1245</v>
      </c>
      <c r="F1905" s="328">
        <v>3674.3566000000001</v>
      </c>
      <c r="G1905" s="328">
        <v>9840.3618000000006</v>
      </c>
      <c r="H1905" s="328">
        <v>8682.3875499999995</v>
      </c>
      <c r="I1905" s="329">
        <v>6.6643888059349135E-2</v>
      </c>
      <c r="J1905" s="329">
        <v>0.79073591471474569</v>
      </c>
      <c r="K1905" s="329">
        <v>0.9419217520359876</v>
      </c>
    </row>
    <row r="1906" spans="1:11" ht="11.25" x14ac:dyDescent="0.15">
      <c r="A1906" s="326">
        <v>1.175</v>
      </c>
      <c r="B1906" s="327">
        <v>75</v>
      </c>
      <c r="C1906" s="327" t="s">
        <v>115</v>
      </c>
      <c r="D1906" s="327" t="s">
        <v>113</v>
      </c>
      <c r="E1906" s="328" t="s">
        <v>1246</v>
      </c>
      <c r="F1906" s="328">
        <v>1164.8126325000001</v>
      </c>
      <c r="G1906" s="328">
        <v>9165.9047499999997</v>
      </c>
      <c r="H1906" s="328">
        <v>8564.2777249999999</v>
      </c>
      <c r="I1906" s="329">
        <v>2.1126866861655668E-2</v>
      </c>
      <c r="J1906" s="329">
        <v>0.73653898342228452</v>
      </c>
      <c r="K1906" s="329">
        <v>0.92910843166114854</v>
      </c>
    </row>
    <row r="1907" spans="1:11" ht="11.25" x14ac:dyDescent="0.15">
      <c r="A1907" s="326">
        <v>1.2</v>
      </c>
      <c r="B1907" s="327">
        <v>75</v>
      </c>
      <c r="C1907" s="327" t="s">
        <v>115</v>
      </c>
      <c r="D1907" s="327" t="s">
        <v>79</v>
      </c>
      <c r="E1907" s="328" t="s">
        <v>1247</v>
      </c>
      <c r="F1907" s="328">
        <v>20746.451999999997</v>
      </c>
      <c r="G1907" s="328">
        <v>11285.01</v>
      </c>
      <c r="H1907" s="328">
        <v>9186.7536</v>
      </c>
      <c r="I1907" s="329">
        <v>0.37629015776984187</v>
      </c>
      <c r="J1907" s="329">
        <v>0.90682262362701471</v>
      </c>
      <c r="K1907" s="329">
        <v>0.99663865458699974</v>
      </c>
    </row>
    <row r="1908" spans="1:11" ht="11.25" x14ac:dyDescent="0.15">
      <c r="A1908" s="326">
        <v>1.2</v>
      </c>
      <c r="B1908" s="327">
        <v>75</v>
      </c>
      <c r="C1908" s="327" t="s">
        <v>115</v>
      </c>
      <c r="D1908" s="327" t="s">
        <v>114</v>
      </c>
      <c r="E1908" s="328" t="s">
        <v>1248</v>
      </c>
      <c r="F1908" s="328">
        <v>3954.6408000000001</v>
      </c>
      <c r="G1908" s="328">
        <v>10501.690799999998</v>
      </c>
      <c r="H1908" s="328">
        <v>9072.4572000000007</v>
      </c>
      <c r="I1908" s="329">
        <v>7.172756144303874E-2</v>
      </c>
      <c r="J1908" s="329">
        <v>0.84387792334926426</v>
      </c>
      <c r="K1908" s="329">
        <v>0.98423903930613088</v>
      </c>
    </row>
    <row r="1909" spans="1:11" ht="11.25" x14ac:dyDescent="0.15">
      <c r="A1909" s="326">
        <v>1.2</v>
      </c>
      <c r="B1909" s="327">
        <v>75</v>
      </c>
      <c r="C1909" s="327" t="s">
        <v>115</v>
      </c>
      <c r="D1909" s="327" t="s">
        <v>113</v>
      </c>
      <c r="E1909" s="328" t="s">
        <v>1249</v>
      </c>
      <c r="F1909" s="328">
        <v>1252.0044</v>
      </c>
      <c r="G1909" s="328">
        <v>9730.5167999999994</v>
      </c>
      <c r="H1909" s="328">
        <v>8950.8168000000005</v>
      </c>
      <c r="I1909" s="329">
        <v>2.2708313363872353E-2</v>
      </c>
      <c r="J1909" s="329">
        <v>0.7819091674551234</v>
      </c>
      <c r="K1909" s="329">
        <v>0.97104269924108055</v>
      </c>
    </row>
    <row r="1910" spans="1:11" ht="11.25" x14ac:dyDescent="0.15">
      <c r="A1910" s="326">
        <v>1.2250000000000001</v>
      </c>
      <c r="B1910" s="327">
        <v>75</v>
      </c>
      <c r="C1910" s="327" t="s">
        <v>115</v>
      </c>
      <c r="D1910" s="327" t="s">
        <v>79</v>
      </c>
      <c r="E1910" s="328" t="s">
        <v>1250</v>
      </c>
      <c r="F1910" s="328">
        <v>22245.05675</v>
      </c>
      <c r="G1910" s="328">
        <v>12047.502600000002</v>
      </c>
      <c r="H1910" s="328">
        <v>9589.741</v>
      </c>
      <c r="I1910" s="329">
        <v>0.40347120143996607</v>
      </c>
      <c r="J1910" s="329">
        <v>0.96809377358861726</v>
      </c>
      <c r="K1910" s="329">
        <v>1.0403573432161921</v>
      </c>
    </row>
    <row r="1911" spans="1:11" ht="11.25" x14ac:dyDescent="0.15">
      <c r="A1911" s="326">
        <v>1.2250000000000001</v>
      </c>
      <c r="B1911" s="327">
        <v>75</v>
      </c>
      <c r="C1911" s="327" t="s">
        <v>115</v>
      </c>
      <c r="D1911" s="327" t="s">
        <v>114</v>
      </c>
      <c r="E1911" s="328" t="s">
        <v>1251</v>
      </c>
      <c r="F1911" s="328">
        <v>4253.1473249999999</v>
      </c>
      <c r="G1911" s="328">
        <v>11198.206425</v>
      </c>
      <c r="H1911" s="328">
        <v>9471.6179250000005</v>
      </c>
      <c r="I1911" s="329">
        <v>7.7141743462575241E-2</v>
      </c>
      <c r="J1911" s="329">
        <v>0.89984740201695812</v>
      </c>
      <c r="K1911" s="329">
        <v>1.0275425853953577</v>
      </c>
    </row>
    <row r="1912" spans="1:11" ht="11.25" x14ac:dyDescent="0.15">
      <c r="A1912" s="326">
        <v>1.2250000000000001</v>
      </c>
      <c r="B1912" s="327">
        <v>75</v>
      </c>
      <c r="C1912" s="327" t="s">
        <v>115</v>
      </c>
      <c r="D1912" s="327" t="s">
        <v>113</v>
      </c>
      <c r="E1912" s="328" t="s">
        <v>1252</v>
      </c>
      <c r="F1912" s="328">
        <v>1344.7854000000002</v>
      </c>
      <c r="G1912" s="328">
        <v>10327.026850000002</v>
      </c>
      <c r="H1912" s="328">
        <v>9345.984375</v>
      </c>
      <c r="I1912" s="329">
        <v>2.4391134943583609E-2</v>
      </c>
      <c r="J1912" s="329">
        <v>0.82984255950004704</v>
      </c>
      <c r="K1912" s="329">
        <v>1.0139130425018825</v>
      </c>
    </row>
    <row r="1913" spans="1:11" ht="11.25" x14ac:dyDescent="0.15">
      <c r="A1913" s="326">
        <v>1.25</v>
      </c>
      <c r="B1913" s="327">
        <v>75</v>
      </c>
      <c r="C1913" s="327" t="s">
        <v>115</v>
      </c>
      <c r="D1913" s="327" t="s">
        <v>79</v>
      </c>
      <c r="E1913" s="328" t="s">
        <v>1253</v>
      </c>
      <c r="F1913" s="328">
        <v>23830.125</v>
      </c>
      <c r="G1913" s="328">
        <v>12846.0375</v>
      </c>
      <c r="H1913" s="328">
        <v>10002.153749999999</v>
      </c>
      <c r="I1913" s="329">
        <v>0.43222048261192103</v>
      </c>
      <c r="J1913" s="329">
        <v>1.0322611525342926</v>
      </c>
      <c r="K1913" s="329">
        <v>1.0850985549859868</v>
      </c>
    </row>
    <row r="1914" spans="1:11" ht="11.25" x14ac:dyDescent="0.15">
      <c r="A1914" s="326">
        <v>1.25</v>
      </c>
      <c r="B1914" s="327">
        <v>75</v>
      </c>
      <c r="C1914" s="327" t="s">
        <v>115</v>
      </c>
      <c r="D1914" s="327" t="s">
        <v>114</v>
      </c>
      <c r="E1914" s="328" t="s">
        <v>1254</v>
      </c>
      <c r="F1914" s="328">
        <v>4570.9087500000005</v>
      </c>
      <c r="G1914" s="328">
        <v>11932.5075</v>
      </c>
      <c r="H1914" s="328">
        <v>9878.2912500000002</v>
      </c>
      <c r="I1914" s="329">
        <v>8.2905162515935313E-2</v>
      </c>
      <c r="J1914" s="329">
        <v>0.95885318290360655</v>
      </c>
      <c r="K1914" s="329">
        <v>1.0716611470910171</v>
      </c>
    </row>
    <row r="1915" spans="1:11" ht="11.25" x14ac:dyDescent="0.15">
      <c r="A1915" s="326">
        <v>1.25</v>
      </c>
      <c r="B1915" s="327">
        <v>75</v>
      </c>
      <c r="C1915" s="327" t="s">
        <v>115</v>
      </c>
      <c r="D1915" s="327" t="s">
        <v>113</v>
      </c>
      <c r="E1915" s="328" t="s">
        <v>1255</v>
      </c>
      <c r="F1915" s="328">
        <v>1443.4749999999999</v>
      </c>
      <c r="G1915" s="328">
        <v>10956.895</v>
      </c>
      <c r="H1915" s="328">
        <v>9749.61</v>
      </c>
      <c r="I1915" s="329">
        <v>2.618112415013529E-2</v>
      </c>
      <c r="J1915" s="329">
        <v>0.880456487916778</v>
      </c>
      <c r="K1915" s="329">
        <v>1.057700969921296</v>
      </c>
    </row>
    <row r="1916" spans="1:11" ht="11.25" x14ac:dyDescent="0.15">
      <c r="A1916" s="326">
        <v>1.2749999999999999</v>
      </c>
      <c r="B1916" s="327">
        <v>75</v>
      </c>
      <c r="C1916" s="327" t="s">
        <v>115</v>
      </c>
      <c r="D1916" s="327" t="s">
        <v>79</v>
      </c>
      <c r="E1916" s="328" t="s">
        <v>1256</v>
      </c>
      <c r="F1916" s="328">
        <v>25505.507999999998</v>
      </c>
      <c r="G1916" s="328">
        <v>13682.241749999999</v>
      </c>
      <c r="H1916" s="328">
        <v>10422.702974999998</v>
      </c>
      <c r="I1916" s="329">
        <v>0.46260785358961448</v>
      </c>
      <c r="J1916" s="329">
        <v>1.0994555043224663</v>
      </c>
      <c r="K1916" s="329">
        <v>1.1307224643713005</v>
      </c>
    </row>
    <row r="1917" spans="1:11" ht="11.25" x14ac:dyDescent="0.15">
      <c r="A1917" s="326">
        <v>1.2749999999999999</v>
      </c>
      <c r="B1917" s="327">
        <v>75</v>
      </c>
      <c r="C1917" s="327" t="s">
        <v>115</v>
      </c>
      <c r="D1917" s="327" t="s">
        <v>114</v>
      </c>
      <c r="E1917" s="328" t="s">
        <v>1257</v>
      </c>
      <c r="F1917" s="328">
        <v>4909.0088249999999</v>
      </c>
      <c r="G1917" s="328">
        <v>12703.127174999998</v>
      </c>
      <c r="H1917" s="328">
        <v>10294.761824999998</v>
      </c>
      <c r="I1917" s="329">
        <v>8.9037475191073454E-2</v>
      </c>
      <c r="J1917" s="329">
        <v>1.0207773952438788</v>
      </c>
      <c r="K1917" s="329">
        <v>1.1168425780529918</v>
      </c>
    </row>
    <row r="1918" spans="1:11" ht="11.25" x14ac:dyDescent="0.15">
      <c r="A1918" s="326">
        <v>1.2749999999999999</v>
      </c>
      <c r="B1918" s="327">
        <v>75</v>
      </c>
      <c r="C1918" s="327" t="s">
        <v>115</v>
      </c>
      <c r="D1918" s="327" t="s">
        <v>113</v>
      </c>
      <c r="E1918" s="328" t="s">
        <v>1258</v>
      </c>
      <c r="F1918" s="328">
        <v>1548.4084499999997</v>
      </c>
      <c r="G1918" s="328">
        <v>11619.131099999999</v>
      </c>
      <c r="H1918" s="328">
        <v>10162.104449999999</v>
      </c>
      <c r="I1918" s="329">
        <v>2.8084361602777008E-2</v>
      </c>
      <c r="J1918" s="329">
        <v>0.93367138782936299</v>
      </c>
      <c r="K1918" s="329">
        <v>1.1024510450373417</v>
      </c>
    </row>
    <row r="1919" spans="1:11" ht="11.25" x14ac:dyDescent="0.15">
      <c r="A1919" s="326">
        <v>1.3</v>
      </c>
      <c r="B1919" s="327">
        <v>75</v>
      </c>
      <c r="C1919" s="327" t="s">
        <v>115</v>
      </c>
      <c r="D1919" s="327" t="s">
        <v>79</v>
      </c>
      <c r="E1919" s="328" t="s">
        <v>1259</v>
      </c>
      <c r="F1919" s="328">
        <v>27275.170000000002</v>
      </c>
      <c r="G1919" s="328">
        <v>14557.594999999999</v>
      </c>
      <c r="H1919" s="328">
        <v>10851.6993</v>
      </c>
      <c r="I1919" s="329">
        <v>0.49470521622199598</v>
      </c>
      <c r="J1919" s="329">
        <v>1.1697957282802152</v>
      </c>
      <c r="K1919" s="329">
        <v>1.1772627699881584</v>
      </c>
    </row>
    <row r="1920" spans="1:11" ht="11.25" x14ac:dyDescent="0.15">
      <c r="A1920" s="326">
        <v>1.3</v>
      </c>
      <c r="B1920" s="327">
        <v>75</v>
      </c>
      <c r="C1920" s="327" t="s">
        <v>115</v>
      </c>
      <c r="D1920" s="327" t="s">
        <v>114</v>
      </c>
      <c r="E1920" s="328" t="s">
        <v>1260</v>
      </c>
      <c r="F1920" s="328">
        <v>5268.5919000000004</v>
      </c>
      <c r="G1920" s="328">
        <v>13509.704</v>
      </c>
      <c r="H1920" s="328">
        <v>10720.299200000001</v>
      </c>
      <c r="I1920" s="329">
        <v>9.5559437212488746E-2</v>
      </c>
      <c r="J1920" s="329">
        <v>1.0855909942219257</v>
      </c>
      <c r="K1920" s="329">
        <v>1.1630076343245006</v>
      </c>
    </row>
    <row r="1921" spans="1:11" ht="11.25" x14ac:dyDescent="0.15">
      <c r="A1921" s="326">
        <v>1.3</v>
      </c>
      <c r="B1921" s="327">
        <v>75</v>
      </c>
      <c r="C1921" s="327" t="s">
        <v>115</v>
      </c>
      <c r="D1921" s="327" t="s">
        <v>113</v>
      </c>
      <c r="E1921" s="328" t="s">
        <v>1261</v>
      </c>
      <c r="F1921" s="328">
        <v>1659.9413999999999</v>
      </c>
      <c r="G1921" s="328">
        <v>12316.1883</v>
      </c>
      <c r="H1921" s="328">
        <v>10583.535300000001</v>
      </c>
      <c r="I1921" s="329">
        <v>3.0107297927119889E-2</v>
      </c>
      <c r="J1921" s="329">
        <v>0.98968438550699922</v>
      </c>
      <c r="K1921" s="329">
        <v>1.1481705988245967</v>
      </c>
    </row>
    <row r="1922" spans="1:11" ht="11.25" x14ac:dyDescent="0.15">
      <c r="A1922" s="326">
        <v>1.325</v>
      </c>
      <c r="B1922" s="327">
        <v>75</v>
      </c>
      <c r="C1922" s="327" t="s">
        <v>115</v>
      </c>
      <c r="D1922" s="327" t="s">
        <v>79</v>
      </c>
      <c r="E1922" s="328" t="s">
        <v>1262</v>
      </c>
      <c r="F1922" s="328">
        <v>29143.229249999997</v>
      </c>
      <c r="G1922" s="328">
        <v>15469.335250000002</v>
      </c>
      <c r="H1922" s="328">
        <v>11290.56085</v>
      </c>
      <c r="I1922" s="329">
        <v>0.52858726554329249</v>
      </c>
      <c r="J1922" s="329">
        <v>1.2430598800684149</v>
      </c>
      <c r="K1922" s="329">
        <v>1.2248733192405041</v>
      </c>
    </row>
    <row r="1923" spans="1:11" ht="11.25" x14ac:dyDescent="0.15">
      <c r="A1923" s="326">
        <v>1.325</v>
      </c>
      <c r="B1923" s="327">
        <v>75</v>
      </c>
      <c r="C1923" s="327" t="s">
        <v>115</v>
      </c>
      <c r="D1923" s="327" t="s">
        <v>114</v>
      </c>
      <c r="E1923" s="328" t="s">
        <v>1263</v>
      </c>
      <c r="F1923" s="328">
        <v>5650.8573499999993</v>
      </c>
      <c r="G1923" s="328">
        <v>14354.8645</v>
      </c>
      <c r="H1923" s="328">
        <v>11153.904325000001</v>
      </c>
      <c r="I1923" s="329">
        <v>0.10249280232428999</v>
      </c>
      <c r="J1923" s="329">
        <v>1.1535050378954288</v>
      </c>
      <c r="K1923" s="329">
        <v>1.2100479324774878</v>
      </c>
    </row>
    <row r="1924" spans="1:11" ht="11.25" x14ac:dyDescent="0.15">
      <c r="A1924" s="326">
        <v>1.325</v>
      </c>
      <c r="B1924" s="327">
        <v>75</v>
      </c>
      <c r="C1924" s="327" t="s">
        <v>115</v>
      </c>
      <c r="D1924" s="327" t="s">
        <v>113</v>
      </c>
      <c r="E1924" s="328" t="s">
        <v>1264</v>
      </c>
      <c r="F1924" s="328">
        <v>1778.4481250000001</v>
      </c>
      <c r="G1924" s="328">
        <v>13047.579749999999</v>
      </c>
      <c r="H1924" s="328">
        <v>11012.909750000001</v>
      </c>
      <c r="I1924" s="329">
        <v>3.2256721560955562E-2</v>
      </c>
      <c r="J1924" s="329">
        <v>1.0484563594429874</v>
      </c>
      <c r="K1924" s="329">
        <v>1.194751925895569</v>
      </c>
    </row>
    <row r="1925" spans="1:11" ht="11.25" x14ac:dyDescent="0.15">
      <c r="A1925" s="326">
        <v>1.35</v>
      </c>
      <c r="B1925" s="327">
        <v>75</v>
      </c>
      <c r="C1925" s="327" t="s">
        <v>115</v>
      </c>
      <c r="D1925" s="327" t="s">
        <v>79</v>
      </c>
      <c r="E1925" s="328" t="s">
        <v>1265</v>
      </c>
      <c r="F1925" s="328">
        <v>31113.922500000001</v>
      </c>
      <c r="G1925" s="328">
        <v>16419.010500000004</v>
      </c>
      <c r="H1925" s="328">
        <v>11738.437650000002</v>
      </c>
      <c r="I1925" s="329">
        <v>0.56433084588939042</v>
      </c>
      <c r="J1925" s="329">
        <v>1.3193723513731495</v>
      </c>
      <c r="K1925" s="329">
        <v>1.2734619013238131</v>
      </c>
    </row>
    <row r="1926" spans="1:11" ht="11.25" x14ac:dyDescent="0.15">
      <c r="A1926" s="326">
        <v>1.35</v>
      </c>
      <c r="B1926" s="327">
        <v>75</v>
      </c>
      <c r="C1926" s="327" t="s">
        <v>115</v>
      </c>
      <c r="D1926" s="327" t="s">
        <v>114</v>
      </c>
      <c r="E1926" s="328" t="s">
        <v>1266</v>
      </c>
      <c r="F1926" s="328">
        <v>6057.0598500000006</v>
      </c>
      <c r="G1926" s="328">
        <v>15239.637000000002</v>
      </c>
      <c r="H1926" s="328">
        <v>11596.4946</v>
      </c>
      <c r="I1926" s="329">
        <v>0.10986032727802689</v>
      </c>
      <c r="J1926" s="329">
        <v>1.2246021587453912</v>
      </c>
      <c r="K1926" s="329">
        <v>1.258062998018082</v>
      </c>
    </row>
    <row r="1927" spans="1:11" ht="11.25" x14ac:dyDescent="0.15">
      <c r="A1927" s="326">
        <v>1.35</v>
      </c>
      <c r="B1927" s="327">
        <v>75</v>
      </c>
      <c r="C1927" s="327" t="s">
        <v>115</v>
      </c>
      <c r="D1927" s="327" t="s">
        <v>113</v>
      </c>
      <c r="E1927" s="328" t="s">
        <v>1267</v>
      </c>
      <c r="F1927" s="328">
        <v>1904.3208</v>
      </c>
      <c r="G1927" s="328">
        <v>13814.793000000001</v>
      </c>
      <c r="H1927" s="328">
        <v>11451.3588</v>
      </c>
      <c r="I1927" s="329">
        <v>3.4539745604520312E-2</v>
      </c>
      <c r="J1927" s="329">
        <v>1.1101068437798565</v>
      </c>
      <c r="K1927" s="329">
        <v>1.2423177244706987</v>
      </c>
    </row>
    <row r="1928" spans="1:11" ht="11.25" x14ac:dyDescent="0.15">
      <c r="A1928" s="326">
        <v>1.375</v>
      </c>
      <c r="B1928" s="327">
        <v>75</v>
      </c>
      <c r="C1928" s="327" t="s">
        <v>115</v>
      </c>
      <c r="D1928" s="327" t="s">
        <v>79</v>
      </c>
      <c r="E1928" s="328" t="s">
        <v>1268</v>
      </c>
      <c r="F1928" s="328">
        <v>33191.619999999995</v>
      </c>
      <c r="G1928" s="328">
        <v>17407.857500000002</v>
      </c>
      <c r="H1928" s="328">
        <v>12195.632624999998</v>
      </c>
      <c r="I1928" s="329">
        <v>0.60201522296133525</v>
      </c>
      <c r="J1928" s="329">
        <v>1.3988325229552483</v>
      </c>
      <c r="K1928" s="329">
        <v>1.3230613795081341</v>
      </c>
    </row>
    <row r="1929" spans="1:11" ht="11.25" x14ac:dyDescent="0.15">
      <c r="A1929" s="326">
        <v>1.375</v>
      </c>
      <c r="B1929" s="327">
        <v>75</v>
      </c>
      <c r="C1929" s="327" t="s">
        <v>115</v>
      </c>
      <c r="D1929" s="327" t="s">
        <v>114</v>
      </c>
      <c r="E1929" s="328" t="s">
        <v>1269</v>
      </c>
      <c r="F1929" s="328">
        <v>6488.5301249999993</v>
      </c>
      <c r="G1929" s="328">
        <v>16161.0625</v>
      </c>
      <c r="H1929" s="328">
        <v>12048.467749999998</v>
      </c>
      <c r="I1929" s="329">
        <v>0.11768614818719952</v>
      </c>
      <c r="J1929" s="329">
        <v>1.2986445822245758</v>
      </c>
      <c r="K1929" s="329">
        <v>1.3070959787356062</v>
      </c>
    </row>
    <row r="1930" spans="1:11" ht="11.25" x14ac:dyDescent="0.15">
      <c r="A1930" s="326">
        <v>1.375</v>
      </c>
      <c r="B1930" s="327">
        <v>75</v>
      </c>
      <c r="C1930" s="327" t="s">
        <v>115</v>
      </c>
      <c r="D1930" s="327" t="s">
        <v>113</v>
      </c>
      <c r="E1930" s="328" t="s">
        <v>1270</v>
      </c>
      <c r="F1930" s="328">
        <v>2037.9755</v>
      </c>
      <c r="G1930" s="328">
        <v>14618.051249999999</v>
      </c>
      <c r="H1930" s="328">
        <v>11898.319125</v>
      </c>
      <c r="I1930" s="329">
        <v>3.6963916645895524E-2</v>
      </c>
      <c r="J1930" s="329">
        <v>1.1746537740630412</v>
      </c>
      <c r="K1930" s="329">
        <v>1.2908068813978821</v>
      </c>
    </row>
    <row r="1931" spans="1:11" ht="11.25" x14ac:dyDescent="0.15">
      <c r="A1931" s="326">
        <v>1.4</v>
      </c>
      <c r="B1931" s="327">
        <v>75</v>
      </c>
      <c r="C1931" s="327" t="s">
        <v>115</v>
      </c>
      <c r="D1931" s="327" t="s">
        <v>79</v>
      </c>
      <c r="E1931" s="328" t="s">
        <v>1271</v>
      </c>
      <c r="F1931" s="328">
        <v>35380.828000000001</v>
      </c>
      <c r="G1931" s="328">
        <v>18436.025999999998</v>
      </c>
      <c r="H1931" s="328">
        <v>12661.695199999998</v>
      </c>
      <c r="I1931" s="329">
        <v>0.64172212916924987</v>
      </c>
      <c r="J1931" s="329">
        <v>1.4814524281835686</v>
      </c>
      <c r="K1931" s="329">
        <v>1.3736228724931374</v>
      </c>
    </row>
    <row r="1932" spans="1:11" ht="11.25" x14ac:dyDescent="0.15">
      <c r="A1932" s="326">
        <v>1.4</v>
      </c>
      <c r="B1932" s="327">
        <v>75</v>
      </c>
      <c r="C1932" s="327" t="s">
        <v>115</v>
      </c>
      <c r="D1932" s="327" t="s">
        <v>114</v>
      </c>
      <c r="E1932" s="328" t="s">
        <v>1272</v>
      </c>
      <c r="F1932" s="328">
        <v>6946.6585999999988</v>
      </c>
      <c r="G1932" s="328">
        <v>17123.371999999999</v>
      </c>
      <c r="H1932" s="328">
        <v>12508.7186</v>
      </c>
      <c r="I1932" s="329">
        <v>0.12599548397804256</v>
      </c>
      <c r="J1932" s="329">
        <v>1.3759722962036685</v>
      </c>
      <c r="K1932" s="329">
        <v>1.3570269780732314</v>
      </c>
    </row>
    <row r="1933" spans="1:11" ht="11.25" x14ac:dyDescent="0.15">
      <c r="A1933" s="326">
        <v>1.4</v>
      </c>
      <c r="B1933" s="327">
        <v>75</v>
      </c>
      <c r="C1933" s="327" t="s">
        <v>115</v>
      </c>
      <c r="D1933" s="327" t="s">
        <v>113</v>
      </c>
      <c r="E1933" s="328" t="s">
        <v>1273</v>
      </c>
      <c r="F1933" s="328">
        <v>2179.8517999999999</v>
      </c>
      <c r="G1933" s="328">
        <v>15458.099999999999</v>
      </c>
      <c r="H1933" s="328">
        <v>12353.819799999997</v>
      </c>
      <c r="I1933" s="329">
        <v>3.953720750598097E-2</v>
      </c>
      <c r="J1933" s="329">
        <v>1.2421570559785728</v>
      </c>
      <c r="K1933" s="329">
        <v>1.3402225509218224</v>
      </c>
    </row>
    <row r="1934" spans="1:11" ht="11.25" x14ac:dyDescent="0.15">
      <c r="A1934" s="326">
        <v>0.9</v>
      </c>
      <c r="B1934" s="327">
        <v>85</v>
      </c>
      <c r="C1934" s="327" t="s">
        <v>115</v>
      </c>
      <c r="D1934" s="327" t="s">
        <v>79</v>
      </c>
      <c r="E1934" s="328" t="s">
        <v>1274</v>
      </c>
      <c r="F1934" s="328">
        <v>10205.067600000002</v>
      </c>
      <c r="G1934" s="328">
        <v>4824.5144400000008</v>
      </c>
      <c r="H1934" s="328">
        <v>5039.3401199999998</v>
      </c>
      <c r="I1934" s="329">
        <v>0.18509509468201613</v>
      </c>
      <c r="J1934" s="329">
        <v>0.38768054633599952</v>
      </c>
      <c r="K1934" s="329">
        <v>0.54670032264750079</v>
      </c>
    </row>
    <row r="1935" spans="1:11" ht="11.25" x14ac:dyDescent="0.15">
      <c r="A1935" s="326">
        <v>0.9</v>
      </c>
      <c r="B1935" s="327">
        <v>85</v>
      </c>
      <c r="C1935" s="327" t="s">
        <v>115</v>
      </c>
      <c r="D1935" s="327" t="s">
        <v>114</v>
      </c>
      <c r="E1935" s="328" t="s">
        <v>1275</v>
      </c>
      <c r="F1935" s="328">
        <v>2088.288</v>
      </c>
      <c r="G1935" s="328">
        <v>4737.1062599999996</v>
      </c>
      <c r="H1935" s="328">
        <v>4965.5390400000006</v>
      </c>
      <c r="I1935" s="329">
        <v>3.7876462972505742E-2</v>
      </c>
      <c r="J1935" s="329">
        <v>0.38065674085296819</v>
      </c>
      <c r="K1935" s="329">
        <v>0.53869390250379878</v>
      </c>
    </row>
    <row r="1936" spans="1:11" ht="11.25" x14ac:dyDescent="0.15">
      <c r="A1936" s="326">
        <v>0.9</v>
      </c>
      <c r="B1936" s="327">
        <v>85</v>
      </c>
      <c r="C1936" s="327" t="s">
        <v>115</v>
      </c>
      <c r="D1936" s="327" t="s">
        <v>113</v>
      </c>
      <c r="E1936" s="328" t="s">
        <v>1276</v>
      </c>
      <c r="F1936" s="328">
        <v>705.59958600000004</v>
      </c>
      <c r="G1936" s="328">
        <v>4756.7644200000004</v>
      </c>
      <c r="H1936" s="328">
        <v>4885.2169199999998</v>
      </c>
      <c r="I1936" s="329">
        <v>1.2797859582846993E-2</v>
      </c>
      <c r="J1936" s="329">
        <v>0.38223639955303851</v>
      </c>
      <c r="K1936" s="329">
        <v>0.52998003761790746</v>
      </c>
    </row>
    <row r="1937" spans="1:11" ht="11.25" x14ac:dyDescent="0.15">
      <c r="A1937" s="326">
        <v>0.92500000000000004</v>
      </c>
      <c r="B1937" s="327">
        <v>85</v>
      </c>
      <c r="C1937" s="327" t="s">
        <v>115</v>
      </c>
      <c r="D1937" s="327" t="s">
        <v>79</v>
      </c>
      <c r="E1937" s="328" t="s">
        <v>1277</v>
      </c>
      <c r="F1937" s="328">
        <v>11068.45232</v>
      </c>
      <c r="G1937" s="328">
        <v>5210.6842850000003</v>
      </c>
      <c r="H1937" s="328">
        <v>5337.4316700000008</v>
      </c>
      <c r="I1937" s="329">
        <v>0.20075479266338037</v>
      </c>
      <c r="J1937" s="329">
        <v>0.41871175960107748</v>
      </c>
      <c r="K1937" s="329">
        <v>0.57903922867146929</v>
      </c>
    </row>
    <row r="1938" spans="1:11" ht="11.25" x14ac:dyDescent="0.15">
      <c r="A1938" s="326">
        <v>0.92500000000000004</v>
      </c>
      <c r="B1938" s="327">
        <v>85</v>
      </c>
      <c r="C1938" s="327" t="s">
        <v>115</v>
      </c>
      <c r="D1938" s="327" t="s">
        <v>114</v>
      </c>
      <c r="E1938" s="328" t="s">
        <v>1278</v>
      </c>
      <c r="F1938" s="328">
        <v>2266.7698500000001</v>
      </c>
      <c r="G1938" s="328">
        <v>5080.447615</v>
      </c>
      <c r="H1938" s="328">
        <v>5260.9317650000003</v>
      </c>
      <c r="I1938" s="329">
        <v>4.1113689438773485E-2</v>
      </c>
      <c r="J1938" s="329">
        <v>0.40824641142842666</v>
      </c>
      <c r="K1938" s="329">
        <v>0.57074002247579714</v>
      </c>
    </row>
    <row r="1939" spans="1:11" ht="11.25" x14ac:dyDescent="0.15">
      <c r="A1939" s="326">
        <v>0.92500000000000004</v>
      </c>
      <c r="B1939" s="327">
        <v>85</v>
      </c>
      <c r="C1939" s="327" t="s">
        <v>115</v>
      </c>
      <c r="D1939" s="327" t="s">
        <v>113</v>
      </c>
      <c r="E1939" s="328" t="s">
        <v>1279</v>
      </c>
      <c r="F1939" s="328">
        <v>764.52276749999999</v>
      </c>
      <c r="G1939" s="328">
        <v>5060.8542650000009</v>
      </c>
      <c r="H1939" s="328">
        <v>5177.6577150000003</v>
      </c>
      <c r="I1939" s="329">
        <v>1.3866582719841021E-2</v>
      </c>
      <c r="J1939" s="329">
        <v>0.40667196062575645</v>
      </c>
      <c r="K1939" s="329">
        <v>0.56170591306482842</v>
      </c>
    </row>
    <row r="1940" spans="1:11" ht="11.25" x14ac:dyDescent="0.15">
      <c r="A1940" s="326">
        <v>0.95</v>
      </c>
      <c r="B1940" s="327">
        <v>85</v>
      </c>
      <c r="C1940" s="327" t="s">
        <v>115</v>
      </c>
      <c r="D1940" s="327" t="s">
        <v>79</v>
      </c>
      <c r="E1940" s="328" t="s">
        <v>1280</v>
      </c>
      <c r="F1940" s="328">
        <v>11988.5193</v>
      </c>
      <c r="G1940" s="328">
        <v>5624.1784099999995</v>
      </c>
      <c r="H1940" s="328">
        <v>5644.4552099999992</v>
      </c>
      <c r="I1940" s="329">
        <v>0.21744256891847313</v>
      </c>
      <c r="J1940" s="329">
        <v>0.45193865326682131</v>
      </c>
      <c r="K1940" s="329">
        <v>0.6123471349412245</v>
      </c>
    </row>
    <row r="1941" spans="1:11" ht="11.25" x14ac:dyDescent="0.15">
      <c r="A1941" s="326">
        <v>0.95</v>
      </c>
      <c r="B1941" s="327">
        <v>85</v>
      </c>
      <c r="C1941" s="327" t="s">
        <v>115</v>
      </c>
      <c r="D1941" s="327" t="s">
        <v>114</v>
      </c>
      <c r="E1941" s="328" t="s">
        <v>1281</v>
      </c>
      <c r="F1941" s="328">
        <v>2457.6843900000003</v>
      </c>
      <c r="G1941" s="328">
        <v>5447.62338</v>
      </c>
      <c r="H1941" s="328">
        <v>5565.0815700000003</v>
      </c>
      <c r="I1941" s="329">
        <v>4.4576414649674934E-2</v>
      </c>
      <c r="J1941" s="329">
        <v>0.43775132906248782</v>
      </c>
      <c r="K1941" s="329">
        <v>0.60373616732157787</v>
      </c>
    </row>
    <row r="1942" spans="1:11" ht="11.25" x14ac:dyDescent="0.15">
      <c r="A1942" s="326">
        <v>0.95</v>
      </c>
      <c r="B1942" s="327">
        <v>85</v>
      </c>
      <c r="C1942" s="327" t="s">
        <v>115</v>
      </c>
      <c r="D1942" s="327" t="s">
        <v>113</v>
      </c>
      <c r="E1942" s="328" t="s">
        <v>1282</v>
      </c>
      <c r="F1942" s="328">
        <v>827.44591500000001</v>
      </c>
      <c r="G1942" s="328">
        <v>5382.3866900000003</v>
      </c>
      <c r="H1942" s="328">
        <v>5478.6855299999997</v>
      </c>
      <c r="I1942" s="329">
        <v>1.5007855507118096E-2</v>
      </c>
      <c r="J1942" s="329">
        <v>0.43250914439605487</v>
      </c>
      <c r="K1942" s="329">
        <v>0.59436336417300484</v>
      </c>
    </row>
    <row r="1943" spans="1:11" ht="11.25" x14ac:dyDescent="0.15">
      <c r="A1943" s="326">
        <v>0.97499999999999998</v>
      </c>
      <c r="B1943" s="327">
        <v>85</v>
      </c>
      <c r="C1943" s="327" t="s">
        <v>115</v>
      </c>
      <c r="D1943" s="327" t="s">
        <v>79</v>
      </c>
      <c r="E1943" s="328" t="s">
        <v>1283</v>
      </c>
      <c r="F1943" s="328">
        <v>12968.0772</v>
      </c>
      <c r="G1943" s="328">
        <v>6065.5487099999991</v>
      </c>
      <c r="H1943" s="328">
        <v>5959.9862400000002</v>
      </c>
      <c r="I1943" s="329">
        <v>0.23520936570549461</v>
      </c>
      <c r="J1943" s="329">
        <v>0.48740557562108083</v>
      </c>
      <c r="K1943" s="329">
        <v>0.64657798894166829</v>
      </c>
    </row>
    <row r="1944" spans="1:11" ht="11.25" x14ac:dyDescent="0.15">
      <c r="A1944" s="326">
        <v>0.97499999999999998</v>
      </c>
      <c r="B1944" s="327">
        <v>85</v>
      </c>
      <c r="C1944" s="327" t="s">
        <v>115</v>
      </c>
      <c r="D1944" s="327" t="s">
        <v>114</v>
      </c>
      <c r="E1944" s="328" t="s">
        <v>1284</v>
      </c>
      <c r="F1944" s="328">
        <v>2661.7572150000001</v>
      </c>
      <c r="G1944" s="328">
        <v>5840.3935199999996</v>
      </c>
      <c r="H1944" s="328">
        <v>5877.7892549999997</v>
      </c>
      <c r="I1944" s="329">
        <v>4.8277799132948856E-2</v>
      </c>
      <c r="J1944" s="329">
        <v>0.46931291818267018</v>
      </c>
      <c r="K1944" s="329">
        <v>0.63766072653228911</v>
      </c>
    </row>
    <row r="1945" spans="1:11" ht="11.25" x14ac:dyDescent="0.15">
      <c r="A1945" s="326">
        <v>0.97499999999999998</v>
      </c>
      <c r="B1945" s="327">
        <v>85</v>
      </c>
      <c r="C1945" s="327" t="s">
        <v>115</v>
      </c>
      <c r="D1945" s="327" t="s">
        <v>113</v>
      </c>
      <c r="E1945" s="328" t="s">
        <v>1285</v>
      </c>
      <c r="F1945" s="328">
        <v>894.59935500000006</v>
      </c>
      <c r="G1945" s="328">
        <v>5723.3059650000005</v>
      </c>
      <c r="H1945" s="328">
        <v>5788.2602699999998</v>
      </c>
      <c r="I1945" s="329">
        <v>1.6225855506943977E-2</v>
      </c>
      <c r="J1945" s="329">
        <v>0.45990418537524053</v>
      </c>
      <c r="K1945" s="329">
        <v>0.6279480411766114</v>
      </c>
    </row>
    <row r="1946" spans="1:11" ht="11.25" x14ac:dyDescent="0.15">
      <c r="A1946" s="326">
        <v>1</v>
      </c>
      <c r="B1946" s="327">
        <v>85</v>
      </c>
      <c r="C1946" s="327" t="s">
        <v>115</v>
      </c>
      <c r="D1946" s="327" t="s">
        <v>79</v>
      </c>
      <c r="E1946" s="328" t="s">
        <v>1286</v>
      </c>
      <c r="F1946" s="328">
        <v>14010.02</v>
      </c>
      <c r="G1946" s="328">
        <v>6536.2069999999994</v>
      </c>
      <c r="H1946" s="328">
        <v>6284.4694</v>
      </c>
      <c r="I1946" s="329">
        <v>0.2541076727798392</v>
      </c>
      <c r="J1946" s="329">
        <v>0.52522597501546375</v>
      </c>
      <c r="K1946" s="329">
        <v>0.68178002810581195</v>
      </c>
    </row>
    <row r="1947" spans="1:11" ht="11.25" x14ac:dyDescent="0.15">
      <c r="A1947" s="326">
        <v>1</v>
      </c>
      <c r="B1947" s="327">
        <v>85</v>
      </c>
      <c r="C1947" s="327" t="s">
        <v>115</v>
      </c>
      <c r="D1947" s="327" t="s">
        <v>114</v>
      </c>
      <c r="E1947" s="328" t="s">
        <v>1287</v>
      </c>
      <c r="F1947" s="328">
        <v>2879.7536</v>
      </c>
      <c r="G1947" s="328">
        <v>6259.643</v>
      </c>
      <c r="H1947" s="328">
        <v>6199.3127999999997</v>
      </c>
      <c r="I1947" s="329">
        <v>5.2231723114982274E-2</v>
      </c>
      <c r="J1947" s="329">
        <v>0.50300229137842822</v>
      </c>
      <c r="K1947" s="329">
        <v>0.67254168745267817</v>
      </c>
    </row>
    <row r="1948" spans="1:11" ht="11.25" x14ac:dyDescent="0.15">
      <c r="A1948" s="326">
        <v>1</v>
      </c>
      <c r="B1948" s="327">
        <v>85</v>
      </c>
      <c r="C1948" s="327" t="s">
        <v>115</v>
      </c>
      <c r="D1948" s="327" t="s">
        <v>113</v>
      </c>
      <c r="E1948" s="328" t="s">
        <v>1288</v>
      </c>
      <c r="F1948" s="328">
        <v>966.22313999999994</v>
      </c>
      <c r="G1948" s="328">
        <v>6084.5768000000007</v>
      </c>
      <c r="H1948" s="328">
        <v>6106.4802</v>
      </c>
      <c r="I1948" s="329">
        <v>1.7524936687558532E-2</v>
      </c>
      <c r="J1948" s="329">
        <v>0.48893460417279788</v>
      </c>
      <c r="K1948" s="329">
        <v>0.66247060450060979</v>
      </c>
    </row>
    <row r="1949" spans="1:11" ht="11.25" x14ac:dyDescent="0.15">
      <c r="A1949" s="326">
        <v>1.0249999999999999</v>
      </c>
      <c r="B1949" s="327">
        <v>85</v>
      </c>
      <c r="C1949" s="327" t="s">
        <v>115</v>
      </c>
      <c r="D1949" s="327" t="s">
        <v>79</v>
      </c>
      <c r="E1949" s="328" t="s">
        <v>1289</v>
      </c>
      <c r="F1949" s="328">
        <v>15117.3478</v>
      </c>
      <c r="G1949" s="328">
        <v>7037.2160149999991</v>
      </c>
      <c r="H1949" s="328">
        <v>6617.268184999999</v>
      </c>
      <c r="I1949" s="329">
        <v>0.27419190465548388</v>
      </c>
      <c r="J1949" s="329">
        <v>0.56548524899422725</v>
      </c>
      <c r="K1949" s="329">
        <v>0.71788420024019761</v>
      </c>
    </row>
    <row r="1950" spans="1:11" ht="11.25" x14ac:dyDescent="0.15">
      <c r="A1950" s="326">
        <v>1.0249999999999999</v>
      </c>
      <c r="B1950" s="327">
        <v>85</v>
      </c>
      <c r="C1950" s="327" t="s">
        <v>115</v>
      </c>
      <c r="D1950" s="327" t="s">
        <v>114</v>
      </c>
      <c r="E1950" s="328" t="s">
        <v>1290</v>
      </c>
      <c r="F1950" s="328">
        <v>3112.4735899999996</v>
      </c>
      <c r="G1950" s="328">
        <v>6706.7732349999997</v>
      </c>
      <c r="H1950" s="328">
        <v>6529.2303199999997</v>
      </c>
      <c r="I1950" s="329">
        <v>5.6452697465357748E-2</v>
      </c>
      <c r="J1950" s="329">
        <v>0.53893206129495141</v>
      </c>
      <c r="K1950" s="329">
        <v>0.70833328125981798</v>
      </c>
    </row>
    <row r="1951" spans="1:11" ht="11.25" x14ac:dyDescent="0.15">
      <c r="A1951" s="326">
        <v>1.0249999999999999</v>
      </c>
      <c r="B1951" s="327">
        <v>85</v>
      </c>
      <c r="C1951" s="327" t="s">
        <v>115</v>
      </c>
      <c r="D1951" s="327" t="s">
        <v>113</v>
      </c>
      <c r="E1951" s="328" t="s">
        <v>1291</v>
      </c>
      <c r="F1951" s="328">
        <v>1042.5712265</v>
      </c>
      <c r="G1951" s="328">
        <v>6468.3086249999988</v>
      </c>
      <c r="H1951" s="328">
        <v>6433.1941749999996</v>
      </c>
      <c r="I1951" s="329">
        <v>1.8909705201929593E-2</v>
      </c>
      <c r="J1951" s="329">
        <v>0.51976990696080438</v>
      </c>
      <c r="K1951" s="329">
        <v>0.69791465695443522</v>
      </c>
    </row>
    <row r="1952" spans="1:11" ht="11.25" x14ac:dyDescent="0.15">
      <c r="A1952" s="326">
        <v>1.05</v>
      </c>
      <c r="B1952" s="327">
        <v>85</v>
      </c>
      <c r="C1952" s="327" t="s">
        <v>115</v>
      </c>
      <c r="D1952" s="327" t="s">
        <v>79</v>
      </c>
      <c r="E1952" s="328" t="s">
        <v>1292</v>
      </c>
      <c r="F1952" s="328">
        <v>16293.162900000003</v>
      </c>
      <c r="G1952" s="328">
        <v>7569.0526799999998</v>
      </c>
      <c r="H1952" s="328">
        <v>6958.9608900000003</v>
      </c>
      <c r="I1952" s="329">
        <v>0.29551832950572643</v>
      </c>
      <c r="J1952" s="329">
        <v>0.60822172152693588</v>
      </c>
      <c r="K1952" s="329">
        <v>0.75495324253968787</v>
      </c>
    </row>
    <row r="1953" spans="1:11" ht="11.25" x14ac:dyDescent="0.15">
      <c r="A1953" s="326">
        <v>1.05</v>
      </c>
      <c r="B1953" s="327">
        <v>85</v>
      </c>
      <c r="C1953" s="327" t="s">
        <v>115</v>
      </c>
      <c r="D1953" s="327" t="s">
        <v>114</v>
      </c>
      <c r="E1953" s="328" t="s">
        <v>1293</v>
      </c>
      <c r="F1953" s="328">
        <v>3360.7597800000003</v>
      </c>
      <c r="G1953" s="328">
        <v>7183.2551700000004</v>
      </c>
      <c r="H1953" s="328">
        <v>6867.7478100000008</v>
      </c>
      <c r="I1953" s="329">
        <v>6.0956004807122655E-2</v>
      </c>
      <c r="J1953" s="329">
        <v>0.57722042775697291</v>
      </c>
      <c r="K1953" s="329">
        <v>0.74505785562826177</v>
      </c>
    </row>
    <row r="1954" spans="1:11" ht="11.25" x14ac:dyDescent="0.15">
      <c r="A1954" s="326">
        <v>1.05</v>
      </c>
      <c r="B1954" s="327">
        <v>85</v>
      </c>
      <c r="C1954" s="327" t="s">
        <v>115</v>
      </c>
      <c r="D1954" s="327" t="s">
        <v>113</v>
      </c>
      <c r="E1954" s="328" t="s">
        <v>1294</v>
      </c>
      <c r="F1954" s="328">
        <v>1123.9089750000001</v>
      </c>
      <c r="G1954" s="328">
        <v>6875.6347800000003</v>
      </c>
      <c r="H1954" s="328">
        <v>6768.3163800000002</v>
      </c>
      <c r="I1954" s="329">
        <v>2.0384974043836091E-2</v>
      </c>
      <c r="J1954" s="329">
        <v>0.55250116484617662</v>
      </c>
      <c r="K1954" s="329">
        <v>0.73427088876992985</v>
      </c>
    </row>
    <row r="1955" spans="1:11" ht="11.25" x14ac:dyDescent="0.15">
      <c r="A1955" s="326">
        <v>1.075</v>
      </c>
      <c r="B1955" s="327">
        <v>85</v>
      </c>
      <c r="C1955" s="327" t="s">
        <v>115</v>
      </c>
      <c r="D1955" s="327" t="s">
        <v>79</v>
      </c>
      <c r="E1955" s="328" t="s">
        <v>1295</v>
      </c>
      <c r="F1955" s="328">
        <v>17540.67395</v>
      </c>
      <c r="G1955" s="328">
        <v>8133.5695399999995</v>
      </c>
      <c r="H1955" s="328">
        <v>7308.9867049999993</v>
      </c>
      <c r="I1955" s="329">
        <v>0.31814514443408715</v>
      </c>
      <c r="J1955" s="329">
        <v>0.65358425643535722</v>
      </c>
      <c r="K1955" s="329">
        <v>0.79292631469570141</v>
      </c>
    </row>
    <row r="1956" spans="1:11" ht="11.25" x14ac:dyDescent="0.15">
      <c r="A1956" s="326">
        <v>1.075</v>
      </c>
      <c r="B1956" s="327">
        <v>85</v>
      </c>
      <c r="C1956" s="327" t="s">
        <v>115</v>
      </c>
      <c r="D1956" s="327" t="s">
        <v>114</v>
      </c>
      <c r="E1956" s="328" t="s">
        <v>1296</v>
      </c>
      <c r="F1956" s="328">
        <v>3625.4968399999998</v>
      </c>
      <c r="G1956" s="328">
        <v>7690.5345200000002</v>
      </c>
      <c r="H1956" s="328">
        <v>7214.9472099999994</v>
      </c>
      <c r="I1956" s="329">
        <v>6.5757690901444898E-2</v>
      </c>
      <c r="J1956" s="329">
        <v>0.61798356319759784</v>
      </c>
      <c r="K1956" s="329">
        <v>0.782724299941018</v>
      </c>
    </row>
    <row r="1957" spans="1:11" ht="11.25" x14ac:dyDescent="0.15">
      <c r="A1957" s="326">
        <v>1.075</v>
      </c>
      <c r="B1957" s="327">
        <v>85</v>
      </c>
      <c r="C1957" s="327" t="s">
        <v>115</v>
      </c>
      <c r="D1957" s="327" t="s">
        <v>113</v>
      </c>
      <c r="E1957" s="328" t="s">
        <v>1297</v>
      </c>
      <c r="F1957" s="328">
        <v>1210.516779</v>
      </c>
      <c r="G1957" s="328">
        <v>7308.1557299999995</v>
      </c>
      <c r="H1957" s="328">
        <v>7112.2189200000003</v>
      </c>
      <c r="I1957" s="329">
        <v>2.1955828869097756E-2</v>
      </c>
      <c r="J1957" s="329">
        <v>0.58725698541280869</v>
      </c>
      <c r="K1957" s="329">
        <v>0.77157966831253688</v>
      </c>
    </row>
    <row r="1958" spans="1:11" ht="11.25" x14ac:dyDescent="0.15">
      <c r="A1958" s="326">
        <v>1.1000000000000001</v>
      </c>
      <c r="B1958" s="327">
        <v>85</v>
      </c>
      <c r="C1958" s="327" t="s">
        <v>115</v>
      </c>
      <c r="D1958" s="327" t="s">
        <v>79</v>
      </c>
      <c r="E1958" s="328" t="s">
        <v>1298</v>
      </c>
      <c r="F1958" s="328">
        <v>18863.193800000005</v>
      </c>
      <c r="G1958" s="328">
        <v>8730.7136400000018</v>
      </c>
      <c r="H1958" s="328">
        <v>7668.102640000001</v>
      </c>
      <c r="I1958" s="329">
        <v>0.3421324364785413</v>
      </c>
      <c r="J1958" s="329">
        <v>0.70156859844705188</v>
      </c>
      <c r="K1958" s="329">
        <v>0.8318855420662008</v>
      </c>
    </row>
    <row r="1959" spans="1:11" ht="11.25" x14ac:dyDescent="0.15">
      <c r="A1959" s="326">
        <v>1.1000000000000001</v>
      </c>
      <c r="B1959" s="327">
        <v>85</v>
      </c>
      <c r="C1959" s="327" t="s">
        <v>115</v>
      </c>
      <c r="D1959" s="327" t="s">
        <v>114</v>
      </c>
      <c r="E1959" s="328" t="s">
        <v>1299</v>
      </c>
      <c r="F1959" s="328">
        <v>3907.6120600000004</v>
      </c>
      <c r="G1959" s="328">
        <v>8229.4610200000006</v>
      </c>
      <c r="H1959" s="328">
        <v>7570.594900000001</v>
      </c>
      <c r="I1959" s="329">
        <v>7.0874574532586929E-2</v>
      </c>
      <c r="J1959" s="329">
        <v>0.6612897492507892</v>
      </c>
      <c r="K1959" s="329">
        <v>0.82130726958424161</v>
      </c>
    </row>
    <row r="1960" spans="1:11" ht="11.25" x14ac:dyDescent="0.15">
      <c r="A1960" s="326">
        <v>1.1000000000000001</v>
      </c>
      <c r="B1960" s="327">
        <v>85</v>
      </c>
      <c r="C1960" s="327" t="s">
        <v>115</v>
      </c>
      <c r="D1960" s="327" t="s">
        <v>113</v>
      </c>
      <c r="E1960" s="328" t="s">
        <v>1300</v>
      </c>
      <c r="F1960" s="328">
        <v>1302.6882440000002</v>
      </c>
      <c r="G1960" s="328">
        <v>7766.6512000000012</v>
      </c>
      <c r="H1960" s="328">
        <v>7464.6061600000012</v>
      </c>
      <c r="I1960" s="329">
        <v>2.3627594967066099E-2</v>
      </c>
      <c r="J1960" s="329">
        <v>0.62410002454405467</v>
      </c>
      <c r="K1960" s="329">
        <v>0.80980892317872022</v>
      </c>
    </row>
    <row r="1961" spans="1:11" ht="11.25" x14ac:dyDescent="0.15">
      <c r="A1961" s="326">
        <v>1.125</v>
      </c>
      <c r="B1961" s="327">
        <v>85</v>
      </c>
      <c r="C1961" s="327" t="s">
        <v>115</v>
      </c>
      <c r="D1961" s="327" t="s">
        <v>79</v>
      </c>
      <c r="E1961" s="328" t="s">
        <v>1301</v>
      </c>
      <c r="F1961" s="328">
        <v>20264.136750000001</v>
      </c>
      <c r="G1961" s="328">
        <v>9360.3125249999994</v>
      </c>
      <c r="H1961" s="328">
        <v>8036.0448750000005</v>
      </c>
      <c r="I1961" s="329">
        <v>0.36754213273320918</v>
      </c>
      <c r="J1961" s="329">
        <v>0.75216088970140971</v>
      </c>
      <c r="K1961" s="329">
        <v>0.87180230374533552</v>
      </c>
    </row>
    <row r="1962" spans="1:11" ht="11.25" x14ac:dyDescent="0.15">
      <c r="A1962" s="326">
        <v>1.125</v>
      </c>
      <c r="B1962" s="327">
        <v>85</v>
      </c>
      <c r="C1962" s="327" t="s">
        <v>115</v>
      </c>
      <c r="D1962" s="327" t="s">
        <v>114</v>
      </c>
      <c r="E1962" s="328" t="s">
        <v>1302</v>
      </c>
      <c r="F1962" s="328">
        <v>4208.0807250000007</v>
      </c>
      <c r="G1962" s="328">
        <v>8800.4733750000014</v>
      </c>
      <c r="H1962" s="328">
        <v>7935.1184249999997</v>
      </c>
      <c r="I1962" s="329">
        <v>7.6324344997326821E-2</v>
      </c>
      <c r="J1962" s="329">
        <v>0.7071742386650246</v>
      </c>
      <c r="K1962" s="329">
        <v>0.86085314741439367</v>
      </c>
    </row>
    <row r="1963" spans="1:11" ht="11.25" x14ac:dyDescent="0.15">
      <c r="A1963" s="326">
        <v>1.125</v>
      </c>
      <c r="B1963" s="327">
        <v>85</v>
      </c>
      <c r="C1963" s="327" t="s">
        <v>115</v>
      </c>
      <c r="D1963" s="327" t="s">
        <v>113</v>
      </c>
      <c r="E1963" s="328" t="s">
        <v>1303</v>
      </c>
      <c r="F1963" s="328">
        <v>1400.7322125000001</v>
      </c>
      <c r="G1963" s="328">
        <v>8253.1435500000007</v>
      </c>
      <c r="H1963" s="328">
        <v>7825.3798500000003</v>
      </c>
      <c r="I1963" s="329">
        <v>2.5405873989197036E-2</v>
      </c>
      <c r="J1963" s="329">
        <v>0.66319279178143165</v>
      </c>
      <c r="K1963" s="329">
        <v>0.84894799457081527</v>
      </c>
    </row>
    <row r="1964" spans="1:11" ht="11.25" x14ac:dyDescent="0.15">
      <c r="A1964" s="326">
        <v>1.1499999999999999</v>
      </c>
      <c r="B1964" s="327">
        <v>85</v>
      </c>
      <c r="C1964" s="327" t="s">
        <v>115</v>
      </c>
      <c r="D1964" s="327" t="s">
        <v>79</v>
      </c>
      <c r="E1964" s="328" t="s">
        <v>1304</v>
      </c>
      <c r="F1964" s="328">
        <v>21747.045099999999</v>
      </c>
      <c r="G1964" s="328">
        <v>10024.839109999999</v>
      </c>
      <c r="H1964" s="328">
        <v>8412.6511199999986</v>
      </c>
      <c r="I1964" s="329">
        <v>0.39443848190075431</v>
      </c>
      <c r="J1964" s="329">
        <v>0.80555984471160469</v>
      </c>
      <c r="K1964" s="329">
        <v>0.91265899346060775</v>
      </c>
    </row>
    <row r="1965" spans="1:11" ht="11.25" x14ac:dyDescent="0.15">
      <c r="A1965" s="326">
        <v>1.1499999999999999</v>
      </c>
      <c r="B1965" s="327">
        <v>85</v>
      </c>
      <c r="C1965" s="327" t="s">
        <v>115</v>
      </c>
      <c r="D1965" s="327" t="s">
        <v>114</v>
      </c>
      <c r="E1965" s="328" t="s">
        <v>1305</v>
      </c>
      <c r="F1965" s="328">
        <v>4527.9258200000004</v>
      </c>
      <c r="G1965" s="328">
        <v>9405.3012199999994</v>
      </c>
      <c r="H1965" s="328">
        <v>8308.3123099999993</v>
      </c>
      <c r="I1965" s="329">
        <v>8.2125556754376175E-2</v>
      </c>
      <c r="J1965" s="329">
        <v>0.7557760186586242</v>
      </c>
      <c r="K1965" s="329">
        <v>0.90133964216989637</v>
      </c>
    </row>
    <row r="1966" spans="1:11" ht="11.25" x14ac:dyDescent="0.15">
      <c r="A1966" s="326">
        <v>1.1499999999999999</v>
      </c>
      <c r="B1966" s="327">
        <v>85</v>
      </c>
      <c r="C1966" s="327" t="s">
        <v>115</v>
      </c>
      <c r="D1966" s="327" t="s">
        <v>113</v>
      </c>
      <c r="E1966" s="328" t="s">
        <v>1306</v>
      </c>
      <c r="F1966" s="328">
        <v>1504.9731909999998</v>
      </c>
      <c r="G1966" s="328">
        <v>8768.0954199999978</v>
      </c>
      <c r="H1966" s="328">
        <v>8194.7488900000008</v>
      </c>
      <c r="I1966" s="329">
        <v>2.7296551693791901E-2</v>
      </c>
      <c r="J1966" s="329">
        <v>0.70457246320352473</v>
      </c>
      <c r="K1966" s="329">
        <v>0.88901954531662963</v>
      </c>
    </row>
    <row r="1967" spans="1:11" ht="11.25" x14ac:dyDescent="0.15">
      <c r="A1967" s="326">
        <v>1.175</v>
      </c>
      <c r="B1967" s="327">
        <v>85</v>
      </c>
      <c r="C1967" s="327" t="s">
        <v>115</v>
      </c>
      <c r="D1967" s="327" t="s">
        <v>79</v>
      </c>
      <c r="E1967" s="328" t="s">
        <v>1307</v>
      </c>
      <c r="F1967" s="328">
        <v>23315.560250000002</v>
      </c>
      <c r="G1967" s="328">
        <v>10724.244975</v>
      </c>
      <c r="H1967" s="328">
        <v>8798.0801650000012</v>
      </c>
      <c r="I1967" s="329">
        <v>0.4228875301167041</v>
      </c>
      <c r="J1967" s="329">
        <v>0.86176157262140907</v>
      </c>
      <c r="K1967" s="329">
        <v>0.95447283778180025</v>
      </c>
    </row>
    <row r="1968" spans="1:11" ht="11.25" x14ac:dyDescent="0.15">
      <c r="A1968" s="326">
        <v>1.175</v>
      </c>
      <c r="B1968" s="327">
        <v>85</v>
      </c>
      <c r="C1968" s="327" t="s">
        <v>115</v>
      </c>
      <c r="D1968" s="327" t="s">
        <v>114</v>
      </c>
      <c r="E1968" s="328" t="s">
        <v>1308</v>
      </c>
      <c r="F1968" s="328">
        <v>4868.21911</v>
      </c>
      <c r="G1968" s="328">
        <v>10044.57633</v>
      </c>
      <c r="H1968" s="328">
        <v>8690.2633399999995</v>
      </c>
      <c r="I1968" s="329">
        <v>8.8297649012952173E-2</v>
      </c>
      <c r="J1968" s="329">
        <v>0.80714585638758052</v>
      </c>
      <c r="K1968" s="329">
        <v>0.9427761688508034</v>
      </c>
    </row>
    <row r="1969" spans="1:11" ht="11.25" x14ac:dyDescent="0.15">
      <c r="A1969" s="326">
        <v>1.175</v>
      </c>
      <c r="B1969" s="327">
        <v>85</v>
      </c>
      <c r="C1969" s="327" t="s">
        <v>115</v>
      </c>
      <c r="D1969" s="327" t="s">
        <v>113</v>
      </c>
      <c r="E1969" s="328" t="s">
        <v>1309</v>
      </c>
      <c r="F1969" s="328">
        <v>1615.7508895000001</v>
      </c>
      <c r="G1969" s="328">
        <v>9313.0730299999996</v>
      </c>
      <c r="H1969" s="328">
        <v>8572.754175</v>
      </c>
      <c r="I1969" s="329">
        <v>2.9305789593647987E-2</v>
      </c>
      <c r="J1969" s="329">
        <v>0.74836489458977795</v>
      </c>
      <c r="K1969" s="329">
        <v>0.93002801197118035</v>
      </c>
    </row>
    <row r="1970" spans="1:11" ht="11.25" x14ac:dyDescent="0.15">
      <c r="A1970" s="326">
        <v>1.2</v>
      </c>
      <c r="B1970" s="327">
        <v>85</v>
      </c>
      <c r="C1970" s="327" t="s">
        <v>115</v>
      </c>
      <c r="D1970" s="327" t="s">
        <v>79</v>
      </c>
      <c r="E1970" s="328" t="s">
        <v>1310</v>
      </c>
      <c r="F1970" s="328">
        <v>24973.447199999999</v>
      </c>
      <c r="G1970" s="328">
        <v>11458.620720000001</v>
      </c>
      <c r="H1970" s="328">
        <v>9192.37824</v>
      </c>
      <c r="I1970" s="329">
        <v>0.45295756531983478</v>
      </c>
      <c r="J1970" s="329">
        <v>0.92077335371942715</v>
      </c>
      <c r="K1970" s="329">
        <v>0.99724885203935509</v>
      </c>
    </row>
    <row r="1971" spans="1:11" ht="11.25" x14ac:dyDescent="0.15">
      <c r="A1971" s="326">
        <v>1.2</v>
      </c>
      <c r="B1971" s="327">
        <v>85</v>
      </c>
      <c r="C1971" s="327" t="s">
        <v>115</v>
      </c>
      <c r="D1971" s="327" t="s">
        <v>114</v>
      </c>
      <c r="E1971" s="328" t="s">
        <v>1311</v>
      </c>
      <c r="F1971" s="328">
        <v>5230.0867200000002</v>
      </c>
      <c r="G1971" s="328">
        <v>10719.337679999999</v>
      </c>
      <c r="H1971" s="328">
        <v>9080.3071199999995</v>
      </c>
      <c r="I1971" s="329">
        <v>9.4861046940399985E-2</v>
      </c>
      <c r="J1971" s="329">
        <v>0.86136724012841059</v>
      </c>
      <c r="K1971" s="329">
        <v>0.98509064957544457</v>
      </c>
    </row>
    <row r="1972" spans="1:11" ht="11.25" x14ac:dyDescent="0.15">
      <c r="A1972" s="326">
        <v>1.2</v>
      </c>
      <c r="B1972" s="327">
        <v>85</v>
      </c>
      <c r="C1972" s="327" t="s">
        <v>115</v>
      </c>
      <c r="D1972" s="327" t="s">
        <v>113</v>
      </c>
      <c r="E1972" s="328" t="s">
        <v>1312</v>
      </c>
      <c r="F1972" s="328">
        <v>1733.42472</v>
      </c>
      <c r="G1972" s="328">
        <v>9889.1961599999995</v>
      </c>
      <c r="H1972" s="328">
        <v>8959.4520000000011</v>
      </c>
      <c r="I1972" s="329">
        <v>3.1440106547902462E-2</v>
      </c>
      <c r="J1972" s="329">
        <v>0.79466006741450812</v>
      </c>
      <c r="K1972" s="329">
        <v>0.971979501781435</v>
      </c>
    </row>
    <row r="1973" spans="1:11" ht="11.25" x14ac:dyDescent="0.15">
      <c r="A1973" s="326">
        <v>1.2250000000000001</v>
      </c>
      <c r="B1973" s="327">
        <v>85</v>
      </c>
      <c r="C1973" s="327" t="s">
        <v>115</v>
      </c>
      <c r="D1973" s="327" t="s">
        <v>79</v>
      </c>
      <c r="E1973" s="328" t="s">
        <v>1313</v>
      </c>
      <c r="F1973" s="328">
        <v>26724.577950000003</v>
      </c>
      <c r="G1973" s="328">
        <v>12228.814360000002</v>
      </c>
      <c r="H1973" s="328">
        <v>9595.2579100000003</v>
      </c>
      <c r="I1973" s="329">
        <v>0.48471881616856416</v>
      </c>
      <c r="J1973" s="329">
        <v>0.98266333142663709</v>
      </c>
      <c r="K1973" s="329">
        <v>1.040955853418956</v>
      </c>
    </row>
    <row r="1974" spans="1:11" ht="11.25" x14ac:dyDescent="0.15">
      <c r="A1974" s="326">
        <v>1.2250000000000001</v>
      </c>
      <c r="B1974" s="327">
        <v>85</v>
      </c>
      <c r="C1974" s="327" t="s">
        <v>115</v>
      </c>
      <c r="D1974" s="327" t="s">
        <v>114</v>
      </c>
      <c r="E1974" s="328" t="s">
        <v>1314</v>
      </c>
      <c r="F1974" s="328">
        <v>5614.710325</v>
      </c>
      <c r="G1974" s="328">
        <v>11429.441344999999</v>
      </c>
      <c r="H1974" s="328">
        <v>9479.4657650000008</v>
      </c>
      <c r="I1974" s="329">
        <v>0.1018371832458972</v>
      </c>
      <c r="J1974" s="329">
        <v>0.91842860458820808</v>
      </c>
      <c r="K1974" s="329">
        <v>1.028393970012772</v>
      </c>
    </row>
    <row r="1975" spans="1:11" ht="11.25" x14ac:dyDescent="0.15">
      <c r="A1975" s="326">
        <v>1.2250000000000001</v>
      </c>
      <c r="B1975" s="327">
        <v>85</v>
      </c>
      <c r="C1975" s="327" t="s">
        <v>115</v>
      </c>
      <c r="D1975" s="327" t="s">
        <v>113</v>
      </c>
      <c r="E1975" s="328" t="s">
        <v>1315</v>
      </c>
      <c r="F1975" s="328">
        <v>1858.3710600000004</v>
      </c>
      <c r="G1975" s="328">
        <v>10497.470900000002</v>
      </c>
      <c r="H1975" s="328">
        <v>9354.7808550000009</v>
      </c>
      <c r="I1975" s="329">
        <v>3.3706329128581049E-2</v>
      </c>
      <c r="J1975" s="329">
        <v>0.84353882743446751</v>
      </c>
      <c r="K1975" s="329">
        <v>1.0148673417433798</v>
      </c>
    </row>
    <row r="1976" spans="1:11" ht="11.25" x14ac:dyDescent="0.15">
      <c r="A1976" s="326">
        <v>1.25</v>
      </c>
      <c r="B1976" s="327">
        <v>85</v>
      </c>
      <c r="C1976" s="327" t="s">
        <v>115</v>
      </c>
      <c r="D1976" s="327" t="s">
        <v>79</v>
      </c>
      <c r="E1976" s="328" t="s">
        <v>1316</v>
      </c>
      <c r="F1976" s="328">
        <v>28572.954999999998</v>
      </c>
      <c r="G1976" s="328">
        <v>13036.0525</v>
      </c>
      <c r="H1976" s="328">
        <v>10007.408749999999</v>
      </c>
      <c r="I1976" s="329">
        <v>0.51824387827376905</v>
      </c>
      <c r="J1976" s="329">
        <v>1.0475300712883289</v>
      </c>
      <c r="K1976" s="329">
        <v>1.085668651492097</v>
      </c>
    </row>
    <row r="1977" spans="1:11" ht="11.25" x14ac:dyDescent="0.15">
      <c r="A1977" s="326">
        <v>1.25</v>
      </c>
      <c r="B1977" s="327">
        <v>85</v>
      </c>
      <c r="C1977" s="327" t="s">
        <v>115</v>
      </c>
      <c r="D1977" s="327" t="s">
        <v>114</v>
      </c>
      <c r="E1977" s="328" t="s">
        <v>1317</v>
      </c>
      <c r="F1977" s="328">
        <v>6023.3282500000005</v>
      </c>
      <c r="G1977" s="328">
        <v>12176.494499999999</v>
      </c>
      <c r="H1977" s="328">
        <v>9886.9502499999999</v>
      </c>
      <c r="I1977" s="329">
        <v>0.10924851813177723</v>
      </c>
      <c r="J1977" s="329">
        <v>0.97845909654221952</v>
      </c>
      <c r="K1977" s="329">
        <v>1.0726005316098388</v>
      </c>
    </row>
    <row r="1978" spans="1:11" ht="11.25" x14ac:dyDescent="0.15">
      <c r="A1978" s="326">
        <v>1.25</v>
      </c>
      <c r="B1978" s="327">
        <v>85</v>
      </c>
      <c r="C1978" s="327" t="s">
        <v>115</v>
      </c>
      <c r="D1978" s="327" t="s">
        <v>113</v>
      </c>
      <c r="E1978" s="328" t="s">
        <v>1318</v>
      </c>
      <c r="F1978" s="328">
        <v>1990.9854999999998</v>
      </c>
      <c r="G1978" s="328">
        <v>11139.041999999999</v>
      </c>
      <c r="H1978" s="328">
        <v>9758.5990000000002</v>
      </c>
      <c r="I1978" s="329">
        <v>3.611163238477922E-2</v>
      </c>
      <c r="J1978" s="329">
        <v>0.89509316262294036</v>
      </c>
      <c r="K1978" s="329">
        <v>1.0586761549818906</v>
      </c>
    </row>
    <row r="1979" spans="1:11" ht="11.25" x14ac:dyDescent="0.15">
      <c r="A1979" s="326">
        <v>1.2749999999999999</v>
      </c>
      <c r="B1979" s="327">
        <v>85</v>
      </c>
      <c r="C1979" s="327" t="s">
        <v>115</v>
      </c>
      <c r="D1979" s="327" t="s">
        <v>79</v>
      </c>
      <c r="E1979" s="328" t="s">
        <v>1319</v>
      </c>
      <c r="F1979" s="328">
        <v>30522.714599999999</v>
      </c>
      <c r="G1979" s="328">
        <v>13879.87695</v>
      </c>
      <c r="H1979" s="328">
        <v>10428.363974999998</v>
      </c>
      <c r="I1979" s="329">
        <v>0.5536077731458785</v>
      </c>
      <c r="J1979" s="329">
        <v>1.1153367548118367</v>
      </c>
      <c r="K1979" s="329">
        <v>1.1313366063924404</v>
      </c>
    </row>
    <row r="1980" spans="1:11" ht="11.25" x14ac:dyDescent="0.15">
      <c r="A1980" s="326">
        <v>1.2749999999999999</v>
      </c>
      <c r="B1980" s="327">
        <v>85</v>
      </c>
      <c r="C1980" s="327" t="s">
        <v>115</v>
      </c>
      <c r="D1980" s="327" t="s">
        <v>114</v>
      </c>
      <c r="E1980" s="328" t="s">
        <v>1320</v>
      </c>
      <c r="F1980" s="328">
        <v>6457.2367349999995</v>
      </c>
      <c r="G1980" s="328">
        <v>12961.902704999999</v>
      </c>
      <c r="H1980" s="328">
        <v>10303.016684999999</v>
      </c>
      <c r="I1980" s="329">
        <v>0.11711856223755121</v>
      </c>
      <c r="J1980" s="329">
        <v>1.0415716617128559</v>
      </c>
      <c r="K1980" s="329">
        <v>1.1177381188416557</v>
      </c>
    </row>
    <row r="1981" spans="1:11" ht="11.25" x14ac:dyDescent="0.15">
      <c r="A1981" s="326">
        <v>1.2749999999999999</v>
      </c>
      <c r="B1981" s="327">
        <v>85</v>
      </c>
      <c r="C1981" s="327" t="s">
        <v>115</v>
      </c>
      <c r="D1981" s="327" t="s">
        <v>113</v>
      </c>
      <c r="E1981" s="328" t="s">
        <v>1321</v>
      </c>
      <c r="F1981" s="328">
        <v>2131.6832099999997</v>
      </c>
      <c r="G1981" s="328">
        <v>11813.849099999999</v>
      </c>
      <c r="H1981" s="328">
        <v>10171.162049999999</v>
      </c>
      <c r="I1981" s="329">
        <v>3.8663546490080469E-2</v>
      </c>
      <c r="J1981" s="329">
        <v>0.94931822266844645</v>
      </c>
      <c r="K1981" s="329">
        <v>1.1034336722711653</v>
      </c>
    </row>
    <row r="1982" spans="1:11" ht="11.25" x14ac:dyDescent="0.15">
      <c r="A1982" s="326">
        <v>1.3</v>
      </c>
      <c r="B1982" s="327">
        <v>85</v>
      </c>
      <c r="C1982" s="327" t="s">
        <v>115</v>
      </c>
      <c r="D1982" s="327" t="s">
        <v>79</v>
      </c>
      <c r="E1982" s="328" t="s">
        <v>1322</v>
      </c>
      <c r="F1982" s="328">
        <v>32578.088400000004</v>
      </c>
      <c r="G1982" s="328">
        <v>14763.062599999999</v>
      </c>
      <c r="H1982" s="328">
        <v>10857.572700000001</v>
      </c>
      <c r="I1982" s="329">
        <v>0.59088725261918806</v>
      </c>
      <c r="J1982" s="329">
        <v>1.1863063621301049</v>
      </c>
      <c r="K1982" s="329">
        <v>1.1778999545398212</v>
      </c>
    </row>
    <row r="1983" spans="1:11" ht="11.25" x14ac:dyDescent="0.15">
      <c r="A1983" s="326">
        <v>1.3</v>
      </c>
      <c r="B1983" s="327">
        <v>85</v>
      </c>
      <c r="C1983" s="327" t="s">
        <v>115</v>
      </c>
      <c r="D1983" s="327" t="s">
        <v>114</v>
      </c>
      <c r="E1983" s="328" t="s">
        <v>1323</v>
      </c>
      <c r="F1983" s="328">
        <v>6917.8015400000004</v>
      </c>
      <c r="G1983" s="328">
        <v>13783.161600000001</v>
      </c>
      <c r="H1983" s="328">
        <v>10728.456960000001</v>
      </c>
      <c r="I1983" s="329">
        <v>0.12547208712637012</v>
      </c>
      <c r="J1983" s="329">
        <v>1.1075650587803751</v>
      </c>
      <c r="K1983" s="329">
        <v>1.1638926410749642</v>
      </c>
    </row>
    <row r="1984" spans="1:11" ht="11.25" x14ac:dyDescent="0.15">
      <c r="A1984" s="326">
        <v>1.3</v>
      </c>
      <c r="B1984" s="327">
        <v>85</v>
      </c>
      <c r="C1984" s="327" t="s">
        <v>115</v>
      </c>
      <c r="D1984" s="327" t="s">
        <v>113</v>
      </c>
      <c r="E1984" s="328" t="s">
        <v>1324</v>
      </c>
      <c r="F1984" s="328">
        <v>2280.9025199999996</v>
      </c>
      <c r="G1984" s="328">
        <v>12523.072899999999</v>
      </c>
      <c r="H1984" s="328">
        <v>10592.587460000001</v>
      </c>
      <c r="I1984" s="329">
        <v>4.1370021684113981E-2</v>
      </c>
      <c r="J1984" s="329">
        <v>1.0063088843563599</v>
      </c>
      <c r="K1984" s="329">
        <v>1.1491526358919135</v>
      </c>
    </row>
    <row r="1985" spans="1:11" ht="11.25" x14ac:dyDescent="0.15">
      <c r="A1985" s="326">
        <v>1.325</v>
      </c>
      <c r="B1985" s="327">
        <v>85</v>
      </c>
      <c r="C1985" s="327" t="s">
        <v>115</v>
      </c>
      <c r="D1985" s="327" t="s">
        <v>79</v>
      </c>
      <c r="E1985" s="328" t="s">
        <v>1325</v>
      </c>
      <c r="F1985" s="328">
        <v>34743.463649999998</v>
      </c>
      <c r="G1985" s="328">
        <v>15683.70435</v>
      </c>
      <c r="H1985" s="328">
        <v>11296.203229999999</v>
      </c>
      <c r="I1985" s="329">
        <v>0.63016189073337781</v>
      </c>
      <c r="J1985" s="329">
        <v>1.2602858062914806</v>
      </c>
      <c r="K1985" s="329">
        <v>1.2254854412431959</v>
      </c>
    </row>
    <row r="1986" spans="1:11" ht="11.25" x14ac:dyDescent="0.15">
      <c r="A1986" s="326">
        <v>1.325</v>
      </c>
      <c r="B1986" s="327">
        <v>85</v>
      </c>
      <c r="C1986" s="327" t="s">
        <v>115</v>
      </c>
      <c r="D1986" s="327" t="s">
        <v>114</v>
      </c>
      <c r="E1986" s="328" t="s">
        <v>1326</v>
      </c>
      <c r="F1986" s="328">
        <v>7406.4489599999997</v>
      </c>
      <c r="G1986" s="328">
        <v>14642.0715</v>
      </c>
      <c r="H1986" s="328">
        <v>11162.743135000001</v>
      </c>
      <c r="I1986" s="329">
        <v>0.13433496231898745</v>
      </c>
      <c r="J1986" s="329">
        <v>1.176583954552485</v>
      </c>
      <c r="K1986" s="329">
        <v>1.2110068239521159</v>
      </c>
    </row>
    <row r="1987" spans="1:11" ht="11.25" x14ac:dyDescent="0.15">
      <c r="A1987" s="326">
        <v>1.325</v>
      </c>
      <c r="B1987" s="327">
        <v>85</v>
      </c>
      <c r="C1987" s="327" t="s">
        <v>115</v>
      </c>
      <c r="D1987" s="327" t="s">
        <v>113</v>
      </c>
      <c r="E1987" s="328" t="s">
        <v>1327</v>
      </c>
      <c r="F1987" s="328">
        <v>2439.1026649999999</v>
      </c>
      <c r="G1987" s="328">
        <v>13266.824849999999</v>
      </c>
      <c r="H1987" s="328">
        <v>11022.26319</v>
      </c>
      <c r="I1987" s="329">
        <v>4.4239387372341635E-2</v>
      </c>
      <c r="J1987" s="329">
        <v>1.0660741034059407</v>
      </c>
      <c r="K1987" s="329">
        <v>1.1957666477726594</v>
      </c>
    </row>
    <row r="1988" spans="1:11" ht="11.25" x14ac:dyDescent="0.15">
      <c r="A1988" s="326">
        <v>1.35</v>
      </c>
      <c r="B1988" s="327">
        <v>85</v>
      </c>
      <c r="C1988" s="327" t="s">
        <v>115</v>
      </c>
      <c r="D1988" s="327" t="s">
        <v>79</v>
      </c>
      <c r="E1988" s="328" t="s">
        <v>1328</v>
      </c>
      <c r="F1988" s="328">
        <v>37023.353100000008</v>
      </c>
      <c r="G1988" s="328">
        <v>16642.386900000001</v>
      </c>
      <c r="H1988" s="328">
        <v>11743.996410000002</v>
      </c>
      <c r="I1988" s="329">
        <v>0.67151353779275458</v>
      </c>
      <c r="J1988" s="329">
        <v>1.337322071675068</v>
      </c>
      <c r="K1988" s="329">
        <v>1.2740649516861926</v>
      </c>
    </row>
    <row r="1989" spans="1:11" ht="11.25" x14ac:dyDescent="0.15">
      <c r="A1989" s="326">
        <v>1.35</v>
      </c>
      <c r="B1989" s="327">
        <v>85</v>
      </c>
      <c r="C1989" s="327" t="s">
        <v>115</v>
      </c>
      <c r="D1989" s="327" t="s">
        <v>114</v>
      </c>
      <c r="E1989" s="328" t="s">
        <v>1329</v>
      </c>
      <c r="F1989" s="328">
        <v>7924.6730700000007</v>
      </c>
      <c r="G1989" s="328">
        <v>15541.680600000002</v>
      </c>
      <c r="H1989" s="328">
        <v>11605.18374</v>
      </c>
      <c r="I1989" s="329">
        <v>0.14373428670043042</v>
      </c>
      <c r="J1989" s="329">
        <v>1.2488732909643037</v>
      </c>
      <c r="K1989" s="329">
        <v>1.2590056523197188</v>
      </c>
    </row>
    <row r="1990" spans="1:11" ht="11.25" x14ac:dyDescent="0.15">
      <c r="A1990" s="326">
        <v>1.35</v>
      </c>
      <c r="B1990" s="327">
        <v>85</v>
      </c>
      <c r="C1990" s="327" t="s">
        <v>115</v>
      </c>
      <c r="D1990" s="327" t="s">
        <v>113</v>
      </c>
      <c r="E1990" s="328" t="s">
        <v>1330</v>
      </c>
      <c r="F1990" s="328">
        <v>2606.7663000000002</v>
      </c>
      <c r="G1990" s="328">
        <v>14047.009200000002</v>
      </c>
      <c r="H1990" s="328">
        <v>11460.758040000001</v>
      </c>
      <c r="I1990" s="329">
        <v>4.7280397742038356E-2</v>
      </c>
      <c r="J1990" s="329">
        <v>1.1287668984659132</v>
      </c>
      <c r="K1990" s="329">
        <v>1.2433374150290415</v>
      </c>
    </row>
    <row r="1991" spans="1:11" ht="11.25" x14ac:dyDescent="0.15">
      <c r="A1991" s="326">
        <v>1.375</v>
      </c>
      <c r="B1991" s="327">
        <v>85</v>
      </c>
      <c r="C1991" s="327" t="s">
        <v>115</v>
      </c>
      <c r="D1991" s="327" t="s">
        <v>79</v>
      </c>
      <c r="E1991" s="328" t="s">
        <v>1331</v>
      </c>
      <c r="F1991" s="328">
        <v>39422.399499999992</v>
      </c>
      <c r="G1991" s="328">
        <v>17639.4735</v>
      </c>
      <c r="H1991" s="328">
        <v>12201.265724999999</v>
      </c>
      <c r="I1991" s="329">
        <v>0.71502640198530021</v>
      </c>
      <c r="J1991" s="329">
        <v>1.4174443477382119</v>
      </c>
      <c r="K1991" s="329">
        <v>1.3236724947561969</v>
      </c>
    </row>
    <row r="1992" spans="1:11" ht="11.25" x14ac:dyDescent="0.15">
      <c r="A1992" s="326">
        <v>1.375</v>
      </c>
      <c r="B1992" s="327">
        <v>85</v>
      </c>
      <c r="C1992" s="327" t="s">
        <v>115</v>
      </c>
      <c r="D1992" s="327" t="s">
        <v>114</v>
      </c>
      <c r="E1992" s="328" t="s">
        <v>1332</v>
      </c>
      <c r="F1992" s="328">
        <v>8474.0460750000002</v>
      </c>
      <c r="G1992" s="328">
        <v>16479.892</v>
      </c>
      <c r="H1992" s="328">
        <v>12056.978999999998</v>
      </c>
      <c r="I1992" s="329">
        <v>0.15369857624381555</v>
      </c>
      <c r="J1992" s="329">
        <v>1.3242645687092744</v>
      </c>
      <c r="K1992" s="329">
        <v>1.3080193343754976</v>
      </c>
    </row>
    <row r="1993" spans="1:11" ht="11.25" x14ac:dyDescent="0.15">
      <c r="A1993" s="326">
        <v>1.375</v>
      </c>
      <c r="B1993" s="327">
        <v>85</v>
      </c>
      <c r="C1993" s="327" t="s">
        <v>115</v>
      </c>
      <c r="D1993" s="327" t="s">
        <v>113</v>
      </c>
      <c r="E1993" s="328" t="s">
        <v>1333</v>
      </c>
      <c r="F1993" s="328">
        <v>2784.40085</v>
      </c>
      <c r="G1993" s="328">
        <v>14862.64725</v>
      </c>
      <c r="H1993" s="328">
        <v>11907.933125</v>
      </c>
      <c r="I1993" s="329">
        <v>5.0502256248007228E-2</v>
      </c>
      <c r="J1993" s="329">
        <v>1.1943086247409469</v>
      </c>
      <c r="K1993" s="329">
        <v>1.2918498705148647</v>
      </c>
    </row>
    <row r="1994" spans="1:11" ht="11.25" x14ac:dyDescent="0.15">
      <c r="A1994" s="326">
        <v>1.4</v>
      </c>
      <c r="B1994" s="327">
        <v>85</v>
      </c>
      <c r="C1994" s="327" t="s">
        <v>115</v>
      </c>
      <c r="D1994" s="327" t="s">
        <v>79</v>
      </c>
      <c r="E1994" s="328" t="s">
        <v>1334</v>
      </c>
      <c r="F1994" s="328">
        <v>41945.3776</v>
      </c>
      <c r="G1994" s="328">
        <v>18676.2156</v>
      </c>
      <c r="H1994" s="328">
        <v>12667.347839999999</v>
      </c>
      <c r="I1994" s="329">
        <v>0.76078708565780762</v>
      </c>
      <c r="J1994" s="329">
        <v>1.5007531964806216</v>
      </c>
      <c r="K1994" s="329">
        <v>1.3742361075672189</v>
      </c>
    </row>
    <row r="1995" spans="1:11" ht="11.25" x14ac:dyDescent="0.15">
      <c r="A1995" s="326">
        <v>1.4</v>
      </c>
      <c r="B1995" s="327">
        <v>85</v>
      </c>
      <c r="C1995" s="327" t="s">
        <v>115</v>
      </c>
      <c r="D1995" s="327" t="s">
        <v>114</v>
      </c>
      <c r="E1995" s="328" t="s">
        <v>1335</v>
      </c>
      <c r="F1995" s="328">
        <v>9056.2121999999999</v>
      </c>
      <c r="G1995" s="328">
        <v>17456.577600000001</v>
      </c>
      <c r="H1995" s="328">
        <v>12517.577799999999</v>
      </c>
      <c r="I1995" s="329">
        <v>0.16425765318981614</v>
      </c>
      <c r="J1995" s="329">
        <v>1.4027474941343052</v>
      </c>
      <c r="K1995" s="329">
        <v>1.357988081587395</v>
      </c>
    </row>
    <row r="1996" spans="1:11" ht="11.25" x14ac:dyDescent="0.15">
      <c r="A1996" s="326">
        <v>1.4</v>
      </c>
      <c r="B1996" s="327">
        <v>85</v>
      </c>
      <c r="C1996" s="327" t="s">
        <v>115</v>
      </c>
      <c r="D1996" s="327" t="s">
        <v>113</v>
      </c>
      <c r="E1996" s="328" t="s">
        <v>1336</v>
      </c>
      <c r="F1996" s="328">
        <v>2972.5424399999997</v>
      </c>
      <c r="G1996" s="328">
        <v>15715.935199999998</v>
      </c>
      <c r="H1996" s="328">
        <v>12363.622599999999</v>
      </c>
      <c r="I1996" s="329">
        <v>5.3914686893216768E-2</v>
      </c>
      <c r="J1996" s="329">
        <v>1.2628757609267647</v>
      </c>
      <c r="K1996" s="329">
        <v>1.3412860222881586</v>
      </c>
    </row>
    <row r="1997" spans="1:11" ht="11.25" x14ac:dyDescent="0.15">
      <c r="A1997" s="326">
        <v>0.9</v>
      </c>
      <c r="B1997" s="327">
        <v>100</v>
      </c>
      <c r="C1997" s="327" t="s">
        <v>115</v>
      </c>
      <c r="D1997" s="327" t="s">
        <v>79</v>
      </c>
      <c r="E1997" s="328" t="s">
        <v>1337</v>
      </c>
      <c r="F1997" s="328">
        <v>13115.996999999999</v>
      </c>
      <c r="G1997" s="328">
        <v>4944.7773000000007</v>
      </c>
      <c r="H1997" s="328">
        <v>5046.8715000000002</v>
      </c>
      <c r="I1997" s="329">
        <v>0.23789227095017371</v>
      </c>
      <c r="J1997" s="329">
        <v>0.3973444351788174</v>
      </c>
      <c r="K1997" s="329">
        <v>0.54751737563021974</v>
      </c>
    </row>
    <row r="1998" spans="1:11" ht="11.25" x14ac:dyDescent="0.15">
      <c r="A1998" s="326">
        <v>0.9</v>
      </c>
      <c r="B1998" s="327">
        <v>100</v>
      </c>
      <c r="C1998" s="327" t="s">
        <v>115</v>
      </c>
      <c r="D1998" s="327" t="s">
        <v>114</v>
      </c>
      <c r="E1998" s="328" t="s">
        <v>1338</v>
      </c>
      <c r="F1998" s="328">
        <v>2904.1253999999999</v>
      </c>
      <c r="G1998" s="328">
        <v>4855.1157000000003</v>
      </c>
      <c r="H1998" s="328">
        <v>4975.0209000000004</v>
      </c>
      <c r="I1998" s="329">
        <v>5.2673768264058125E-2</v>
      </c>
      <c r="J1998" s="329">
        <v>0.3901395530076367</v>
      </c>
      <c r="K1998" s="329">
        <v>0.53972255621596343</v>
      </c>
    </row>
    <row r="1999" spans="1:11" ht="11.25" x14ac:dyDescent="0.15">
      <c r="A1999" s="326">
        <v>0.9</v>
      </c>
      <c r="B1999" s="327">
        <v>100</v>
      </c>
      <c r="C1999" s="327" t="s">
        <v>115</v>
      </c>
      <c r="D1999" s="327" t="s">
        <v>113</v>
      </c>
      <c r="E1999" s="328" t="s">
        <v>1339</v>
      </c>
      <c r="F1999" s="328">
        <v>1016.7066</v>
      </c>
      <c r="G1999" s="328">
        <v>4824.2709000000004</v>
      </c>
      <c r="H1999" s="328">
        <v>4895.451</v>
      </c>
      <c r="I1999" s="329">
        <v>1.8440583812578633E-2</v>
      </c>
      <c r="J1999" s="329">
        <v>0.38766097634166558</v>
      </c>
      <c r="K1999" s="329">
        <v>0.53109029703774602</v>
      </c>
    </row>
    <row r="2000" spans="1:11" ht="11.25" x14ac:dyDescent="0.15">
      <c r="A2000" s="326">
        <v>0.92500000000000004</v>
      </c>
      <c r="B2000" s="327">
        <v>100</v>
      </c>
      <c r="C2000" s="327" t="s">
        <v>115</v>
      </c>
      <c r="D2000" s="327" t="s">
        <v>79</v>
      </c>
      <c r="E2000" s="328" t="s">
        <v>1340</v>
      </c>
      <c r="F2000" s="328">
        <v>14195.198</v>
      </c>
      <c r="G2000" s="328">
        <v>5341.9101500000006</v>
      </c>
      <c r="H2000" s="328">
        <v>5344.8692250000004</v>
      </c>
      <c r="I2000" s="329">
        <v>0.25746635111363353</v>
      </c>
      <c r="J2000" s="329">
        <v>0.42925659590933279</v>
      </c>
      <c r="K2000" s="329">
        <v>0.57984610290924321</v>
      </c>
    </row>
    <row r="2001" spans="1:11" ht="11.25" x14ac:dyDescent="0.15">
      <c r="A2001" s="326">
        <v>0.92500000000000004</v>
      </c>
      <c r="B2001" s="327">
        <v>100</v>
      </c>
      <c r="C2001" s="327" t="s">
        <v>115</v>
      </c>
      <c r="D2001" s="327" t="s">
        <v>114</v>
      </c>
      <c r="E2001" s="328" t="s">
        <v>1341</v>
      </c>
      <c r="F2001" s="328">
        <v>3147.5770500000003</v>
      </c>
      <c r="G2001" s="328">
        <v>5212.4332750000003</v>
      </c>
      <c r="H2001" s="328">
        <v>5270.5954250000004</v>
      </c>
      <c r="I2001" s="329">
        <v>5.7089388813915447E-2</v>
      </c>
      <c r="J2001" s="329">
        <v>0.41885230211725577</v>
      </c>
      <c r="K2001" s="329">
        <v>0.57178839903188394</v>
      </c>
    </row>
    <row r="2002" spans="1:11" ht="11.25" x14ac:dyDescent="0.15">
      <c r="A2002" s="326">
        <v>0.92500000000000004</v>
      </c>
      <c r="B2002" s="327">
        <v>100</v>
      </c>
      <c r="C2002" s="327" t="s">
        <v>115</v>
      </c>
      <c r="D2002" s="327" t="s">
        <v>113</v>
      </c>
      <c r="E2002" s="328" t="s">
        <v>1342</v>
      </c>
      <c r="F2002" s="328">
        <v>1100.062725</v>
      </c>
      <c r="G2002" s="328">
        <v>5138.1030500000006</v>
      </c>
      <c r="H2002" s="328">
        <v>5188.081725</v>
      </c>
      <c r="I2002" s="329">
        <v>1.9952461092960484E-2</v>
      </c>
      <c r="J2002" s="329">
        <v>0.4128793938389923</v>
      </c>
      <c r="K2002" s="329">
        <v>0.56283677732375459</v>
      </c>
    </row>
    <row r="2003" spans="1:11" ht="11.25" x14ac:dyDescent="0.15">
      <c r="A2003" s="326">
        <v>0.95</v>
      </c>
      <c r="B2003" s="327">
        <v>100</v>
      </c>
      <c r="C2003" s="327" t="s">
        <v>115</v>
      </c>
      <c r="D2003" s="327" t="s">
        <v>79</v>
      </c>
      <c r="E2003" s="328" t="s">
        <v>1343</v>
      </c>
      <c r="F2003" s="328">
        <v>15342.519</v>
      </c>
      <c r="G2003" s="328">
        <v>5766.3973999999998</v>
      </c>
      <c r="H2003" s="328">
        <v>5651.9546999999993</v>
      </c>
      <c r="I2003" s="329">
        <v>0.27827596232342755</v>
      </c>
      <c r="J2003" s="329">
        <v>0.46336685737487121</v>
      </c>
      <c r="K2003" s="329">
        <v>0.61316072828977031</v>
      </c>
    </row>
    <row r="2004" spans="1:11" ht="11.25" x14ac:dyDescent="0.15">
      <c r="A2004" s="326">
        <v>0.95</v>
      </c>
      <c r="B2004" s="327">
        <v>100</v>
      </c>
      <c r="C2004" s="327" t="s">
        <v>115</v>
      </c>
      <c r="D2004" s="327" t="s">
        <v>114</v>
      </c>
      <c r="E2004" s="328" t="s">
        <v>1344</v>
      </c>
      <c r="F2004" s="328">
        <v>3407.53125</v>
      </c>
      <c r="G2004" s="328">
        <v>5594.4901499999996</v>
      </c>
      <c r="H2004" s="328">
        <v>5574.9249</v>
      </c>
      <c r="I2004" s="329">
        <v>6.1804325465779242E-2</v>
      </c>
      <c r="J2004" s="329">
        <v>0.44955301197593006</v>
      </c>
      <c r="K2004" s="329">
        <v>0.60480403564536267</v>
      </c>
    </row>
    <row r="2005" spans="1:11" ht="11.25" x14ac:dyDescent="0.15">
      <c r="A2005" s="326">
        <v>0.95</v>
      </c>
      <c r="B2005" s="327">
        <v>100</v>
      </c>
      <c r="C2005" s="327" t="s">
        <v>115</v>
      </c>
      <c r="D2005" s="327" t="s">
        <v>113</v>
      </c>
      <c r="E2005" s="328" t="s">
        <v>1345</v>
      </c>
      <c r="F2005" s="328">
        <v>1188.9287999999999</v>
      </c>
      <c r="G2005" s="328">
        <v>5470.7954</v>
      </c>
      <c r="H2005" s="328">
        <v>5489.2795500000002</v>
      </c>
      <c r="I2005" s="329">
        <v>2.1564275459201834E-2</v>
      </c>
      <c r="J2005" s="329">
        <v>0.43961334885433001</v>
      </c>
      <c r="K2005" s="329">
        <v>0.59551267222013349</v>
      </c>
    </row>
    <row r="2006" spans="1:11" ht="11.25" x14ac:dyDescent="0.15">
      <c r="A2006" s="326">
        <v>0.97499999999999998</v>
      </c>
      <c r="B2006" s="327">
        <v>100</v>
      </c>
      <c r="C2006" s="327" t="s">
        <v>115</v>
      </c>
      <c r="D2006" s="327" t="s">
        <v>79</v>
      </c>
      <c r="E2006" s="328" t="s">
        <v>1346</v>
      </c>
      <c r="F2006" s="328">
        <v>16561.1355</v>
      </c>
      <c r="G2006" s="328">
        <v>6219.3241499999995</v>
      </c>
      <c r="H2006" s="328">
        <v>5967.632775</v>
      </c>
      <c r="I2006" s="329">
        <v>0.30037870042273879</v>
      </c>
      <c r="J2006" s="329">
        <v>0.49976241429027113</v>
      </c>
      <c r="K2006" s="329">
        <v>0.64740753468616852</v>
      </c>
    </row>
    <row r="2007" spans="1:11" ht="11.25" x14ac:dyDescent="0.15">
      <c r="A2007" s="326">
        <v>0.97499999999999998</v>
      </c>
      <c r="B2007" s="327">
        <v>100</v>
      </c>
      <c r="C2007" s="327" t="s">
        <v>115</v>
      </c>
      <c r="D2007" s="327" t="s">
        <v>114</v>
      </c>
      <c r="E2007" s="328" t="s">
        <v>1347</v>
      </c>
      <c r="F2007" s="328">
        <v>3684.919875</v>
      </c>
      <c r="G2007" s="328">
        <v>6002.8263749999996</v>
      </c>
      <c r="H2007" s="328">
        <v>5887.852425</v>
      </c>
      <c r="I2007" s="329">
        <v>6.6835480164655445E-2</v>
      </c>
      <c r="J2007" s="329">
        <v>0.48236543543647203</v>
      </c>
      <c r="K2007" s="329">
        <v>0.63875244452608415</v>
      </c>
    </row>
    <row r="2008" spans="1:11" ht="11.25" x14ac:dyDescent="0.15">
      <c r="A2008" s="326">
        <v>0.97499999999999998</v>
      </c>
      <c r="B2008" s="327">
        <v>100</v>
      </c>
      <c r="C2008" s="327" t="s">
        <v>115</v>
      </c>
      <c r="D2008" s="327" t="s">
        <v>113</v>
      </c>
      <c r="E2008" s="328" t="s">
        <v>1348</v>
      </c>
      <c r="F2008" s="328">
        <v>1283.6109000000001</v>
      </c>
      <c r="G2008" s="328">
        <v>5823.5872499999996</v>
      </c>
      <c r="H2008" s="328">
        <v>5799.2219999999998</v>
      </c>
      <c r="I2008" s="329">
        <v>2.3281578367042657E-2</v>
      </c>
      <c r="J2008" s="329">
        <v>0.46796242705729379</v>
      </c>
      <c r="K2008" s="329">
        <v>0.62913724079105915</v>
      </c>
    </row>
    <row r="2009" spans="1:11" ht="11.25" x14ac:dyDescent="0.15">
      <c r="A2009" s="326">
        <v>1</v>
      </c>
      <c r="B2009" s="327">
        <v>100</v>
      </c>
      <c r="C2009" s="327" t="s">
        <v>115</v>
      </c>
      <c r="D2009" s="327" t="s">
        <v>79</v>
      </c>
      <c r="E2009" s="328" t="s">
        <v>1349</v>
      </c>
      <c r="F2009" s="328">
        <v>17854.34</v>
      </c>
      <c r="G2009" s="328">
        <v>6701.1619999999994</v>
      </c>
      <c r="H2009" s="328">
        <v>6292.0360000000001</v>
      </c>
      <c r="I2009" s="329">
        <v>0.32383428335005909</v>
      </c>
      <c r="J2009" s="329">
        <v>0.53848116272733937</v>
      </c>
      <c r="K2009" s="329">
        <v>0.68260090198271639</v>
      </c>
    </row>
    <row r="2010" spans="1:11" ht="11.25" x14ac:dyDescent="0.15">
      <c r="A2010" s="326">
        <v>1</v>
      </c>
      <c r="B2010" s="327">
        <v>100</v>
      </c>
      <c r="C2010" s="327" t="s">
        <v>115</v>
      </c>
      <c r="D2010" s="327" t="s">
        <v>114</v>
      </c>
      <c r="E2010" s="328" t="s">
        <v>1350</v>
      </c>
      <c r="F2010" s="328">
        <v>3980.7169999999996</v>
      </c>
      <c r="G2010" s="328">
        <v>6438.0950000000003</v>
      </c>
      <c r="H2010" s="328">
        <v>6209.6910000000007</v>
      </c>
      <c r="I2010" s="329">
        <v>7.2200520260866374E-2</v>
      </c>
      <c r="J2010" s="329">
        <v>0.51734204923699356</v>
      </c>
      <c r="K2010" s="329">
        <v>0.67366758194548737</v>
      </c>
    </row>
    <row r="2011" spans="1:11" ht="11.25" x14ac:dyDescent="0.15">
      <c r="A2011" s="326">
        <v>1</v>
      </c>
      <c r="B2011" s="327">
        <v>100</v>
      </c>
      <c r="C2011" s="327" t="s">
        <v>115</v>
      </c>
      <c r="D2011" s="327" t="s">
        <v>113</v>
      </c>
      <c r="E2011" s="328" t="s">
        <v>1351</v>
      </c>
      <c r="F2011" s="328">
        <v>1384.4279999999999</v>
      </c>
      <c r="G2011" s="328">
        <v>6197.4290000000001</v>
      </c>
      <c r="H2011" s="328">
        <v>6117.45</v>
      </c>
      <c r="I2011" s="329">
        <v>2.5110155246833854E-2</v>
      </c>
      <c r="J2011" s="329">
        <v>0.49800299915747931</v>
      </c>
      <c r="K2011" s="329">
        <v>0.66366067960103348</v>
      </c>
    </row>
    <row r="2012" spans="1:11" ht="11.25" x14ac:dyDescent="0.15">
      <c r="A2012" s="326">
        <v>1.0249999999999999</v>
      </c>
      <c r="B2012" s="327">
        <v>100</v>
      </c>
      <c r="C2012" s="327" t="s">
        <v>115</v>
      </c>
      <c r="D2012" s="327" t="s">
        <v>79</v>
      </c>
      <c r="E2012" s="328" t="s">
        <v>1352</v>
      </c>
      <c r="F2012" s="328">
        <v>19225.50475</v>
      </c>
      <c r="G2012" s="328">
        <v>7214.0863249999993</v>
      </c>
      <c r="H2012" s="328">
        <v>6625.0423999999985</v>
      </c>
      <c r="I2012" s="329">
        <v>0.34870387551482757</v>
      </c>
      <c r="J2012" s="329">
        <v>0.57969790796005216</v>
      </c>
      <c r="K2012" s="329">
        <v>0.71872759753976923</v>
      </c>
    </row>
    <row r="2013" spans="1:11" ht="11.25" x14ac:dyDescent="0.15">
      <c r="A2013" s="326">
        <v>1.0249999999999999</v>
      </c>
      <c r="B2013" s="327">
        <v>100</v>
      </c>
      <c r="C2013" s="327" t="s">
        <v>115</v>
      </c>
      <c r="D2013" s="327" t="s">
        <v>114</v>
      </c>
      <c r="E2013" s="328" t="s">
        <v>1353</v>
      </c>
      <c r="F2013" s="328">
        <v>4295.9451499999996</v>
      </c>
      <c r="G2013" s="328">
        <v>6902.0271249999996</v>
      </c>
      <c r="H2013" s="328">
        <v>6539.6127499999993</v>
      </c>
      <c r="I2013" s="329">
        <v>7.7917991869842954E-2</v>
      </c>
      <c r="J2013" s="329">
        <v>0.55462195831792094</v>
      </c>
      <c r="K2013" s="329">
        <v>0.70945963465048067</v>
      </c>
    </row>
    <row r="2014" spans="1:11" ht="11.25" x14ac:dyDescent="0.15">
      <c r="A2014" s="326">
        <v>1.0249999999999999</v>
      </c>
      <c r="B2014" s="327">
        <v>100</v>
      </c>
      <c r="C2014" s="327" t="s">
        <v>115</v>
      </c>
      <c r="D2014" s="327" t="s">
        <v>113</v>
      </c>
      <c r="E2014" s="328" t="s">
        <v>1354</v>
      </c>
      <c r="F2014" s="328">
        <v>1491.714275</v>
      </c>
      <c r="G2014" s="328">
        <v>6594.6972749999986</v>
      </c>
      <c r="H2014" s="328">
        <v>6444.5070999999989</v>
      </c>
      <c r="I2014" s="329">
        <v>2.7056067219940808E-2</v>
      </c>
      <c r="J2014" s="329">
        <v>0.52992604215161732</v>
      </c>
      <c r="K2014" s="329">
        <v>0.69914195648181598</v>
      </c>
    </row>
    <row r="2015" spans="1:11" ht="11.25" x14ac:dyDescent="0.15">
      <c r="A2015" s="326">
        <v>1.05</v>
      </c>
      <c r="B2015" s="327">
        <v>100</v>
      </c>
      <c r="C2015" s="327" t="s">
        <v>115</v>
      </c>
      <c r="D2015" s="327" t="s">
        <v>79</v>
      </c>
      <c r="E2015" s="328" t="s">
        <v>1355</v>
      </c>
      <c r="F2015" s="328">
        <v>20678.133000000005</v>
      </c>
      <c r="G2015" s="328">
        <v>7757.4661500000002</v>
      </c>
      <c r="H2015" s="328">
        <v>6966.64185</v>
      </c>
      <c r="I2015" s="329">
        <v>0.37505101734772661</v>
      </c>
      <c r="J2015" s="329">
        <v>0.62336194711752635</v>
      </c>
      <c r="K2015" s="329">
        <v>0.75578652293161386</v>
      </c>
    </row>
    <row r="2016" spans="1:11" ht="11.25" x14ac:dyDescent="0.15">
      <c r="A2016" s="326">
        <v>1.05</v>
      </c>
      <c r="B2016" s="327">
        <v>100</v>
      </c>
      <c r="C2016" s="327" t="s">
        <v>115</v>
      </c>
      <c r="D2016" s="327" t="s">
        <v>114</v>
      </c>
      <c r="E2016" s="328" t="s">
        <v>1356</v>
      </c>
      <c r="F2016" s="328">
        <v>4631.6739000000007</v>
      </c>
      <c r="G2016" s="328">
        <v>7395.9532500000005</v>
      </c>
      <c r="H2016" s="328">
        <v>6878.4786000000013</v>
      </c>
      <c r="I2016" s="329">
        <v>8.4007294479531217E-2</v>
      </c>
      <c r="J2016" s="329">
        <v>0.59431207685130505</v>
      </c>
      <c r="K2016" s="329">
        <v>0.74622200137265793</v>
      </c>
    </row>
    <row r="2017" spans="1:11" ht="11.25" x14ac:dyDescent="0.15">
      <c r="A2017" s="326">
        <v>1.05</v>
      </c>
      <c r="B2017" s="327">
        <v>100</v>
      </c>
      <c r="C2017" s="327" t="s">
        <v>115</v>
      </c>
      <c r="D2017" s="327" t="s">
        <v>113</v>
      </c>
      <c r="E2017" s="328" t="s">
        <v>1357</v>
      </c>
      <c r="F2017" s="328">
        <v>1605.8196000000003</v>
      </c>
      <c r="G2017" s="328">
        <v>7016.0769</v>
      </c>
      <c r="H2017" s="328">
        <v>6779.8352999999997</v>
      </c>
      <c r="I2017" s="329">
        <v>2.9125660167526695E-2</v>
      </c>
      <c r="J2017" s="329">
        <v>0.5637865861019965</v>
      </c>
      <c r="K2017" s="329">
        <v>0.73552053597186362</v>
      </c>
    </row>
    <row r="2018" spans="1:11" ht="11.25" x14ac:dyDescent="0.15">
      <c r="A2018" s="326">
        <v>1.075</v>
      </c>
      <c r="B2018" s="327">
        <v>100</v>
      </c>
      <c r="C2018" s="327" t="s">
        <v>115</v>
      </c>
      <c r="D2018" s="327" t="s">
        <v>79</v>
      </c>
      <c r="E2018" s="328" t="s">
        <v>1358</v>
      </c>
      <c r="F2018" s="328">
        <v>22215.821</v>
      </c>
      <c r="G2018" s="328">
        <v>8333.8504250000005</v>
      </c>
      <c r="H2018" s="328">
        <v>7317.0724250000003</v>
      </c>
      <c r="I2018" s="329">
        <v>0.40294093607314485</v>
      </c>
      <c r="J2018" s="329">
        <v>0.66967810461077226</v>
      </c>
      <c r="K2018" s="329">
        <v>0.7938035060794093</v>
      </c>
    </row>
    <row r="2019" spans="1:11" ht="11.25" x14ac:dyDescent="0.15">
      <c r="A2019" s="326">
        <v>1.075</v>
      </c>
      <c r="B2019" s="327">
        <v>100</v>
      </c>
      <c r="C2019" s="327" t="s">
        <v>115</v>
      </c>
      <c r="D2019" s="327" t="s">
        <v>114</v>
      </c>
      <c r="E2019" s="328" t="s">
        <v>1359</v>
      </c>
      <c r="F2019" s="328">
        <v>4989.0255499999994</v>
      </c>
      <c r="G2019" s="328">
        <v>7921.0278499999995</v>
      </c>
      <c r="H2019" s="328">
        <v>7225.7683749999987</v>
      </c>
      <c r="I2019" s="329">
        <v>9.0488783881083487E-2</v>
      </c>
      <c r="J2019" s="329">
        <v>0.63650517427628783</v>
      </c>
      <c r="K2019" s="329">
        <v>0.78389825015196768</v>
      </c>
    </row>
    <row r="2020" spans="1:11" ht="11.25" x14ac:dyDescent="0.15">
      <c r="A2020" s="326">
        <v>1.075</v>
      </c>
      <c r="B2020" s="327">
        <v>100</v>
      </c>
      <c r="C2020" s="327" t="s">
        <v>115</v>
      </c>
      <c r="D2020" s="327" t="s">
        <v>113</v>
      </c>
      <c r="E2020" s="328" t="s">
        <v>1360</v>
      </c>
      <c r="F2020" s="328">
        <v>1727.1132749999999</v>
      </c>
      <c r="G2020" s="328">
        <v>7463.5336499999994</v>
      </c>
      <c r="H2020" s="328">
        <v>7123.9798500000006</v>
      </c>
      <c r="I2020" s="329">
        <v>3.1325632292988619E-2</v>
      </c>
      <c r="J2020" s="329">
        <v>0.59974259358401172</v>
      </c>
      <c r="K2020" s="329">
        <v>0.7728555703299691</v>
      </c>
    </row>
    <row r="2021" spans="1:11" ht="11.25" x14ac:dyDescent="0.15">
      <c r="A2021" s="326">
        <v>1.1000000000000001</v>
      </c>
      <c r="B2021" s="327">
        <v>100</v>
      </c>
      <c r="C2021" s="327" t="s">
        <v>115</v>
      </c>
      <c r="D2021" s="327" t="s">
        <v>79</v>
      </c>
      <c r="E2021" s="328" t="s">
        <v>1361</v>
      </c>
      <c r="F2021" s="328">
        <v>23842.280000000006</v>
      </c>
      <c r="G2021" s="328">
        <v>8942.943900000002</v>
      </c>
      <c r="H2021" s="328">
        <v>7675.9441000000006</v>
      </c>
      <c r="I2021" s="329">
        <v>0.43244094473564682</v>
      </c>
      <c r="J2021" s="329">
        <v>0.71862265521671742</v>
      </c>
      <c r="K2021" s="329">
        <v>0.83273623453980727</v>
      </c>
    </row>
    <row r="2022" spans="1:11" ht="11.25" x14ac:dyDescent="0.15">
      <c r="A2022" s="326">
        <v>1.1000000000000001</v>
      </c>
      <c r="B2022" s="327">
        <v>100</v>
      </c>
      <c r="C2022" s="327" t="s">
        <v>115</v>
      </c>
      <c r="D2022" s="327" t="s">
        <v>114</v>
      </c>
      <c r="E2022" s="328" t="s">
        <v>1362</v>
      </c>
      <c r="F2022" s="328">
        <v>5369.1747999999998</v>
      </c>
      <c r="G2022" s="328">
        <v>8478.6690999999992</v>
      </c>
      <c r="H2022" s="328">
        <v>7581.6598000000013</v>
      </c>
      <c r="I2022" s="329">
        <v>9.7383766274149408E-2</v>
      </c>
      <c r="J2022" s="329">
        <v>0.68131521001109419</v>
      </c>
      <c r="K2022" s="329">
        <v>0.82250766174988543</v>
      </c>
    </row>
    <row r="2023" spans="1:11" ht="11.25" x14ac:dyDescent="0.15">
      <c r="A2023" s="326">
        <v>1.1000000000000001</v>
      </c>
      <c r="B2023" s="327">
        <v>100</v>
      </c>
      <c r="C2023" s="327" t="s">
        <v>115</v>
      </c>
      <c r="D2023" s="327" t="s">
        <v>113</v>
      </c>
      <c r="E2023" s="328" t="s">
        <v>1363</v>
      </c>
      <c r="F2023" s="328">
        <v>1855.9805000000001</v>
      </c>
      <c r="G2023" s="328">
        <v>7937.7991000000011</v>
      </c>
      <c r="H2023" s="328">
        <v>7476.6472000000012</v>
      </c>
      <c r="I2023" s="329">
        <v>3.3662970187034881E-2</v>
      </c>
      <c r="J2023" s="329">
        <v>0.63785285132101399</v>
      </c>
      <c r="K2023" s="329">
        <v>0.81111521334692804</v>
      </c>
    </row>
    <row r="2024" spans="1:11" ht="11.25" x14ac:dyDescent="0.15">
      <c r="A2024" s="326">
        <v>1.125</v>
      </c>
      <c r="B2024" s="327">
        <v>100</v>
      </c>
      <c r="C2024" s="327" t="s">
        <v>115</v>
      </c>
      <c r="D2024" s="327" t="s">
        <v>79</v>
      </c>
      <c r="E2024" s="328" t="s">
        <v>1364</v>
      </c>
      <c r="F2024" s="328">
        <v>25561.327499999999</v>
      </c>
      <c r="G2024" s="328">
        <v>9584.2754999999997</v>
      </c>
      <c r="H2024" s="328">
        <v>8044.0199999999995</v>
      </c>
      <c r="I2024" s="329">
        <v>0.46362028349626233</v>
      </c>
      <c r="J2024" s="329">
        <v>0.77015774505065726</v>
      </c>
      <c r="K2024" s="329">
        <v>0.87266749706565727</v>
      </c>
    </row>
    <row r="2025" spans="1:11" ht="11.25" x14ac:dyDescent="0.15">
      <c r="A2025" s="326">
        <v>1.125</v>
      </c>
      <c r="B2025" s="327">
        <v>100</v>
      </c>
      <c r="C2025" s="327" t="s">
        <v>115</v>
      </c>
      <c r="D2025" s="327" t="s">
        <v>114</v>
      </c>
      <c r="E2025" s="328" t="s">
        <v>1365</v>
      </c>
      <c r="F2025" s="328">
        <v>5773.3537500000011</v>
      </c>
      <c r="G2025" s="328">
        <v>9068.4753750000018</v>
      </c>
      <c r="H2025" s="328">
        <v>7946.3227500000003</v>
      </c>
      <c r="I2025" s="329">
        <v>0.10471458895470941</v>
      </c>
      <c r="J2025" s="329">
        <v>0.72870991092205295</v>
      </c>
      <c r="K2025" s="329">
        <v>0.86206866530893655</v>
      </c>
    </row>
    <row r="2026" spans="1:11" ht="11.25" x14ac:dyDescent="0.15">
      <c r="A2026" s="326">
        <v>1.125</v>
      </c>
      <c r="B2026" s="327">
        <v>100</v>
      </c>
      <c r="C2026" s="327" t="s">
        <v>115</v>
      </c>
      <c r="D2026" s="327" t="s">
        <v>113</v>
      </c>
      <c r="E2026" s="328" t="s">
        <v>1366</v>
      </c>
      <c r="F2026" s="328">
        <v>1992.825</v>
      </c>
      <c r="G2026" s="328">
        <v>8440.7692499999994</v>
      </c>
      <c r="H2026" s="328">
        <v>7837.8086249999997</v>
      </c>
      <c r="I2026" s="329">
        <v>3.6144996438797594E-2</v>
      </c>
      <c r="J2026" s="329">
        <v>0.67826971502153988</v>
      </c>
      <c r="K2026" s="329">
        <v>0.85029634874830884</v>
      </c>
    </row>
    <row r="2027" spans="1:11" ht="11.25" x14ac:dyDescent="0.15">
      <c r="A2027" s="326">
        <v>1.1499999999999999</v>
      </c>
      <c r="B2027" s="327">
        <v>100</v>
      </c>
      <c r="C2027" s="327" t="s">
        <v>115</v>
      </c>
      <c r="D2027" s="327" t="s">
        <v>79</v>
      </c>
      <c r="E2027" s="328" t="s">
        <v>1367</v>
      </c>
      <c r="F2027" s="328">
        <v>27376.899999999998</v>
      </c>
      <c r="G2027" s="328">
        <v>10260.4748</v>
      </c>
      <c r="H2027" s="328">
        <v>8420.6702999999998</v>
      </c>
      <c r="I2027" s="329">
        <v>0.4965503508864641</v>
      </c>
      <c r="J2027" s="329">
        <v>0.82449467725725256</v>
      </c>
      <c r="K2027" s="329">
        <v>0.91352896615325641</v>
      </c>
    </row>
    <row r="2028" spans="1:11" ht="11.25" x14ac:dyDescent="0.15">
      <c r="A2028" s="326">
        <v>1.1499999999999999</v>
      </c>
      <c r="B2028" s="327">
        <v>100</v>
      </c>
      <c r="C2028" s="327" t="s">
        <v>115</v>
      </c>
      <c r="D2028" s="327" t="s">
        <v>114</v>
      </c>
      <c r="E2028" s="328" t="s">
        <v>1368</v>
      </c>
      <c r="F2028" s="328">
        <v>6202.8504499999999</v>
      </c>
      <c r="G2028" s="328">
        <v>9692.3184499999988</v>
      </c>
      <c r="H2028" s="328">
        <v>8319.7773499999985</v>
      </c>
      <c r="I2028" s="329">
        <v>0.11250461401560301</v>
      </c>
      <c r="J2028" s="329">
        <v>0.77883968608424081</v>
      </c>
      <c r="K2028" s="329">
        <v>0.9025834441197369</v>
      </c>
    </row>
    <row r="2029" spans="1:11" ht="11.25" x14ac:dyDescent="0.15">
      <c r="A2029" s="326">
        <v>1.1499999999999999</v>
      </c>
      <c r="B2029" s="327">
        <v>100</v>
      </c>
      <c r="C2029" s="327" t="s">
        <v>115</v>
      </c>
      <c r="D2029" s="327" t="s">
        <v>113</v>
      </c>
      <c r="E2029" s="328" t="s">
        <v>1369</v>
      </c>
      <c r="F2029" s="328">
        <v>2138.0696499999999</v>
      </c>
      <c r="G2029" s="328">
        <v>8971.8365499999982</v>
      </c>
      <c r="H2029" s="328">
        <v>8207.1923499999994</v>
      </c>
      <c r="I2029" s="329">
        <v>3.8779380971811987E-2</v>
      </c>
      <c r="J2029" s="329">
        <v>0.72094436416305718</v>
      </c>
      <c r="K2029" s="329">
        <v>0.89036949261823195</v>
      </c>
    </row>
    <row r="2030" spans="1:11" ht="11.25" x14ac:dyDescent="0.15">
      <c r="A2030" s="326">
        <v>1.175</v>
      </c>
      <c r="B2030" s="327">
        <v>100</v>
      </c>
      <c r="C2030" s="327" t="s">
        <v>115</v>
      </c>
      <c r="D2030" s="327" t="s">
        <v>79</v>
      </c>
      <c r="E2030" s="328" t="s">
        <v>1370</v>
      </c>
      <c r="F2030" s="328">
        <v>29293.043750000001</v>
      </c>
      <c r="G2030" s="328">
        <v>10972.912575</v>
      </c>
      <c r="H2030" s="328">
        <v>8806.1185750000004</v>
      </c>
      <c r="I2030" s="329">
        <v>0.53130453603567407</v>
      </c>
      <c r="J2030" s="329">
        <v>0.88174360236201488</v>
      </c>
      <c r="K2030" s="329">
        <v>0.95534489666965572</v>
      </c>
    </row>
    <row r="2031" spans="1:11" ht="11.25" x14ac:dyDescent="0.15">
      <c r="A2031" s="326">
        <v>1.175</v>
      </c>
      <c r="B2031" s="327">
        <v>100</v>
      </c>
      <c r="C2031" s="327" t="s">
        <v>115</v>
      </c>
      <c r="D2031" s="327" t="s">
        <v>114</v>
      </c>
      <c r="E2031" s="328" t="s">
        <v>1371</v>
      </c>
      <c r="F2031" s="328">
        <v>6659.0128750000003</v>
      </c>
      <c r="G2031" s="328">
        <v>10350.898125</v>
      </c>
      <c r="H2031" s="328">
        <v>8702.0770250000005</v>
      </c>
      <c r="I2031" s="329">
        <v>0.12077829044335672</v>
      </c>
      <c r="J2031" s="329">
        <v>0.8317607688968327</v>
      </c>
      <c r="K2031" s="329">
        <v>0.94405779407302726</v>
      </c>
    </row>
    <row r="2032" spans="1:11" ht="11.25" x14ac:dyDescent="0.15">
      <c r="A2032" s="326">
        <v>1.175</v>
      </c>
      <c r="B2032" s="327">
        <v>100</v>
      </c>
      <c r="C2032" s="327" t="s">
        <v>115</v>
      </c>
      <c r="D2032" s="327" t="s">
        <v>113</v>
      </c>
      <c r="E2032" s="328" t="s">
        <v>1372</v>
      </c>
      <c r="F2032" s="328">
        <v>2292.1582749999998</v>
      </c>
      <c r="G2032" s="328">
        <v>9533.8254500000003</v>
      </c>
      <c r="H2032" s="328">
        <v>8585.4688500000011</v>
      </c>
      <c r="I2032" s="329">
        <v>4.1574173691636462E-2</v>
      </c>
      <c r="J2032" s="329">
        <v>0.76610376134101821</v>
      </c>
      <c r="K2032" s="329">
        <v>0.93140738243622823</v>
      </c>
    </row>
    <row r="2033" spans="1:11" ht="11.25" x14ac:dyDescent="0.15">
      <c r="A2033" s="326">
        <v>1.2</v>
      </c>
      <c r="B2033" s="327">
        <v>100</v>
      </c>
      <c r="C2033" s="327" t="s">
        <v>115</v>
      </c>
      <c r="D2033" s="327" t="s">
        <v>79</v>
      </c>
      <c r="E2033" s="328" t="s">
        <v>1373</v>
      </c>
      <c r="F2033" s="328">
        <v>31313.94</v>
      </c>
      <c r="G2033" s="328">
        <v>11719.036800000002</v>
      </c>
      <c r="H2033" s="328">
        <v>9200.8151999999991</v>
      </c>
      <c r="I2033" s="329">
        <v>0.56795867664482402</v>
      </c>
      <c r="J2033" s="329">
        <v>0.9416994488580458</v>
      </c>
      <c r="K2033" s="329">
        <v>0.9981641482178879</v>
      </c>
    </row>
    <row r="2034" spans="1:11" ht="11.25" x14ac:dyDescent="0.15">
      <c r="A2034" s="326">
        <v>1.2</v>
      </c>
      <c r="B2034" s="327">
        <v>100</v>
      </c>
      <c r="C2034" s="327" t="s">
        <v>115</v>
      </c>
      <c r="D2034" s="327" t="s">
        <v>114</v>
      </c>
      <c r="E2034" s="328" t="s">
        <v>1374</v>
      </c>
      <c r="F2034" s="328">
        <v>7143.2556000000004</v>
      </c>
      <c r="G2034" s="328">
        <v>11045.807999999999</v>
      </c>
      <c r="H2034" s="328">
        <v>9092.0819999999985</v>
      </c>
      <c r="I2034" s="329">
        <v>0.12956127518644187</v>
      </c>
      <c r="J2034" s="329">
        <v>0.8876012152971301</v>
      </c>
      <c r="K2034" s="329">
        <v>0.98636806497941509</v>
      </c>
    </row>
    <row r="2035" spans="1:11" ht="11.25" x14ac:dyDescent="0.15">
      <c r="A2035" s="326">
        <v>1.2</v>
      </c>
      <c r="B2035" s="327">
        <v>100</v>
      </c>
      <c r="C2035" s="327" t="s">
        <v>115</v>
      </c>
      <c r="D2035" s="327" t="s">
        <v>113</v>
      </c>
      <c r="E2035" s="328" t="s">
        <v>1375</v>
      </c>
      <c r="F2035" s="328">
        <v>2455.5551999999998</v>
      </c>
      <c r="G2035" s="328">
        <v>10127.215199999999</v>
      </c>
      <c r="H2035" s="328">
        <v>8972.4048000000003</v>
      </c>
      <c r="I2035" s="329">
        <v>4.4537796323947616E-2</v>
      </c>
      <c r="J2035" s="329">
        <v>0.81378641735358503</v>
      </c>
      <c r="K2035" s="329">
        <v>0.97338470559196655</v>
      </c>
    </row>
    <row r="2036" spans="1:11" ht="11.25" x14ac:dyDescent="0.15">
      <c r="A2036" s="326">
        <v>1.2250000000000001</v>
      </c>
      <c r="B2036" s="327">
        <v>100</v>
      </c>
      <c r="C2036" s="327" t="s">
        <v>115</v>
      </c>
      <c r="D2036" s="327" t="s">
        <v>79</v>
      </c>
      <c r="E2036" s="328" t="s">
        <v>1376</v>
      </c>
      <c r="F2036" s="328">
        <v>33443.859750000003</v>
      </c>
      <c r="G2036" s="328">
        <v>12500.782000000003</v>
      </c>
      <c r="H2036" s="328">
        <v>9603.5332750000016</v>
      </c>
      <c r="I2036" s="329">
        <v>0.60659023826146119</v>
      </c>
      <c r="J2036" s="329">
        <v>1.0045176681836667</v>
      </c>
      <c r="K2036" s="329">
        <v>1.041853618723102</v>
      </c>
    </row>
    <row r="2037" spans="1:11" ht="11.25" x14ac:dyDescent="0.15">
      <c r="A2037" s="326">
        <v>1.2250000000000001</v>
      </c>
      <c r="B2037" s="327">
        <v>100</v>
      </c>
      <c r="C2037" s="327" t="s">
        <v>115</v>
      </c>
      <c r="D2037" s="327" t="s">
        <v>114</v>
      </c>
      <c r="E2037" s="328" t="s">
        <v>1377</v>
      </c>
      <c r="F2037" s="328">
        <v>7657.0548250000011</v>
      </c>
      <c r="G2037" s="328">
        <v>11776.293725</v>
      </c>
      <c r="H2037" s="328">
        <v>9491.2375250000005</v>
      </c>
      <c r="I2037" s="329">
        <v>0.13888034292088014</v>
      </c>
      <c r="J2037" s="329">
        <v>0.94630040844508323</v>
      </c>
      <c r="K2037" s="329">
        <v>1.0296710469388932</v>
      </c>
    </row>
    <row r="2038" spans="1:11" ht="11.25" x14ac:dyDescent="0.15">
      <c r="A2038" s="326">
        <v>1.2250000000000001</v>
      </c>
      <c r="B2038" s="327">
        <v>100</v>
      </c>
      <c r="C2038" s="327" t="s">
        <v>115</v>
      </c>
      <c r="D2038" s="327" t="s">
        <v>113</v>
      </c>
      <c r="E2038" s="328" t="s">
        <v>1378</v>
      </c>
      <c r="F2038" s="328">
        <v>2628.7495500000005</v>
      </c>
      <c r="G2038" s="328">
        <v>10753.136975000001</v>
      </c>
      <c r="H2038" s="328">
        <v>9367.9755750000004</v>
      </c>
      <c r="I2038" s="329">
        <v>4.7679120406077198E-2</v>
      </c>
      <c r="J2038" s="329">
        <v>0.86408322933609816</v>
      </c>
      <c r="K2038" s="329">
        <v>1.0162987906056253</v>
      </c>
    </row>
    <row r="2039" spans="1:11" ht="11.25" x14ac:dyDescent="0.15">
      <c r="A2039" s="326">
        <v>1.25</v>
      </c>
      <c r="B2039" s="327">
        <v>100</v>
      </c>
      <c r="C2039" s="327" t="s">
        <v>115</v>
      </c>
      <c r="D2039" s="327" t="s">
        <v>79</v>
      </c>
      <c r="E2039" s="328" t="s">
        <v>1379</v>
      </c>
      <c r="F2039" s="328">
        <v>35687.199999999997</v>
      </c>
      <c r="G2039" s="328">
        <v>13321.075000000001</v>
      </c>
      <c r="H2039" s="328">
        <v>10015.291249999998</v>
      </c>
      <c r="I2039" s="329">
        <v>0.64727897176654114</v>
      </c>
      <c r="J2039" s="329">
        <v>1.0704334494193832</v>
      </c>
      <c r="K2039" s="329">
        <v>1.0865237962512622</v>
      </c>
    </row>
    <row r="2040" spans="1:11" ht="11.25" x14ac:dyDescent="0.15">
      <c r="A2040" s="326">
        <v>1.25</v>
      </c>
      <c r="B2040" s="327">
        <v>100</v>
      </c>
      <c r="C2040" s="327" t="s">
        <v>115</v>
      </c>
      <c r="D2040" s="327" t="s">
        <v>114</v>
      </c>
      <c r="E2040" s="328" t="s">
        <v>1380</v>
      </c>
      <c r="F2040" s="328">
        <v>8201.9575000000004</v>
      </c>
      <c r="G2040" s="328">
        <v>12542.474999999999</v>
      </c>
      <c r="H2040" s="328">
        <v>9899.9387499999993</v>
      </c>
      <c r="I2040" s="329">
        <v>0.14876355155554014</v>
      </c>
      <c r="J2040" s="329">
        <v>1.0078679670001391</v>
      </c>
      <c r="K2040" s="329">
        <v>1.0740096083880712</v>
      </c>
    </row>
    <row r="2041" spans="1:11" ht="11.25" x14ac:dyDescent="0.15">
      <c r="A2041" s="326">
        <v>1.25</v>
      </c>
      <c r="B2041" s="327">
        <v>100</v>
      </c>
      <c r="C2041" s="327" t="s">
        <v>115</v>
      </c>
      <c r="D2041" s="327" t="s">
        <v>113</v>
      </c>
      <c r="E2041" s="328" t="s">
        <v>1381</v>
      </c>
      <c r="F2041" s="328">
        <v>2812.2512499999998</v>
      </c>
      <c r="G2041" s="328">
        <v>11412.262499999999</v>
      </c>
      <c r="H2041" s="328">
        <v>9772.0825000000004</v>
      </c>
      <c r="I2041" s="329">
        <v>5.1007394736745114E-2</v>
      </c>
      <c r="J2041" s="329">
        <v>0.91704817468218391</v>
      </c>
      <c r="K2041" s="329">
        <v>1.0601389325727824</v>
      </c>
    </row>
    <row r="2042" spans="1:11" ht="11.25" x14ac:dyDescent="0.15">
      <c r="A2042" s="326">
        <v>1.2749999999999999</v>
      </c>
      <c r="B2042" s="327">
        <v>100</v>
      </c>
      <c r="C2042" s="327" t="s">
        <v>115</v>
      </c>
      <c r="D2042" s="327" t="s">
        <v>79</v>
      </c>
      <c r="E2042" s="328" t="s">
        <v>1382</v>
      </c>
      <c r="F2042" s="328">
        <v>38048.5245</v>
      </c>
      <c r="G2042" s="328">
        <v>14176.329749999999</v>
      </c>
      <c r="H2042" s="328">
        <v>10436.855475</v>
      </c>
      <c r="I2042" s="329">
        <v>0.6901076524802745</v>
      </c>
      <c r="J2042" s="329">
        <v>1.1391586305458923</v>
      </c>
      <c r="K2042" s="329">
        <v>1.1322578194241502</v>
      </c>
    </row>
    <row r="2043" spans="1:11" ht="11.25" x14ac:dyDescent="0.15">
      <c r="A2043" s="326">
        <v>1.2749999999999999</v>
      </c>
      <c r="B2043" s="327">
        <v>100</v>
      </c>
      <c r="C2043" s="327" t="s">
        <v>115</v>
      </c>
      <c r="D2043" s="327" t="s">
        <v>114</v>
      </c>
      <c r="E2043" s="328" t="s">
        <v>1383</v>
      </c>
      <c r="F2043" s="328">
        <v>8779.5785999999989</v>
      </c>
      <c r="G2043" s="328">
        <v>13350.066000000001</v>
      </c>
      <c r="H2043" s="328">
        <v>10315.398974999998</v>
      </c>
      <c r="I2043" s="329">
        <v>0.15924019280726784</v>
      </c>
      <c r="J2043" s="329">
        <v>1.0727630614163217</v>
      </c>
      <c r="K2043" s="329">
        <v>1.1190814300246514</v>
      </c>
    </row>
    <row r="2044" spans="1:11" ht="11.25" x14ac:dyDescent="0.15">
      <c r="A2044" s="326">
        <v>1.2749999999999999</v>
      </c>
      <c r="B2044" s="327">
        <v>100</v>
      </c>
      <c r="C2044" s="327" t="s">
        <v>115</v>
      </c>
      <c r="D2044" s="327" t="s">
        <v>113</v>
      </c>
      <c r="E2044" s="328" t="s">
        <v>1384</v>
      </c>
      <c r="F2044" s="328">
        <v>3006.5953500000001</v>
      </c>
      <c r="G2044" s="328">
        <v>12105.926099999999</v>
      </c>
      <c r="H2044" s="328">
        <v>10184.748449999999</v>
      </c>
      <c r="I2044" s="329">
        <v>5.4532323821035671E-2</v>
      </c>
      <c r="J2044" s="329">
        <v>0.97278847492707154</v>
      </c>
      <c r="K2044" s="329">
        <v>1.1049076131219009</v>
      </c>
    </row>
    <row r="2045" spans="1:11" ht="11.25" x14ac:dyDescent="0.15">
      <c r="A2045" s="326">
        <v>1.3</v>
      </c>
      <c r="B2045" s="327">
        <v>100</v>
      </c>
      <c r="C2045" s="327" t="s">
        <v>115</v>
      </c>
      <c r="D2045" s="327" t="s">
        <v>79</v>
      </c>
      <c r="E2045" s="328" t="s">
        <v>1385</v>
      </c>
      <c r="F2045" s="328">
        <v>40532.466000000008</v>
      </c>
      <c r="G2045" s="328">
        <v>15071.264000000001</v>
      </c>
      <c r="H2045" s="328">
        <v>10866.382799999999</v>
      </c>
      <c r="I2045" s="329">
        <v>0.73516030721497616</v>
      </c>
      <c r="J2045" s="329">
        <v>1.2110723129049399</v>
      </c>
      <c r="K2045" s="329">
        <v>1.1788557313673149</v>
      </c>
    </row>
    <row r="2046" spans="1:11" ht="11.25" x14ac:dyDescent="0.15">
      <c r="A2046" s="326">
        <v>1.3</v>
      </c>
      <c r="B2046" s="327">
        <v>100</v>
      </c>
      <c r="C2046" s="327" t="s">
        <v>115</v>
      </c>
      <c r="D2046" s="327" t="s">
        <v>114</v>
      </c>
      <c r="E2046" s="328" t="s">
        <v>1386</v>
      </c>
      <c r="F2046" s="328">
        <v>9391.616</v>
      </c>
      <c r="G2046" s="328">
        <v>14193.348000000002</v>
      </c>
      <c r="H2046" s="328">
        <v>10740.693600000001</v>
      </c>
      <c r="I2046" s="329">
        <v>0.17034106199719218</v>
      </c>
      <c r="J2046" s="329">
        <v>1.1405261556180493</v>
      </c>
      <c r="K2046" s="329">
        <v>1.165220151200659</v>
      </c>
    </row>
    <row r="2047" spans="1:11" ht="11.25" x14ac:dyDescent="0.15">
      <c r="A2047" s="326">
        <v>1.3</v>
      </c>
      <c r="B2047" s="327">
        <v>100</v>
      </c>
      <c r="C2047" s="327" t="s">
        <v>115</v>
      </c>
      <c r="D2047" s="327" t="s">
        <v>113</v>
      </c>
      <c r="E2047" s="328" t="s">
        <v>1387</v>
      </c>
      <c r="F2047" s="328">
        <v>3212.3441999999995</v>
      </c>
      <c r="G2047" s="328">
        <v>12833.399799999999</v>
      </c>
      <c r="H2047" s="328">
        <v>10606.1657</v>
      </c>
      <c r="I2047" s="329">
        <v>5.826410731960513E-2</v>
      </c>
      <c r="J2047" s="329">
        <v>1.0312456326304011</v>
      </c>
      <c r="K2047" s="329">
        <v>1.1506256914928885</v>
      </c>
    </row>
    <row r="2048" spans="1:11" ht="11.25" x14ac:dyDescent="0.15">
      <c r="A2048" s="326">
        <v>1.325</v>
      </c>
      <c r="B2048" s="327">
        <v>100</v>
      </c>
      <c r="C2048" s="327" t="s">
        <v>115</v>
      </c>
      <c r="D2048" s="327" t="s">
        <v>79</v>
      </c>
      <c r="E2048" s="328" t="s">
        <v>1388</v>
      </c>
      <c r="F2048" s="328">
        <v>43143.81525</v>
      </c>
      <c r="G2048" s="328">
        <v>16005.257999999998</v>
      </c>
      <c r="H2048" s="328">
        <v>11304.666799999997</v>
      </c>
      <c r="I2048" s="329">
        <v>0.78252382851850588</v>
      </c>
      <c r="J2048" s="329">
        <v>1.2861246956260795</v>
      </c>
      <c r="K2048" s="329">
        <v>1.2264036242472336</v>
      </c>
    </row>
    <row r="2049" spans="1:11" ht="11.25" x14ac:dyDescent="0.15">
      <c r="A2049" s="326">
        <v>1.325</v>
      </c>
      <c r="B2049" s="327">
        <v>100</v>
      </c>
      <c r="C2049" s="327" t="s">
        <v>115</v>
      </c>
      <c r="D2049" s="327" t="s">
        <v>114</v>
      </c>
      <c r="E2049" s="328" t="s">
        <v>1389</v>
      </c>
      <c r="F2049" s="328">
        <v>10039.836374999999</v>
      </c>
      <c r="G2049" s="328">
        <v>15072.882</v>
      </c>
      <c r="H2049" s="328">
        <v>11176.00135</v>
      </c>
      <c r="I2049" s="329">
        <v>0.1820982023110336</v>
      </c>
      <c r="J2049" s="329">
        <v>1.2112023295380689</v>
      </c>
      <c r="K2049" s="329">
        <v>1.2124451611640583</v>
      </c>
    </row>
    <row r="2050" spans="1:11" ht="11.25" x14ac:dyDescent="0.15">
      <c r="A2050" s="326">
        <v>1.325</v>
      </c>
      <c r="B2050" s="327">
        <v>100</v>
      </c>
      <c r="C2050" s="327" t="s">
        <v>115</v>
      </c>
      <c r="D2050" s="327" t="s">
        <v>113</v>
      </c>
      <c r="E2050" s="328" t="s">
        <v>1390</v>
      </c>
      <c r="F2050" s="328">
        <v>3430.0844749999997</v>
      </c>
      <c r="G2050" s="328">
        <v>13595.692499999999</v>
      </c>
      <c r="H2050" s="328">
        <v>11036.29335</v>
      </c>
      <c r="I2050" s="329">
        <v>6.2213386089420751E-2</v>
      </c>
      <c r="J2050" s="329">
        <v>1.0925007193503706</v>
      </c>
      <c r="K2050" s="329">
        <v>1.1972887305882953</v>
      </c>
    </row>
    <row r="2051" spans="1:11" ht="11.25" x14ac:dyDescent="0.15">
      <c r="A2051" s="326">
        <v>1.35</v>
      </c>
      <c r="B2051" s="327">
        <v>100</v>
      </c>
      <c r="C2051" s="327" t="s">
        <v>115</v>
      </c>
      <c r="D2051" s="327" t="s">
        <v>79</v>
      </c>
      <c r="E2051" s="328" t="s">
        <v>1391</v>
      </c>
      <c r="F2051" s="328">
        <v>45887.499000000011</v>
      </c>
      <c r="G2051" s="328">
        <v>16977.451499999999</v>
      </c>
      <c r="H2051" s="328">
        <v>11752.33455</v>
      </c>
      <c r="I2051" s="329">
        <v>0.83228757564780076</v>
      </c>
      <c r="J2051" s="329">
        <v>1.3642466521279462</v>
      </c>
      <c r="K2051" s="329">
        <v>1.2749695272297619</v>
      </c>
    </row>
    <row r="2052" spans="1:11" ht="11.25" x14ac:dyDescent="0.15">
      <c r="A2052" s="326">
        <v>1.35</v>
      </c>
      <c r="B2052" s="327">
        <v>100</v>
      </c>
      <c r="C2052" s="327" t="s">
        <v>115</v>
      </c>
      <c r="D2052" s="327" t="s">
        <v>114</v>
      </c>
      <c r="E2052" s="328" t="s">
        <v>1392</v>
      </c>
      <c r="F2052" s="328">
        <v>10726.092900000001</v>
      </c>
      <c r="G2052" s="328">
        <v>15994.745999999999</v>
      </c>
      <c r="H2052" s="328">
        <v>11618.21745</v>
      </c>
      <c r="I2052" s="329">
        <v>0.19454522583403572</v>
      </c>
      <c r="J2052" s="329">
        <v>1.2852799892926721</v>
      </c>
      <c r="K2052" s="329">
        <v>1.2604196337721743</v>
      </c>
    </row>
    <row r="2053" spans="1:11" ht="11.25" x14ac:dyDescent="0.15">
      <c r="A2053" s="326">
        <v>1.35</v>
      </c>
      <c r="B2053" s="327">
        <v>100</v>
      </c>
      <c r="C2053" s="327" t="s">
        <v>115</v>
      </c>
      <c r="D2053" s="327" t="s">
        <v>113</v>
      </c>
      <c r="E2053" s="328" t="s">
        <v>1393</v>
      </c>
      <c r="F2053" s="328">
        <v>3660.4345500000004</v>
      </c>
      <c r="G2053" s="328">
        <v>14395.333500000002</v>
      </c>
      <c r="H2053" s="328">
        <v>11474.856900000001</v>
      </c>
      <c r="I2053" s="329">
        <v>6.6391375948315429E-2</v>
      </c>
      <c r="J2053" s="329">
        <v>1.156756980494998</v>
      </c>
      <c r="K2053" s="329">
        <v>1.2448669508665553</v>
      </c>
    </row>
    <row r="2054" spans="1:11" ht="11.25" x14ac:dyDescent="0.15">
      <c r="A2054" s="326">
        <v>1.375</v>
      </c>
      <c r="B2054" s="327">
        <v>100</v>
      </c>
      <c r="C2054" s="327" t="s">
        <v>115</v>
      </c>
      <c r="D2054" s="327" t="s">
        <v>79</v>
      </c>
      <c r="E2054" s="328" t="s">
        <v>1394</v>
      </c>
      <c r="F2054" s="328">
        <v>48768.568749999991</v>
      </c>
      <c r="G2054" s="328">
        <v>17986.897499999999</v>
      </c>
      <c r="H2054" s="328">
        <v>12209.715375</v>
      </c>
      <c r="I2054" s="329">
        <v>0.88454317052124765</v>
      </c>
      <c r="J2054" s="329">
        <v>1.4453620849126576</v>
      </c>
      <c r="K2054" s="329">
        <v>1.3245891676282908</v>
      </c>
    </row>
    <row r="2055" spans="1:11" ht="11.25" x14ac:dyDescent="0.15">
      <c r="A2055" s="326">
        <v>1.375</v>
      </c>
      <c r="B2055" s="327">
        <v>100</v>
      </c>
      <c r="C2055" s="327" t="s">
        <v>115</v>
      </c>
      <c r="D2055" s="327" t="s">
        <v>114</v>
      </c>
      <c r="E2055" s="328" t="s">
        <v>1395</v>
      </c>
      <c r="F2055" s="328">
        <v>11452.32</v>
      </c>
      <c r="G2055" s="328">
        <v>16958.13625</v>
      </c>
      <c r="H2055" s="328">
        <v>12069.745874999999</v>
      </c>
      <c r="I2055" s="329">
        <v>0.2077172183287396</v>
      </c>
      <c r="J2055" s="329">
        <v>1.3626945484363224</v>
      </c>
      <c r="K2055" s="329">
        <v>1.3094043678353351</v>
      </c>
    </row>
    <row r="2056" spans="1:11" ht="11.25" x14ac:dyDescent="0.15">
      <c r="A2056" s="326">
        <v>1.375</v>
      </c>
      <c r="B2056" s="327">
        <v>100</v>
      </c>
      <c r="C2056" s="327" t="s">
        <v>115</v>
      </c>
      <c r="D2056" s="327" t="s">
        <v>113</v>
      </c>
      <c r="E2056" s="328" t="s">
        <v>1396</v>
      </c>
      <c r="F2056" s="328">
        <v>3904.0388749999997</v>
      </c>
      <c r="G2056" s="328">
        <v>15229.54125</v>
      </c>
      <c r="H2056" s="328">
        <v>11922.354125</v>
      </c>
      <c r="I2056" s="329">
        <v>7.0809765651174778E-2</v>
      </c>
      <c r="J2056" s="329">
        <v>1.2237909007578056</v>
      </c>
      <c r="K2056" s="329">
        <v>1.2934143541903385</v>
      </c>
    </row>
    <row r="2057" spans="1:11" ht="11.25" x14ac:dyDescent="0.15">
      <c r="A2057" s="326">
        <v>1.4</v>
      </c>
      <c r="B2057" s="327">
        <v>100</v>
      </c>
      <c r="C2057" s="327" t="s">
        <v>115</v>
      </c>
      <c r="D2057" s="327" t="s">
        <v>79</v>
      </c>
      <c r="E2057" s="328" t="s">
        <v>1397</v>
      </c>
      <c r="F2057" s="328">
        <v>51792.201999999997</v>
      </c>
      <c r="G2057" s="328">
        <v>19036.5</v>
      </c>
      <c r="H2057" s="328">
        <v>12675.826799999999</v>
      </c>
      <c r="I2057" s="329">
        <v>0.93938452039064424</v>
      </c>
      <c r="J2057" s="329">
        <v>1.5297043489262008</v>
      </c>
      <c r="K2057" s="329">
        <v>1.3751559601783412</v>
      </c>
    </row>
    <row r="2058" spans="1:11" ht="11.25" x14ac:dyDescent="0.15">
      <c r="A2058" s="326">
        <v>1.4</v>
      </c>
      <c r="B2058" s="327">
        <v>100</v>
      </c>
      <c r="C2058" s="327" t="s">
        <v>115</v>
      </c>
      <c r="D2058" s="327" t="s">
        <v>114</v>
      </c>
      <c r="E2058" s="328" t="s">
        <v>1398</v>
      </c>
      <c r="F2058" s="328">
        <v>12220.542600000001</v>
      </c>
      <c r="G2058" s="328">
        <v>17956.385999999999</v>
      </c>
      <c r="H2058" s="328">
        <v>12530.866599999999</v>
      </c>
      <c r="I2058" s="329">
        <v>0.2216509070074765</v>
      </c>
      <c r="J2058" s="329">
        <v>1.44291029103026</v>
      </c>
      <c r="K2058" s="329">
        <v>1.3594297368586408</v>
      </c>
    </row>
    <row r="2059" spans="1:11" ht="11.25" x14ac:dyDescent="0.15">
      <c r="A2059" s="326">
        <v>1.4</v>
      </c>
      <c r="B2059" s="327">
        <v>100</v>
      </c>
      <c r="C2059" s="327" t="s">
        <v>115</v>
      </c>
      <c r="D2059" s="327" t="s">
        <v>113</v>
      </c>
      <c r="E2059" s="328" t="s">
        <v>1399</v>
      </c>
      <c r="F2059" s="328">
        <v>4161.5783999999994</v>
      </c>
      <c r="G2059" s="328">
        <v>16102.687999999998</v>
      </c>
      <c r="H2059" s="328">
        <v>12378.326799999999</v>
      </c>
      <c r="I2059" s="329">
        <v>7.5480905974070464E-2</v>
      </c>
      <c r="J2059" s="329">
        <v>1.2939538183490527</v>
      </c>
      <c r="K2059" s="329">
        <v>1.3428812293376629</v>
      </c>
    </row>
    <row r="2060" spans="1:11" ht="11.25" x14ac:dyDescent="0.15">
      <c r="A2060" s="326">
        <v>0.9</v>
      </c>
      <c r="B2060" s="327">
        <v>105</v>
      </c>
      <c r="C2060" s="327" t="s">
        <v>115</v>
      </c>
      <c r="D2060" s="327" t="s">
        <v>79</v>
      </c>
      <c r="E2060" s="328" t="s">
        <v>1400</v>
      </c>
      <c r="F2060" s="328">
        <v>14428.0314</v>
      </c>
      <c r="G2060" s="328">
        <v>4988.2019400000008</v>
      </c>
      <c r="H2060" s="328">
        <v>5049.01674</v>
      </c>
      <c r="I2060" s="329">
        <v>0.26168938244545298</v>
      </c>
      <c r="J2060" s="329">
        <v>0.40083388232816497</v>
      </c>
      <c r="K2060" s="329">
        <v>0.54775010518850087</v>
      </c>
    </row>
    <row r="2061" spans="1:11" ht="11.25" x14ac:dyDescent="0.15">
      <c r="A2061" s="326">
        <v>0.9</v>
      </c>
      <c r="B2061" s="327">
        <v>105</v>
      </c>
      <c r="C2061" s="327" t="s">
        <v>115</v>
      </c>
      <c r="D2061" s="327" t="s">
        <v>114</v>
      </c>
      <c r="E2061" s="328" t="s">
        <v>1401</v>
      </c>
      <c r="F2061" s="328">
        <v>3333.5715599999999</v>
      </c>
      <c r="G2061" s="328">
        <v>4902.7293</v>
      </c>
      <c r="H2061" s="328">
        <v>4978.0670400000008</v>
      </c>
      <c r="I2061" s="329">
        <v>6.0462876652328697E-2</v>
      </c>
      <c r="J2061" s="329">
        <v>0.3939656098451873</v>
      </c>
      <c r="K2061" s="329">
        <v>0.54005302125328458</v>
      </c>
    </row>
    <row r="2062" spans="1:11" ht="11.25" x14ac:dyDescent="0.15">
      <c r="A2062" s="326">
        <v>0.9</v>
      </c>
      <c r="B2062" s="327">
        <v>105</v>
      </c>
      <c r="C2062" s="327" t="s">
        <v>115</v>
      </c>
      <c r="D2062" s="327" t="s">
        <v>113</v>
      </c>
      <c r="E2062" s="328" t="s">
        <v>1402</v>
      </c>
      <c r="F2062" s="328">
        <v>1194.2278200000001</v>
      </c>
      <c r="G2062" s="328">
        <v>4852.71612</v>
      </c>
      <c r="H2062" s="328">
        <v>4898.79918</v>
      </c>
      <c r="I2062" s="329">
        <v>2.1660386788108849E-2</v>
      </c>
      <c r="J2062" s="329">
        <v>0.38994673143005693</v>
      </c>
      <c r="K2062" s="329">
        <v>0.53145352933457335</v>
      </c>
    </row>
    <row r="2063" spans="1:11" ht="11.25" x14ac:dyDescent="0.15">
      <c r="A2063" s="326">
        <v>0.92500000000000004</v>
      </c>
      <c r="B2063" s="327">
        <v>105</v>
      </c>
      <c r="C2063" s="327" t="s">
        <v>115</v>
      </c>
      <c r="D2063" s="327" t="s">
        <v>79</v>
      </c>
      <c r="E2063" s="328" t="s">
        <v>1403</v>
      </c>
      <c r="F2063" s="328">
        <v>15598.55805</v>
      </c>
      <c r="G2063" s="328">
        <v>5388.9012600000005</v>
      </c>
      <c r="H2063" s="328">
        <v>5347.1230800000003</v>
      </c>
      <c r="I2063" s="329">
        <v>0.2829198876808689</v>
      </c>
      <c r="J2063" s="329">
        <v>0.43303263169993872</v>
      </c>
      <c r="K2063" s="329">
        <v>0.58009061572765974</v>
      </c>
    </row>
    <row r="2064" spans="1:11" ht="11.25" x14ac:dyDescent="0.15">
      <c r="A2064" s="326">
        <v>0.92500000000000004</v>
      </c>
      <c r="B2064" s="327">
        <v>105</v>
      </c>
      <c r="C2064" s="327" t="s">
        <v>115</v>
      </c>
      <c r="D2064" s="327" t="s">
        <v>114</v>
      </c>
      <c r="E2064" s="328" t="s">
        <v>1404</v>
      </c>
      <c r="F2064" s="328">
        <v>3609.690955</v>
      </c>
      <c r="G2064" s="328">
        <v>5265.0929700000006</v>
      </c>
      <c r="H2064" s="328">
        <v>5273.705645</v>
      </c>
      <c r="I2064" s="329">
        <v>6.5471010607371385E-2</v>
      </c>
      <c r="J2064" s="329">
        <v>0.42308384491423146</v>
      </c>
      <c r="K2064" s="329">
        <v>0.57212581588349831</v>
      </c>
    </row>
    <row r="2065" spans="1:11" ht="11.25" x14ac:dyDescent="0.15">
      <c r="A2065" s="326">
        <v>0.92500000000000004</v>
      </c>
      <c r="B2065" s="327">
        <v>105</v>
      </c>
      <c r="C2065" s="327" t="s">
        <v>115</v>
      </c>
      <c r="D2065" s="327" t="s">
        <v>113</v>
      </c>
      <c r="E2065" s="328" t="s">
        <v>1405</v>
      </c>
      <c r="F2065" s="328">
        <v>1290.9399900000001</v>
      </c>
      <c r="G2065" s="328">
        <v>5170.1924100000006</v>
      </c>
      <c r="H2065" s="328">
        <v>5191.5029299999997</v>
      </c>
      <c r="I2065" s="329">
        <v>2.34145102260617E-2</v>
      </c>
      <c r="J2065" s="329">
        <v>0.41545797884917057</v>
      </c>
      <c r="K2065" s="329">
        <v>0.56320793184653029</v>
      </c>
    </row>
    <row r="2066" spans="1:11" ht="11.25" x14ac:dyDescent="0.15">
      <c r="A2066" s="326">
        <v>0.95</v>
      </c>
      <c r="B2066" s="327">
        <v>105</v>
      </c>
      <c r="C2066" s="327" t="s">
        <v>115</v>
      </c>
      <c r="D2066" s="327" t="s">
        <v>79</v>
      </c>
      <c r="E2066" s="328" t="s">
        <v>1406</v>
      </c>
      <c r="F2066" s="328">
        <v>16841.5867</v>
      </c>
      <c r="G2066" s="328">
        <v>5817.0453200000002</v>
      </c>
      <c r="H2066" s="328">
        <v>5654.1837799999994</v>
      </c>
      <c r="I2066" s="329">
        <v>0.305465402780074</v>
      </c>
      <c r="J2066" s="329">
        <v>0.46743674120267925</v>
      </c>
      <c r="K2066" s="329">
        <v>0.61340255335539162</v>
      </c>
    </row>
    <row r="2067" spans="1:11" ht="11.25" x14ac:dyDescent="0.15">
      <c r="A2067" s="326">
        <v>0.95</v>
      </c>
      <c r="B2067" s="327">
        <v>105</v>
      </c>
      <c r="C2067" s="327" t="s">
        <v>115</v>
      </c>
      <c r="D2067" s="327" t="s">
        <v>114</v>
      </c>
      <c r="E2067" s="328" t="s">
        <v>1407</v>
      </c>
      <c r="F2067" s="328">
        <v>3904.2286800000002</v>
      </c>
      <c r="G2067" s="328">
        <v>5652.4809999999998</v>
      </c>
      <c r="H2067" s="328">
        <v>5578.0756700000002</v>
      </c>
      <c r="I2067" s="329">
        <v>7.0813208252029886E-2</v>
      </c>
      <c r="J2067" s="329">
        <v>0.45421294712382632</v>
      </c>
      <c r="K2067" s="329">
        <v>0.60514585162415557</v>
      </c>
    </row>
    <row r="2068" spans="1:11" ht="11.25" x14ac:dyDescent="0.15">
      <c r="A2068" s="326">
        <v>0.95</v>
      </c>
      <c r="B2068" s="327">
        <v>105</v>
      </c>
      <c r="C2068" s="327" t="s">
        <v>115</v>
      </c>
      <c r="D2068" s="327" t="s">
        <v>113</v>
      </c>
      <c r="E2068" s="328" t="s">
        <v>1408</v>
      </c>
      <c r="F2068" s="328">
        <v>1393.93842</v>
      </c>
      <c r="G2068" s="328">
        <v>5506.9250400000001</v>
      </c>
      <c r="H2068" s="328">
        <v>5492.7559799999999</v>
      </c>
      <c r="I2068" s="329">
        <v>2.5282651124310034E-2</v>
      </c>
      <c r="J2068" s="329">
        <v>0.44251659616518751</v>
      </c>
      <c r="K2068" s="329">
        <v>0.5958898179093316</v>
      </c>
    </row>
    <row r="2069" spans="1:11" ht="11.25" x14ac:dyDescent="0.15">
      <c r="A2069" s="326">
        <v>0.97499999999999998</v>
      </c>
      <c r="B2069" s="327">
        <v>105</v>
      </c>
      <c r="C2069" s="327" t="s">
        <v>115</v>
      </c>
      <c r="D2069" s="327" t="s">
        <v>79</v>
      </c>
      <c r="E2069" s="328" t="s">
        <v>1409</v>
      </c>
      <c r="F2069" s="328">
        <v>18160.416300000001</v>
      </c>
      <c r="G2069" s="328">
        <v>6273.7002899999998</v>
      </c>
      <c r="H2069" s="328">
        <v>5969.8943849999996</v>
      </c>
      <c r="I2069" s="329">
        <v>0.32938576266886549</v>
      </c>
      <c r="J2069" s="329">
        <v>0.50413188440483103</v>
      </c>
      <c r="K2069" s="329">
        <v>0.64765288881731664</v>
      </c>
    </row>
    <row r="2070" spans="1:11" ht="11.25" x14ac:dyDescent="0.15">
      <c r="A2070" s="326">
        <v>0.97499999999999998</v>
      </c>
      <c r="B2070" s="327">
        <v>105</v>
      </c>
      <c r="C2070" s="327" t="s">
        <v>115</v>
      </c>
      <c r="D2070" s="327" t="s">
        <v>114</v>
      </c>
      <c r="E2070" s="328" t="s">
        <v>1410</v>
      </c>
      <c r="F2070" s="328">
        <v>4218.2037300000002</v>
      </c>
      <c r="G2070" s="328">
        <v>6066.28971</v>
      </c>
      <c r="H2070" s="328">
        <v>5891.0451599999997</v>
      </c>
      <c r="I2070" s="329">
        <v>7.6507951676124467E-2</v>
      </c>
      <c r="J2070" s="329">
        <v>0.48746511970337303</v>
      </c>
      <c r="K2070" s="329">
        <v>0.63909881314043904</v>
      </c>
    </row>
    <row r="2071" spans="1:11" ht="11.25" x14ac:dyDescent="0.15">
      <c r="A2071" s="326">
        <v>0.97499999999999998</v>
      </c>
      <c r="B2071" s="327">
        <v>105</v>
      </c>
      <c r="C2071" s="327" t="s">
        <v>115</v>
      </c>
      <c r="D2071" s="327" t="s">
        <v>113</v>
      </c>
      <c r="E2071" s="328" t="s">
        <v>1411</v>
      </c>
      <c r="F2071" s="328">
        <v>1503.5644650000002</v>
      </c>
      <c r="G2071" s="328">
        <v>5863.9914449999997</v>
      </c>
      <c r="H2071" s="328">
        <v>5802.7171799999996</v>
      </c>
      <c r="I2071" s="329">
        <v>2.7271000831948423E-2</v>
      </c>
      <c r="J2071" s="329">
        <v>0.47120916216124475</v>
      </c>
      <c r="K2071" s="329">
        <v>0.6295164206019489</v>
      </c>
    </row>
    <row r="2072" spans="1:11" ht="11.25" x14ac:dyDescent="0.15">
      <c r="A2072" s="326">
        <v>1</v>
      </c>
      <c r="B2072" s="327">
        <v>105</v>
      </c>
      <c r="C2072" s="327" t="s">
        <v>115</v>
      </c>
      <c r="D2072" s="327" t="s">
        <v>79</v>
      </c>
      <c r="E2072" s="328" t="s">
        <v>1412</v>
      </c>
      <c r="F2072" s="328">
        <v>19558.462</v>
      </c>
      <c r="G2072" s="328">
        <v>6759.3585999999996</v>
      </c>
      <c r="H2072" s="328">
        <v>6294.3384000000005</v>
      </c>
      <c r="I2072" s="329">
        <v>0.35474290985829565</v>
      </c>
      <c r="J2072" s="329">
        <v>0.543157631201729</v>
      </c>
      <c r="K2072" s="329">
        <v>0.6828506812778008</v>
      </c>
    </row>
    <row r="2073" spans="1:11" ht="11.25" x14ac:dyDescent="0.15">
      <c r="A2073" s="326">
        <v>1</v>
      </c>
      <c r="B2073" s="327">
        <v>105</v>
      </c>
      <c r="C2073" s="327" t="s">
        <v>115</v>
      </c>
      <c r="D2073" s="327" t="s">
        <v>114</v>
      </c>
      <c r="E2073" s="328" t="s">
        <v>1413</v>
      </c>
      <c r="F2073" s="328">
        <v>4552.6808000000001</v>
      </c>
      <c r="G2073" s="328">
        <v>6507.3335999999999</v>
      </c>
      <c r="H2073" s="328">
        <v>6212.9356000000007</v>
      </c>
      <c r="I2073" s="329">
        <v>8.2574551856275491E-2</v>
      </c>
      <c r="J2073" s="329">
        <v>0.52290581292956106</v>
      </c>
      <c r="K2073" s="329">
        <v>0.67401957721165773</v>
      </c>
    </row>
    <row r="2074" spans="1:11" ht="11.25" x14ac:dyDescent="0.15">
      <c r="A2074" s="326">
        <v>1</v>
      </c>
      <c r="B2074" s="327">
        <v>105</v>
      </c>
      <c r="C2074" s="327" t="s">
        <v>115</v>
      </c>
      <c r="D2074" s="327" t="s">
        <v>113</v>
      </c>
      <c r="E2074" s="328" t="s">
        <v>1414</v>
      </c>
      <c r="F2074" s="328">
        <v>1620.174</v>
      </c>
      <c r="G2074" s="328">
        <v>6242.2924000000003</v>
      </c>
      <c r="H2074" s="328">
        <v>6121.0360000000001</v>
      </c>
      <c r="I2074" s="329">
        <v>2.938601405554048E-2</v>
      </c>
      <c r="J2074" s="329">
        <v>0.501608059861265</v>
      </c>
      <c r="K2074" s="329">
        <v>0.66404971215496522</v>
      </c>
    </row>
    <row r="2075" spans="1:11" ht="11.25" x14ac:dyDescent="0.15">
      <c r="A2075" s="326">
        <v>1.0249999999999999</v>
      </c>
      <c r="B2075" s="327">
        <v>105</v>
      </c>
      <c r="C2075" s="327" t="s">
        <v>115</v>
      </c>
      <c r="D2075" s="327" t="s">
        <v>79</v>
      </c>
      <c r="E2075" s="328" t="s">
        <v>1415</v>
      </c>
      <c r="F2075" s="328">
        <v>21039.2156</v>
      </c>
      <c r="G2075" s="328">
        <v>7275.835399999999</v>
      </c>
      <c r="H2075" s="328">
        <v>6627.3096999999989</v>
      </c>
      <c r="I2075" s="329">
        <v>0.38160017710390765</v>
      </c>
      <c r="J2075" s="329">
        <v>0.58465984048807296</v>
      </c>
      <c r="K2075" s="329">
        <v>0.71897356895904685</v>
      </c>
    </row>
    <row r="2076" spans="1:11" ht="11.25" x14ac:dyDescent="0.15">
      <c r="A2076" s="326">
        <v>1.0249999999999999</v>
      </c>
      <c r="B2076" s="327">
        <v>105</v>
      </c>
      <c r="C2076" s="327" t="s">
        <v>115</v>
      </c>
      <c r="D2076" s="327" t="s">
        <v>114</v>
      </c>
      <c r="E2076" s="328" t="s">
        <v>1416</v>
      </c>
      <c r="F2076" s="328">
        <v>4908.7756349999991</v>
      </c>
      <c r="G2076" s="328">
        <v>6977.2717599999996</v>
      </c>
      <c r="H2076" s="328">
        <v>6542.9839749999992</v>
      </c>
      <c r="I2076" s="329">
        <v>8.9033245691885324E-2</v>
      </c>
      <c r="J2076" s="329">
        <v>0.5606683452794351</v>
      </c>
      <c r="K2076" s="329">
        <v>0.70982536701847521</v>
      </c>
    </row>
    <row r="2077" spans="1:11" ht="11.25" x14ac:dyDescent="0.15">
      <c r="A2077" s="326">
        <v>1.0249999999999999</v>
      </c>
      <c r="B2077" s="327">
        <v>105</v>
      </c>
      <c r="C2077" s="327" t="s">
        <v>115</v>
      </c>
      <c r="D2077" s="327" t="s">
        <v>113</v>
      </c>
      <c r="E2077" s="328" t="s">
        <v>1417</v>
      </c>
      <c r="F2077" s="328">
        <v>1744.1391800000001</v>
      </c>
      <c r="G2077" s="328">
        <v>6644.3527849999982</v>
      </c>
      <c r="H2077" s="328">
        <v>6448.1335499999986</v>
      </c>
      <c r="I2077" s="329">
        <v>3.1634440781236367E-2</v>
      </c>
      <c r="J2077" s="329">
        <v>0.53391617949803849</v>
      </c>
      <c r="K2077" s="329">
        <v>0.69953537731427706</v>
      </c>
    </row>
    <row r="2078" spans="1:11" ht="11.25" x14ac:dyDescent="0.15">
      <c r="A2078" s="326">
        <v>1.05</v>
      </c>
      <c r="B2078" s="327">
        <v>105</v>
      </c>
      <c r="C2078" s="327" t="s">
        <v>115</v>
      </c>
      <c r="D2078" s="327" t="s">
        <v>79</v>
      </c>
      <c r="E2078" s="328" t="s">
        <v>1418</v>
      </c>
      <c r="F2078" s="328">
        <v>22606.302600000003</v>
      </c>
      <c r="G2078" s="328">
        <v>7823.2226100000007</v>
      </c>
      <c r="H2078" s="328">
        <v>6968.9795699999995</v>
      </c>
      <c r="I2078" s="329">
        <v>0.41002332215391762</v>
      </c>
      <c r="J2078" s="329">
        <v>0.62864589862289721</v>
      </c>
      <c r="K2078" s="329">
        <v>0.75604013396953273</v>
      </c>
    </row>
    <row r="2079" spans="1:11" ht="11.25" x14ac:dyDescent="0.15">
      <c r="A2079" s="326">
        <v>1.05</v>
      </c>
      <c r="B2079" s="327">
        <v>105</v>
      </c>
      <c r="C2079" s="327" t="s">
        <v>115</v>
      </c>
      <c r="D2079" s="327" t="s">
        <v>114</v>
      </c>
      <c r="E2079" s="328" t="s">
        <v>1419</v>
      </c>
      <c r="F2079" s="328">
        <v>5287.6548900000007</v>
      </c>
      <c r="G2079" s="328">
        <v>7477.2037200000004</v>
      </c>
      <c r="H2079" s="328">
        <v>6881.8148700000011</v>
      </c>
      <c r="I2079" s="329">
        <v>9.5905193465879196E-2</v>
      </c>
      <c r="J2079" s="329">
        <v>0.60084107101048867</v>
      </c>
      <c r="K2079" s="329">
        <v>0.74658394159538677</v>
      </c>
    </row>
    <row r="2080" spans="1:11" ht="11.25" x14ac:dyDescent="0.15">
      <c r="A2080" s="326">
        <v>1.05</v>
      </c>
      <c r="B2080" s="327">
        <v>105</v>
      </c>
      <c r="C2080" s="327" t="s">
        <v>115</v>
      </c>
      <c r="D2080" s="327" t="s">
        <v>113</v>
      </c>
      <c r="E2080" s="328" t="s">
        <v>1420</v>
      </c>
      <c r="F2080" s="328">
        <v>1875.8495700000003</v>
      </c>
      <c r="G2080" s="328">
        <v>7070.8295699999999</v>
      </c>
      <c r="H2080" s="328">
        <v>6783.567</v>
      </c>
      <c r="I2080" s="329">
        <v>3.402334677022318E-2</v>
      </c>
      <c r="J2080" s="329">
        <v>0.56818631280671228</v>
      </c>
      <c r="K2080" s="329">
        <v>0.7359253750074205</v>
      </c>
    </row>
    <row r="2081" spans="1:11" ht="11.25" x14ac:dyDescent="0.15">
      <c r="A2081" s="326">
        <v>1.075</v>
      </c>
      <c r="B2081" s="327">
        <v>105</v>
      </c>
      <c r="C2081" s="327" t="s">
        <v>115</v>
      </c>
      <c r="D2081" s="327" t="s">
        <v>79</v>
      </c>
      <c r="E2081" s="328" t="s">
        <v>1421</v>
      </c>
      <c r="F2081" s="328">
        <v>24263.442299999999</v>
      </c>
      <c r="G2081" s="328">
        <v>8403.3549800000001</v>
      </c>
      <c r="H2081" s="328">
        <v>7319.4731149999998</v>
      </c>
      <c r="I2081" s="329">
        <v>0.44007980406030178</v>
      </c>
      <c r="J2081" s="329">
        <v>0.67526323948607392</v>
      </c>
      <c r="K2081" s="329">
        <v>0.79406394851161732</v>
      </c>
    </row>
    <row r="2082" spans="1:11" ht="11.25" x14ac:dyDescent="0.15">
      <c r="A2082" s="326">
        <v>1.075</v>
      </c>
      <c r="B2082" s="327">
        <v>105</v>
      </c>
      <c r="C2082" s="327" t="s">
        <v>115</v>
      </c>
      <c r="D2082" s="327" t="s">
        <v>114</v>
      </c>
      <c r="E2082" s="328" t="s">
        <v>1422</v>
      </c>
      <c r="F2082" s="328">
        <v>5690.5406649999995</v>
      </c>
      <c r="G2082" s="328">
        <v>8008.6741050000001</v>
      </c>
      <c r="H2082" s="328">
        <v>7229.1673099999989</v>
      </c>
      <c r="I2082" s="329">
        <v>0.10321256109857006</v>
      </c>
      <c r="J2082" s="329">
        <v>0.64354811060600159</v>
      </c>
      <c r="K2082" s="329">
        <v>0.78426698868060629</v>
      </c>
    </row>
    <row r="2083" spans="1:11" ht="11.25" x14ac:dyDescent="0.15">
      <c r="A2083" s="326">
        <v>1.075</v>
      </c>
      <c r="B2083" s="327">
        <v>105</v>
      </c>
      <c r="C2083" s="327" t="s">
        <v>115</v>
      </c>
      <c r="D2083" s="327" t="s">
        <v>113</v>
      </c>
      <c r="E2083" s="328" t="s">
        <v>1423</v>
      </c>
      <c r="F2083" s="328">
        <v>2015.7150849999998</v>
      </c>
      <c r="G2083" s="328">
        <v>7523.2202299999999</v>
      </c>
      <c r="H2083" s="328">
        <v>7127.7490150000003</v>
      </c>
      <c r="I2083" s="329">
        <v>3.6560166883171173E-2</v>
      </c>
      <c r="J2083" s="329">
        <v>0.60453879146694889</v>
      </c>
      <c r="K2083" s="329">
        <v>0.77326447381188201</v>
      </c>
    </row>
    <row r="2084" spans="1:11" ht="11.25" x14ac:dyDescent="0.15">
      <c r="A2084" s="326">
        <v>1.1000000000000001</v>
      </c>
      <c r="B2084" s="327">
        <v>105</v>
      </c>
      <c r="C2084" s="327" t="s">
        <v>115</v>
      </c>
      <c r="D2084" s="327" t="s">
        <v>79</v>
      </c>
      <c r="E2084" s="328" t="s">
        <v>1424</v>
      </c>
      <c r="F2084" s="328">
        <v>26014.465400000005</v>
      </c>
      <c r="G2084" s="328">
        <v>9016.3535000000011</v>
      </c>
      <c r="H2084" s="328">
        <v>7678.2527800000007</v>
      </c>
      <c r="I2084" s="329">
        <v>0.47183910239997162</v>
      </c>
      <c r="J2084" s="329">
        <v>0.7245215853967889</v>
      </c>
      <c r="K2084" s="329">
        <v>0.83298669513005019</v>
      </c>
    </row>
    <row r="2085" spans="1:11" ht="11.25" x14ac:dyDescent="0.15">
      <c r="A2085" s="326">
        <v>1.1000000000000001</v>
      </c>
      <c r="B2085" s="327">
        <v>105</v>
      </c>
      <c r="C2085" s="327" t="s">
        <v>115</v>
      </c>
      <c r="D2085" s="327" t="s">
        <v>114</v>
      </c>
      <c r="E2085" s="328" t="s">
        <v>1425</v>
      </c>
      <c r="F2085" s="328">
        <v>6118.7112799999995</v>
      </c>
      <c r="G2085" s="328">
        <v>8572.5642200000002</v>
      </c>
      <c r="H2085" s="328">
        <v>7585.123700000001</v>
      </c>
      <c r="I2085" s="329">
        <v>0.11097853420427316</v>
      </c>
      <c r="J2085" s="329">
        <v>0.68886028255105425</v>
      </c>
      <c r="K2085" s="329">
        <v>0.82288344810336111</v>
      </c>
    </row>
    <row r="2086" spans="1:11" ht="11.25" x14ac:dyDescent="0.15">
      <c r="A2086" s="326">
        <v>1.1000000000000001</v>
      </c>
      <c r="B2086" s="327">
        <v>105</v>
      </c>
      <c r="C2086" s="327" t="s">
        <v>115</v>
      </c>
      <c r="D2086" s="327" t="s">
        <v>113</v>
      </c>
      <c r="E2086" s="328" t="s">
        <v>1426</v>
      </c>
      <c r="F2086" s="328">
        <v>2164.1637600000004</v>
      </c>
      <c r="G2086" s="328">
        <v>8002.9166800000012</v>
      </c>
      <c r="H2086" s="328">
        <v>7480.4884000000011</v>
      </c>
      <c r="I2086" s="329">
        <v>3.9252664633459951E-2</v>
      </c>
      <c r="J2086" s="329">
        <v>0.64308546473826778</v>
      </c>
      <c r="K2086" s="329">
        <v>0.81153193165316406</v>
      </c>
    </row>
    <row r="2087" spans="1:11" ht="11.25" x14ac:dyDescent="0.15">
      <c r="A2087" s="326">
        <v>1.125</v>
      </c>
      <c r="B2087" s="327">
        <v>105</v>
      </c>
      <c r="C2087" s="327" t="s">
        <v>115</v>
      </c>
      <c r="D2087" s="327" t="s">
        <v>79</v>
      </c>
      <c r="E2087" s="328" t="s">
        <v>1427</v>
      </c>
      <c r="F2087" s="328">
        <v>27863.313750000001</v>
      </c>
      <c r="G2087" s="328">
        <v>9661.5742499999997</v>
      </c>
      <c r="H2087" s="328">
        <v>8046.3140999999996</v>
      </c>
      <c r="I2087" s="329">
        <v>0.5053727127403812</v>
      </c>
      <c r="J2087" s="329">
        <v>0.7763691932707375</v>
      </c>
      <c r="K2087" s="329">
        <v>0.87291637592287274</v>
      </c>
    </row>
    <row r="2088" spans="1:11" ht="11.25" x14ac:dyDescent="0.15">
      <c r="A2088" s="326">
        <v>1.125</v>
      </c>
      <c r="B2088" s="327">
        <v>105</v>
      </c>
      <c r="C2088" s="327" t="s">
        <v>115</v>
      </c>
      <c r="D2088" s="327" t="s">
        <v>114</v>
      </c>
      <c r="E2088" s="328" t="s">
        <v>1428</v>
      </c>
      <c r="F2088" s="328">
        <v>6573.5057250000009</v>
      </c>
      <c r="G2088" s="328">
        <v>9169.1770500000021</v>
      </c>
      <c r="H2088" s="328">
        <v>7949.8728000000001</v>
      </c>
      <c r="I2088" s="329">
        <v>0.1192273988034778</v>
      </c>
      <c r="J2088" s="329">
        <v>0.73680193362536783</v>
      </c>
      <c r="K2088" s="329">
        <v>0.86245379777354481</v>
      </c>
    </row>
    <row r="2089" spans="1:11" ht="11.25" x14ac:dyDescent="0.15">
      <c r="A2089" s="326">
        <v>1.125</v>
      </c>
      <c r="B2089" s="327">
        <v>105</v>
      </c>
      <c r="C2089" s="327" t="s">
        <v>115</v>
      </c>
      <c r="D2089" s="327" t="s">
        <v>113</v>
      </c>
      <c r="E2089" s="328" t="s">
        <v>1429</v>
      </c>
      <c r="F2089" s="328">
        <v>2321.6424750000001</v>
      </c>
      <c r="G2089" s="328">
        <v>8511.3431999999993</v>
      </c>
      <c r="H2089" s="328">
        <v>7841.6358749999999</v>
      </c>
      <c r="I2089" s="329">
        <v>4.2108945336914297E-2</v>
      </c>
      <c r="J2089" s="329">
        <v>0.68394078261463209</v>
      </c>
      <c r="K2089" s="329">
        <v>0.85071155366800633</v>
      </c>
    </row>
    <row r="2090" spans="1:11" ht="11.25" x14ac:dyDescent="0.15">
      <c r="A2090" s="326">
        <v>1.1499999999999999</v>
      </c>
      <c r="B2090" s="327">
        <v>105</v>
      </c>
      <c r="C2090" s="327" t="s">
        <v>115</v>
      </c>
      <c r="D2090" s="327" t="s">
        <v>79</v>
      </c>
      <c r="E2090" s="328" t="s">
        <v>1430</v>
      </c>
      <c r="F2090" s="328">
        <v>29814.042099999999</v>
      </c>
      <c r="G2090" s="328">
        <v>10341.82488</v>
      </c>
      <c r="H2090" s="328">
        <v>8423.0629900000004</v>
      </c>
      <c r="I2090" s="329">
        <v>0.54075417838026996</v>
      </c>
      <c r="J2090" s="329">
        <v>0.83103167571608139</v>
      </c>
      <c r="K2090" s="329">
        <v>0.91378854069354287</v>
      </c>
    </row>
    <row r="2091" spans="1:11" ht="11.25" x14ac:dyDescent="0.15">
      <c r="A2091" s="326">
        <v>1.1499999999999999</v>
      </c>
      <c r="B2091" s="327">
        <v>105</v>
      </c>
      <c r="C2091" s="327" t="s">
        <v>115</v>
      </c>
      <c r="D2091" s="327" t="s">
        <v>114</v>
      </c>
      <c r="E2091" s="328" t="s">
        <v>1431</v>
      </c>
      <c r="F2091" s="328">
        <v>7056.322259999999</v>
      </c>
      <c r="G2091" s="328">
        <v>9799.8413799999998</v>
      </c>
      <c r="H2091" s="328">
        <v>8323.3386699999992</v>
      </c>
      <c r="I2091" s="329">
        <v>0.12798451593025387</v>
      </c>
      <c r="J2091" s="329">
        <v>0.78747984018979011</v>
      </c>
      <c r="K2091" s="329">
        <v>0.90296979922709009</v>
      </c>
    </row>
    <row r="2092" spans="1:11" ht="11.25" x14ac:dyDescent="0.15">
      <c r="A2092" s="326">
        <v>1.1499999999999999</v>
      </c>
      <c r="B2092" s="327">
        <v>105</v>
      </c>
      <c r="C2092" s="327" t="s">
        <v>115</v>
      </c>
      <c r="D2092" s="327" t="s">
        <v>113</v>
      </c>
      <c r="E2092" s="328" t="s">
        <v>1432</v>
      </c>
      <c r="F2092" s="328">
        <v>2488.6200099999996</v>
      </c>
      <c r="G2092" s="328">
        <v>9048.3285699999979</v>
      </c>
      <c r="H2092" s="328">
        <v>8211.2217199999996</v>
      </c>
      <c r="I2092" s="329">
        <v>4.5137511522070642E-2</v>
      </c>
      <c r="J2092" s="329">
        <v>0.72709098647556991</v>
      </c>
      <c r="K2092" s="329">
        <v>0.89080662482733286</v>
      </c>
    </row>
    <row r="2093" spans="1:11" ht="11.25" x14ac:dyDescent="0.15">
      <c r="A2093" s="326">
        <v>1.175</v>
      </c>
      <c r="B2093" s="327">
        <v>105</v>
      </c>
      <c r="C2093" s="327" t="s">
        <v>115</v>
      </c>
      <c r="D2093" s="327" t="s">
        <v>79</v>
      </c>
      <c r="E2093" s="328" t="s">
        <v>1433</v>
      </c>
      <c r="F2093" s="328">
        <v>31870.817500000001</v>
      </c>
      <c r="G2093" s="328">
        <v>11058.08574</v>
      </c>
      <c r="H2093" s="328">
        <v>8808.4218099999998</v>
      </c>
      <c r="I2093" s="329">
        <v>0.57805907946712232</v>
      </c>
      <c r="J2093" s="329">
        <v>0.88858781011618759</v>
      </c>
      <c r="K2093" s="329">
        <v>0.95559476655095921</v>
      </c>
    </row>
    <row r="2094" spans="1:11" ht="11.25" x14ac:dyDescent="0.15">
      <c r="A2094" s="326">
        <v>1.175</v>
      </c>
      <c r="B2094" s="327">
        <v>105</v>
      </c>
      <c r="C2094" s="327" t="s">
        <v>115</v>
      </c>
      <c r="D2094" s="327" t="s">
        <v>114</v>
      </c>
      <c r="E2094" s="328" t="s">
        <v>1434</v>
      </c>
      <c r="F2094" s="328">
        <v>7568.6236150000004</v>
      </c>
      <c r="G2094" s="328">
        <v>10465.40634</v>
      </c>
      <c r="H2094" s="328">
        <v>8705.6046100000003</v>
      </c>
      <c r="I2094" s="329">
        <v>0.13727641594759921</v>
      </c>
      <c r="J2094" s="329">
        <v>0.84096223526267078</v>
      </c>
      <c r="K2094" s="329">
        <v>0.94444048938863268</v>
      </c>
    </row>
    <row r="2095" spans="1:11" ht="11.25" x14ac:dyDescent="0.15">
      <c r="A2095" s="326">
        <v>1.175</v>
      </c>
      <c r="B2095" s="327">
        <v>105</v>
      </c>
      <c r="C2095" s="327" t="s">
        <v>115</v>
      </c>
      <c r="D2095" s="327" t="s">
        <v>113</v>
      </c>
      <c r="E2095" s="328" t="s">
        <v>1435</v>
      </c>
      <c r="F2095" s="328">
        <v>2665.5871399999996</v>
      </c>
      <c r="G2095" s="328">
        <v>9616.1257399999995</v>
      </c>
      <c r="H2095" s="328">
        <v>8589.5780600000016</v>
      </c>
      <c r="I2095" s="329">
        <v>4.8347264653245847E-2</v>
      </c>
      <c r="J2095" s="329">
        <v>0.77271711524172926</v>
      </c>
      <c r="K2095" s="329">
        <v>0.93185317620670838</v>
      </c>
    </row>
    <row r="2096" spans="1:11" ht="11.25" x14ac:dyDescent="0.15">
      <c r="A2096" s="326">
        <v>1.2</v>
      </c>
      <c r="B2096" s="327">
        <v>105</v>
      </c>
      <c r="C2096" s="327" t="s">
        <v>115</v>
      </c>
      <c r="D2096" s="327" t="s">
        <v>79</v>
      </c>
      <c r="E2096" s="328" t="s">
        <v>1436</v>
      </c>
      <c r="F2096" s="328">
        <v>34037.94</v>
      </c>
      <c r="G2096" s="328">
        <v>11808.193440000001</v>
      </c>
      <c r="H2096" s="328">
        <v>9203.0807999999997</v>
      </c>
      <c r="I2096" s="329">
        <v>0.61736540844479892</v>
      </c>
      <c r="J2096" s="329">
        <v>0.94886375426837055</v>
      </c>
      <c r="K2096" s="329">
        <v>0.99840993521013222</v>
      </c>
    </row>
    <row r="2097" spans="1:11" ht="11.25" x14ac:dyDescent="0.15">
      <c r="A2097" s="326">
        <v>1.2</v>
      </c>
      <c r="B2097" s="327">
        <v>105</v>
      </c>
      <c r="C2097" s="327" t="s">
        <v>115</v>
      </c>
      <c r="D2097" s="327" t="s">
        <v>114</v>
      </c>
      <c r="E2097" s="328" t="s">
        <v>1437</v>
      </c>
      <c r="F2097" s="328">
        <v>8111.9414399999996</v>
      </c>
      <c r="G2097" s="328">
        <v>11167.487279999999</v>
      </c>
      <c r="H2097" s="328">
        <v>9095.8103999999985</v>
      </c>
      <c r="I2097" s="329">
        <v>0.14713087925961116</v>
      </c>
      <c r="J2097" s="329">
        <v>0.8973789225327149</v>
      </c>
      <c r="K2097" s="329">
        <v>0.98677254600955422</v>
      </c>
    </row>
    <row r="2098" spans="1:11" ht="11.25" x14ac:dyDescent="0.15">
      <c r="A2098" s="326">
        <v>1.2</v>
      </c>
      <c r="B2098" s="327">
        <v>105</v>
      </c>
      <c r="C2098" s="327" t="s">
        <v>115</v>
      </c>
      <c r="D2098" s="327" t="s">
        <v>113</v>
      </c>
      <c r="E2098" s="328" t="s">
        <v>1438</v>
      </c>
      <c r="F2098" s="328">
        <v>2853.0568799999996</v>
      </c>
      <c r="G2098" s="328">
        <v>10215.511199999999</v>
      </c>
      <c r="H2098" s="328">
        <v>8976.5635199999997</v>
      </c>
      <c r="I2098" s="329">
        <v>5.1747509574241075E-2</v>
      </c>
      <c r="J2098" s="329">
        <v>0.82088156484355368</v>
      </c>
      <c r="K2098" s="329">
        <v>0.97383587052857734</v>
      </c>
    </row>
    <row r="2099" spans="1:11" ht="11.25" x14ac:dyDescent="0.15">
      <c r="A2099" s="326">
        <v>1.2250000000000001</v>
      </c>
      <c r="B2099" s="327">
        <v>105</v>
      </c>
      <c r="C2099" s="327" t="s">
        <v>115</v>
      </c>
      <c r="D2099" s="327" t="s">
        <v>79</v>
      </c>
      <c r="E2099" s="328" t="s">
        <v>1439</v>
      </c>
      <c r="F2099" s="328">
        <v>36319.802050000006</v>
      </c>
      <c r="G2099" s="328">
        <v>12594.200500000003</v>
      </c>
      <c r="H2099" s="328">
        <v>9605.8181450000011</v>
      </c>
      <c r="I2099" s="329">
        <v>0.65875283366832704</v>
      </c>
      <c r="J2099" s="329">
        <v>1.0120244412627601</v>
      </c>
      <c r="K2099" s="329">
        <v>1.0421014962500126</v>
      </c>
    </row>
    <row r="2100" spans="1:11" ht="11.25" x14ac:dyDescent="0.15">
      <c r="A2100" s="326">
        <v>1.2250000000000001</v>
      </c>
      <c r="B2100" s="327">
        <v>105</v>
      </c>
      <c r="C2100" s="327" t="s">
        <v>115</v>
      </c>
      <c r="D2100" s="327" t="s">
        <v>114</v>
      </c>
      <c r="E2100" s="328" t="s">
        <v>1440</v>
      </c>
      <c r="F2100" s="328">
        <v>8687.8734600000007</v>
      </c>
      <c r="G2100" s="328">
        <v>11905.31293</v>
      </c>
      <c r="H2100" s="328">
        <v>9495.013465</v>
      </c>
      <c r="I2100" s="329">
        <v>0.15757688471010961</v>
      </c>
      <c r="J2100" s="329">
        <v>0.95666792552981528</v>
      </c>
      <c r="K2100" s="329">
        <v>1.0300806854167772</v>
      </c>
    </row>
    <row r="2101" spans="1:11" ht="11.25" x14ac:dyDescent="0.15">
      <c r="A2101" s="326">
        <v>1.2250000000000001</v>
      </c>
      <c r="B2101" s="327">
        <v>105</v>
      </c>
      <c r="C2101" s="327" t="s">
        <v>115</v>
      </c>
      <c r="D2101" s="327" t="s">
        <v>113</v>
      </c>
      <c r="E2101" s="328" t="s">
        <v>1441</v>
      </c>
      <c r="F2101" s="328">
        <v>3051.5683450000006</v>
      </c>
      <c r="G2101" s="328">
        <v>10847.468100000002</v>
      </c>
      <c r="H2101" s="328">
        <v>9372.1212200000009</v>
      </c>
      <c r="I2101" s="329">
        <v>5.5348024519349413E-2</v>
      </c>
      <c r="J2101" s="329">
        <v>0.87166333766229265</v>
      </c>
      <c r="K2101" s="329">
        <v>1.0167485370813767</v>
      </c>
    </row>
    <row r="2102" spans="1:11" ht="11.25" x14ac:dyDescent="0.15">
      <c r="A2102" s="326">
        <v>1.25</v>
      </c>
      <c r="B2102" s="327">
        <v>105</v>
      </c>
      <c r="C2102" s="327" t="s">
        <v>115</v>
      </c>
      <c r="D2102" s="327" t="s">
        <v>79</v>
      </c>
      <c r="E2102" s="328" t="s">
        <v>1442</v>
      </c>
      <c r="F2102" s="328">
        <v>38720.922499999993</v>
      </c>
      <c r="G2102" s="328">
        <v>13418.23</v>
      </c>
      <c r="H2102" s="328">
        <v>10017.66275</v>
      </c>
      <c r="I2102" s="329">
        <v>0.70230331608116991</v>
      </c>
      <c r="J2102" s="329">
        <v>1.0782404741361076</v>
      </c>
      <c r="K2102" s="329">
        <v>1.0867810719628208</v>
      </c>
    </row>
    <row r="2103" spans="1:11" ht="11.25" x14ac:dyDescent="0.15">
      <c r="A2103" s="326">
        <v>1.25</v>
      </c>
      <c r="B2103" s="327">
        <v>105</v>
      </c>
      <c r="C2103" s="327" t="s">
        <v>115</v>
      </c>
      <c r="D2103" s="327" t="s">
        <v>114</v>
      </c>
      <c r="E2103" s="328" t="s">
        <v>1443</v>
      </c>
      <c r="F2103" s="328">
        <v>9298.0935000000009</v>
      </c>
      <c r="G2103" s="328">
        <v>12679.184999999999</v>
      </c>
      <c r="H2103" s="328">
        <v>9903.637999999999</v>
      </c>
      <c r="I2103" s="329">
        <v>0.16864479141174318</v>
      </c>
      <c r="J2103" s="329">
        <v>1.0188534885793004</v>
      </c>
      <c r="K2103" s="329">
        <v>1.0744109270370203</v>
      </c>
    </row>
    <row r="2104" spans="1:11" ht="11.25" x14ac:dyDescent="0.15">
      <c r="A2104" s="326">
        <v>1.25</v>
      </c>
      <c r="B2104" s="327">
        <v>105</v>
      </c>
      <c r="C2104" s="327" t="s">
        <v>115</v>
      </c>
      <c r="D2104" s="327" t="s">
        <v>113</v>
      </c>
      <c r="E2104" s="328" t="s">
        <v>1444</v>
      </c>
      <c r="F2104" s="328">
        <v>3261.6837499999997</v>
      </c>
      <c r="G2104" s="328">
        <v>11512.695249999999</v>
      </c>
      <c r="H2104" s="328">
        <v>9776.3227500000012</v>
      </c>
      <c r="I2104" s="329">
        <v>5.9159006700655589E-2</v>
      </c>
      <c r="J2104" s="329">
        <v>0.9251185875442971</v>
      </c>
      <c r="K2104" s="329">
        <v>1.0605989424129409</v>
      </c>
    </row>
    <row r="2105" spans="1:11" ht="11.25" x14ac:dyDescent="0.15">
      <c r="A2105" s="326">
        <v>1.2749999999999999</v>
      </c>
      <c r="B2105" s="327">
        <v>105</v>
      </c>
      <c r="C2105" s="327" t="s">
        <v>115</v>
      </c>
      <c r="D2105" s="327" t="s">
        <v>79</v>
      </c>
      <c r="E2105" s="328" t="s">
        <v>1445</v>
      </c>
      <c r="F2105" s="328">
        <v>41245.974600000001</v>
      </c>
      <c r="G2105" s="328">
        <v>14277.954899999999</v>
      </c>
      <c r="H2105" s="328">
        <v>10439.030115</v>
      </c>
      <c r="I2105" s="329">
        <v>0.74810161706709633</v>
      </c>
      <c r="J2105" s="329">
        <v>1.1473248603631001</v>
      </c>
      <c r="K2105" s="329">
        <v>1.1324937384852438</v>
      </c>
    </row>
    <row r="2106" spans="1:11" ht="11.25" x14ac:dyDescent="0.15">
      <c r="A2106" s="326">
        <v>1.2749999999999999</v>
      </c>
      <c r="B2106" s="327">
        <v>105</v>
      </c>
      <c r="C2106" s="327" t="s">
        <v>115</v>
      </c>
      <c r="D2106" s="327" t="s">
        <v>114</v>
      </c>
      <c r="E2106" s="328" t="s">
        <v>1446</v>
      </c>
      <c r="F2106" s="328">
        <v>9944.3461799999986</v>
      </c>
      <c r="G2106" s="328">
        <v>13494.240449999999</v>
      </c>
      <c r="H2106" s="328">
        <v>10319.223209999998</v>
      </c>
      <c r="I2106" s="329">
        <v>0.18036624252619796</v>
      </c>
      <c r="J2106" s="329">
        <v>1.0843483992236416</v>
      </c>
      <c r="K2106" s="329">
        <v>1.1194963078575808</v>
      </c>
    </row>
    <row r="2107" spans="1:11" ht="11.25" x14ac:dyDescent="0.15">
      <c r="A2107" s="326">
        <v>1.2749999999999999</v>
      </c>
      <c r="B2107" s="327">
        <v>105</v>
      </c>
      <c r="C2107" s="327" t="s">
        <v>115</v>
      </c>
      <c r="D2107" s="327" t="s">
        <v>113</v>
      </c>
      <c r="E2107" s="328" t="s">
        <v>1447</v>
      </c>
      <c r="F2107" s="328">
        <v>3483.9918149999999</v>
      </c>
      <c r="G2107" s="328">
        <v>12212.541089999999</v>
      </c>
      <c r="H2107" s="328">
        <v>10189.05948</v>
      </c>
      <c r="I2107" s="329">
        <v>6.3191134066450882E-2</v>
      </c>
      <c r="J2107" s="329">
        <v>0.98135567025518988</v>
      </c>
      <c r="K2107" s="329">
        <v>1.1053753016358374</v>
      </c>
    </row>
    <row r="2108" spans="1:11" ht="11.25" x14ac:dyDescent="0.15">
      <c r="A2108" s="326">
        <v>1.3</v>
      </c>
      <c r="B2108" s="327">
        <v>105</v>
      </c>
      <c r="C2108" s="327" t="s">
        <v>115</v>
      </c>
      <c r="D2108" s="327" t="s">
        <v>79</v>
      </c>
      <c r="E2108" s="328" t="s">
        <v>1448</v>
      </c>
      <c r="F2108" s="328">
        <v>43899.715600000003</v>
      </c>
      <c r="G2108" s="328">
        <v>15176.798000000001</v>
      </c>
      <c r="H2108" s="328">
        <v>10868.63752</v>
      </c>
      <c r="I2108" s="329">
        <v>0.79623402156547984</v>
      </c>
      <c r="J2108" s="329">
        <v>1.2195526437829678</v>
      </c>
      <c r="K2108" s="329">
        <v>1.1791003380265457</v>
      </c>
    </row>
    <row r="2109" spans="1:11" ht="11.25" x14ac:dyDescent="0.15">
      <c r="A2109" s="326">
        <v>1.3</v>
      </c>
      <c r="B2109" s="327">
        <v>105</v>
      </c>
      <c r="C2109" s="327" t="s">
        <v>115</v>
      </c>
      <c r="D2109" s="327" t="s">
        <v>114</v>
      </c>
      <c r="E2109" s="328" t="s">
        <v>1449</v>
      </c>
      <c r="F2109" s="328">
        <v>10628.462</v>
      </c>
      <c r="G2109" s="328">
        <v>14345.380400000002</v>
      </c>
      <c r="H2109" s="328">
        <v>10744.711380000001</v>
      </c>
      <c r="I2109" s="329">
        <v>0.19277443886939172</v>
      </c>
      <c r="J2109" s="329">
        <v>1.1527429298915601</v>
      </c>
      <c r="K2109" s="329">
        <v>1.1656560260513382</v>
      </c>
    </row>
    <row r="2110" spans="1:11" ht="11.25" x14ac:dyDescent="0.15">
      <c r="A2110" s="326">
        <v>1.3</v>
      </c>
      <c r="B2110" s="327">
        <v>105</v>
      </c>
      <c r="C2110" s="327" t="s">
        <v>115</v>
      </c>
      <c r="D2110" s="327" t="s">
        <v>113</v>
      </c>
      <c r="E2110" s="328" t="s">
        <v>1450</v>
      </c>
      <c r="F2110" s="328">
        <v>3719.1099399999994</v>
      </c>
      <c r="G2110" s="328">
        <v>12946.22264</v>
      </c>
      <c r="H2110" s="328">
        <v>10610.58596</v>
      </c>
      <c r="I2110" s="329">
        <v>6.7455604750440559E-2</v>
      </c>
      <c r="J2110" s="329">
        <v>1.0403116683515794</v>
      </c>
      <c r="K2110" s="329">
        <v>1.1511052299861519</v>
      </c>
    </row>
    <row r="2111" spans="1:11" ht="11.25" x14ac:dyDescent="0.15">
      <c r="A2111" s="326">
        <v>1.325</v>
      </c>
      <c r="B2111" s="327">
        <v>105</v>
      </c>
      <c r="C2111" s="327" t="s">
        <v>115</v>
      </c>
      <c r="D2111" s="327" t="s">
        <v>79</v>
      </c>
      <c r="E2111" s="328" t="s">
        <v>1451</v>
      </c>
      <c r="F2111" s="328">
        <v>46687.0481</v>
      </c>
      <c r="G2111" s="328">
        <v>16114.546649999998</v>
      </c>
      <c r="H2111" s="328">
        <v>11307.137129999997</v>
      </c>
      <c r="I2111" s="329">
        <v>0.84678945081102053</v>
      </c>
      <c r="J2111" s="329">
        <v>1.2949067366101508</v>
      </c>
      <c r="K2111" s="329">
        <v>1.2266716216786206</v>
      </c>
    </row>
    <row r="2112" spans="1:11" ht="11.25" x14ac:dyDescent="0.15">
      <c r="A2112" s="326">
        <v>1.325</v>
      </c>
      <c r="B2112" s="327">
        <v>105</v>
      </c>
      <c r="C2112" s="327" t="s">
        <v>115</v>
      </c>
      <c r="D2112" s="327" t="s">
        <v>114</v>
      </c>
      <c r="E2112" s="328" t="s">
        <v>1452</v>
      </c>
      <c r="F2112" s="328">
        <v>11352.342949999998</v>
      </c>
      <c r="G2112" s="328">
        <v>15233.4031</v>
      </c>
      <c r="H2112" s="328">
        <v>11179.757724999999</v>
      </c>
      <c r="I2112" s="329">
        <v>0.20590387791188836</v>
      </c>
      <c r="J2112" s="329">
        <v>1.2241012250684666</v>
      </c>
      <c r="K2112" s="329">
        <v>1.2128526771037613</v>
      </c>
    </row>
    <row r="2113" spans="1:11" ht="11.25" x14ac:dyDescent="0.15">
      <c r="A2113" s="326">
        <v>1.325</v>
      </c>
      <c r="B2113" s="327">
        <v>105</v>
      </c>
      <c r="C2113" s="327" t="s">
        <v>115</v>
      </c>
      <c r="D2113" s="327" t="s">
        <v>113</v>
      </c>
      <c r="E2113" s="328" t="s">
        <v>1453</v>
      </c>
      <c r="F2113" s="328">
        <v>3967.6828199999995</v>
      </c>
      <c r="G2113" s="328">
        <v>13715.21545</v>
      </c>
      <c r="H2113" s="328">
        <v>11040.780595</v>
      </c>
      <c r="I2113" s="329">
        <v>7.1964111951214174E-2</v>
      </c>
      <c r="J2113" s="329">
        <v>1.1021051516993574</v>
      </c>
      <c r="K2113" s="329">
        <v>1.197775536049106</v>
      </c>
    </row>
    <row r="2114" spans="1:11" ht="11.25" x14ac:dyDescent="0.15">
      <c r="A2114" s="326">
        <v>1.35</v>
      </c>
      <c r="B2114" s="327">
        <v>105</v>
      </c>
      <c r="C2114" s="327" t="s">
        <v>115</v>
      </c>
      <c r="D2114" s="327" t="s">
        <v>79</v>
      </c>
      <c r="E2114" s="328" t="s">
        <v>1454</v>
      </c>
      <c r="F2114" s="328">
        <v>49613.010300000009</v>
      </c>
      <c r="G2114" s="328">
        <v>17091.113399999998</v>
      </c>
      <c r="H2114" s="328">
        <v>11754.695970000001</v>
      </c>
      <c r="I2114" s="329">
        <v>0.89985928549246863</v>
      </c>
      <c r="J2114" s="329">
        <v>1.3733801116786626</v>
      </c>
      <c r="K2114" s="329">
        <v>1.275225709397499</v>
      </c>
    </row>
    <row r="2115" spans="1:11" ht="11.25" x14ac:dyDescent="0.15">
      <c r="A2115" s="326">
        <v>1.35</v>
      </c>
      <c r="B2115" s="327">
        <v>105</v>
      </c>
      <c r="C2115" s="327" t="s">
        <v>115</v>
      </c>
      <c r="D2115" s="327" t="s">
        <v>114</v>
      </c>
      <c r="E2115" s="328" t="s">
        <v>1455</v>
      </c>
      <c r="F2115" s="328">
        <v>12117.987720000001</v>
      </c>
      <c r="G2115" s="328">
        <v>16163.3205</v>
      </c>
      <c r="H2115" s="328">
        <v>11622.186450000001</v>
      </c>
      <c r="I2115" s="329">
        <v>0.21979081102695572</v>
      </c>
      <c r="J2115" s="329">
        <v>1.2988260269449747</v>
      </c>
      <c r="K2115" s="329">
        <v>1.2608502166518605</v>
      </c>
    </row>
    <row r="2116" spans="1:11" ht="11.25" x14ac:dyDescent="0.15">
      <c r="A2116" s="326">
        <v>1.35</v>
      </c>
      <c r="B2116" s="327">
        <v>105</v>
      </c>
      <c r="C2116" s="327" t="s">
        <v>115</v>
      </c>
      <c r="D2116" s="327" t="s">
        <v>113</v>
      </c>
      <c r="E2116" s="328" t="s">
        <v>1456</v>
      </c>
      <c r="F2116" s="328">
        <v>4230.3875400000006</v>
      </c>
      <c r="G2116" s="328">
        <v>14521.204800000001</v>
      </c>
      <c r="H2116" s="328">
        <v>11479.460940000001</v>
      </c>
      <c r="I2116" s="329">
        <v>7.672893634314791E-2</v>
      </c>
      <c r="J2116" s="329">
        <v>1.166871543309328</v>
      </c>
      <c r="K2116" s="329">
        <v>1.2453664270069915</v>
      </c>
    </row>
    <row r="2117" spans="1:11" ht="11.25" x14ac:dyDescent="0.15">
      <c r="A2117" s="326">
        <v>1.375</v>
      </c>
      <c r="B2117" s="327">
        <v>105</v>
      </c>
      <c r="C2117" s="327" t="s">
        <v>115</v>
      </c>
      <c r="D2117" s="327" t="s">
        <v>79</v>
      </c>
      <c r="E2117" s="328" t="s">
        <v>1457</v>
      </c>
      <c r="F2117" s="328">
        <v>52682.772999999994</v>
      </c>
      <c r="G2117" s="328">
        <v>18105.152999999998</v>
      </c>
      <c r="H2117" s="328">
        <v>12212.011624999999</v>
      </c>
      <c r="I2117" s="329">
        <v>0.95553731133992292</v>
      </c>
      <c r="J2117" s="329">
        <v>1.4548646695597536</v>
      </c>
      <c r="K2117" s="329">
        <v>1.3248382797314602</v>
      </c>
    </row>
    <row r="2118" spans="1:11" ht="11.25" x14ac:dyDescent="0.15">
      <c r="A2118" s="326">
        <v>1.375</v>
      </c>
      <c r="B2118" s="327">
        <v>105</v>
      </c>
      <c r="C2118" s="327" t="s">
        <v>115</v>
      </c>
      <c r="D2118" s="327" t="s">
        <v>114</v>
      </c>
      <c r="E2118" s="328" t="s">
        <v>1458</v>
      </c>
      <c r="F2118" s="328">
        <v>12927.475</v>
      </c>
      <c r="G2118" s="328">
        <v>17134.727500000001</v>
      </c>
      <c r="H2118" s="328">
        <v>12073.883524999999</v>
      </c>
      <c r="I2118" s="329">
        <v>0.23447294059320059</v>
      </c>
      <c r="J2118" s="329">
        <v>1.3768847831489701</v>
      </c>
      <c r="K2118" s="329">
        <v>1.3098532469615971</v>
      </c>
    </row>
    <row r="2119" spans="1:11" ht="11.25" x14ac:dyDescent="0.15">
      <c r="A2119" s="326">
        <v>1.375</v>
      </c>
      <c r="B2119" s="327">
        <v>105</v>
      </c>
      <c r="C2119" s="327" t="s">
        <v>115</v>
      </c>
      <c r="D2119" s="327" t="s">
        <v>113</v>
      </c>
      <c r="E2119" s="328" t="s">
        <v>1459</v>
      </c>
      <c r="F2119" s="328">
        <v>4507.930625</v>
      </c>
      <c r="G2119" s="328">
        <v>15362.391</v>
      </c>
      <c r="H2119" s="328">
        <v>11927.084124999999</v>
      </c>
      <c r="I2119" s="329">
        <v>8.1762892570582779E-2</v>
      </c>
      <c r="J2119" s="329">
        <v>1.2344662265965238</v>
      </c>
      <c r="K2119" s="329">
        <v>1.2939274952890825</v>
      </c>
    </row>
    <row r="2120" spans="1:11" ht="11.25" x14ac:dyDescent="0.15">
      <c r="A2120" s="326">
        <v>1.4</v>
      </c>
      <c r="B2120" s="327">
        <v>105</v>
      </c>
      <c r="C2120" s="327" t="s">
        <v>115</v>
      </c>
      <c r="D2120" s="327" t="s">
        <v>79</v>
      </c>
      <c r="E2120" s="328" t="s">
        <v>1460</v>
      </c>
      <c r="F2120" s="328">
        <v>55901.621999999996</v>
      </c>
      <c r="G2120" s="328">
        <v>19159.112000000001</v>
      </c>
      <c r="H2120" s="328">
        <v>12678.090039999999</v>
      </c>
      <c r="I2120" s="329">
        <v>1.0139193999036589</v>
      </c>
      <c r="J2120" s="329">
        <v>1.5395570061704704</v>
      </c>
      <c r="K2120" s="329">
        <v>1.3754014911424686</v>
      </c>
    </row>
    <row r="2121" spans="1:11" ht="11.25" x14ac:dyDescent="0.15">
      <c r="A2121" s="326">
        <v>1.4</v>
      </c>
      <c r="B2121" s="327">
        <v>105</v>
      </c>
      <c r="C2121" s="327" t="s">
        <v>115</v>
      </c>
      <c r="D2121" s="327" t="s">
        <v>114</v>
      </c>
      <c r="E2121" s="328" t="s">
        <v>1461</v>
      </c>
      <c r="F2121" s="328">
        <v>13782.98208</v>
      </c>
      <c r="G2121" s="328">
        <v>18142.532799999997</v>
      </c>
      <c r="H2121" s="328">
        <v>12534.86472</v>
      </c>
      <c r="I2121" s="329">
        <v>0.24998975735331053</v>
      </c>
      <c r="J2121" s="329">
        <v>1.4578683752105817</v>
      </c>
      <c r="K2121" s="329">
        <v>1.3598634788649222</v>
      </c>
    </row>
    <row r="2122" spans="1:11" ht="11.25" x14ac:dyDescent="0.15">
      <c r="A2122" s="326">
        <v>1.4</v>
      </c>
      <c r="B2122" s="327">
        <v>105</v>
      </c>
      <c r="C2122" s="327" t="s">
        <v>115</v>
      </c>
      <c r="D2122" s="327" t="s">
        <v>113</v>
      </c>
      <c r="E2122" s="328" t="s">
        <v>1462</v>
      </c>
      <c r="F2122" s="328">
        <v>4801.0555599999998</v>
      </c>
      <c r="G2122" s="328">
        <v>16242.223199999999</v>
      </c>
      <c r="H2122" s="328">
        <v>12383.010359999998</v>
      </c>
      <c r="I2122" s="329">
        <v>8.7079465642326548E-2</v>
      </c>
      <c r="J2122" s="329">
        <v>1.3051663627909558</v>
      </c>
      <c r="K2122" s="329">
        <v>1.3433893323238013</v>
      </c>
    </row>
    <row r="2123" spans="1:11" ht="11.25" x14ac:dyDescent="0.15">
      <c r="A2123" s="326">
        <v>0.9</v>
      </c>
      <c r="B2123" s="327">
        <v>125</v>
      </c>
      <c r="C2123" s="327" t="s">
        <v>115</v>
      </c>
      <c r="D2123" s="327" t="s">
        <v>79</v>
      </c>
      <c r="E2123" s="328" t="s">
        <v>1463</v>
      </c>
      <c r="F2123" s="328">
        <v>19676.169000000002</v>
      </c>
      <c r="G2123" s="328">
        <v>5161.9004999999997</v>
      </c>
      <c r="H2123" s="328">
        <v>5057.5977000000003</v>
      </c>
      <c r="I2123" s="329">
        <v>0.35687782842657018</v>
      </c>
      <c r="J2123" s="329">
        <v>0.41479167092555508</v>
      </c>
      <c r="K2123" s="329">
        <v>0.54868102342162572</v>
      </c>
    </row>
    <row r="2124" spans="1:11" ht="11.25" x14ac:dyDescent="0.15">
      <c r="A2124" s="326">
        <v>0.9</v>
      </c>
      <c r="B2124" s="327">
        <v>125</v>
      </c>
      <c r="C2124" s="327" t="s">
        <v>115</v>
      </c>
      <c r="D2124" s="327" t="s">
        <v>114</v>
      </c>
      <c r="E2124" s="328" t="s">
        <v>1464</v>
      </c>
      <c r="F2124" s="328">
        <v>5051.3562000000002</v>
      </c>
      <c r="G2124" s="328">
        <v>5093.1836999999996</v>
      </c>
      <c r="H2124" s="328">
        <v>4990.2516000000005</v>
      </c>
      <c r="I2124" s="329">
        <v>9.1619310205410989E-2</v>
      </c>
      <c r="J2124" s="329">
        <v>0.40926983719538979</v>
      </c>
      <c r="K2124" s="329">
        <v>0.54137488140256895</v>
      </c>
    </row>
    <row r="2125" spans="1:11" ht="11.25" x14ac:dyDescent="0.15">
      <c r="A2125" s="326">
        <v>0.9</v>
      </c>
      <c r="B2125" s="327">
        <v>125</v>
      </c>
      <c r="C2125" s="327" t="s">
        <v>115</v>
      </c>
      <c r="D2125" s="327" t="s">
        <v>113</v>
      </c>
      <c r="E2125" s="328" t="s">
        <v>1465</v>
      </c>
      <c r="F2125" s="328">
        <v>1904.3126999999999</v>
      </c>
      <c r="G2125" s="328">
        <v>4966.4970000000003</v>
      </c>
      <c r="H2125" s="328">
        <v>4912.1918999999998</v>
      </c>
      <c r="I2125" s="329">
        <v>3.4539598690229718E-2</v>
      </c>
      <c r="J2125" s="329">
        <v>0.39908975178362249</v>
      </c>
      <c r="K2125" s="329">
        <v>0.53290645852188279</v>
      </c>
    </row>
    <row r="2126" spans="1:11" ht="11.25" x14ac:dyDescent="0.15">
      <c r="A2126" s="326">
        <v>0.92500000000000004</v>
      </c>
      <c r="B2126" s="327">
        <v>125</v>
      </c>
      <c r="C2126" s="327" t="s">
        <v>115</v>
      </c>
      <c r="D2126" s="327" t="s">
        <v>79</v>
      </c>
      <c r="E2126" s="328" t="s">
        <v>1466</v>
      </c>
      <c r="F2126" s="328">
        <v>21211.998250000001</v>
      </c>
      <c r="G2126" s="328">
        <v>5576.8657000000003</v>
      </c>
      <c r="H2126" s="328">
        <v>5356.1385</v>
      </c>
      <c r="I2126" s="329">
        <v>0.38473403394981037</v>
      </c>
      <c r="J2126" s="329">
        <v>0.44813677486236236</v>
      </c>
      <c r="K2126" s="329">
        <v>0.58106866700132576</v>
      </c>
    </row>
    <row r="2127" spans="1:11" ht="11.25" x14ac:dyDescent="0.15">
      <c r="A2127" s="326">
        <v>0.92500000000000004</v>
      </c>
      <c r="B2127" s="327">
        <v>125</v>
      </c>
      <c r="C2127" s="327" t="s">
        <v>115</v>
      </c>
      <c r="D2127" s="327" t="s">
        <v>114</v>
      </c>
      <c r="E2127" s="328" t="s">
        <v>1467</v>
      </c>
      <c r="F2127" s="328">
        <v>5458.1465749999998</v>
      </c>
      <c r="G2127" s="328">
        <v>5475.7317499999999</v>
      </c>
      <c r="H2127" s="328">
        <v>5286.1465250000001</v>
      </c>
      <c r="I2127" s="329">
        <v>9.8997497781195182E-2</v>
      </c>
      <c r="J2127" s="329">
        <v>0.44001001610213408</v>
      </c>
      <c r="K2127" s="329">
        <v>0.57347548328995612</v>
      </c>
    </row>
    <row r="2128" spans="1:11" ht="11.25" x14ac:dyDescent="0.15">
      <c r="A2128" s="326">
        <v>0.92500000000000004</v>
      </c>
      <c r="B2128" s="327">
        <v>125</v>
      </c>
      <c r="C2128" s="327" t="s">
        <v>115</v>
      </c>
      <c r="D2128" s="327" t="s">
        <v>113</v>
      </c>
      <c r="E2128" s="328" t="s">
        <v>1468</v>
      </c>
      <c r="F2128" s="328">
        <v>2054.4490500000002</v>
      </c>
      <c r="G2128" s="328">
        <v>5298.5498500000003</v>
      </c>
      <c r="H2128" s="328">
        <v>5205.1877500000001</v>
      </c>
      <c r="I2128" s="329">
        <v>3.7262706758466553E-2</v>
      </c>
      <c r="J2128" s="329">
        <v>0.42577231888988359</v>
      </c>
      <c r="K2128" s="329">
        <v>0.56469254993763329</v>
      </c>
    </row>
    <row r="2129" spans="1:11" ht="11.25" x14ac:dyDescent="0.15">
      <c r="A2129" s="326">
        <v>0.95</v>
      </c>
      <c r="B2129" s="327">
        <v>125</v>
      </c>
      <c r="C2129" s="327" t="s">
        <v>115</v>
      </c>
      <c r="D2129" s="327" t="s">
        <v>79</v>
      </c>
      <c r="E2129" s="328" t="s">
        <v>1469</v>
      </c>
      <c r="F2129" s="328">
        <v>22837.857499999998</v>
      </c>
      <c r="G2129" s="328">
        <v>6019.6369999999997</v>
      </c>
      <c r="H2129" s="328">
        <v>5663.1000999999997</v>
      </c>
      <c r="I2129" s="329">
        <v>0.41422316460665987</v>
      </c>
      <c r="J2129" s="329">
        <v>0.48371627651391103</v>
      </c>
      <c r="K2129" s="329">
        <v>0.61436985361787688</v>
      </c>
    </row>
    <row r="2130" spans="1:11" ht="11.25" x14ac:dyDescent="0.15">
      <c r="A2130" s="326">
        <v>0.95</v>
      </c>
      <c r="B2130" s="327">
        <v>125</v>
      </c>
      <c r="C2130" s="327" t="s">
        <v>115</v>
      </c>
      <c r="D2130" s="327" t="s">
        <v>114</v>
      </c>
      <c r="E2130" s="328" t="s">
        <v>1470</v>
      </c>
      <c r="F2130" s="328">
        <v>5891.0183999999999</v>
      </c>
      <c r="G2130" s="328">
        <v>5884.4443999999994</v>
      </c>
      <c r="H2130" s="328">
        <v>5590.67875</v>
      </c>
      <c r="I2130" s="329">
        <v>0.10684873939703241</v>
      </c>
      <c r="J2130" s="329">
        <v>0.47285268771541128</v>
      </c>
      <c r="K2130" s="329">
        <v>0.60651311553932707</v>
      </c>
    </row>
    <row r="2131" spans="1:11" ht="11.25" x14ac:dyDescent="0.15">
      <c r="A2131" s="326">
        <v>0.95</v>
      </c>
      <c r="B2131" s="327">
        <v>125</v>
      </c>
      <c r="C2131" s="327" t="s">
        <v>115</v>
      </c>
      <c r="D2131" s="327" t="s">
        <v>113</v>
      </c>
      <c r="E2131" s="328" t="s">
        <v>1471</v>
      </c>
      <c r="F2131" s="328">
        <v>2213.9768999999997</v>
      </c>
      <c r="G2131" s="328">
        <v>5651.4435999999996</v>
      </c>
      <c r="H2131" s="328">
        <v>5506.6617000000006</v>
      </c>
      <c r="I2131" s="329">
        <v>4.0156153784742826E-2</v>
      </c>
      <c r="J2131" s="329">
        <v>0.45412958540861731</v>
      </c>
      <c r="K2131" s="329">
        <v>0.59739840066612448</v>
      </c>
    </row>
    <row r="2132" spans="1:11" ht="11.25" x14ac:dyDescent="0.15">
      <c r="A2132" s="326">
        <v>0.97499999999999998</v>
      </c>
      <c r="B2132" s="327">
        <v>125</v>
      </c>
      <c r="C2132" s="327" t="s">
        <v>115</v>
      </c>
      <c r="D2132" s="327" t="s">
        <v>79</v>
      </c>
      <c r="E2132" s="328" t="s">
        <v>1472</v>
      </c>
      <c r="F2132" s="328">
        <v>24557.539499999999</v>
      </c>
      <c r="G2132" s="328">
        <v>6491.2048499999992</v>
      </c>
      <c r="H2132" s="328">
        <v>5978.9408249999997</v>
      </c>
      <c r="I2132" s="329">
        <v>0.44541401165337208</v>
      </c>
      <c r="J2132" s="329">
        <v>0.52160976486307065</v>
      </c>
      <c r="K2132" s="329">
        <v>0.64863430534190947</v>
      </c>
    </row>
    <row r="2133" spans="1:11" ht="11.25" x14ac:dyDescent="0.15">
      <c r="A2133" s="326">
        <v>0.97499999999999998</v>
      </c>
      <c r="B2133" s="327">
        <v>125</v>
      </c>
      <c r="C2133" s="327" t="s">
        <v>115</v>
      </c>
      <c r="D2133" s="327" t="s">
        <v>114</v>
      </c>
      <c r="E2133" s="328" t="s">
        <v>1473</v>
      </c>
      <c r="F2133" s="328">
        <v>6351.3391499999998</v>
      </c>
      <c r="G2133" s="328">
        <v>6320.1430500000006</v>
      </c>
      <c r="H2133" s="328">
        <v>5903.8161</v>
      </c>
      <c r="I2133" s="329">
        <v>0.11519783772200055</v>
      </c>
      <c r="J2133" s="329">
        <v>0.50786385677097701</v>
      </c>
      <c r="K2133" s="329">
        <v>0.64048428759785914</v>
      </c>
    </row>
    <row r="2134" spans="1:11" ht="11.25" x14ac:dyDescent="0.15">
      <c r="A2134" s="326">
        <v>0.97499999999999998</v>
      </c>
      <c r="B2134" s="327">
        <v>125</v>
      </c>
      <c r="C2134" s="327" t="s">
        <v>115</v>
      </c>
      <c r="D2134" s="327" t="s">
        <v>113</v>
      </c>
      <c r="E2134" s="328" t="s">
        <v>1474</v>
      </c>
      <c r="F2134" s="328">
        <v>2383.378725</v>
      </c>
      <c r="G2134" s="328">
        <v>6025.6082249999999</v>
      </c>
      <c r="H2134" s="328">
        <v>5816.6979000000001</v>
      </c>
      <c r="I2134" s="329">
        <v>4.3228690691571488E-2</v>
      </c>
      <c r="J2134" s="329">
        <v>0.48419610257704854</v>
      </c>
      <c r="K2134" s="329">
        <v>0.63103313984550824</v>
      </c>
    </row>
    <row r="2135" spans="1:11" ht="11.25" x14ac:dyDescent="0.15">
      <c r="A2135" s="326">
        <v>1</v>
      </c>
      <c r="B2135" s="327">
        <v>125</v>
      </c>
      <c r="C2135" s="327" t="s">
        <v>115</v>
      </c>
      <c r="D2135" s="327" t="s">
        <v>79</v>
      </c>
      <c r="E2135" s="328" t="s">
        <v>1475</v>
      </c>
      <c r="F2135" s="328">
        <v>26374.95</v>
      </c>
      <c r="G2135" s="328">
        <v>6992.1450000000004</v>
      </c>
      <c r="H2135" s="328">
        <v>6303.5480000000007</v>
      </c>
      <c r="I2135" s="329">
        <v>0.47837741589124216</v>
      </c>
      <c r="J2135" s="329">
        <v>0.56186350509928773</v>
      </c>
      <c r="K2135" s="329">
        <v>0.68384979845813798</v>
      </c>
    </row>
    <row r="2136" spans="1:11" ht="11.25" x14ac:dyDescent="0.15">
      <c r="A2136" s="326">
        <v>1</v>
      </c>
      <c r="B2136" s="327">
        <v>125</v>
      </c>
      <c r="C2136" s="327" t="s">
        <v>115</v>
      </c>
      <c r="D2136" s="327" t="s">
        <v>114</v>
      </c>
      <c r="E2136" s="328" t="s">
        <v>1476</v>
      </c>
      <c r="F2136" s="328">
        <v>6840.5360000000001</v>
      </c>
      <c r="G2136" s="328">
        <v>6784.2880000000005</v>
      </c>
      <c r="H2136" s="328">
        <v>6225.9139999999998</v>
      </c>
      <c r="I2136" s="329">
        <v>0.12407067823791189</v>
      </c>
      <c r="J2136" s="329">
        <v>0.54516086769983119</v>
      </c>
      <c r="K2136" s="329">
        <v>0.67542755827633882</v>
      </c>
    </row>
    <row r="2137" spans="1:11" ht="11.25" x14ac:dyDescent="0.15">
      <c r="A2137" s="326">
        <v>1</v>
      </c>
      <c r="B2137" s="327">
        <v>125</v>
      </c>
      <c r="C2137" s="327" t="s">
        <v>115</v>
      </c>
      <c r="D2137" s="327" t="s">
        <v>113</v>
      </c>
      <c r="E2137" s="328" t="s">
        <v>1477</v>
      </c>
      <c r="F2137" s="328">
        <v>2563.1579999999999</v>
      </c>
      <c r="G2137" s="328">
        <v>6421.7460000000001</v>
      </c>
      <c r="H2137" s="328">
        <v>6135.38</v>
      </c>
      <c r="I2137" s="329">
        <v>4.6489449290366976E-2</v>
      </c>
      <c r="J2137" s="329">
        <v>0.51602830267640765</v>
      </c>
      <c r="K2137" s="329">
        <v>0.66560584237069187</v>
      </c>
    </row>
    <row r="2138" spans="1:11" ht="11.25" x14ac:dyDescent="0.15">
      <c r="A2138" s="326">
        <v>1.0249999999999999</v>
      </c>
      <c r="B2138" s="327">
        <v>125</v>
      </c>
      <c r="C2138" s="327" t="s">
        <v>115</v>
      </c>
      <c r="D2138" s="327" t="s">
        <v>79</v>
      </c>
      <c r="E2138" s="328" t="s">
        <v>1478</v>
      </c>
      <c r="F2138" s="328">
        <v>28294.058999999997</v>
      </c>
      <c r="G2138" s="328">
        <v>7522.8316999999997</v>
      </c>
      <c r="H2138" s="328">
        <v>6636.3788999999988</v>
      </c>
      <c r="I2138" s="329">
        <v>0.51318538346022802</v>
      </c>
      <c r="J2138" s="329">
        <v>0.6045075706001567</v>
      </c>
      <c r="K2138" s="329">
        <v>0.71995745463615701</v>
      </c>
    </row>
    <row r="2139" spans="1:11" ht="11.25" x14ac:dyDescent="0.15">
      <c r="A2139" s="326">
        <v>1.0249999999999999</v>
      </c>
      <c r="B2139" s="327">
        <v>125</v>
      </c>
      <c r="C2139" s="327" t="s">
        <v>115</v>
      </c>
      <c r="D2139" s="327" t="s">
        <v>114</v>
      </c>
      <c r="E2139" s="328" t="s">
        <v>1479</v>
      </c>
      <c r="F2139" s="328">
        <v>7360.0975749999989</v>
      </c>
      <c r="G2139" s="328">
        <v>7278.2502999999997</v>
      </c>
      <c r="H2139" s="328">
        <v>6556.4688749999996</v>
      </c>
      <c r="I2139" s="329">
        <v>0.13349426098005485</v>
      </c>
      <c r="J2139" s="329">
        <v>0.58485389312549174</v>
      </c>
      <c r="K2139" s="329">
        <v>0.71128829649045333</v>
      </c>
    </row>
    <row r="2140" spans="1:11" ht="11.25" x14ac:dyDescent="0.15">
      <c r="A2140" s="326">
        <v>1.0249999999999999</v>
      </c>
      <c r="B2140" s="327">
        <v>125</v>
      </c>
      <c r="C2140" s="327" t="s">
        <v>115</v>
      </c>
      <c r="D2140" s="327" t="s">
        <v>113</v>
      </c>
      <c r="E2140" s="328" t="s">
        <v>1480</v>
      </c>
      <c r="F2140" s="328">
        <v>2753.8388</v>
      </c>
      <c r="G2140" s="328">
        <v>6842.9748249999984</v>
      </c>
      <c r="H2140" s="328">
        <v>6462.6393499999995</v>
      </c>
      <c r="I2140" s="329">
        <v>4.9947935026418602E-2</v>
      </c>
      <c r="J2140" s="329">
        <v>0.54987672888372363</v>
      </c>
      <c r="K2140" s="329">
        <v>0.70110906064412148</v>
      </c>
    </row>
    <row r="2141" spans="1:11" ht="11.25" x14ac:dyDescent="0.15">
      <c r="A2141" s="326">
        <v>1.05</v>
      </c>
      <c r="B2141" s="327">
        <v>125</v>
      </c>
      <c r="C2141" s="327" t="s">
        <v>115</v>
      </c>
      <c r="D2141" s="327" t="s">
        <v>79</v>
      </c>
      <c r="E2141" s="328" t="s">
        <v>1481</v>
      </c>
      <c r="F2141" s="328">
        <v>30318.981</v>
      </c>
      <c r="G2141" s="328">
        <v>8086.248450000001</v>
      </c>
      <c r="H2141" s="328">
        <v>6978.3304499999995</v>
      </c>
      <c r="I2141" s="329">
        <v>0.54991254137868195</v>
      </c>
      <c r="J2141" s="329">
        <v>0.64978170464438056</v>
      </c>
      <c r="K2141" s="329">
        <v>0.75705457812120835</v>
      </c>
    </row>
    <row r="2142" spans="1:11" ht="11.25" x14ac:dyDescent="0.15">
      <c r="A2142" s="326">
        <v>1.05</v>
      </c>
      <c r="B2142" s="327">
        <v>125</v>
      </c>
      <c r="C2142" s="327" t="s">
        <v>115</v>
      </c>
      <c r="D2142" s="327" t="s">
        <v>114</v>
      </c>
      <c r="E2142" s="328" t="s">
        <v>1482</v>
      </c>
      <c r="F2142" s="328">
        <v>7911.5788499999999</v>
      </c>
      <c r="G2142" s="328">
        <v>7802.2056000000002</v>
      </c>
      <c r="H2142" s="328">
        <v>6895.1599500000002</v>
      </c>
      <c r="I2142" s="329">
        <v>0.14349678941127111</v>
      </c>
      <c r="J2142" s="329">
        <v>0.62695704764722282</v>
      </c>
      <c r="K2142" s="329">
        <v>0.74803170248630202</v>
      </c>
    </row>
    <row r="2143" spans="1:11" ht="11.25" x14ac:dyDescent="0.15">
      <c r="A2143" s="326">
        <v>1.05</v>
      </c>
      <c r="B2143" s="327">
        <v>125</v>
      </c>
      <c r="C2143" s="327" t="s">
        <v>115</v>
      </c>
      <c r="D2143" s="327" t="s">
        <v>113</v>
      </c>
      <c r="E2143" s="328" t="s">
        <v>1483</v>
      </c>
      <c r="F2143" s="328">
        <v>2955.9694500000005</v>
      </c>
      <c r="G2143" s="328">
        <v>7289.8402500000002</v>
      </c>
      <c r="H2143" s="328">
        <v>6798.4938000000002</v>
      </c>
      <c r="I2143" s="329">
        <v>5.3614093181009126E-2</v>
      </c>
      <c r="J2143" s="329">
        <v>0.58578521962557517</v>
      </c>
      <c r="K2143" s="329">
        <v>0.7375447311496478</v>
      </c>
    </row>
    <row r="2144" spans="1:11" ht="11.25" x14ac:dyDescent="0.15">
      <c r="A2144" s="326">
        <v>1.075</v>
      </c>
      <c r="B2144" s="327">
        <v>125</v>
      </c>
      <c r="C2144" s="327" t="s">
        <v>115</v>
      </c>
      <c r="D2144" s="327" t="s">
        <v>79</v>
      </c>
      <c r="E2144" s="328" t="s">
        <v>1484</v>
      </c>
      <c r="F2144" s="328">
        <v>32453.927499999998</v>
      </c>
      <c r="G2144" s="328">
        <v>8681.3732</v>
      </c>
      <c r="H2144" s="328">
        <v>7329.0758749999995</v>
      </c>
      <c r="I2144" s="329">
        <v>0.58863527600892973</v>
      </c>
      <c r="J2144" s="329">
        <v>0.69760377898728065</v>
      </c>
      <c r="K2144" s="329">
        <v>0.79510571824044973</v>
      </c>
    </row>
    <row r="2145" spans="1:11" ht="11.25" x14ac:dyDescent="0.15">
      <c r="A2145" s="326">
        <v>1.075</v>
      </c>
      <c r="B2145" s="327">
        <v>125</v>
      </c>
      <c r="C2145" s="327" t="s">
        <v>115</v>
      </c>
      <c r="D2145" s="327" t="s">
        <v>114</v>
      </c>
      <c r="E2145" s="328" t="s">
        <v>1485</v>
      </c>
      <c r="F2145" s="328">
        <v>8496.6011249999992</v>
      </c>
      <c r="G2145" s="328">
        <v>8359.2591250000005</v>
      </c>
      <c r="H2145" s="328">
        <v>7242.7630500000005</v>
      </c>
      <c r="I2145" s="329">
        <v>0.15410766996851635</v>
      </c>
      <c r="J2145" s="329">
        <v>0.67171985592485639</v>
      </c>
      <c r="K2145" s="329">
        <v>0.78574194279516052</v>
      </c>
    </row>
    <row r="2146" spans="1:11" ht="11.25" x14ac:dyDescent="0.15">
      <c r="A2146" s="326">
        <v>1.075</v>
      </c>
      <c r="B2146" s="327">
        <v>125</v>
      </c>
      <c r="C2146" s="327" t="s">
        <v>115</v>
      </c>
      <c r="D2146" s="327" t="s">
        <v>113</v>
      </c>
      <c r="E2146" s="328" t="s">
        <v>1486</v>
      </c>
      <c r="F2146" s="328">
        <v>3170.1223249999998</v>
      </c>
      <c r="G2146" s="328">
        <v>7761.9665500000001</v>
      </c>
      <c r="H2146" s="328">
        <v>7142.825675</v>
      </c>
      <c r="I2146" s="329">
        <v>5.7498305243901371E-2</v>
      </c>
      <c r="J2146" s="329">
        <v>0.62372358299869712</v>
      </c>
      <c r="K2146" s="329">
        <v>0.77490008773953378</v>
      </c>
    </row>
    <row r="2147" spans="1:11" ht="11.25" x14ac:dyDescent="0.15">
      <c r="A2147" s="326">
        <v>1.1000000000000001</v>
      </c>
      <c r="B2147" s="327">
        <v>125</v>
      </c>
      <c r="C2147" s="327" t="s">
        <v>115</v>
      </c>
      <c r="D2147" s="327" t="s">
        <v>79</v>
      </c>
      <c r="E2147" s="328" t="s">
        <v>1487</v>
      </c>
      <c r="F2147" s="328">
        <v>34703.207000000002</v>
      </c>
      <c r="G2147" s="328">
        <v>9309.9919000000009</v>
      </c>
      <c r="H2147" s="328">
        <v>7687.4875000000002</v>
      </c>
      <c r="I2147" s="329">
        <v>0.62943173305727085</v>
      </c>
      <c r="J2147" s="329">
        <v>0.74811730611707528</v>
      </c>
      <c r="K2147" s="329">
        <v>0.83398853749102164</v>
      </c>
    </row>
    <row r="2148" spans="1:11" ht="11.25" x14ac:dyDescent="0.15">
      <c r="A2148" s="326">
        <v>1.1000000000000001</v>
      </c>
      <c r="B2148" s="327">
        <v>125</v>
      </c>
      <c r="C2148" s="327" t="s">
        <v>115</v>
      </c>
      <c r="D2148" s="327" t="s">
        <v>114</v>
      </c>
      <c r="E2148" s="328" t="s">
        <v>1488</v>
      </c>
      <c r="F2148" s="328">
        <v>9116.8572000000004</v>
      </c>
      <c r="G2148" s="328">
        <v>8948.1447000000007</v>
      </c>
      <c r="H2148" s="328">
        <v>7598.9793</v>
      </c>
      <c r="I2148" s="329">
        <v>0.16535760592476823</v>
      </c>
      <c r="J2148" s="329">
        <v>0.71904057271089405</v>
      </c>
      <c r="K2148" s="329">
        <v>0.82438659351726384</v>
      </c>
    </row>
    <row r="2149" spans="1:11" ht="11.25" x14ac:dyDescent="0.15">
      <c r="A2149" s="326">
        <v>1.1000000000000001</v>
      </c>
      <c r="B2149" s="327">
        <v>125</v>
      </c>
      <c r="C2149" s="327" t="s">
        <v>115</v>
      </c>
      <c r="D2149" s="327" t="s">
        <v>113</v>
      </c>
      <c r="E2149" s="328" t="s">
        <v>1489</v>
      </c>
      <c r="F2149" s="328">
        <v>3396.8968</v>
      </c>
      <c r="G2149" s="328">
        <v>8263.3870000000006</v>
      </c>
      <c r="H2149" s="328">
        <v>7495.8532000000005</v>
      </c>
      <c r="I2149" s="329">
        <v>6.1611442419160209E-2</v>
      </c>
      <c r="J2149" s="329">
        <v>0.66401591840728247</v>
      </c>
      <c r="K2149" s="329">
        <v>0.81319880487810803</v>
      </c>
    </row>
    <row r="2150" spans="1:11" ht="11.25" x14ac:dyDescent="0.15">
      <c r="A2150" s="326">
        <v>1.125</v>
      </c>
      <c r="B2150" s="327">
        <v>125</v>
      </c>
      <c r="C2150" s="327" t="s">
        <v>115</v>
      </c>
      <c r="D2150" s="327" t="s">
        <v>79</v>
      </c>
      <c r="E2150" s="328" t="s">
        <v>1490</v>
      </c>
      <c r="F2150" s="328">
        <v>37071.258750000001</v>
      </c>
      <c r="G2150" s="328">
        <v>9970.7692499999994</v>
      </c>
      <c r="H2150" s="328">
        <v>8055.4905000000008</v>
      </c>
      <c r="I2150" s="329">
        <v>0.67238242971685636</v>
      </c>
      <c r="J2150" s="329">
        <v>0.80121498615105879</v>
      </c>
      <c r="K2150" s="329">
        <v>0.87391189135173475</v>
      </c>
    </row>
    <row r="2151" spans="1:11" ht="11.25" x14ac:dyDescent="0.15">
      <c r="A2151" s="326">
        <v>1.125</v>
      </c>
      <c r="B2151" s="327">
        <v>125</v>
      </c>
      <c r="C2151" s="327" t="s">
        <v>115</v>
      </c>
      <c r="D2151" s="327" t="s">
        <v>114</v>
      </c>
      <c r="E2151" s="328" t="s">
        <v>1491</v>
      </c>
      <c r="F2151" s="328">
        <v>9774.113625</v>
      </c>
      <c r="G2151" s="328">
        <v>9571.9837499999994</v>
      </c>
      <c r="H2151" s="328">
        <v>7964.0730000000003</v>
      </c>
      <c r="I2151" s="329">
        <v>0.17727863819855133</v>
      </c>
      <c r="J2151" s="329">
        <v>0.76917002443862692</v>
      </c>
      <c r="K2151" s="329">
        <v>0.8639943276319777</v>
      </c>
    </row>
    <row r="2152" spans="1:11" ht="11.25" x14ac:dyDescent="0.15">
      <c r="A2152" s="326">
        <v>1.125</v>
      </c>
      <c r="B2152" s="327">
        <v>125</v>
      </c>
      <c r="C2152" s="327" t="s">
        <v>115</v>
      </c>
      <c r="D2152" s="327" t="s">
        <v>113</v>
      </c>
      <c r="E2152" s="328" t="s">
        <v>1492</v>
      </c>
      <c r="F2152" s="328">
        <v>3636.9123749999999</v>
      </c>
      <c r="G2152" s="328">
        <v>8793.639000000001</v>
      </c>
      <c r="H2152" s="328">
        <v>7856.9448750000001</v>
      </c>
      <c r="I2152" s="329">
        <v>6.5964740929381108E-2</v>
      </c>
      <c r="J2152" s="329">
        <v>0.70662505298700118</v>
      </c>
      <c r="K2152" s="329">
        <v>0.85237237334679605</v>
      </c>
    </row>
    <row r="2153" spans="1:11" ht="11.25" x14ac:dyDescent="0.15">
      <c r="A2153" s="326">
        <v>1.1499999999999999</v>
      </c>
      <c r="B2153" s="327">
        <v>125</v>
      </c>
      <c r="C2153" s="327" t="s">
        <v>115</v>
      </c>
      <c r="D2153" s="327" t="s">
        <v>79</v>
      </c>
      <c r="E2153" s="328" t="s">
        <v>1493</v>
      </c>
      <c r="F2153" s="328">
        <v>39562.610499999995</v>
      </c>
      <c r="G2153" s="328">
        <v>10667.225199999999</v>
      </c>
      <c r="H2153" s="328">
        <v>8432.6337499999991</v>
      </c>
      <c r="I2153" s="329">
        <v>0.71756948835549339</v>
      </c>
      <c r="J2153" s="329">
        <v>0.85717966955139646</v>
      </c>
      <c r="K2153" s="329">
        <v>0.91482683885468807</v>
      </c>
    </row>
    <row r="2154" spans="1:11" ht="11.25" x14ac:dyDescent="0.15">
      <c r="A2154" s="326">
        <v>1.1499999999999999</v>
      </c>
      <c r="B2154" s="327">
        <v>125</v>
      </c>
      <c r="C2154" s="327" t="s">
        <v>115</v>
      </c>
      <c r="D2154" s="327" t="s">
        <v>114</v>
      </c>
      <c r="E2154" s="328" t="s">
        <v>1494</v>
      </c>
      <c r="F2154" s="328">
        <v>10470.209499999997</v>
      </c>
      <c r="G2154" s="328">
        <v>10229.9331</v>
      </c>
      <c r="H2154" s="328">
        <v>8337.5839499999984</v>
      </c>
      <c r="I2154" s="329">
        <v>0.18990412358885736</v>
      </c>
      <c r="J2154" s="329">
        <v>0.82204045661198699</v>
      </c>
      <c r="K2154" s="329">
        <v>0.90451521965650206</v>
      </c>
    </row>
    <row r="2155" spans="1:11" ht="11.25" x14ac:dyDescent="0.15">
      <c r="A2155" s="326">
        <v>1.1499999999999999</v>
      </c>
      <c r="B2155" s="327">
        <v>125</v>
      </c>
      <c r="C2155" s="327" t="s">
        <v>115</v>
      </c>
      <c r="D2155" s="327" t="s">
        <v>113</v>
      </c>
      <c r="E2155" s="328" t="s">
        <v>1495</v>
      </c>
      <c r="F2155" s="328">
        <v>3890.8214499999995</v>
      </c>
      <c r="G2155" s="328">
        <v>9354.2966499999984</v>
      </c>
      <c r="H2155" s="328">
        <v>8227.3392000000003</v>
      </c>
      <c r="I2155" s="329">
        <v>7.0570033723105274E-2</v>
      </c>
      <c r="J2155" s="329">
        <v>0.75167747572562116</v>
      </c>
      <c r="K2155" s="329">
        <v>0.89255515366373628</v>
      </c>
    </row>
    <row r="2156" spans="1:11" ht="11.25" x14ac:dyDescent="0.15">
      <c r="A2156" s="326">
        <v>1.175</v>
      </c>
      <c r="B2156" s="327">
        <v>125</v>
      </c>
      <c r="C2156" s="327" t="s">
        <v>115</v>
      </c>
      <c r="D2156" s="327" t="s">
        <v>79</v>
      </c>
      <c r="E2156" s="328" t="s">
        <v>1496</v>
      </c>
      <c r="F2156" s="328">
        <v>42181.912499999999</v>
      </c>
      <c r="G2156" s="328">
        <v>11398.778399999999</v>
      </c>
      <c r="H2156" s="328">
        <v>8817.6347500000011</v>
      </c>
      <c r="I2156" s="329">
        <v>0.76507725319291542</v>
      </c>
      <c r="J2156" s="329">
        <v>0.91596464113287834</v>
      </c>
      <c r="K2156" s="329">
        <v>0.95659424607617394</v>
      </c>
    </row>
    <row r="2157" spans="1:11" ht="11.25" x14ac:dyDescent="0.15">
      <c r="A2157" s="326">
        <v>1.175</v>
      </c>
      <c r="B2157" s="327">
        <v>125</v>
      </c>
      <c r="C2157" s="327" t="s">
        <v>115</v>
      </c>
      <c r="D2157" s="327" t="s">
        <v>114</v>
      </c>
      <c r="E2157" s="328" t="s">
        <v>1497</v>
      </c>
      <c r="F2157" s="328">
        <v>11207.066575000001</v>
      </c>
      <c r="G2157" s="328">
        <v>10923.439200000001</v>
      </c>
      <c r="H2157" s="328">
        <v>8719.7149500000014</v>
      </c>
      <c r="I2157" s="329">
        <v>0.2032689179645692</v>
      </c>
      <c r="J2157" s="329">
        <v>0.87776810072602318</v>
      </c>
      <c r="K2157" s="329">
        <v>0.94597127065105446</v>
      </c>
    </row>
    <row r="2158" spans="1:11" ht="11.25" x14ac:dyDescent="0.15">
      <c r="A2158" s="326">
        <v>1.175</v>
      </c>
      <c r="B2158" s="327">
        <v>125</v>
      </c>
      <c r="C2158" s="327" t="s">
        <v>115</v>
      </c>
      <c r="D2158" s="327" t="s">
        <v>113</v>
      </c>
      <c r="E2158" s="328" t="s">
        <v>1498</v>
      </c>
      <c r="F2158" s="328">
        <v>4159.3026</v>
      </c>
      <c r="G2158" s="328">
        <v>9945.3269</v>
      </c>
      <c r="H2158" s="328">
        <v>8606.0149000000001</v>
      </c>
      <c r="I2158" s="329">
        <v>7.54396284996834E-2</v>
      </c>
      <c r="J2158" s="329">
        <v>0.7991705308445739</v>
      </c>
      <c r="K2158" s="329">
        <v>0.93363635128862854</v>
      </c>
    </row>
    <row r="2159" spans="1:11" ht="11.25" x14ac:dyDescent="0.15">
      <c r="A2159" s="326">
        <v>1.2</v>
      </c>
      <c r="B2159" s="327">
        <v>125</v>
      </c>
      <c r="C2159" s="327" t="s">
        <v>115</v>
      </c>
      <c r="D2159" s="327" t="s">
        <v>79</v>
      </c>
      <c r="E2159" s="328" t="s">
        <v>1499</v>
      </c>
      <c r="F2159" s="328">
        <v>44933.94</v>
      </c>
      <c r="G2159" s="328">
        <v>12164.82</v>
      </c>
      <c r="H2159" s="328">
        <v>9212.1432000000004</v>
      </c>
      <c r="I2159" s="329">
        <v>0.81499233564469786</v>
      </c>
      <c r="J2159" s="329">
        <v>0.97752097590966958</v>
      </c>
      <c r="K2159" s="329">
        <v>0.99939308317910891</v>
      </c>
    </row>
    <row r="2160" spans="1:11" ht="11.25" x14ac:dyDescent="0.15">
      <c r="A2160" s="326">
        <v>1.2</v>
      </c>
      <c r="B2160" s="327">
        <v>125</v>
      </c>
      <c r="C2160" s="327" t="s">
        <v>115</v>
      </c>
      <c r="D2160" s="327" t="s">
        <v>114</v>
      </c>
      <c r="E2160" s="328" t="s">
        <v>1500</v>
      </c>
      <c r="F2160" s="328">
        <v>11986.684799999997</v>
      </c>
      <c r="G2160" s="328">
        <v>11654.204399999999</v>
      </c>
      <c r="H2160" s="328">
        <v>9110.7239999999983</v>
      </c>
      <c r="I2160" s="329">
        <v>0.21740929555228841</v>
      </c>
      <c r="J2160" s="329">
        <v>0.93648975147505376</v>
      </c>
      <c r="K2160" s="329">
        <v>0.98839047013011061</v>
      </c>
    </row>
    <row r="2161" spans="1:11" ht="11.25" x14ac:dyDescent="0.15">
      <c r="A2161" s="326">
        <v>1.2</v>
      </c>
      <c r="B2161" s="327">
        <v>125</v>
      </c>
      <c r="C2161" s="327" t="s">
        <v>115</v>
      </c>
      <c r="D2161" s="327" t="s">
        <v>113</v>
      </c>
      <c r="E2161" s="328" t="s">
        <v>1501</v>
      </c>
      <c r="F2161" s="328">
        <v>4443.0635999999995</v>
      </c>
      <c r="G2161" s="328">
        <v>10568.6952</v>
      </c>
      <c r="H2161" s="328">
        <v>8993.1983999999993</v>
      </c>
      <c r="I2161" s="329">
        <v>8.0586362575414905E-2</v>
      </c>
      <c r="J2161" s="329">
        <v>0.84926215480342826</v>
      </c>
      <c r="K2161" s="329">
        <v>0.97564053027502096</v>
      </c>
    </row>
    <row r="2162" spans="1:11" ht="11.25" x14ac:dyDescent="0.15">
      <c r="A2162" s="326">
        <v>1.2250000000000001</v>
      </c>
      <c r="B2162" s="327">
        <v>125</v>
      </c>
      <c r="C2162" s="327" t="s">
        <v>115</v>
      </c>
      <c r="D2162" s="327" t="s">
        <v>79</v>
      </c>
      <c r="E2162" s="328" t="s">
        <v>1502</v>
      </c>
      <c r="F2162" s="328">
        <v>47823.571250000008</v>
      </c>
      <c r="G2162" s="328">
        <v>12967.874500000002</v>
      </c>
      <c r="H2162" s="328">
        <v>9614.9576250000009</v>
      </c>
      <c r="I2162" s="329">
        <v>0.86740321529579034</v>
      </c>
      <c r="J2162" s="329">
        <v>1.042051533579134</v>
      </c>
      <c r="K2162" s="329">
        <v>1.0430930063576556</v>
      </c>
    </row>
    <row r="2163" spans="1:11" ht="11.25" x14ac:dyDescent="0.15">
      <c r="A2163" s="326">
        <v>1.2250000000000001</v>
      </c>
      <c r="B2163" s="327">
        <v>125</v>
      </c>
      <c r="C2163" s="327" t="s">
        <v>115</v>
      </c>
      <c r="D2163" s="327" t="s">
        <v>114</v>
      </c>
      <c r="E2163" s="328" t="s">
        <v>1503</v>
      </c>
      <c r="F2163" s="328">
        <v>12811.148000000001</v>
      </c>
      <c r="G2163" s="328">
        <v>12421.38975</v>
      </c>
      <c r="H2163" s="328">
        <v>9510.117225</v>
      </c>
      <c r="I2163" s="329">
        <v>0.23236305186702744</v>
      </c>
      <c r="J2163" s="329">
        <v>0.99813799386874336</v>
      </c>
      <c r="K2163" s="329">
        <v>1.0317192393283141</v>
      </c>
    </row>
    <row r="2164" spans="1:11" ht="11.25" x14ac:dyDescent="0.15">
      <c r="A2164" s="326">
        <v>1.2250000000000001</v>
      </c>
      <c r="B2164" s="327">
        <v>125</v>
      </c>
      <c r="C2164" s="327" t="s">
        <v>115</v>
      </c>
      <c r="D2164" s="327" t="s">
        <v>113</v>
      </c>
      <c r="E2164" s="328" t="s">
        <v>1504</v>
      </c>
      <c r="F2164" s="328">
        <v>4742.8435250000011</v>
      </c>
      <c r="G2164" s="328">
        <v>11224.792600000001</v>
      </c>
      <c r="H2164" s="328">
        <v>9388.7037999999993</v>
      </c>
      <c r="I2164" s="329">
        <v>8.6023640972438267E-2</v>
      </c>
      <c r="J2164" s="329">
        <v>0.9019837709670705</v>
      </c>
      <c r="K2164" s="329">
        <v>1.0185475229843817</v>
      </c>
    </row>
    <row r="2165" spans="1:11" ht="11.25" x14ac:dyDescent="0.15">
      <c r="A2165" s="326">
        <v>1.25</v>
      </c>
      <c r="B2165" s="327">
        <v>125</v>
      </c>
      <c r="C2165" s="327" t="s">
        <v>115</v>
      </c>
      <c r="D2165" s="327" t="s">
        <v>79</v>
      </c>
      <c r="E2165" s="328" t="s">
        <v>1505</v>
      </c>
      <c r="F2165" s="328">
        <v>50855.812499999993</v>
      </c>
      <c r="G2165" s="328">
        <v>13806.849999999999</v>
      </c>
      <c r="H2165" s="328">
        <v>10027.14875</v>
      </c>
      <c r="I2165" s="329">
        <v>0.92240069333968511</v>
      </c>
      <c r="J2165" s="329">
        <v>1.1094685730030054</v>
      </c>
      <c r="K2165" s="329">
        <v>1.0878101748090552</v>
      </c>
    </row>
    <row r="2166" spans="1:11" ht="11.25" x14ac:dyDescent="0.15">
      <c r="A2166" s="326">
        <v>1.25</v>
      </c>
      <c r="B2166" s="327">
        <v>125</v>
      </c>
      <c r="C2166" s="327" t="s">
        <v>115</v>
      </c>
      <c r="D2166" s="327" t="s">
        <v>114</v>
      </c>
      <c r="E2166" s="328" t="s">
        <v>1506</v>
      </c>
      <c r="F2166" s="328">
        <v>13682.637500000001</v>
      </c>
      <c r="G2166" s="328">
        <v>13226.025</v>
      </c>
      <c r="H2166" s="328">
        <v>9918.4350000000013</v>
      </c>
      <c r="I2166" s="329">
        <v>0.24816975083655538</v>
      </c>
      <c r="J2166" s="329">
        <v>1.0627955748959448</v>
      </c>
      <c r="K2166" s="329">
        <v>1.0760162016328172</v>
      </c>
    </row>
    <row r="2167" spans="1:11" ht="11.25" x14ac:dyDescent="0.15">
      <c r="A2167" s="326">
        <v>1.25</v>
      </c>
      <c r="B2167" s="327">
        <v>125</v>
      </c>
      <c r="C2167" s="327" t="s">
        <v>115</v>
      </c>
      <c r="D2167" s="327" t="s">
        <v>113</v>
      </c>
      <c r="E2167" s="328" t="s">
        <v>1507</v>
      </c>
      <c r="F2167" s="328">
        <v>5059.4137499999997</v>
      </c>
      <c r="G2167" s="328">
        <v>11914.42625</v>
      </c>
      <c r="H2167" s="328">
        <v>9793.2837500000005</v>
      </c>
      <c r="I2167" s="329">
        <v>9.1765454556297504E-2</v>
      </c>
      <c r="J2167" s="329">
        <v>0.95740023899275006</v>
      </c>
      <c r="K2167" s="329">
        <v>1.0624389817735753</v>
      </c>
    </row>
    <row r="2168" spans="1:11" ht="11.25" x14ac:dyDescent="0.15">
      <c r="A2168" s="326">
        <v>1.2749999999999999</v>
      </c>
      <c r="B2168" s="327">
        <v>125</v>
      </c>
      <c r="C2168" s="327" t="s">
        <v>115</v>
      </c>
      <c r="D2168" s="327" t="s">
        <v>79</v>
      </c>
      <c r="E2168" s="328" t="s">
        <v>1508</v>
      </c>
      <c r="F2168" s="328">
        <v>54035.774999999994</v>
      </c>
      <c r="G2168" s="328">
        <v>14684.455499999998</v>
      </c>
      <c r="H2168" s="328">
        <v>10447.728675</v>
      </c>
      <c r="I2168" s="329">
        <v>0.98007747541438306</v>
      </c>
      <c r="J2168" s="329">
        <v>1.1799897796319314</v>
      </c>
      <c r="K2168" s="329">
        <v>1.1334374147296187</v>
      </c>
    </row>
    <row r="2169" spans="1:11" ht="11.25" x14ac:dyDescent="0.15">
      <c r="A2169" s="326">
        <v>1.2749999999999999</v>
      </c>
      <c r="B2169" s="327">
        <v>125</v>
      </c>
      <c r="C2169" s="327" t="s">
        <v>115</v>
      </c>
      <c r="D2169" s="327" t="s">
        <v>114</v>
      </c>
      <c r="E2169" s="328" t="s">
        <v>1509</v>
      </c>
      <c r="F2169" s="328">
        <v>14603.416499999999</v>
      </c>
      <c r="G2169" s="328">
        <v>14070.938249999997</v>
      </c>
      <c r="H2169" s="328">
        <v>10334.52015</v>
      </c>
      <c r="I2169" s="329">
        <v>0.2648704414019184</v>
      </c>
      <c r="J2169" s="329">
        <v>1.1306897504529205</v>
      </c>
      <c r="K2169" s="329">
        <v>1.1211558191892987</v>
      </c>
    </row>
    <row r="2170" spans="1:11" ht="11.25" x14ac:dyDescent="0.15">
      <c r="A2170" s="326">
        <v>1.2749999999999999</v>
      </c>
      <c r="B2170" s="327">
        <v>125</v>
      </c>
      <c r="C2170" s="327" t="s">
        <v>115</v>
      </c>
      <c r="D2170" s="327" t="s">
        <v>113</v>
      </c>
      <c r="E2170" s="328" t="s">
        <v>1510</v>
      </c>
      <c r="F2170" s="328">
        <v>5393.5776749999995</v>
      </c>
      <c r="G2170" s="328">
        <v>12639.001049999997</v>
      </c>
      <c r="H2170" s="328">
        <v>10206.303599999999</v>
      </c>
      <c r="I2170" s="329">
        <v>9.7826375048111702E-2</v>
      </c>
      <c r="J2170" s="329">
        <v>1.0156244515676629</v>
      </c>
      <c r="K2170" s="329">
        <v>1.1072460556915831</v>
      </c>
    </row>
    <row r="2171" spans="1:11" ht="11.25" x14ac:dyDescent="0.15">
      <c r="A2171" s="326">
        <v>1.3</v>
      </c>
      <c r="B2171" s="327">
        <v>125</v>
      </c>
      <c r="C2171" s="327" t="s">
        <v>115</v>
      </c>
      <c r="D2171" s="327" t="s">
        <v>79</v>
      </c>
      <c r="E2171" s="328" t="s">
        <v>1511</v>
      </c>
      <c r="F2171" s="328">
        <v>57368.714</v>
      </c>
      <c r="G2171" s="328">
        <v>15598.934000000001</v>
      </c>
      <c r="H2171" s="328">
        <v>10877.6564</v>
      </c>
      <c r="I2171" s="329">
        <v>1.0405288789674947</v>
      </c>
      <c r="J2171" s="329">
        <v>1.2534739672950794</v>
      </c>
      <c r="K2171" s="329">
        <v>1.1800787646634678</v>
      </c>
    </row>
    <row r="2172" spans="1:11" ht="11.25" x14ac:dyDescent="0.15">
      <c r="A2172" s="326">
        <v>1.3</v>
      </c>
      <c r="B2172" s="327">
        <v>125</v>
      </c>
      <c r="C2172" s="327" t="s">
        <v>115</v>
      </c>
      <c r="D2172" s="327" t="s">
        <v>114</v>
      </c>
      <c r="E2172" s="328" t="s">
        <v>1512</v>
      </c>
      <c r="F2172" s="328">
        <v>15575.846000000001</v>
      </c>
      <c r="G2172" s="328">
        <v>14953.510000000002</v>
      </c>
      <c r="H2172" s="328">
        <v>10760.782499999999</v>
      </c>
      <c r="I2172" s="329">
        <v>0.28250794635818993</v>
      </c>
      <c r="J2172" s="329">
        <v>1.2016100269856032</v>
      </c>
      <c r="K2172" s="329">
        <v>1.1673995254540548</v>
      </c>
    </row>
    <row r="2173" spans="1:11" ht="11.25" x14ac:dyDescent="0.15">
      <c r="A2173" s="326">
        <v>1.3</v>
      </c>
      <c r="B2173" s="327">
        <v>125</v>
      </c>
      <c r="C2173" s="327" t="s">
        <v>115</v>
      </c>
      <c r="D2173" s="327" t="s">
        <v>113</v>
      </c>
      <c r="E2173" s="328" t="s">
        <v>1513</v>
      </c>
      <c r="F2173" s="328">
        <v>5746.1728999999996</v>
      </c>
      <c r="G2173" s="328">
        <v>13397.514000000001</v>
      </c>
      <c r="H2173" s="328">
        <v>10628.267</v>
      </c>
      <c r="I2173" s="329">
        <v>0.10422159447378232</v>
      </c>
      <c r="J2173" s="329">
        <v>1.0765758112362913</v>
      </c>
      <c r="K2173" s="329">
        <v>1.1530233839592048</v>
      </c>
    </row>
    <row r="2174" spans="1:11" ht="11.25" x14ac:dyDescent="0.15">
      <c r="A2174" s="326">
        <v>1.325</v>
      </c>
      <c r="B2174" s="327">
        <v>125</v>
      </c>
      <c r="C2174" s="327" t="s">
        <v>115</v>
      </c>
      <c r="D2174" s="327" t="s">
        <v>79</v>
      </c>
      <c r="E2174" s="328" t="s">
        <v>1514</v>
      </c>
      <c r="F2174" s="328">
        <v>60859.979499999994</v>
      </c>
      <c r="G2174" s="328">
        <v>16551.701249999998</v>
      </c>
      <c r="H2174" s="328">
        <v>11317.018449999998</v>
      </c>
      <c r="I2174" s="329">
        <v>1.1038519399810793</v>
      </c>
      <c r="J2174" s="329">
        <v>1.330034900546436</v>
      </c>
      <c r="K2174" s="329">
        <v>1.2277436114041691</v>
      </c>
    </row>
    <row r="2175" spans="1:11" ht="11.25" x14ac:dyDescent="0.15">
      <c r="A2175" s="326">
        <v>1.325</v>
      </c>
      <c r="B2175" s="327">
        <v>125</v>
      </c>
      <c r="C2175" s="327" t="s">
        <v>115</v>
      </c>
      <c r="D2175" s="327" t="s">
        <v>114</v>
      </c>
      <c r="E2175" s="328" t="s">
        <v>1515</v>
      </c>
      <c r="F2175" s="328">
        <v>16602.36925</v>
      </c>
      <c r="G2175" s="328">
        <v>15875.487499999999</v>
      </c>
      <c r="H2175" s="328">
        <v>11194.783224999999</v>
      </c>
      <c r="I2175" s="329">
        <v>0.30112658031530753</v>
      </c>
      <c r="J2175" s="329">
        <v>1.2756968071900578</v>
      </c>
      <c r="K2175" s="329">
        <v>1.2144827408625734</v>
      </c>
    </row>
    <row r="2176" spans="1:11" ht="11.25" x14ac:dyDescent="0.15">
      <c r="A2176" s="326">
        <v>1.325</v>
      </c>
      <c r="B2176" s="327">
        <v>125</v>
      </c>
      <c r="C2176" s="327" t="s">
        <v>115</v>
      </c>
      <c r="D2176" s="327" t="s">
        <v>113</v>
      </c>
      <c r="E2176" s="328" t="s">
        <v>1516</v>
      </c>
      <c r="F2176" s="328">
        <v>6118.0761999999986</v>
      </c>
      <c r="G2176" s="328">
        <v>14193.30725</v>
      </c>
      <c r="H2176" s="328">
        <v>11058.729574999999</v>
      </c>
      <c r="I2176" s="329">
        <v>0.11096701539838785</v>
      </c>
      <c r="J2176" s="329">
        <v>1.140522881095305</v>
      </c>
      <c r="K2176" s="329">
        <v>1.1997227578923486</v>
      </c>
    </row>
    <row r="2177" spans="1:11" ht="11.25" x14ac:dyDescent="0.15">
      <c r="A2177" s="326">
        <v>1.35</v>
      </c>
      <c r="B2177" s="327">
        <v>125</v>
      </c>
      <c r="C2177" s="327" t="s">
        <v>115</v>
      </c>
      <c r="D2177" s="327" t="s">
        <v>79</v>
      </c>
      <c r="E2177" s="328" t="s">
        <v>1517</v>
      </c>
      <c r="F2177" s="328">
        <v>64515.055500000002</v>
      </c>
      <c r="G2177" s="328">
        <v>17545.761000000002</v>
      </c>
      <c r="H2177" s="328">
        <v>11764.141650000001</v>
      </c>
      <c r="I2177" s="329">
        <v>1.1701461248711398</v>
      </c>
      <c r="J2177" s="329">
        <v>1.409913949881529</v>
      </c>
      <c r="K2177" s="329">
        <v>1.2762504380684476</v>
      </c>
    </row>
    <row r="2178" spans="1:11" ht="11.25" x14ac:dyDescent="0.15">
      <c r="A2178" s="326">
        <v>1.35</v>
      </c>
      <c r="B2178" s="327">
        <v>125</v>
      </c>
      <c r="C2178" s="327" t="s">
        <v>115</v>
      </c>
      <c r="D2178" s="327" t="s">
        <v>114</v>
      </c>
      <c r="E2178" s="328" t="s">
        <v>1518</v>
      </c>
      <c r="F2178" s="328">
        <v>17685.567000000003</v>
      </c>
      <c r="G2178" s="328">
        <v>16837.6185</v>
      </c>
      <c r="H2178" s="328">
        <v>11638.062450000001</v>
      </c>
      <c r="I2178" s="329">
        <v>0.3207731517986358</v>
      </c>
      <c r="J2178" s="329">
        <v>1.3530101775541856</v>
      </c>
      <c r="K2178" s="329">
        <v>1.2625725481706054</v>
      </c>
    </row>
    <row r="2179" spans="1:11" ht="11.25" x14ac:dyDescent="0.15">
      <c r="A2179" s="326">
        <v>1.35</v>
      </c>
      <c r="B2179" s="327">
        <v>125</v>
      </c>
      <c r="C2179" s="327" t="s">
        <v>115</v>
      </c>
      <c r="D2179" s="327" t="s">
        <v>113</v>
      </c>
      <c r="E2179" s="328" t="s">
        <v>1519</v>
      </c>
      <c r="F2179" s="328">
        <v>6510.1995000000006</v>
      </c>
      <c r="G2179" s="328">
        <v>15024.69</v>
      </c>
      <c r="H2179" s="328">
        <v>11497.877100000002</v>
      </c>
      <c r="I2179" s="329">
        <v>0.11807917792247785</v>
      </c>
      <c r="J2179" s="329">
        <v>1.2073297945666484</v>
      </c>
      <c r="K2179" s="329">
        <v>1.2473643315687355</v>
      </c>
    </row>
    <row r="2180" spans="1:11" ht="11.25" x14ac:dyDescent="0.15">
      <c r="A2180" s="326">
        <v>1.375</v>
      </c>
      <c r="B2180" s="327">
        <v>125</v>
      </c>
      <c r="C2180" s="327" t="s">
        <v>115</v>
      </c>
      <c r="D2180" s="327" t="s">
        <v>79</v>
      </c>
      <c r="E2180" s="328" t="s">
        <v>1520</v>
      </c>
      <c r="F2180" s="328">
        <v>68339.59</v>
      </c>
      <c r="G2180" s="328">
        <v>18578.175000000003</v>
      </c>
      <c r="H2180" s="328">
        <v>12221.196625</v>
      </c>
      <c r="I2180" s="329">
        <v>1.2395138746146237</v>
      </c>
      <c r="J2180" s="329">
        <v>1.4928750081481377</v>
      </c>
      <c r="K2180" s="329">
        <v>1.3258347281441381</v>
      </c>
    </row>
    <row r="2181" spans="1:11" ht="11.25" x14ac:dyDescent="0.15">
      <c r="A2181" s="326">
        <v>1.375</v>
      </c>
      <c r="B2181" s="327">
        <v>125</v>
      </c>
      <c r="C2181" s="327" t="s">
        <v>115</v>
      </c>
      <c r="D2181" s="327" t="s">
        <v>114</v>
      </c>
      <c r="E2181" s="328" t="s">
        <v>1521</v>
      </c>
      <c r="F2181" s="328">
        <v>18828.095000000001</v>
      </c>
      <c r="G2181" s="328">
        <v>17841.092499999999</v>
      </c>
      <c r="H2181" s="328">
        <v>12090.434125</v>
      </c>
      <c r="I2181" s="329">
        <v>0.34149582965104458</v>
      </c>
      <c r="J2181" s="329">
        <v>1.4336457219995598</v>
      </c>
      <c r="K2181" s="329">
        <v>1.3116487634666449</v>
      </c>
    </row>
    <row r="2182" spans="1:11" ht="11.25" x14ac:dyDescent="0.15">
      <c r="A2182" s="326">
        <v>1.375</v>
      </c>
      <c r="B2182" s="327">
        <v>125</v>
      </c>
      <c r="C2182" s="327" t="s">
        <v>115</v>
      </c>
      <c r="D2182" s="327" t="s">
        <v>113</v>
      </c>
      <c r="E2182" s="328" t="s">
        <v>1522</v>
      </c>
      <c r="F2182" s="328">
        <v>6923.497625</v>
      </c>
      <c r="G2182" s="328">
        <v>15893.79</v>
      </c>
      <c r="H2182" s="328">
        <v>11946.004125000001</v>
      </c>
      <c r="I2182" s="329">
        <v>0.12557540024821479</v>
      </c>
      <c r="J2182" s="329">
        <v>1.2771675299513965</v>
      </c>
      <c r="K2182" s="329">
        <v>1.2959800596840596</v>
      </c>
    </row>
    <row r="2183" spans="1:11" ht="11.25" x14ac:dyDescent="0.15">
      <c r="A2183" s="326">
        <v>1.4</v>
      </c>
      <c r="B2183" s="327">
        <v>125</v>
      </c>
      <c r="C2183" s="327" t="s">
        <v>115</v>
      </c>
      <c r="D2183" s="327" t="s">
        <v>79</v>
      </c>
      <c r="E2183" s="328" t="s">
        <v>1523</v>
      </c>
      <c r="F2183" s="328">
        <v>72339.301999999996</v>
      </c>
      <c r="G2183" s="328">
        <v>19649.559999999998</v>
      </c>
      <c r="H2183" s="328">
        <v>12687.142999999998</v>
      </c>
      <c r="I2183" s="329">
        <v>1.3120589179557181</v>
      </c>
      <c r="J2183" s="329">
        <v>1.5789676351475488</v>
      </c>
      <c r="K2183" s="329">
        <v>1.3763836149989774</v>
      </c>
    </row>
    <row r="2184" spans="1:11" ht="11.25" x14ac:dyDescent="0.15">
      <c r="A2184" s="326">
        <v>1.4</v>
      </c>
      <c r="B2184" s="327">
        <v>125</v>
      </c>
      <c r="C2184" s="327" t="s">
        <v>115</v>
      </c>
      <c r="D2184" s="327" t="s">
        <v>114</v>
      </c>
      <c r="E2184" s="328" t="s">
        <v>1524</v>
      </c>
      <c r="F2184" s="328">
        <v>20032.739999999998</v>
      </c>
      <c r="G2184" s="328">
        <v>18887.12</v>
      </c>
      <c r="H2184" s="328">
        <v>12550.8572</v>
      </c>
      <c r="I2184" s="329">
        <v>0.36334515873664675</v>
      </c>
      <c r="J2184" s="329">
        <v>1.5177007119318688</v>
      </c>
      <c r="K2184" s="329">
        <v>1.3615984468900482</v>
      </c>
    </row>
    <row r="2185" spans="1:11" ht="11.25" x14ac:dyDescent="0.15">
      <c r="A2185" s="326">
        <v>1.4</v>
      </c>
      <c r="B2185" s="327">
        <v>125</v>
      </c>
      <c r="C2185" s="327" t="s">
        <v>115</v>
      </c>
      <c r="D2185" s="327" t="s">
        <v>113</v>
      </c>
      <c r="E2185" s="328" t="s">
        <v>1525</v>
      </c>
      <c r="F2185" s="328">
        <v>7358.9641999999994</v>
      </c>
      <c r="G2185" s="328">
        <v>16800.363999999998</v>
      </c>
      <c r="H2185" s="328">
        <v>12401.744599999998</v>
      </c>
      <c r="I2185" s="329">
        <v>0.1334737043153508</v>
      </c>
      <c r="J2185" s="329">
        <v>1.3500165405585678</v>
      </c>
      <c r="K2185" s="329">
        <v>1.3454217442683547</v>
      </c>
    </row>
    <row r="2186" spans="1:11" ht="11.25" x14ac:dyDescent="0.15">
      <c r="A2186" s="326">
        <v>0.9</v>
      </c>
      <c r="B2186" s="327">
        <v>140</v>
      </c>
      <c r="C2186" s="327" t="s">
        <v>115</v>
      </c>
      <c r="D2186" s="327" t="s">
        <v>79</v>
      </c>
      <c r="E2186" s="328" t="s">
        <v>1526</v>
      </c>
      <c r="F2186" s="328">
        <v>24816.002399999998</v>
      </c>
      <c r="G2186" s="328">
        <v>5305.1128199999994</v>
      </c>
      <c r="H2186" s="328">
        <v>5063.3481600000005</v>
      </c>
      <c r="I2186" s="329">
        <v>0.45010189975195641</v>
      </c>
      <c r="J2186" s="329">
        <v>0.42629969544286711</v>
      </c>
      <c r="K2186" s="329">
        <v>0.54930487064418065</v>
      </c>
    </row>
    <row r="2187" spans="1:11" ht="11.25" x14ac:dyDescent="0.15">
      <c r="A2187" s="326">
        <v>0.9</v>
      </c>
      <c r="B2187" s="327">
        <v>140</v>
      </c>
      <c r="C2187" s="327" t="s">
        <v>115</v>
      </c>
      <c r="D2187" s="327" t="s">
        <v>114</v>
      </c>
      <c r="E2187" s="328" t="s">
        <v>1527</v>
      </c>
      <c r="F2187" s="328">
        <v>6961.005180000001</v>
      </c>
      <c r="G2187" s="328">
        <v>5265.9869399999998</v>
      </c>
      <c r="H2187" s="328">
        <v>4998.8084400000007</v>
      </c>
      <c r="I2187" s="329">
        <v>0.12625569603028447</v>
      </c>
      <c r="J2187" s="329">
        <v>0.42315568111294488</v>
      </c>
      <c r="K2187" s="329">
        <v>0.54230318294154967</v>
      </c>
    </row>
    <row r="2188" spans="1:11" ht="11.25" x14ac:dyDescent="0.15">
      <c r="A2188" s="326">
        <v>0.9</v>
      </c>
      <c r="B2188" s="327">
        <v>140</v>
      </c>
      <c r="C2188" s="327" t="s">
        <v>115</v>
      </c>
      <c r="D2188" s="327" t="s">
        <v>113</v>
      </c>
      <c r="E2188" s="328" t="s">
        <v>1528</v>
      </c>
      <c r="F2188" s="328">
        <v>2752.6629600000001</v>
      </c>
      <c r="G2188" s="328">
        <v>5074.0239600000004</v>
      </c>
      <c r="H2188" s="328">
        <v>4921.9189200000001</v>
      </c>
      <c r="I2188" s="329">
        <v>4.9926608149942944E-2</v>
      </c>
      <c r="J2188" s="329">
        <v>0.40773022972540873</v>
      </c>
      <c r="K2188" s="329">
        <v>0.53396170878199001</v>
      </c>
    </row>
    <row r="2189" spans="1:11" ht="11.25" x14ac:dyDescent="0.15">
      <c r="A2189" s="326">
        <v>0.92500000000000004</v>
      </c>
      <c r="B2189" s="327">
        <v>140</v>
      </c>
      <c r="C2189" s="327" t="s">
        <v>115</v>
      </c>
      <c r="D2189" s="327" t="s">
        <v>79</v>
      </c>
      <c r="E2189" s="328" t="s">
        <v>1529</v>
      </c>
      <c r="F2189" s="328">
        <v>26687.434000000001</v>
      </c>
      <c r="G2189" s="328">
        <v>5730.9220450000003</v>
      </c>
      <c r="H2189" s="328">
        <v>5361.9038399999999</v>
      </c>
      <c r="I2189" s="329">
        <v>0.48404511529644895</v>
      </c>
      <c r="J2189" s="329">
        <v>0.4605161860422628</v>
      </c>
      <c r="K2189" s="329">
        <v>0.58169412850285518</v>
      </c>
    </row>
    <row r="2190" spans="1:11" ht="11.25" x14ac:dyDescent="0.15">
      <c r="A2190" s="326">
        <v>0.92500000000000004</v>
      </c>
      <c r="B2190" s="327">
        <v>140</v>
      </c>
      <c r="C2190" s="327" t="s">
        <v>115</v>
      </c>
      <c r="D2190" s="327" t="s">
        <v>114</v>
      </c>
      <c r="E2190" s="328" t="s">
        <v>1530</v>
      </c>
      <c r="F2190" s="328">
        <v>7506.8219600000011</v>
      </c>
      <c r="G2190" s="328">
        <v>5665.1066299999993</v>
      </c>
      <c r="H2190" s="328">
        <v>5294.8528100000003</v>
      </c>
      <c r="I2190" s="329">
        <v>0.1361554843053894</v>
      </c>
      <c r="J2190" s="329">
        <v>0.45522749712613408</v>
      </c>
      <c r="K2190" s="329">
        <v>0.57441999759246787</v>
      </c>
    </row>
    <row r="2191" spans="1:11" ht="11.25" x14ac:dyDescent="0.15">
      <c r="A2191" s="326">
        <v>0.92500000000000004</v>
      </c>
      <c r="B2191" s="327">
        <v>140</v>
      </c>
      <c r="C2191" s="327" t="s">
        <v>115</v>
      </c>
      <c r="D2191" s="327" t="s">
        <v>113</v>
      </c>
      <c r="E2191" s="328" t="s">
        <v>1531</v>
      </c>
      <c r="F2191" s="328">
        <v>2964.0712950000002</v>
      </c>
      <c r="G2191" s="328">
        <v>5418.1645600000002</v>
      </c>
      <c r="H2191" s="328">
        <v>5214.9535300000007</v>
      </c>
      <c r="I2191" s="329">
        <v>5.3761040935414395E-2</v>
      </c>
      <c r="J2191" s="329">
        <v>0.43538412474088278</v>
      </c>
      <c r="K2191" s="329">
        <v>0.56575200513410151</v>
      </c>
    </row>
    <row r="2192" spans="1:11" ht="11.25" x14ac:dyDescent="0.15">
      <c r="A2192" s="326">
        <v>0.95</v>
      </c>
      <c r="B2192" s="327">
        <v>140</v>
      </c>
      <c r="C2192" s="327" t="s">
        <v>115</v>
      </c>
      <c r="D2192" s="327" t="s">
        <v>79</v>
      </c>
      <c r="E2192" s="328" t="s">
        <v>1532</v>
      </c>
      <c r="F2192" s="328">
        <v>28663.479799999997</v>
      </c>
      <c r="G2192" s="328">
        <v>6184.3459099999991</v>
      </c>
      <c r="H2192" s="328">
        <v>5668.981929999999</v>
      </c>
      <c r="I2192" s="329">
        <v>0.51988577787540136</v>
      </c>
      <c r="J2192" s="329">
        <v>0.49695168932266753</v>
      </c>
      <c r="K2192" s="329">
        <v>0.61500795271065201</v>
      </c>
    </row>
    <row r="2193" spans="1:11" ht="11.25" x14ac:dyDescent="0.15">
      <c r="A2193" s="326">
        <v>0.95</v>
      </c>
      <c r="B2193" s="327">
        <v>140</v>
      </c>
      <c r="C2193" s="327" t="s">
        <v>115</v>
      </c>
      <c r="D2193" s="327" t="s">
        <v>114</v>
      </c>
      <c r="E2193" s="328" t="s">
        <v>1533</v>
      </c>
      <c r="F2193" s="328">
        <v>8086.3608599999989</v>
      </c>
      <c r="G2193" s="328">
        <v>6090.8681900000001</v>
      </c>
      <c r="H2193" s="328">
        <v>5599.7126800000005</v>
      </c>
      <c r="I2193" s="329">
        <v>0.14666690978261124</v>
      </c>
      <c r="J2193" s="329">
        <v>0.489440157538374</v>
      </c>
      <c r="K2193" s="329">
        <v>0.60749317489792731</v>
      </c>
    </row>
    <row r="2194" spans="1:11" ht="11.25" x14ac:dyDescent="0.15">
      <c r="A2194" s="326">
        <v>0.95</v>
      </c>
      <c r="B2194" s="327">
        <v>140</v>
      </c>
      <c r="C2194" s="327" t="s">
        <v>115</v>
      </c>
      <c r="D2194" s="327" t="s">
        <v>113</v>
      </c>
      <c r="E2194" s="328" t="s">
        <v>1534</v>
      </c>
      <c r="F2194" s="328">
        <v>3188.2214700000004</v>
      </c>
      <c r="G2194" s="328">
        <v>5783.9515000000001</v>
      </c>
      <c r="H2194" s="328">
        <v>5516.6520899999996</v>
      </c>
      <c r="I2194" s="329">
        <v>5.7826579694277243E-2</v>
      </c>
      <c r="J2194" s="329">
        <v>0.46477744141665867</v>
      </c>
      <c r="K2194" s="329">
        <v>0.59848222301316101</v>
      </c>
    </row>
    <row r="2195" spans="1:11" ht="11.25" x14ac:dyDescent="0.15">
      <c r="A2195" s="326">
        <v>0.97499999999999998</v>
      </c>
      <c r="B2195" s="327">
        <v>140</v>
      </c>
      <c r="C2195" s="327" t="s">
        <v>115</v>
      </c>
      <c r="D2195" s="327" t="s">
        <v>79</v>
      </c>
      <c r="E2195" s="328" t="s">
        <v>1535</v>
      </c>
      <c r="F2195" s="328">
        <v>30748.249349999998</v>
      </c>
      <c r="G2195" s="328">
        <v>6666.5492399999994</v>
      </c>
      <c r="H2195" s="328">
        <v>5984.7159449999999</v>
      </c>
      <c r="I2195" s="329">
        <v>0.55769842472621045</v>
      </c>
      <c r="J2195" s="329">
        <v>0.53569980641182235</v>
      </c>
      <c r="K2195" s="329">
        <v>0.64926082784131323</v>
      </c>
    </row>
    <row r="2196" spans="1:11" ht="11.25" x14ac:dyDescent="0.15">
      <c r="A2196" s="326">
        <v>0.97499999999999998</v>
      </c>
      <c r="B2196" s="327">
        <v>140</v>
      </c>
      <c r="C2196" s="327" t="s">
        <v>115</v>
      </c>
      <c r="D2196" s="327" t="s">
        <v>114</v>
      </c>
      <c r="E2196" s="328" t="s">
        <v>1536</v>
      </c>
      <c r="F2196" s="328">
        <v>8701.3052100000004</v>
      </c>
      <c r="G2196" s="328">
        <v>6544.7982600000005</v>
      </c>
      <c r="H2196" s="328">
        <v>5912.9467800000002</v>
      </c>
      <c r="I2196" s="329">
        <v>0.15782050397217065</v>
      </c>
      <c r="J2196" s="329">
        <v>0.52591633762333578</v>
      </c>
      <c r="K2196" s="329">
        <v>0.64147484302438806</v>
      </c>
    </row>
    <row r="2197" spans="1:11" ht="11.25" x14ac:dyDescent="0.15">
      <c r="A2197" s="326">
        <v>0.97499999999999998</v>
      </c>
      <c r="B2197" s="327">
        <v>140</v>
      </c>
      <c r="C2197" s="327" t="s">
        <v>115</v>
      </c>
      <c r="D2197" s="327" t="s">
        <v>113</v>
      </c>
      <c r="E2197" s="328" t="s">
        <v>1537</v>
      </c>
      <c r="F2197" s="328">
        <v>3425.7387450000006</v>
      </c>
      <c r="G2197" s="328">
        <v>6171.4715399999995</v>
      </c>
      <c r="H2197" s="328">
        <v>5826.8464800000002</v>
      </c>
      <c r="I2197" s="329">
        <v>6.2134565121511408E-2</v>
      </c>
      <c r="J2197" s="329">
        <v>0.49591715147281679</v>
      </c>
      <c r="K2197" s="329">
        <v>0.63213412367043298</v>
      </c>
    </row>
    <row r="2198" spans="1:11" ht="11.25" x14ac:dyDescent="0.15">
      <c r="A2198" s="326">
        <v>1</v>
      </c>
      <c r="B2198" s="327">
        <v>140</v>
      </c>
      <c r="C2198" s="327" t="s">
        <v>115</v>
      </c>
      <c r="D2198" s="327" t="s">
        <v>79</v>
      </c>
      <c r="E2198" s="328" t="s">
        <v>1538</v>
      </c>
      <c r="F2198" s="328">
        <v>32945.976000000002</v>
      </c>
      <c r="G2198" s="328">
        <v>7178.6286</v>
      </c>
      <c r="H2198" s="328">
        <v>6309.3368</v>
      </c>
      <c r="I2198" s="329">
        <v>0.59755983851703542</v>
      </c>
      <c r="J2198" s="329">
        <v>0.57684865331053525</v>
      </c>
      <c r="K2198" s="329">
        <v>0.68447780505272793</v>
      </c>
    </row>
    <row r="2199" spans="1:11" ht="11.25" x14ac:dyDescent="0.15">
      <c r="A2199" s="326">
        <v>1</v>
      </c>
      <c r="B2199" s="327">
        <v>140</v>
      </c>
      <c r="C2199" s="327" t="s">
        <v>115</v>
      </c>
      <c r="D2199" s="327" t="s">
        <v>114</v>
      </c>
      <c r="E2199" s="328" t="s">
        <v>1539</v>
      </c>
      <c r="F2199" s="328">
        <v>9353.4104000000007</v>
      </c>
      <c r="G2199" s="328">
        <v>7027.2280000000001</v>
      </c>
      <c r="H2199" s="328">
        <v>6235.0927999999994</v>
      </c>
      <c r="I2199" s="329">
        <v>0.16964810537734745</v>
      </c>
      <c r="J2199" s="329">
        <v>0.56468264820192615</v>
      </c>
      <c r="K2199" s="329">
        <v>0.67642333407277722</v>
      </c>
    </row>
    <row r="2200" spans="1:11" ht="11.25" x14ac:dyDescent="0.15">
      <c r="A2200" s="326">
        <v>1</v>
      </c>
      <c r="B2200" s="327">
        <v>140</v>
      </c>
      <c r="C2200" s="327" t="s">
        <v>115</v>
      </c>
      <c r="D2200" s="327" t="s">
        <v>113</v>
      </c>
      <c r="E2200" s="328" t="s">
        <v>1540</v>
      </c>
      <c r="F2200" s="328">
        <v>3677.2709999999997</v>
      </c>
      <c r="G2200" s="328">
        <v>6582.3324000000002</v>
      </c>
      <c r="H2200" s="328">
        <v>6145.7024000000001</v>
      </c>
      <c r="I2200" s="329">
        <v>6.6696748183856416E-2</v>
      </c>
      <c r="J2200" s="329">
        <v>0.52893244547883467</v>
      </c>
      <c r="K2200" s="329">
        <v>0.66672568331734672</v>
      </c>
    </row>
    <row r="2201" spans="1:11" ht="11.25" x14ac:dyDescent="0.15">
      <c r="A2201" s="326">
        <v>1.0249999999999999</v>
      </c>
      <c r="B2201" s="327">
        <v>140</v>
      </c>
      <c r="C2201" s="327" t="s">
        <v>115</v>
      </c>
      <c r="D2201" s="327" t="s">
        <v>79</v>
      </c>
      <c r="E2201" s="328" t="s">
        <v>1541</v>
      </c>
      <c r="F2201" s="328">
        <v>35260.963499999998</v>
      </c>
      <c r="G2201" s="328">
        <v>7721.0843300000006</v>
      </c>
      <c r="H2201" s="328">
        <v>6642.2127899999987</v>
      </c>
      <c r="I2201" s="329">
        <v>0.63954807880073361</v>
      </c>
      <c r="J2201" s="329">
        <v>0.62043843553315692</v>
      </c>
      <c r="K2201" s="329">
        <v>0.72059035288659101</v>
      </c>
    </row>
    <row r="2202" spans="1:11" ht="11.25" x14ac:dyDescent="0.15">
      <c r="A2202" s="326">
        <v>1.0249999999999999</v>
      </c>
      <c r="B2202" s="327">
        <v>140</v>
      </c>
      <c r="C2202" s="327" t="s">
        <v>115</v>
      </c>
      <c r="D2202" s="327" t="s">
        <v>114</v>
      </c>
      <c r="E2202" s="328" t="s">
        <v>1542</v>
      </c>
      <c r="F2202" s="328">
        <v>10044.496929999999</v>
      </c>
      <c r="G2202" s="328">
        <v>7540.4118849999995</v>
      </c>
      <c r="H2202" s="328">
        <v>6565.6938749999999</v>
      </c>
      <c r="I2202" s="329">
        <v>0.18218273343839192</v>
      </c>
      <c r="J2202" s="329">
        <v>0.60592025073828226</v>
      </c>
      <c r="K2202" s="329">
        <v>0.71228908436273985</v>
      </c>
    </row>
    <row r="2203" spans="1:11" ht="11.25" x14ac:dyDescent="0.15">
      <c r="A2203" s="326">
        <v>1.0249999999999999</v>
      </c>
      <c r="B2203" s="327">
        <v>140</v>
      </c>
      <c r="C2203" s="327" t="s">
        <v>115</v>
      </c>
      <c r="D2203" s="327" t="s">
        <v>113</v>
      </c>
      <c r="E2203" s="328" t="s">
        <v>1543</v>
      </c>
      <c r="F2203" s="328">
        <v>3943.4923399999989</v>
      </c>
      <c r="G2203" s="328">
        <v>7018.4183349999994</v>
      </c>
      <c r="H2203" s="328">
        <v>6473.1546199999993</v>
      </c>
      <c r="I2203" s="329">
        <v>7.1525355505739616E-2</v>
      </c>
      <c r="J2203" s="329">
        <v>0.56397473535749132</v>
      </c>
      <c r="K2203" s="329">
        <v>0.70224982538014524</v>
      </c>
    </row>
    <row r="2204" spans="1:11" ht="11.25" x14ac:dyDescent="0.15">
      <c r="A2204" s="326">
        <v>1.05</v>
      </c>
      <c r="B2204" s="327">
        <v>140</v>
      </c>
      <c r="C2204" s="327" t="s">
        <v>115</v>
      </c>
      <c r="D2204" s="327" t="s">
        <v>79</v>
      </c>
      <c r="E2204" s="328" t="s">
        <v>1544</v>
      </c>
      <c r="F2204" s="328">
        <v>37697.648100000006</v>
      </c>
      <c r="G2204" s="328">
        <v>8295.7234500000013</v>
      </c>
      <c r="H2204" s="328">
        <v>6984.03006</v>
      </c>
      <c r="I2204" s="329">
        <v>0.68374360835775605</v>
      </c>
      <c r="J2204" s="329">
        <v>0.66661435867696628</v>
      </c>
      <c r="K2204" s="329">
        <v>0.75767290880573557</v>
      </c>
    </row>
    <row r="2205" spans="1:11" ht="11.25" x14ac:dyDescent="0.15">
      <c r="A2205" s="326">
        <v>1.05</v>
      </c>
      <c r="B2205" s="327">
        <v>140</v>
      </c>
      <c r="C2205" s="327" t="s">
        <v>115</v>
      </c>
      <c r="D2205" s="327" t="s">
        <v>114</v>
      </c>
      <c r="E2205" s="328" t="s">
        <v>1545</v>
      </c>
      <c r="F2205" s="328">
        <v>10776.47424</v>
      </c>
      <c r="G2205" s="328">
        <v>8084.3907900000004</v>
      </c>
      <c r="H2205" s="328">
        <v>6904.6439700000001</v>
      </c>
      <c r="I2205" s="329">
        <v>0.19545902075074029</v>
      </c>
      <c r="J2205" s="329">
        <v>0.6496324297996966</v>
      </c>
      <c r="K2205" s="329">
        <v>0.74906059052928564</v>
      </c>
    </row>
    <row r="2206" spans="1:11" ht="11.25" x14ac:dyDescent="0.15">
      <c r="A2206" s="326">
        <v>1.05</v>
      </c>
      <c r="B2206" s="327">
        <v>140</v>
      </c>
      <c r="C2206" s="327" t="s">
        <v>115</v>
      </c>
      <c r="D2206" s="327" t="s">
        <v>113</v>
      </c>
      <c r="E2206" s="328" t="s">
        <v>1546</v>
      </c>
      <c r="F2206" s="328">
        <v>4225.1063400000003</v>
      </c>
      <c r="G2206" s="328">
        <v>7481.0824200000006</v>
      </c>
      <c r="H2206" s="328">
        <v>6809.1912000000002</v>
      </c>
      <c r="I2206" s="329">
        <v>7.6633148225680209E-2</v>
      </c>
      <c r="J2206" s="329">
        <v>0.60115274932625995</v>
      </c>
      <c r="K2206" s="329">
        <v>0.73870525453013547</v>
      </c>
    </row>
    <row r="2207" spans="1:11" ht="11.25" x14ac:dyDescent="0.15">
      <c r="A2207" s="326">
        <v>1.075</v>
      </c>
      <c r="B2207" s="327">
        <v>140</v>
      </c>
      <c r="C2207" s="327" t="s">
        <v>115</v>
      </c>
      <c r="D2207" s="327" t="s">
        <v>79</v>
      </c>
      <c r="E2207" s="328" t="s">
        <v>1547</v>
      </c>
      <c r="F2207" s="328">
        <v>40260.543100000003</v>
      </c>
      <c r="G2207" s="328">
        <v>8901.7290649999995</v>
      </c>
      <c r="H2207" s="328">
        <v>7334.5603099999989</v>
      </c>
      <c r="I2207" s="329">
        <v>0.73022828746807034</v>
      </c>
      <c r="J2207" s="329">
        <v>0.7153107800117281</v>
      </c>
      <c r="K2207" s="329">
        <v>0.79570070534444359</v>
      </c>
    </row>
    <row r="2208" spans="1:11" ht="11.25" x14ac:dyDescent="0.15">
      <c r="A2208" s="326">
        <v>1.075</v>
      </c>
      <c r="B2208" s="327">
        <v>140</v>
      </c>
      <c r="C2208" s="327" t="s">
        <v>115</v>
      </c>
      <c r="D2208" s="327" t="s">
        <v>114</v>
      </c>
      <c r="E2208" s="328" t="s">
        <v>1548</v>
      </c>
      <c r="F2208" s="328">
        <v>11551.311449999999</v>
      </c>
      <c r="G2208" s="328">
        <v>8661.7834750000002</v>
      </c>
      <c r="H2208" s="328">
        <v>7252.6270350000004</v>
      </c>
      <c r="I2208" s="329">
        <v>0.20951268235981177</v>
      </c>
      <c r="J2208" s="329">
        <v>0.69602961947651087</v>
      </c>
      <c r="K2208" s="329">
        <v>0.78681205190740078</v>
      </c>
    </row>
    <row r="2209" spans="1:11" ht="11.25" x14ac:dyDescent="0.15">
      <c r="A2209" s="326">
        <v>1.075</v>
      </c>
      <c r="B2209" s="327">
        <v>140</v>
      </c>
      <c r="C2209" s="327" t="s">
        <v>115</v>
      </c>
      <c r="D2209" s="327" t="s">
        <v>113</v>
      </c>
      <c r="E2209" s="328" t="s">
        <v>1549</v>
      </c>
      <c r="F2209" s="328">
        <v>4522.8447049999995</v>
      </c>
      <c r="G2209" s="328">
        <v>7970.0738650000003</v>
      </c>
      <c r="H2209" s="328">
        <v>7153.6610299999993</v>
      </c>
      <c r="I2209" s="329">
        <v>8.2033397691949644E-2</v>
      </c>
      <c r="J2209" s="329">
        <v>0.64044633480700519</v>
      </c>
      <c r="K2209" s="329">
        <v>0.77607557737377975</v>
      </c>
    </row>
    <row r="2210" spans="1:11" ht="11.25" x14ac:dyDescent="0.15">
      <c r="A2210" s="326">
        <v>1.1000000000000001</v>
      </c>
      <c r="B2210" s="327">
        <v>140</v>
      </c>
      <c r="C2210" s="327" t="s">
        <v>115</v>
      </c>
      <c r="D2210" s="327" t="s">
        <v>79</v>
      </c>
      <c r="E2210" s="328" t="s">
        <v>1550</v>
      </c>
      <c r="F2210" s="328">
        <v>42954.289400000009</v>
      </c>
      <c r="G2210" s="328">
        <v>9542.3699800000013</v>
      </c>
      <c r="H2210" s="328">
        <v>7693.2110200000006</v>
      </c>
      <c r="I2210" s="329">
        <v>0.77908629076516078</v>
      </c>
      <c r="J2210" s="329">
        <v>0.76679036889495578</v>
      </c>
      <c r="K2210" s="329">
        <v>0.83460946208753006</v>
      </c>
    </row>
    <row r="2211" spans="1:11" ht="11.25" x14ac:dyDescent="0.15">
      <c r="A2211" s="326">
        <v>1.1000000000000001</v>
      </c>
      <c r="B2211" s="327">
        <v>140</v>
      </c>
      <c r="C2211" s="327" t="s">
        <v>115</v>
      </c>
      <c r="D2211" s="327" t="s">
        <v>114</v>
      </c>
      <c r="E2211" s="328" t="s">
        <v>1551</v>
      </c>
      <c r="F2211" s="328">
        <v>12371.078280000002</v>
      </c>
      <c r="G2211" s="328">
        <v>9272.0812800000003</v>
      </c>
      <c r="H2211" s="328">
        <v>7608.7169400000002</v>
      </c>
      <c r="I2211" s="329">
        <v>0.22438125795023967</v>
      </c>
      <c r="J2211" s="329">
        <v>0.74507094568923982</v>
      </c>
      <c r="K2211" s="329">
        <v>0.82544299590389725</v>
      </c>
    </row>
    <row r="2212" spans="1:11" ht="11.25" x14ac:dyDescent="0.15">
      <c r="A2212" s="326">
        <v>1.1000000000000001</v>
      </c>
      <c r="B2212" s="327">
        <v>140</v>
      </c>
      <c r="C2212" s="327" t="s">
        <v>115</v>
      </c>
      <c r="D2212" s="327" t="s">
        <v>113</v>
      </c>
      <c r="E2212" s="328" t="s">
        <v>1552</v>
      </c>
      <c r="F2212" s="328">
        <v>4837.4708800000008</v>
      </c>
      <c r="G2212" s="328">
        <v>8488.2958600000002</v>
      </c>
      <c r="H2212" s="328">
        <v>7506.8197600000003</v>
      </c>
      <c r="I2212" s="329">
        <v>8.7739950939187891E-2</v>
      </c>
      <c r="J2212" s="329">
        <v>0.68208878165704123</v>
      </c>
      <c r="K2212" s="329">
        <v>0.81438852848230348</v>
      </c>
    </row>
    <row r="2213" spans="1:11" ht="11.25" x14ac:dyDescent="0.15">
      <c r="A2213" s="326">
        <v>1.125</v>
      </c>
      <c r="B2213" s="327">
        <v>140</v>
      </c>
      <c r="C2213" s="327" t="s">
        <v>115</v>
      </c>
      <c r="D2213" s="327" t="s">
        <v>79</v>
      </c>
      <c r="E2213" s="328" t="s">
        <v>1553</v>
      </c>
      <c r="F2213" s="328">
        <v>45783.625500000002</v>
      </c>
      <c r="G2213" s="328">
        <v>10215.051074999999</v>
      </c>
      <c r="H2213" s="328">
        <v>8061.2556750000003</v>
      </c>
      <c r="I2213" s="329">
        <v>0.83040356310902508</v>
      </c>
      <c r="J2213" s="329">
        <v>0.82084459086128025</v>
      </c>
      <c r="K2213" s="329">
        <v>0.87453733495299324</v>
      </c>
    </row>
    <row r="2214" spans="1:11" ht="11.25" x14ac:dyDescent="0.15">
      <c r="A2214" s="326">
        <v>1.125</v>
      </c>
      <c r="B2214" s="327">
        <v>140</v>
      </c>
      <c r="C2214" s="327" t="s">
        <v>115</v>
      </c>
      <c r="D2214" s="327" t="s">
        <v>114</v>
      </c>
      <c r="E2214" s="328" t="s">
        <v>1554</v>
      </c>
      <c r="F2214" s="328">
        <v>13237.915950000001</v>
      </c>
      <c r="G2214" s="328">
        <v>9917.296875</v>
      </c>
      <c r="H2214" s="328">
        <v>7973.8713000000007</v>
      </c>
      <c r="I2214" s="329">
        <v>0.24010358404267906</v>
      </c>
      <c r="J2214" s="329">
        <v>0.79691813932601685</v>
      </c>
      <c r="K2214" s="329">
        <v>0.86505731080910786</v>
      </c>
    </row>
    <row r="2215" spans="1:11" ht="11.25" x14ac:dyDescent="0.15">
      <c r="A2215" s="326">
        <v>1.125</v>
      </c>
      <c r="B2215" s="327">
        <v>140</v>
      </c>
      <c r="C2215" s="327" t="s">
        <v>115</v>
      </c>
      <c r="D2215" s="327" t="s">
        <v>113</v>
      </c>
      <c r="E2215" s="328" t="s">
        <v>1555</v>
      </c>
      <c r="F2215" s="328">
        <v>5169.7766250000004</v>
      </c>
      <c r="G2215" s="328">
        <v>9035.8850249999996</v>
      </c>
      <c r="H2215" s="328">
        <v>7868.3584499999997</v>
      </c>
      <c r="I2215" s="329">
        <v>9.3767168567236991E-2</v>
      </c>
      <c r="J2215" s="329">
        <v>0.72609106816587243</v>
      </c>
      <c r="K2215" s="329">
        <v>0.85361059203941747</v>
      </c>
    </row>
    <row r="2216" spans="1:11" ht="11.25" x14ac:dyDescent="0.15">
      <c r="A2216" s="326">
        <v>1.1499999999999999</v>
      </c>
      <c r="B2216" s="327">
        <v>140</v>
      </c>
      <c r="C2216" s="327" t="s">
        <v>115</v>
      </c>
      <c r="D2216" s="327" t="s">
        <v>79</v>
      </c>
      <c r="E2216" s="328" t="s">
        <v>1556</v>
      </c>
      <c r="F2216" s="328">
        <v>48753.396699999998</v>
      </c>
      <c r="G2216" s="328">
        <v>10922.766009999999</v>
      </c>
      <c r="H2216" s="328">
        <v>8438.1834199999994</v>
      </c>
      <c r="I2216" s="329">
        <v>0.88426798645178895</v>
      </c>
      <c r="J2216" s="329">
        <v>0.87771400561028989</v>
      </c>
      <c r="K2216" s="329">
        <v>0.91542890307487157</v>
      </c>
    </row>
    <row r="2217" spans="1:11" ht="11.25" x14ac:dyDescent="0.15">
      <c r="A2217" s="326">
        <v>1.1499999999999999</v>
      </c>
      <c r="B2217" s="327">
        <v>140</v>
      </c>
      <c r="C2217" s="327" t="s">
        <v>115</v>
      </c>
      <c r="D2217" s="327" t="s">
        <v>114</v>
      </c>
      <c r="E2217" s="328" t="s">
        <v>1557</v>
      </c>
      <c r="F2217" s="328">
        <v>14154.043599999997</v>
      </c>
      <c r="G2217" s="328">
        <v>10597.539569999999</v>
      </c>
      <c r="H2217" s="328">
        <v>8347.6068899999991</v>
      </c>
      <c r="I2217" s="329">
        <v>0.25671991043698561</v>
      </c>
      <c r="J2217" s="329">
        <v>0.85157998414343483</v>
      </c>
      <c r="K2217" s="329">
        <v>0.90560257323879545</v>
      </c>
    </row>
    <row r="2218" spans="1:11" ht="11.25" x14ac:dyDescent="0.15">
      <c r="A2218" s="326">
        <v>1.1499999999999999</v>
      </c>
      <c r="B2218" s="327">
        <v>140</v>
      </c>
      <c r="C2218" s="327" t="s">
        <v>115</v>
      </c>
      <c r="D2218" s="327" t="s">
        <v>113</v>
      </c>
      <c r="E2218" s="328" t="s">
        <v>1558</v>
      </c>
      <c r="F2218" s="328">
        <v>5520.5862699999998</v>
      </c>
      <c r="G2218" s="328">
        <v>9614.29486</v>
      </c>
      <c r="H2218" s="328">
        <v>8238.7807799999991</v>
      </c>
      <c r="I2218" s="329">
        <v>0.10013000191648785</v>
      </c>
      <c r="J2218" s="329">
        <v>0.77256999234107204</v>
      </c>
      <c r="K2218" s="329">
        <v>0.89379641052051628</v>
      </c>
    </row>
    <row r="2219" spans="1:11" ht="11.25" x14ac:dyDescent="0.15">
      <c r="A2219" s="326">
        <v>1.175</v>
      </c>
      <c r="B2219" s="327">
        <v>140</v>
      </c>
      <c r="C2219" s="327" t="s">
        <v>115</v>
      </c>
      <c r="D2219" s="327" t="s">
        <v>79</v>
      </c>
      <c r="E2219" s="328" t="s">
        <v>1559</v>
      </c>
      <c r="F2219" s="328">
        <v>51868.563150000002</v>
      </c>
      <c r="G2219" s="328">
        <v>11666.15106</v>
      </c>
      <c r="H2219" s="328">
        <v>8823.395305</v>
      </c>
      <c r="I2219" s="329">
        <v>0.94076952584511853</v>
      </c>
      <c r="J2219" s="329">
        <v>0.93744974190171548</v>
      </c>
      <c r="K2219" s="329">
        <v>0.95721918846984744</v>
      </c>
    </row>
    <row r="2220" spans="1:11" ht="11.25" x14ac:dyDescent="0.15">
      <c r="A2220" s="326">
        <v>1.175</v>
      </c>
      <c r="B2220" s="327">
        <v>140</v>
      </c>
      <c r="C2220" s="327" t="s">
        <v>115</v>
      </c>
      <c r="D2220" s="327" t="s">
        <v>114</v>
      </c>
      <c r="E2220" s="328" t="s">
        <v>1560</v>
      </c>
      <c r="F2220" s="328">
        <v>15121.798330000001</v>
      </c>
      <c r="G2220" s="328">
        <v>11314.289790000001</v>
      </c>
      <c r="H2220" s="328">
        <v>8729.891625000002</v>
      </c>
      <c r="I2220" s="329">
        <v>0.27427262644038763</v>
      </c>
      <c r="J2220" s="329">
        <v>0.90917544174476983</v>
      </c>
      <c r="K2220" s="329">
        <v>0.9470753024039219</v>
      </c>
    </row>
    <row r="2221" spans="1:11" ht="11.25" x14ac:dyDescent="0.15">
      <c r="A2221" s="326">
        <v>1.175</v>
      </c>
      <c r="B2221" s="327">
        <v>140</v>
      </c>
      <c r="C2221" s="327" t="s">
        <v>115</v>
      </c>
      <c r="D2221" s="327" t="s">
        <v>113</v>
      </c>
      <c r="E2221" s="328" t="s">
        <v>1561</v>
      </c>
      <c r="F2221" s="328">
        <v>5890.7628599999998</v>
      </c>
      <c r="G2221" s="328">
        <v>10224.234770000001</v>
      </c>
      <c r="H2221" s="328">
        <v>8617.8370450000002</v>
      </c>
      <c r="I2221" s="329">
        <v>0.10684410452322765</v>
      </c>
      <c r="J2221" s="329">
        <v>0.8215825594049051</v>
      </c>
      <c r="K2221" s="329">
        <v>0.9349188943065595</v>
      </c>
    </row>
    <row r="2222" spans="1:11" ht="11.25" x14ac:dyDescent="0.15">
      <c r="A2222" s="330">
        <v>1.2</v>
      </c>
      <c r="B2222" s="331">
        <v>140</v>
      </c>
      <c r="C2222" s="331" t="s">
        <v>115</v>
      </c>
      <c r="D2222" s="331" t="s">
        <v>79</v>
      </c>
      <c r="E2222" s="328" t="s">
        <v>1562</v>
      </c>
      <c r="F2222" s="328">
        <v>55134.1872</v>
      </c>
      <c r="G2222" s="328">
        <v>12444.561600000001</v>
      </c>
      <c r="H2222" s="328">
        <v>9217.7376000000004</v>
      </c>
      <c r="I2222" s="329">
        <v>1</v>
      </c>
      <c r="J2222" s="329">
        <v>1</v>
      </c>
      <c r="K2222" s="329">
        <v>1</v>
      </c>
    </row>
    <row r="2223" spans="1:11" ht="11.25" x14ac:dyDescent="0.15">
      <c r="A2223" s="326">
        <v>1.2</v>
      </c>
      <c r="B2223" s="327">
        <v>140</v>
      </c>
      <c r="C2223" s="327" t="s">
        <v>115</v>
      </c>
      <c r="D2223" s="327" t="s">
        <v>114</v>
      </c>
      <c r="E2223" s="328" t="s">
        <v>1563</v>
      </c>
      <c r="F2223" s="328">
        <v>16143.587519999999</v>
      </c>
      <c r="G2223" s="328">
        <v>12068.055359999998</v>
      </c>
      <c r="H2223" s="328">
        <v>9120.8176800000001</v>
      </c>
      <c r="I2223" s="329">
        <v>0.29280539606830369</v>
      </c>
      <c r="J2223" s="329">
        <v>0.96974531911192419</v>
      </c>
      <c r="K2223" s="329">
        <v>0.98948549804672237</v>
      </c>
    </row>
    <row r="2224" spans="1:11" ht="11.25" x14ac:dyDescent="0.15">
      <c r="A2224" s="326">
        <v>1.2</v>
      </c>
      <c r="B2224" s="327">
        <v>140</v>
      </c>
      <c r="C2224" s="327" t="s">
        <v>115</v>
      </c>
      <c r="D2224" s="327" t="s">
        <v>113</v>
      </c>
      <c r="E2224" s="328" t="s">
        <v>1564</v>
      </c>
      <c r="F2224" s="328">
        <v>6281.1976800000002</v>
      </c>
      <c r="G2224" s="328">
        <v>10865.71968</v>
      </c>
      <c r="H2224" s="328">
        <v>9004.9754399999983</v>
      </c>
      <c r="I2224" s="329">
        <v>0.11392564212862832</v>
      </c>
      <c r="J2224" s="329">
        <v>0.87312996867643766</v>
      </c>
      <c r="K2224" s="329">
        <v>0.97691818000981046</v>
      </c>
    </row>
    <row r="2225" spans="1:11" ht="11.25" x14ac:dyDescent="0.15">
      <c r="A2225" s="326">
        <v>1.2250000000000001</v>
      </c>
      <c r="B2225" s="327">
        <v>140</v>
      </c>
      <c r="C2225" s="327" t="s">
        <v>115</v>
      </c>
      <c r="D2225" s="327" t="s">
        <v>79</v>
      </c>
      <c r="E2225" s="328" t="s">
        <v>1565</v>
      </c>
      <c r="F2225" s="328">
        <v>58555.445899999999</v>
      </c>
      <c r="G2225" s="328">
        <v>13259.000650000002</v>
      </c>
      <c r="H2225" s="328">
        <v>9620.6479950000012</v>
      </c>
      <c r="I2225" s="329">
        <v>1.0620533080063252</v>
      </c>
      <c r="J2225" s="329">
        <v>1.0654453789677896</v>
      </c>
      <c r="K2225" s="329">
        <v>1.0437103346270131</v>
      </c>
    </row>
    <row r="2226" spans="1:11" ht="11.25" x14ac:dyDescent="0.15">
      <c r="A2226" s="326">
        <v>1.2250000000000001</v>
      </c>
      <c r="B2226" s="327">
        <v>140</v>
      </c>
      <c r="C2226" s="327" t="s">
        <v>115</v>
      </c>
      <c r="D2226" s="327" t="s">
        <v>114</v>
      </c>
      <c r="E2226" s="328" t="s">
        <v>1566</v>
      </c>
      <c r="F2226" s="328">
        <v>17221.912400000005</v>
      </c>
      <c r="G2226" s="328">
        <v>12859.956900000001</v>
      </c>
      <c r="H2226" s="328">
        <v>9520.3337250000004</v>
      </c>
      <c r="I2226" s="329">
        <v>0.31236358554679128</v>
      </c>
      <c r="J2226" s="329">
        <v>1.0333796652185803</v>
      </c>
      <c r="K2226" s="329">
        <v>1.0328275915556546</v>
      </c>
    </row>
    <row r="2227" spans="1:11" ht="11.25" x14ac:dyDescent="0.15">
      <c r="A2227" s="326">
        <v>1.2250000000000001</v>
      </c>
      <c r="B2227" s="327">
        <v>140</v>
      </c>
      <c r="C2227" s="327" t="s">
        <v>115</v>
      </c>
      <c r="D2227" s="327" t="s">
        <v>113</v>
      </c>
      <c r="E2227" s="328" t="s">
        <v>1567</v>
      </c>
      <c r="F2227" s="328">
        <v>6692.8213100000012</v>
      </c>
      <c r="G2227" s="328">
        <v>11541.097645</v>
      </c>
      <c r="H2227" s="328">
        <v>9400.7820549999997</v>
      </c>
      <c r="I2227" s="329">
        <v>0.12139149318954685</v>
      </c>
      <c r="J2227" s="329">
        <v>0.92740090137044273</v>
      </c>
      <c r="K2227" s="329">
        <v>1.019857850477323</v>
      </c>
    </row>
    <row r="2228" spans="1:11" ht="11.25" x14ac:dyDescent="0.15">
      <c r="A2228" s="326">
        <v>1.25</v>
      </c>
      <c r="B2228" s="327">
        <v>140</v>
      </c>
      <c r="C2228" s="327" t="s">
        <v>115</v>
      </c>
      <c r="D2228" s="327" t="s">
        <v>79</v>
      </c>
      <c r="E2228" s="328" t="s">
        <v>1568</v>
      </c>
      <c r="F2228" s="328">
        <v>62137.635000000002</v>
      </c>
      <c r="G2228" s="328">
        <v>14110.044999999998</v>
      </c>
      <c r="H2228" s="328">
        <v>10032.744499999999</v>
      </c>
      <c r="I2228" s="329">
        <v>1.1270255018831583</v>
      </c>
      <c r="J2228" s="329">
        <v>1.1338322275651718</v>
      </c>
      <c r="K2228" s="329">
        <v>1.0884172380867079</v>
      </c>
    </row>
    <row r="2229" spans="1:11" ht="11.25" x14ac:dyDescent="0.15">
      <c r="A2229" s="326">
        <v>1.25</v>
      </c>
      <c r="B2229" s="327">
        <v>140</v>
      </c>
      <c r="C2229" s="327" t="s">
        <v>115</v>
      </c>
      <c r="D2229" s="327" t="s">
        <v>114</v>
      </c>
      <c r="E2229" s="328" t="s">
        <v>1569</v>
      </c>
      <c r="F2229" s="328">
        <v>18359.3825</v>
      </c>
      <c r="G2229" s="328">
        <v>13689.2325</v>
      </c>
      <c r="H2229" s="328">
        <v>9928.8644999999997</v>
      </c>
      <c r="I2229" s="329">
        <v>0.33299452540038532</v>
      </c>
      <c r="J2229" s="329">
        <v>1.1000172557304067</v>
      </c>
      <c r="K2229" s="329">
        <v>1.0771476614825746</v>
      </c>
    </row>
    <row r="2230" spans="1:11" ht="11.25" x14ac:dyDescent="0.15">
      <c r="A2230" s="326">
        <v>1.25</v>
      </c>
      <c r="B2230" s="327">
        <v>140</v>
      </c>
      <c r="C2230" s="327" t="s">
        <v>115</v>
      </c>
      <c r="D2230" s="327" t="s">
        <v>113</v>
      </c>
      <c r="E2230" s="328" t="s">
        <v>1570</v>
      </c>
      <c r="F2230" s="328">
        <v>7126.6035000000011</v>
      </c>
      <c r="G2230" s="328">
        <v>12250.62275</v>
      </c>
      <c r="H2230" s="328">
        <v>9805.5395000000008</v>
      </c>
      <c r="I2230" s="329">
        <v>0.1292592466113294</v>
      </c>
      <c r="J2230" s="329">
        <v>0.98441577483934828</v>
      </c>
      <c r="K2230" s="329">
        <v>1.0637685650760986</v>
      </c>
    </row>
    <row r="2231" spans="1:11" ht="11.25" x14ac:dyDescent="0.15">
      <c r="A2231" s="326">
        <v>1.2749999999999999</v>
      </c>
      <c r="B2231" s="327">
        <v>140</v>
      </c>
      <c r="C2231" s="327" t="s">
        <v>115</v>
      </c>
      <c r="D2231" s="327" t="s">
        <v>79</v>
      </c>
      <c r="E2231" s="328" t="s">
        <v>1571</v>
      </c>
      <c r="F2231" s="328">
        <v>65886.152849999999</v>
      </c>
      <c r="G2231" s="328">
        <v>15000.331649999998</v>
      </c>
      <c r="H2231" s="328">
        <v>10453.294049999999</v>
      </c>
      <c r="I2231" s="329">
        <v>1.1950144945639101</v>
      </c>
      <c r="J2231" s="329">
        <v>1.2053724455829764</v>
      </c>
      <c r="K2231" s="329">
        <v>1.1340411827301309</v>
      </c>
    </row>
    <row r="2232" spans="1:11" ht="11.25" x14ac:dyDescent="0.15">
      <c r="A2232" s="326">
        <v>1.2749999999999999</v>
      </c>
      <c r="B2232" s="327">
        <v>140</v>
      </c>
      <c r="C2232" s="327" t="s">
        <v>115</v>
      </c>
      <c r="D2232" s="327" t="s">
        <v>114</v>
      </c>
      <c r="E2232" s="328" t="s">
        <v>1572</v>
      </c>
      <c r="F2232" s="328">
        <v>19558.72695</v>
      </c>
      <c r="G2232" s="328">
        <v>14558.97</v>
      </c>
      <c r="H2232" s="328">
        <v>10345.67844</v>
      </c>
      <c r="I2232" s="329">
        <v>0.35474771540660349</v>
      </c>
      <c r="J2232" s="329">
        <v>1.1699062183114588</v>
      </c>
      <c r="K2232" s="329">
        <v>1.122366342908264</v>
      </c>
    </row>
    <row r="2233" spans="1:11" ht="11.25" x14ac:dyDescent="0.15">
      <c r="A2233" s="326">
        <v>1.2749999999999999</v>
      </c>
      <c r="B2233" s="327">
        <v>140</v>
      </c>
      <c r="C2233" s="327" t="s">
        <v>115</v>
      </c>
      <c r="D2233" s="327" t="s">
        <v>113</v>
      </c>
      <c r="E2233" s="328" t="s">
        <v>1573</v>
      </c>
      <c r="F2233" s="328">
        <v>7583.5508249999993</v>
      </c>
      <c r="G2233" s="328">
        <v>12995.114669999999</v>
      </c>
      <c r="H2233" s="328">
        <v>10218.62622</v>
      </c>
      <c r="I2233" s="329">
        <v>0.13754715921521737</v>
      </c>
      <c r="J2233" s="329">
        <v>1.0442404552041431</v>
      </c>
      <c r="K2233" s="329">
        <v>1.1085828934857074</v>
      </c>
    </row>
    <row r="2234" spans="1:11" ht="11.25" x14ac:dyDescent="0.15">
      <c r="A2234" s="326">
        <v>1.3</v>
      </c>
      <c r="B2234" s="327">
        <v>140</v>
      </c>
      <c r="C2234" s="327" t="s">
        <v>115</v>
      </c>
      <c r="D2234" s="327" t="s">
        <v>79</v>
      </c>
      <c r="E2234" s="328" t="s">
        <v>1574</v>
      </c>
      <c r="F2234" s="328">
        <v>69806.523799999995</v>
      </c>
      <c r="G2234" s="328">
        <v>15928.25</v>
      </c>
      <c r="H2234" s="328">
        <v>10882.99394</v>
      </c>
      <c r="I2234" s="329">
        <v>1.2661204843154013</v>
      </c>
      <c r="J2234" s="329">
        <v>1.2799366110253332</v>
      </c>
      <c r="K2234" s="329">
        <v>1.1806578156444809</v>
      </c>
    </row>
    <row r="2235" spans="1:11" ht="11.25" x14ac:dyDescent="0.15">
      <c r="A2235" s="326">
        <v>1.3</v>
      </c>
      <c r="B2235" s="327">
        <v>140</v>
      </c>
      <c r="C2235" s="327" t="s">
        <v>115</v>
      </c>
      <c r="D2235" s="327" t="s">
        <v>114</v>
      </c>
      <c r="E2235" s="328" t="s">
        <v>1575</v>
      </c>
      <c r="F2235" s="328">
        <v>20822.742200000001</v>
      </c>
      <c r="G2235" s="328">
        <v>15468.4738</v>
      </c>
      <c r="H2235" s="328">
        <v>10771.16742</v>
      </c>
      <c r="I2235" s="329">
        <v>0.37767387636395588</v>
      </c>
      <c r="J2235" s="329">
        <v>1.2429906570593856</v>
      </c>
      <c r="K2235" s="329">
        <v>1.1685261489760783</v>
      </c>
    </row>
    <row r="2236" spans="1:11" ht="11.25" x14ac:dyDescent="0.15">
      <c r="A2236" s="326">
        <v>1.3</v>
      </c>
      <c r="B2236" s="327">
        <v>140</v>
      </c>
      <c r="C2236" s="327" t="s">
        <v>115</v>
      </c>
      <c r="D2236" s="327" t="s">
        <v>113</v>
      </c>
      <c r="E2236" s="328" t="s">
        <v>1576</v>
      </c>
      <c r="F2236" s="328">
        <v>8064.7119799999991</v>
      </c>
      <c r="G2236" s="328">
        <v>13774.417800000001</v>
      </c>
      <c r="H2236" s="328">
        <v>10640.7353</v>
      </c>
      <c r="I2236" s="329">
        <v>0.14627425177676329</v>
      </c>
      <c r="J2236" s="329">
        <v>1.106862438609328</v>
      </c>
      <c r="K2236" s="329">
        <v>1.1543760260652245</v>
      </c>
    </row>
    <row r="2237" spans="1:11" ht="11.25" x14ac:dyDescent="0.15">
      <c r="A2237" s="326">
        <v>1.325</v>
      </c>
      <c r="B2237" s="327">
        <v>140</v>
      </c>
      <c r="C2237" s="327" t="s">
        <v>115</v>
      </c>
      <c r="D2237" s="327" t="s">
        <v>79</v>
      </c>
      <c r="E2237" s="328" t="s">
        <v>1577</v>
      </c>
      <c r="F2237" s="328">
        <v>73904.387199999997</v>
      </c>
      <c r="G2237" s="328">
        <v>16892.422349999997</v>
      </c>
      <c r="H2237" s="328">
        <v>11322.459429999999</v>
      </c>
      <c r="I2237" s="329">
        <v>1.3404457552246276</v>
      </c>
      <c r="J2237" s="329">
        <v>1.357414016898755</v>
      </c>
      <c r="K2237" s="329">
        <v>1.2283338842277305</v>
      </c>
    </row>
    <row r="2238" spans="1:11" ht="11.25" x14ac:dyDescent="0.15">
      <c r="A2238" s="326">
        <v>1.325</v>
      </c>
      <c r="B2238" s="327">
        <v>140</v>
      </c>
      <c r="C2238" s="327" t="s">
        <v>115</v>
      </c>
      <c r="D2238" s="327" t="s">
        <v>114</v>
      </c>
      <c r="E2238" s="328" t="s">
        <v>1578</v>
      </c>
      <c r="F2238" s="328">
        <v>22154.370999999999</v>
      </c>
      <c r="G2238" s="328">
        <v>16418.178349999998</v>
      </c>
      <c r="H2238" s="328">
        <v>11205.534009999999</v>
      </c>
      <c r="I2238" s="329">
        <v>0.40182638259696696</v>
      </c>
      <c r="J2238" s="329">
        <v>1.3193054828062403</v>
      </c>
      <c r="K2238" s="329">
        <v>1.2156490557943413</v>
      </c>
    </row>
    <row r="2239" spans="1:11" ht="11.25" x14ac:dyDescent="0.15">
      <c r="A2239" s="326">
        <v>1.325</v>
      </c>
      <c r="B2239" s="327">
        <v>140</v>
      </c>
      <c r="C2239" s="327" t="s">
        <v>115</v>
      </c>
      <c r="D2239" s="327" t="s">
        <v>113</v>
      </c>
      <c r="E2239" s="328" t="s">
        <v>1579</v>
      </c>
      <c r="F2239" s="328">
        <v>8571.1766949999983</v>
      </c>
      <c r="G2239" s="328">
        <v>14590.505149999999</v>
      </c>
      <c r="H2239" s="328">
        <v>11071.393924999998</v>
      </c>
      <c r="I2239" s="329">
        <v>0.15546028934657077</v>
      </c>
      <c r="J2239" s="329">
        <v>1.172440269008753</v>
      </c>
      <c r="K2239" s="329">
        <v>1.2010966687747759</v>
      </c>
    </row>
    <row r="2240" spans="1:11" ht="11.25" x14ac:dyDescent="0.15">
      <c r="A2240" s="326">
        <v>1.35</v>
      </c>
      <c r="B2240" s="327">
        <v>140</v>
      </c>
      <c r="C2240" s="327" t="s">
        <v>115</v>
      </c>
      <c r="D2240" s="327" t="s">
        <v>79</v>
      </c>
      <c r="E2240" s="328" t="s">
        <v>1580</v>
      </c>
      <c r="F2240" s="328">
        <v>78185.490300000005</v>
      </c>
      <c r="G2240" s="328">
        <v>17898.143400000001</v>
      </c>
      <c r="H2240" s="328">
        <v>11769.910470000001</v>
      </c>
      <c r="I2240" s="329">
        <v>1.4180945484220362</v>
      </c>
      <c r="J2240" s="329">
        <v>1.438230126162098</v>
      </c>
      <c r="K2240" s="329">
        <v>1.2768762771029629</v>
      </c>
    </row>
    <row r="2241" spans="1:11" ht="11.25" x14ac:dyDescent="0.15">
      <c r="A2241" s="326">
        <v>1.35</v>
      </c>
      <c r="B2241" s="327">
        <v>140</v>
      </c>
      <c r="C2241" s="327" t="s">
        <v>115</v>
      </c>
      <c r="D2241" s="327" t="s">
        <v>114</v>
      </c>
      <c r="E2241" s="328" t="s">
        <v>1581</v>
      </c>
      <c r="F2241" s="328">
        <v>23556.6495</v>
      </c>
      <c r="G2241" s="328">
        <v>17407.915199999999</v>
      </c>
      <c r="H2241" s="328">
        <v>11648.896200000001</v>
      </c>
      <c r="I2241" s="329">
        <v>0.42726030247889463</v>
      </c>
      <c r="J2241" s="329">
        <v>1.398837159518741</v>
      </c>
      <c r="K2241" s="329">
        <v>1.2637478636840347</v>
      </c>
    </row>
    <row r="2242" spans="1:11" ht="11.25" x14ac:dyDescent="0.15">
      <c r="A2242" s="326">
        <v>1.35</v>
      </c>
      <c r="B2242" s="327">
        <v>140</v>
      </c>
      <c r="C2242" s="327" t="s">
        <v>115</v>
      </c>
      <c r="D2242" s="327" t="s">
        <v>113</v>
      </c>
      <c r="E2242" s="328" t="s">
        <v>1582</v>
      </c>
      <c r="F2242" s="328">
        <v>9104.0811300000023</v>
      </c>
      <c r="G2242" s="328">
        <v>15443.055</v>
      </c>
      <c r="H2242" s="328">
        <v>11510.890560000002</v>
      </c>
      <c r="I2242" s="329">
        <v>0.16512587910246734</v>
      </c>
      <c r="J2242" s="329">
        <v>1.2409480941457993</v>
      </c>
      <c r="K2242" s="329">
        <v>1.2487761161697639</v>
      </c>
    </row>
    <row r="2243" spans="1:11" ht="11.25" x14ac:dyDescent="0.15">
      <c r="A2243" s="326">
        <v>1.375</v>
      </c>
      <c r="B2243" s="327">
        <v>140</v>
      </c>
      <c r="C2243" s="327" t="s">
        <v>115</v>
      </c>
      <c r="D2243" s="327" t="s">
        <v>79</v>
      </c>
      <c r="E2243" s="328" t="s">
        <v>1583</v>
      </c>
      <c r="F2243" s="328">
        <v>82655.732499999998</v>
      </c>
      <c r="G2243" s="328">
        <v>18944.095499999999</v>
      </c>
      <c r="H2243" s="328">
        <v>12226.440325</v>
      </c>
      <c r="I2243" s="329">
        <v>1.4991738646688528</v>
      </c>
      <c r="J2243" s="329">
        <v>1.5222790572228755</v>
      </c>
      <c r="K2243" s="329">
        <v>1.3264035987529086</v>
      </c>
    </row>
    <row r="2244" spans="1:11" ht="11.25" x14ac:dyDescent="0.15">
      <c r="A2244" s="326">
        <v>1.375</v>
      </c>
      <c r="B2244" s="327">
        <v>140</v>
      </c>
      <c r="C2244" s="327" t="s">
        <v>115</v>
      </c>
      <c r="D2244" s="327" t="s">
        <v>114</v>
      </c>
      <c r="E2244" s="328" t="s">
        <v>1584</v>
      </c>
      <c r="F2244" s="328">
        <v>25032.738499999999</v>
      </c>
      <c r="G2244" s="328">
        <v>18439.671249999999</v>
      </c>
      <c r="H2244" s="328">
        <v>12101.177274999998</v>
      </c>
      <c r="I2244" s="329">
        <v>0.45403296523069081</v>
      </c>
      <c r="J2244" s="329">
        <v>1.4817453473009445</v>
      </c>
      <c r="K2244" s="329">
        <v>1.3128142501040601</v>
      </c>
    </row>
    <row r="2245" spans="1:11" ht="11.25" x14ac:dyDescent="0.15">
      <c r="A2245" s="326">
        <v>1.375</v>
      </c>
      <c r="B2245" s="327">
        <v>140</v>
      </c>
      <c r="C2245" s="327" t="s">
        <v>115</v>
      </c>
      <c r="D2245" s="327" t="s">
        <v>113</v>
      </c>
      <c r="E2245" s="328" t="s">
        <v>1585</v>
      </c>
      <c r="F2245" s="328">
        <v>9664.6071499999998</v>
      </c>
      <c r="G2245" s="328">
        <v>16333.358250000001</v>
      </c>
      <c r="H2245" s="328">
        <v>11958.92115</v>
      </c>
      <c r="I2245" s="329">
        <v>0.17529245719976805</v>
      </c>
      <c r="J2245" s="329">
        <v>1.3124896460796176</v>
      </c>
      <c r="K2245" s="329">
        <v>1.2973813823904035</v>
      </c>
    </row>
    <row r="2246" spans="1:11" ht="11.25" x14ac:dyDescent="0.15">
      <c r="A2246" s="326">
        <v>1.4</v>
      </c>
      <c r="B2246" s="327">
        <v>140</v>
      </c>
      <c r="C2246" s="327" t="s">
        <v>115</v>
      </c>
      <c r="D2246" s="327" t="s">
        <v>79</v>
      </c>
      <c r="E2246" s="328" t="s">
        <v>1586</v>
      </c>
      <c r="F2246" s="328">
        <v>87321.096799999999</v>
      </c>
      <c r="G2246" s="328">
        <v>20028.677199999998</v>
      </c>
      <c r="H2246" s="328">
        <v>12692.493799999998</v>
      </c>
      <c r="I2246" s="329">
        <v>1.583792221026884</v>
      </c>
      <c r="J2246" s="329">
        <v>1.6094321233461528</v>
      </c>
      <c r="K2246" s="329">
        <v>1.3769641045108507</v>
      </c>
    </row>
    <row r="2247" spans="1:11" ht="11.25" x14ac:dyDescent="0.15">
      <c r="A2247" s="326">
        <v>1.4</v>
      </c>
      <c r="B2247" s="327">
        <v>140</v>
      </c>
      <c r="C2247" s="327" t="s">
        <v>115</v>
      </c>
      <c r="D2247" s="327" t="s">
        <v>114</v>
      </c>
      <c r="E2247" s="328" t="s">
        <v>1587</v>
      </c>
      <c r="F2247" s="328">
        <v>26585.932799999999</v>
      </c>
      <c r="G2247" s="328">
        <v>19514.5916</v>
      </c>
      <c r="H2247" s="328">
        <v>12561.921679999999</v>
      </c>
      <c r="I2247" s="329">
        <v>0.48220413050725086</v>
      </c>
      <c r="J2247" s="329">
        <v>1.5681220622508709</v>
      </c>
      <c r="K2247" s="329">
        <v>1.3627987934913659</v>
      </c>
    </row>
    <row r="2248" spans="1:11" ht="11.25" x14ac:dyDescent="0.15">
      <c r="A2248" s="326">
        <v>1.4</v>
      </c>
      <c r="B2248" s="327">
        <v>140</v>
      </c>
      <c r="C2248" s="327" t="s">
        <v>115</v>
      </c>
      <c r="D2248" s="327" t="s">
        <v>113</v>
      </c>
      <c r="E2248" s="328" t="s">
        <v>1588</v>
      </c>
      <c r="F2248" s="328">
        <v>10253.983039999999</v>
      </c>
      <c r="G2248" s="328">
        <v>17261.591199999999</v>
      </c>
      <c r="H2248" s="328">
        <v>12415.44752</v>
      </c>
      <c r="I2248" s="329">
        <v>0.1859823017396364</v>
      </c>
      <c r="J2248" s="329">
        <v>1.3870790916411229</v>
      </c>
      <c r="K2248" s="329">
        <v>1.3469083259649308</v>
      </c>
    </row>
    <row r="2249" spans="1:11" ht="11.25" x14ac:dyDescent="0.15">
      <c r="A2249" s="326">
        <v>0.9</v>
      </c>
      <c r="B2249" s="327">
        <v>150</v>
      </c>
      <c r="C2249" s="327" t="s">
        <v>115</v>
      </c>
      <c r="D2249" s="327" t="s">
        <v>79</v>
      </c>
      <c r="E2249" s="328" t="s">
        <v>1589</v>
      </c>
      <c r="F2249" s="328">
        <v>28242.557999999997</v>
      </c>
      <c r="G2249" s="328">
        <v>5400.5876999999991</v>
      </c>
      <c r="H2249" s="328">
        <v>5067.1818000000003</v>
      </c>
      <c r="I2249" s="329">
        <v>0.51225128063554726</v>
      </c>
      <c r="J2249" s="329">
        <v>0.4339717117877418</v>
      </c>
      <c r="K2249" s="329">
        <v>0.54972076879255061</v>
      </c>
    </row>
    <row r="2250" spans="1:11" ht="11.25" x14ac:dyDescent="0.15">
      <c r="A2250" s="326">
        <v>0.9</v>
      </c>
      <c r="B2250" s="327">
        <v>150</v>
      </c>
      <c r="C2250" s="327" t="s">
        <v>115</v>
      </c>
      <c r="D2250" s="327" t="s">
        <v>114</v>
      </c>
      <c r="E2250" s="328" t="s">
        <v>1590</v>
      </c>
      <c r="F2250" s="328">
        <v>8234.1045000000013</v>
      </c>
      <c r="G2250" s="328">
        <v>5381.1891000000005</v>
      </c>
      <c r="H2250" s="328">
        <v>5004.5130000000008</v>
      </c>
      <c r="I2250" s="329">
        <v>0.14934661991353346</v>
      </c>
      <c r="J2250" s="329">
        <v>0.43241291039131502</v>
      </c>
      <c r="K2250" s="329">
        <v>0.5429220506342034</v>
      </c>
    </row>
    <row r="2251" spans="1:11" ht="11.25" x14ac:dyDescent="0.15">
      <c r="A2251" s="326">
        <v>0.9</v>
      </c>
      <c r="B2251" s="327">
        <v>150</v>
      </c>
      <c r="C2251" s="327" t="s">
        <v>115</v>
      </c>
      <c r="D2251" s="327" t="s">
        <v>113</v>
      </c>
      <c r="E2251" s="328" t="s">
        <v>1591</v>
      </c>
      <c r="F2251" s="328">
        <v>3318.2298000000001</v>
      </c>
      <c r="G2251" s="328">
        <v>5145.7085999999999</v>
      </c>
      <c r="H2251" s="328">
        <v>4928.4035999999996</v>
      </c>
      <c r="I2251" s="329">
        <v>6.0184614456418428E-2</v>
      </c>
      <c r="J2251" s="329">
        <v>0.41349054835326621</v>
      </c>
      <c r="K2251" s="329">
        <v>0.53466520895539482</v>
      </c>
    </row>
    <row r="2252" spans="1:11" ht="11.25" x14ac:dyDescent="0.15">
      <c r="A2252" s="326">
        <v>0.92500000000000004</v>
      </c>
      <c r="B2252" s="327">
        <v>150</v>
      </c>
      <c r="C2252" s="327" t="s">
        <v>115</v>
      </c>
      <c r="D2252" s="327" t="s">
        <v>79</v>
      </c>
      <c r="E2252" s="328" t="s">
        <v>1592</v>
      </c>
      <c r="F2252" s="328">
        <v>30337.724500000004</v>
      </c>
      <c r="G2252" s="328">
        <v>5833.6262750000005</v>
      </c>
      <c r="H2252" s="328">
        <v>5365.7474000000002</v>
      </c>
      <c r="I2252" s="329">
        <v>0.55025250286087479</v>
      </c>
      <c r="J2252" s="329">
        <v>0.46876912682886313</v>
      </c>
      <c r="K2252" s="329">
        <v>0.58211110283720813</v>
      </c>
    </row>
    <row r="2253" spans="1:11" ht="11.25" x14ac:dyDescent="0.15">
      <c r="A2253" s="326">
        <v>0.92500000000000004</v>
      </c>
      <c r="B2253" s="327">
        <v>150</v>
      </c>
      <c r="C2253" s="327" t="s">
        <v>115</v>
      </c>
      <c r="D2253" s="327" t="s">
        <v>114</v>
      </c>
      <c r="E2253" s="328" t="s">
        <v>1593</v>
      </c>
      <c r="F2253" s="328">
        <v>8872.605550000002</v>
      </c>
      <c r="G2253" s="328">
        <v>5791.3565499999995</v>
      </c>
      <c r="H2253" s="328">
        <v>5300.6570000000002</v>
      </c>
      <c r="I2253" s="329">
        <v>0.16092747532151888</v>
      </c>
      <c r="J2253" s="329">
        <v>0.46537248447546753</v>
      </c>
      <c r="K2253" s="329">
        <v>0.57504967379414229</v>
      </c>
    </row>
    <row r="2254" spans="1:11" ht="11.25" x14ac:dyDescent="0.15">
      <c r="A2254" s="326">
        <v>0.92500000000000004</v>
      </c>
      <c r="B2254" s="327">
        <v>150</v>
      </c>
      <c r="C2254" s="327" t="s">
        <v>115</v>
      </c>
      <c r="D2254" s="327" t="s">
        <v>113</v>
      </c>
      <c r="E2254" s="328" t="s">
        <v>1594</v>
      </c>
      <c r="F2254" s="328">
        <v>3570.4861250000004</v>
      </c>
      <c r="G2254" s="328">
        <v>5497.9077000000007</v>
      </c>
      <c r="H2254" s="328">
        <v>5221.4640500000005</v>
      </c>
      <c r="I2254" s="329">
        <v>6.4759930386712947E-2</v>
      </c>
      <c r="J2254" s="329">
        <v>0.44179199530821561</v>
      </c>
      <c r="K2254" s="329">
        <v>0.56645830859841362</v>
      </c>
    </row>
    <row r="2255" spans="1:11" ht="11.25" x14ac:dyDescent="0.15">
      <c r="A2255" s="326">
        <v>0.95</v>
      </c>
      <c r="B2255" s="327">
        <v>150</v>
      </c>
      <c r="C2255" s="327" t="s">
        <v>115</v>
      </c>
      <c r="D2255" s="327" t="s">
        <v>79</v>
      </c>
      <c r="E2255" s="328" t="s">
        <v>1595</v>
      </c>
      <c r="F2255" s="328">
        <v>32547.227999999996</v>
      </c>
      <c r="G2255" s="328">
        <v>6294.1518499999993</v>
      </c>
      <c r="H2255" s="328">
        <v>5672.9031499999992</v>
      </c>
      <c r="I2255" s="329">
        <v>0.59032752005456235</v>
      </c>
      <c r="J2255" s="329">
        <v>0.50577529786183861</v>
      </c>
      <c r="K2255" s="329">
        <v>0.6154333521058355</v>
      </c>
    </row>
    <row r="2256" spans="1:11" ht="11.25" x14ac:dyDescent="0.15">
      <c r="A2256" s="326">
        <v>0.95</v>
      </c>
      <c r="B2256" s="327">
        <v>150</v>
      </c>
      <c r="C2256" s="327" t="s">
        <v>115</v>
      </c>
      <c r="D2256" s="327" t="s">
        <v>114</v>
      </c>
      <c r="E2256" s="328" t="s">
        <v>1596</v>
      </c>
      <c r="F2256" s="328">
        <v>9549.9224999999988</v>
      </c>
      <c r="G2256" s="328">
        <v>6228.48405</v>
      </c>
      <c r="H2256" s="328">
        <v>5605.7353000000003</v>
      </c>
      <c r="I2256" s="329">
        <v>0.17321235670633045</v>
      </c>
      <c r="J2256" s="329">
        <v>0.50049847075368248</v>
      </c>
      <c r="K2256" s="329">
        <v>0.60814654780366062</v>
      </c>
    </row>
    <row r="2257" spans="1:11" ht="11.25" x14ac:dyDescent="0.15">
      <c r="A2257" s="326">
        <v>0.95</v>
      </c>
      <c r="B2257" s="327">
        <v>150</v>
      </c>
      <c r="C2257" s="327" t="s">
        <v>115</v>
      </c>
      <c r="D2257" s="327" t="s">
        <v>113</v>
      </c>
      <c r="E2257" s="328" t="s">
        <v>1597</v>
      </c>
      <c r="F2257" s="328">
        <v>3837.7178500000005</v>
      </c>
      <c r="G2257" s="328">
        <v>5872.2901000000002</v>
      </c>
      <c r="H2257" s="328">
        <v>5523.3123499999992</v>
      </c>
      <c r="I2257" s="329">
        <v>6.9606863633966842E-2</v>
      </c>
      <c r="J2257" s="329">
        <v>0.47187601208868618</v>
      </c>
      <c r="K2257" s="329">
        <v>0.59920477124451876</v>
      </c>
    </row>
    <row r="2258" spans="1:11" ht="11.25" x14ac:dyDescent="0.15">
      <c r="A2258" s="326">
        <v>0.97499999999999998</v>
      </c>
      <c r="B2258" s="327">
        <v>150</v>
      </c>
      <c r="C2258" s="327" t="s">
        <v>115</v>
      </c>
      <c r="D2258" s="327" t="s">
        <v>79</v>
      </c>
      <c r="E2258" s="328" t="s">
        <v>1598</v>
      </c>
      <c r="F2258" s="328">
        <v>34875.38925</v>
      </c>
      <c r="G2258" s="328">
        <v>6783.4454999999998</v>
      </c>
      <c r="H2258" s="328">
        <v>5988.5660250000001</v>
      </c>
      <c r="I2258" s="329">
        <v>0.63255470010810277</v>
      </c>
      <c r="J2258" s="329">
        <v>0.54509316744432357</v>
      </c>
      <c r="K2258" s="329">
        <v>0.64967850950758244</v>
      </c>
    </row>
    <row r="2259" spans="1:11" ht="11.25" x14ac:dyDescent="0.15">
      <c r="A2259" s="326">
        <v>0.97499999999999998</v>
      </c>
      <c r="B2259" s="327">
        <v>150</v>
      </c>
      <c r="C2259" s="327" t="s">
        <v>115</v>
      </c>
      <c r="D2259" s="327" t="s">
        <v>114</v>
      </c>
      <c r="E2259" s="328" t="s">
        <v>1599</v>
      </c>
      <c r="F2259" s="328">
        <v>10267.949250000001</v>
      </c>
      <c r="G2259" s="328">
        <v>6694.5684000000001</v>
      </c>
      <c r="H2259" s="328">
        <v>5919.0339000000004</v>
      </c>
      <c r="I2259" s="329">
        <v>0.1862356148056174</v>
      </c>
      <c r="J2259" s="329">
        <v>0.53795132485824171</v>
      </c>
      <c r="K2259" s="329">
        <v>0.64213521330874079</v>
      </c>
    </row>
    <row r="2260" spans="1:11" ht="11.25" x14ac:dyDescent="0.15">
      <c r="A2260" s="326">
        <v>0.97499999999999998</v>
      </c>
      <c r="B2260" s="327">
        <v>150</v>
      </c>
      <c r="C2260" s="327" t="s">
        <v>115</v>
      </c>
      <c r="D2260" s="327" t="s">
        <v>113</v>
      </c>
      <c r="E2260" s="328" t="s">
        <v>1600</v>
      </c>
      <c r="F2260" s="328">
        <v>4120.6454250000006</v>
      </c>
      <c r="G2260" s="328">
        <v>6268.7137499999999</v>
      </c>
      <c r="H2260" s="328">
        <v>5833.6121999999996</v>
      </c>
      <c r="I2260" s="329">
        <v>7.4738481408138005E-2</v>
      </c>
      <c r="J2260" s="329">
        <v>0.50373118406999562</v>
      </c>
      <c r="K2260" s="329">
        <v>0.63286811288704936</v>
      </c>
    </row>
    <row r="2261" spans="1:11" ht="11.25" x14ac:dyDescent="0.15">
      <c r="A2261" s="326">
        <v>1</v>
      </c>
      <c r="B2261" s="327">
        <v>150</v>
      </c>
      <c r="C2261" s="327" t="s">
        <v>115</v>
      </c>
      <c r="D2261" s="327" t="s">
        <v>79</v>
      </c>
      <c r="E2261" s="328" t="s">
        <v>1601</v>
      </c>
      <c r="F2261" s="328">
        <v>37326.660000000003</v>
      </c>
      <c r="G2261" s="328">
        <v>7302.951</v>
      </c>
      <c r="H2261" s="328">
        <v>6313.1959999999999</v>
      </c>
      <c r="I2261" s="329">
        <v>0.67701478693423101</v>
      </c>
      <c r="J2261" s="329">
        <v>0.5868387521180336</v>
      </c>
      <c r="K2261" s="329">
        <v>0.68489647611578786</v>
      </c>
    </row>
    <row r="2262" spans="1:11" ht="11.25" x14ac:dyDescent="0.15">
      <c r="A2262" s="326">
        <v>1</v>
      </c>
      <c r="B2262" s="327">
        <v>150</v>
      </c>
      <c r="C2262" s="327" t="s">
        <v>115</v>
      </c>
      <c r="D2262" s="327" t="s">
        <v>114</v>
      </c>
      <c r="E2262" s="328" t="s">
        <v>1602</v>
      </c>
      <c r="F2262" s="328">
        <v>11028.66</v>
      </c>
      <c r="G2262" s="328">
        <v>7189.1880000000001</v>
      </c>
      <c r="H2262" s="328">
        <v>6241.2119999999995</v>
      </c>
      <c r="I2262" s="329">
        <v>0.20003305680363778</v>
      </c>
      <c r="J2262" s="329">
        <v>0.5776971685366562</v>
      </c>
      <c r="K2262" s="329">
        <v>0.67708718460373607</v>
      </c>
    </row>
    <row r="2263" spans="1:11" ht="11.25" x14ac:dyDescent="0.15">
      <c r="A2263" s="326">
        <v>1</v>
      </c>
      <c r="B2263" s="327">
        <v>150</v>
      </c>
      <c r="C2263" s="327" t="s">
        <v>115</v>
      </c>
      <c r="D2263" s="327" t="s">
        <v>113</v>
      </c>
      <c r="E2263" s="328" t="s">
        <v>1603</v>
      </c>
      <c r="F2263" s="328">
        <v>4420.0129999999999</v>
      </c>
      <c r="G2263" s="328">
        <v>6689.39</v>
      </c>
      <c r="H2263" s="328">
        <v>6152.5839999999998</v>
      </c>
      <c r="I2263" s="329">
        <v>8.0168280779516057E-2</v>
      </c>
      <c r="J2263" s="329">
        <v>0.53753520734711935</v>
      </c>
      <c r="K2263" s="329">
        <v>0.66747224394844995</v>
      </c>
    </row>
    <row r="2264" spans="1:11" ht="11.25" x14ac:dyDescent="0.15">
      <c r="A2264" s="326">
        <v>1.0249999999999999</v>
      </c>
      <c r="B2264" s="327">
        <v>150</v>
      </c>
      <c r="C2264" s="327" t="s">
        <v>115</v>
      </c>
      <c r="D2264" s="327" t="s">
        <v>79</v>
      </c>
      <c r="E2264" s="328" t="s">
        <v>1604</v>
      </c>
      <c r="F2264" s="328">
        <v>39905.566499999994</v>
      </c>
      <c r="G2264" s="328">
        <v>7853.2527500000006</v>
      </c>
      <c r="H2264" s="328">
        <v>6646.1020499999986</v>
      </c>
      <c r="I2264" s="329">
        <v>0.72378987569440389</v>
      </c>
      <c r="J2264" s="329">
        <v>0.63105901215515703</v>
      </c>
      <c r="K2264" s="329">
        <v>0.72101228505354698</v>
      </c>
    </row>
    <row r="2265" spans="1:11" ht="11.25" x14ac:dyDescent="0.15">
      <c r="A2265" s="326">
        <v>1.0249999999999999</v>
      </c>
      <c r="B2265" s="327">
        <v>150</v>
      </c>
      <c r="C2265" s="327" t="s">
        <v>115</v>
      </c>
      <c r="D2265" s="327" t="s">
        <v>114</v>
      </c>
      <c r="E2265" s="328" t="s">
        <v>1605</v>
      </c>
      <c r="F2265" s="328">
        <v>11834.0965</v>
      </c>
      <c r="G2265" s="328">
        <v>7715.186275</v>
      </c>
      <c r="H2265" s="328">
        <v>6571.8438749999996</v>
      </c>
      <c r="I2265" s="329">
        <v>0.2146417150772833</v>
      </c>
      <c r="J2265" s="329">
        <v>0.61996448914680924</v>
      </c>
      <c r="K2265" s="329">
        <v>0.71295627627759761</v>
      </c>
    </row>
    <row r="2266" spans="1:11" ht="11.25" x14ac:dyDescent="0.15">
      <c r="A2266" s="326">
        <v>1.0249999999999999</v>
      </c>
      <c r="B2266" s="327">
        <v>150</v>
      </c>
      <c r="C2266" s="327" t="s">
        <v>115</v>
      </c>
      <c r="D2266" s="327" t="s">
        <v>113</v>
      </c>
      <c r="E2266" s="328" t="s">
        <v>1606</v>
      </c>
      <c r="F2266" s="328">
        <v>4736.5946999999987</v>
      </c>
      <c r="G2266" s="328">
        <v>7135.3806749999994</v>
      </c>
      <c r="H2266" s="328">
        <v>6480.1647999999996</v>
      </c>
      <c r="I2266" s="329">
        <v>8.5910302491953638E-2</v>
      </c>
      <c r="J2266" s="329">
        <v>0.57337340634000311</v>
      </c>
      <c r="K2266" s="329">
        <v>0.70301033520416112</v>
      </c>
    </row>
    <row r="2267" spans="1:11" ht="11.25" x14ac:dyDescent="0.15">
      <c r="A2267" s="326">
        <v>1.05</v>
      </c>
      <c r="B2267" s="327">
        <v>150</v>
      </c>
      <c r="C2267" s="327" t="s">
        <v>115</v>
      </c>
      <c r="D2267" s="327" t="s">
        <v>79</v>
      </c>
      <c r="E2267" s="328" t="s">
        <v>1607</v>
      </c>
      <c r="F2267" s="328">
        <v>42616.759500000007</v>
      </c>
      <c r="G2267" s="328">
        <v>8435.373450000001</v>
      </c>
      <c r="H2267" s="328">
        <v>6987.8298000000004</v>
      </c>
      <c r="I2267" s="329">
        <v>0.77296431967713863</v>
      </c>
      <c r="J2267" s="329">
        <v>0.67783612803202331</v>
      </c>
      <c r="K2267" s="329">
        <v>0.75808512926208704</v>
      </c>
    </row>
    <row r="2268" spans="1:11" ht="11.25" x14ac:dyDescent="0.15">
      <c r="A2268" s="326">
        <v>1.05</v>
      </c>
      <c r="B2268" s="327">
        <v>150</v>
      </c>
      <c r="C2268" s="327" t="s">
        <v>115</v>
      </c>
      <c r="D2268" s="327" t="s">
        <v>114</v>
      </c>
      <c r="E2268" s="328" t="s">
        <v>1608</v>
      </c>
      <c r="F2268" s="328">
        <v>12686.404500000001</v>
      </c>
      <c r="G2268" s="328">
        <v>8272.5142500000002</v>
      </c>
      <c r="H2268" s="328">
        <v>6910.9666500000003</v>
      </c>
      <c r="I2268" s="329">
        <v>0.23010050831038642</v>
      </c>
      <c r="J2268" s="329">
        <v>0.66474935123467904</v>
      </c>
      <c r="K2268" s="329">
        <v>0.74974651589127461</v>
      </c>
    </row>
    <row r="2269" spans="1:11" ht="11.25" x14ac:dyDescent="0.15">
      <c r="A2269" s="326">
        <v>1.05</v>
      </c>
      <c r="B2269" s="327">
        <v>150</v>
      </c>
      <c r="C2269" s="327" t="s">
        <v>115</v>
      </c>
      <c r="D2269" s="327" t="s">
        <v>113</v>
      </c>
      <c r="E2269" s="328" t="s">
        <v>1609</v>
      </c>
      <c r="F2269" s="328">
        <v>5071.1976000000004</v>
      </c>
      <c r="G2269" s="328">
        <v>7608.5772000000006</v>
      </c>
      <c r="H2269" s="328">
        <v>6816.3227999999999</v>
      </c>
      <c r="I2269" s="329">
        <v>9.1979184922127602E-2</v>
      </c>
      <c r="J2269" s="329">
        <v>0.61139776912671639</v>
      </c>
      <c r="K2269" s="329">
        <v>0.73947893678379384</v>
      </c>
    </row>
    <row r="2270" spans="1:11" ht="11.25" x14ac:dyDescent="0.15">
      <c r="A2270" s="326">
        <v>1.075</v>
      </c>
      <c r="B2270" s="327">
        <v>150</v>
      </c>
      <c r="C2270" s="327" t="s">
        <v>115</v>
      </c>
      <c r="D2270" s="327" t="s">
        <v>79</v>
      </c>
      <c r="E2270" s="328" t="s">
        <v>1610</v>
      </c>
      <c r="F2270" s="328">
        <v>45464.953500000003</v>
      </c>
      <c r="G2270" s="328">
        <v>9048.6329750000004</v>
      </c>
      <c r="H2270" s="328">
        <v>7338.2165999999988</v>
      </c>
      <c r="I2270" s="329">
        <v>0.8246236284408307</v>
      </c>
      <c r="J2270" s="329">
        <v>0.7271154473613598</v>
      </c>
      <c r="K2270" s="329">
        <v>0.79609736341377291</v>
      </c>
    </row>
    <row r="2271" spans="1:11" ht="11.25" x14ac:dyDescent="0.15">
      <c r="A2271" s="326">
        <v>1.075</v>
      </c>
      <c r="B2271" s="327">
        <v>150</v>
      </c>
      <c r="C2271" s="327" t="s">
        <v>115</v>
      </c>
      <c r="D2271" s="327" t="s">
        <v>114</v>
      </c>
      <c r="E2271" s="328" t="s">
        <v>1611</v>
      </c>
      <c r="F2271" s="328">
        <v>13587.785</v>
      </c>
      <c r="G2271" s="328">
        <v>8863.466375</v>
      </c>
      <c r="H2271" s="328">
        <v>7259.2030249999998</v>
      </c>
      <c r="I2271" s="329">
        <v>0.24644935728734202</v>
      </c>
      <c r="J2271" s="329">
        <v>0.7122361285109472</v>
      </c>
      <c r="K2271" s="329">
        <v>0.78752545798222762</v>
      </c>
    </row>
    <row r="2272" spans="1:11" ht="11.25" x14ac:dyDescent="0.15">
      <c r="A2272" s="326">
        <v>1.075</v>
      </c>
      <c r="B2272" s="327">
        <v>150</v>
      </c>
      <c r="C2272" s="327" t="s">
        <v>115</v>
      </c>
      <c r="D2272" s="327" t="s">
        <v>113</v>
      </c>
      <c r="E2272" s="328" t="s">
        <v>1612</v>
      </c>
      <c r="F2272" s="328">
        <v>5424.6596249999993</v>
      </c>
      <c r="G2272" s="328">
        <v>8108.8120749999998</v>
      </c>
      <c r="H2272" s="328">
        <v>7160.8845999999994</v>
      </c>
      <c r="I2272" s="329">
        <v>9.8390125990648489E-2</v>
      </c>
      <c r="J2272" s="329">
        <v>0.65159483601254375</v>
      </c>
      <c r="K2272" s="329">
        <v>0.77685923712994376</v>
      </c>
    </row>
    <row r="2273" spans="1:11" ht="11.25" x14ac:dyDescent="0.15">
      <c r="A2273" s="326">
        <v>1.1000000000000001</v>
      </c>
      <c r="B2273" s="327">
        <v>150</v>
      </c>
      <c r="C2273" s="327" t="s">
        <v>115</v>
      </c>
      <c r="D2273" s="327" t="s">
        <v>79</v>
      </c>
      <c r="E2273" s="328" t="s">
        <v>1613</v>
      </c>
      <c r="F2273" s="328">
        <v>48455.011000000006</v>
      </c>
      <c r="G2273" s="328">
        <v>9697.288700000001</v>
      </c>
      <c r="H2273" s="328">
        <v>7697.0267000000013</v>
      </c>
      <c r="I2273" s="329">
        <v>0.87885599590375396</v>
      </c>
      <c r="J2273" s="329">
        <v>0.7792390774135427</v>
      </c>
      <c r="K2273" s="329">
        <v>0.83502341181853568</v>
      </c>
    </row>
    <row r="2274" spans="1:11" ht="11.25" x14ac:dyDescent="0.15">
      <c r="A2274" s="326">
        <v>1.1000000000000001</v>
      </c>
      <c r="B2274" s="327">
        <v>150</v>
      </c>
      <c r="C2274" s="327" t="s">
        <v>115</v>
      </c>
      <c r="D2274" s="327" t="s">
        <v>114</v>
      </c>
      <c r="E2274" s="328" t="s">
        <v>1614</v>
      </c>
      <c r="F2274" s="328">
        <v>14540.559000000001</v>
      </c>
      <c r="G2274" s="328">
        <v>9488.0390000000007</v>
      </c>
      <c r="H2274" s="328">
        <v>7615.208700000001</v>
      </c>
      <c r="I2274" s="329">
        <v>0.26373035930055394</v>
      </c>
      <c r="J2274" s="329">
        <v>0.76242452767480373</v>
      </c>
      <c r="K2274" s="329">
        <v>0.82614726416165296</v>
      </c>
    </row>
    <row r="2275" spans="1:11" ht="11.25" x14ac:dyDescent="0.15">
      <c r="A2275" s="326">
        <v>1.1000000000000001</v>
      </c>
      <c r="B2275" s="327">
        <v>150</v>
      </c>
      <c r="C2275" s="327" t="s">
        <v>115</v>
      </c>
      <c r="D2275" s="327" t="s">
        <v>113</v>
      </c>
      <c r="E2275" s="328" t="s">
        <v>1615</v>
      </c>
      <c r="F2275" s="328">
        <v>5797.8536000000004</v>
      </c>
      <c r="G2275" s="328">
        <v>8638.2350999999999</v>
      </c>
      <c r="H2275" s="328">
        <v>7514.1308000000008</v>
      </c>
      <c r="I2275" s="329">
        <v>0.10515895661920632</v>
      </c>
      <c r="J2275" s="329">
        <v>0.69413735715688041</v>
      </c>
      <c r="K2275" s="329">
        <v>0.81518167755176718</v>
      </c>
    </row>
    <row r="2276" spans="1:11" ht="11.25" x14ac:dyDescent="0.15">
      <c r="A2276" s="326">
        <v>1.125</v>
      </c>
      <c r="B2276" s="327">
        <v>150</v>
      </c>
      <c r="C2276" s="327" t="s">
        <v>115</v>
      </c>
      <c r="D2276" s="327" t="s">
        <v>79</v>
      </c>
      <c r="E2276" s="328" t="s">
        <v>1616</v>
      </c>
      <c r="F2276" s="328">
        <v>51591.87</v>
      </c>
      <c r="G2276" s="328">
        <v>10377.905624999999</v>
      </c>
      <c r="H2276" s="328">
        <v>8065.0991249999997</v>
      </c>
      <c r="I2276" s="329">
        <v>0.93575098537047086</v>
      </c>
      <c r="J2276" s="329">
        <v>0.83393099400142778</v>
      </c>
      <c r="K2276" s="329">
        <v>0.87495429735383223</v>
      </c>
    </row>
    <row r="2277" spans="1:11" ht="11.25" x14ac:dyDescent="0.15">
      <c r="A2277" s="326">
        <v>1.125</v>
      </c>
      <c r="B2277" s="327">
        <v>150</v>
      </c>
      <c r="C2277" s="327" t="s">
        <v>115</v>
      </c>
      <c r="D2277" s="327" t="s">
        <v>114</v>
      </c>
      <c r="E2277" s="328" t="s">
        <v>1617</v>
      </c>
      <c r="F2277" s="328">
        <v>15547.1175</v>
      </c>
      <c r="G2277" s="328">
        <v>10147.505625000002</v>
      </c>
      <c r="H2277" s="328">
        <v>7980.4035000000003</v>
      </c>
      <c r="I2277" s="329">
        <v>0.28198688127209753</v>
      </c>
      <c r="J2277" s="329">
        <v>0.81541688258427691</v>
      </c>
      <c r="K2277" s="329">
        <v>0.86576596626052793</v>
      </c>
    </row>
    <row r="2278" spans="1:11" ht="11.25" x14ac:dyDescent="0.15">
      <c r="A2278" s="326">
        <v>1.125</v>
      </c>
      <c r="B2278" s="327">
        <v>150</v>
      </c>
      <c r="C2278" s="327" t="s">
        <v>115</v>
      </c>
      <c r="D2278" s="327" t="s">
        <v>113</v>
      </c>
      <c r="E2278" s="328" t="s">
        <v>1618</v>
      </c>
      <c r="F2278" s="328">
        <v>6191.6861250000002</v>
      </c>
      <c r="G2278" s="328">
        <v>9197.3823749999992</v>
      </c>
      <c r="H2278" s="328">
        <v>7875.9674999999997</v>
      </c>
      <c r="I2278" s="329">
        <v>0.11230212032580758</v>
      </c>
      <c r="J2278" s="329">
        <v>0.73906841161845338</v>
      </c>
      <c r="K2278" s="329">
        <v>0.85443607116783182</v>
      </c>
    </row>
    <row r="2279" spans="1:11" ht="11.25" x14ac:dyDescent="0.15">
      <c r="A2279" s="326">
        <v>1.1499999999999999</v>
      </c>
      <c r="B2279" s="327">
        <v>150</v>
      </c>
      <c r="C2279" s="327" t="s">
        <v>115</v>
      </c>
      <c r="D2279" s="327" t="s">
        <v>79</v>
      </c>
      <c r="E2279" s="328" t="s">
        <v>1619</v>
      </c>
      <c r="F2279" s="328">
        <v>54880.587499999994</v>
      </c>
      <c r="G2279" s="328">
        <v>11093.126549999999</v>
      </c>
      <c r="H2279" s="328">
        <v>8441.8832000000002</v>
      </c>
      <c r="I2279" s="329">
        <v>0.99540031851598587</v>
      </c>
      <c r="J2279" s="329">
        <v>0.89140356298288548</v>
      </c>
      <c r="K2279" s="329">
        <v>0.9158302792216606</v>
      </c>
    </row>
    <row r="2280" spans="1:11" ht="11.25" x14ac:dyDescent="0.15">
      <c r="A2280" s="326">
        <v>1.1499999999999999</v>
      </c>
      <c r="B2280" s="327">
        <v>150</v>
      </c>
      <c r="C2280" s="327" t="s">
        <v>115</v>
      </c>
      <c r="D2280" s="327" t="s">
        <v>114</v>
      </c>
      <c r="E2280" s="328" t="s">
        <v>1620</v>
      </c>
      <c r="F2280" s="328">
        <v>16609.932999999997</v>
      </c>
      <c r="G2280" s="328">
        <v>10842.610549999999</v>
      </c>
      <c r="H2280" s="328">
        <v>8354.288849999999</v>
      </c>
      <c r="I2280" s="329">
        <v>0.30126376833573776</v>
      </c>
      <c r="J2280" s="329">
        <v>0.87127300249773354</v>
      </c>
      <c r="K2280" s="329">
        <v>0.90632747562699101</v>
      </c>
    </row>
    <row r="2281" spans="1:11" ht="11.25" x14ac:dyDescent="0.15">
      <c r="A2281" s="326">
        <v>1.1499999999999999</v>
      </c>
      <c r="B2281" s="327">
        <v>150</v>
      </c>
      <c r="C2281" s="327" t="s">
        <v>115</v>
      </c>
      <c r="D2281" s="327" t="s">
        <v>113</v>
      </c>
      <c r="E2281" s="328" t="s">
        <v>1621</v>
      </c>
      <c r="F2281" s="328">
        <v>6607.0961500000003</v>
      </c>
      <c r="G2281" s="328">
        <v>9787.6270000000004</v>
      </c>
      <c r="H2281" s="328">
        <v>8246.4084999999995</v>
      </c>
      <c r="I2281" s="329">
        <v>0.1198366473787429</v>
      </c>
      <c r="J2281" s="329">
        <v>0.7864983367513726</v>
      </c>
      <c r="K2281" s="329">
        <v>0.89462391509170314</v>
      </c>
    </row>
    <row r="2282" spans="1:11" ht="11.25" x14ac:dyDescent="0.15">
      <c r="A2282" s="326">
        <v>1.175</v>
      </c>
      <c r="B2282" s="327">
        <v>150</v>
      </c>
      <c r="C2282" s="327" t="s">
        <v>115</v>
      </c>
      <c r="D2282" s="327" t="s">
        <v>79</v>
      </c>
      <c r="E2282" s="328" t="s">
        <v>1622</v>
      </c>
      <c r="F2282" s="328">
        <v>58326.330249999999</v>
      </c>
      <c r="G2282" s="328">
        <v>11844.399500000001</v>
      </c>
      <c r="H2282" s="328">
        <v>8827.2356749999999</v>
      </c>
      <c r="I2282" s="329">
        <v>1.0578977076132539</v>
      </c>
      <c r="J2282" s="329">
        <v>0.95177314241427358</v>
      </c>
      <c r="K2282" s="329">
        <v>0.95763581673229659</v>
      </c>
    </row>
    <row r="2283" spans="1:11" ht="11.25" x14ac:dyDescent="0.15">
      <c r="A2283" s="326">
        <v>1.175</v>
      </c>
      <c r="B2283" s="327">
        <v>150</v>
      </c>
      <c r="C2283" s="327" t="s">
        <v>115</v>
      </c>
      <c r="D2283" s="327" t="s">
        <v>114</v>
      </c>
      <c r="E2283" s="328" t="s">
        <v>1623</v>
      </c>
      <c r="F2283" s="328">
        <v>17731.619500000001</v>
      </c>
      <c r="G2283" s="328">
        <v>11574.856850000002</v>
      </c>
      <c r="H2283" s="328">
        <v>8736.6760750000012</v>
      </c>
      <c r="I2283" s="329">
        <v>0.32160843209093326</v>
      </c>
      <c r="J2283" s="329">
        <v>0.93011366909060111</v>
      </c>
      <c r="K2283" s="329">
        <v>0.94781132357250009</v>
      </c>
    </row>
    <row r="2284" spans="1:11" ht="11.25" x14ac:dyDescent="0.15">
      <c r="A2284" s="326">
        <v>1.175</v>
      </c>
      <c r="B2284" s="327">
        <v>150</v>
      </c>
      <c r="C2284" s="327" t="s">
        <v>115</v>
      </c>
      <c r="D2284" s="327" t="s">
        <v>113</v>
      </c>
      <c r="E2284" s="328" t="s">
        <v>1624</v>
      </c>
      <c r="F2284" s="328">
        <v>7045.0697</v>
      </c>
      <c r="G2284" s="328">
        <v>10410.173350000001</v>
      </c>
      <c r="H2284" s="328">
        <v>8625.7184750000015</v>
      </c>
      <c r="I2284" s="329">
        <v>0.12778042187225713</v>
      </c>
      <c r="J2284" s="329">
        <v>0.83652391177845908</v>
      </c>
      <c r="K2284" s="329">
        <v>0.93577392298518036</v>
      </c>
    </row>
    <row r="2285" spans="1:11" ht="11.25" x14ac:dyDescent="0.15">
      <c r="A2285" s="326">
        <v>1.2</v>
      </c>
      <c r="B2285" s="327">
        <v>150</v>
      </c>
      <c r="C2285" s="327" t="s">
        <v>115</v>
      </c>
      <c r="D2285" s="327" t="s">
        <v>79</v>
      </c>
      <c r="E2285" s="328" t="s">
        <v>1625</v>
      </c>
      <c r="F2285" s="328">
        <v>61934.351999999999</v>
      </c>
      <c r="G2285" s="328">
        <v>12631.056</v>
      </c>
      <c r="H2285" s="328">
        <v>9221.467200000001</v>
      </c>
      <c r="I2285" s="329">
        <v>1.1233384429035347</v>
      </c>
      <c r="J2285" s="329">
        <v>1.0149860160602202</v>
      </c>
      <c r="K2285" s="329">
        <v>1.0004046112139275</v>
      </c>
    </row>
    <row r="2286" spans="1:11" ht="11.25" x14ac:dyDescent="0.15">
      <c r="A2286" s="326">
        <v>1.2</v>
      </c>
      <c r="B2286" s="327">
        <v>150</v>
      </c>
      <c r="C2286" s="327" t="s">
        <v>115</v>
      </c>
      <c r="D2286" s="327" t="s">
        <v>114</v>
      </c>
      <c r="E2286" s="328" t="s">
        <v>1626</v>
      </c>
      <c r="F2286" s="328">
        <v>18914.856</v>
      </c>
      <c r="G2286" s="328">
        <v>12343.955999999998</v>
      </c>
      <c r="H2286" s="328">
        <v>9127.5468000000001</v>
      </c>
      <c r="I2286" s="329">
        <v>0.34306946307898051</v>
      </c>
      <c r="J2286" s="329">
        <v>0.99191569753650444</v>
      </c>
      <c r="K2286" s="329">
        <v>0.99021551665779672</v>
      </c>
    </row>
    <row r="2287" spans="1:11" ht="11.25" x14ac:dyDescent="0.15">
      <c r="A2287" s="326">
        <v>1.2</v>
      </c>
      <c r="B2287" s="327">
        <v>150</v>
      </c>
      <c r="C2287" s="327" t="s">
        <v>115</v>
      </c>
      <c r="D2287" s="327" t="s">
        <v>113</v>
      </c>
      <c r="E2287" s="328" t="s">
        <v>1627</v>
      </c>
      <c r="F2287" s="328">
        <v>7506.6204000000007</v>
      </c>
      <c r="G2287" s="328">
        <v>11063.735999999999</v>
      </c>
      <c r="H2287" s="328">
        <v>9012.8267999999989</v>
      </c>
      <c r="I2287" s="329">
        <v>0.13615182849743726</v>
      </c>
      <c r="J2287" s="329">
        <v>0.88904184459177715</v>
      </c>
      <c r="K2287" s="329">
        <v>0.9777699464996702</v>
      </c>
    </row>
    <row r="2288" spans="1:11" ht="11.25" x14ac:dyDescent="0.15">
      <c r="A2288" s="326">
        <v>1.2250000000000001</v>
      </c>
      <c r="B2288" s="327">
        <v>150</v>
      </c>
      <c r="C2288" s="327" t="s">
        <v>115</v>
      </c>
      <c r="D2288" s="327" t="s">
        <v>79</v>
      </c>
      <c r="E2288" s="328" t="s">
        <v>1628</v>
      </c>
      <c r="F2288" s="328">
        <v>65710.028999999995</v>
      </c>
      <c r="G2288" s="328">
        <v>13453.084750000002</v>
      </c>
      <c r="H2288" s="328">
        <v>9624.4415750000007</v>
      </c>
      <c r="I2288" s="329">
        <v>1.1918200364800153</v>
      </c>
      <c r="J2288" s="329">
        <v>1.0810412758935599</v>
      </c>
      <c r="K2288" s="329">
        <v>1.0441218868065847</v>
      </c>
    </row>
    <row r="2289" spans="1:11" ht="11.25" x14ac:dyDescent="0.15">
      <c r="A2289" s="326">
        <v>1.2250000000000001</v>
      </c>
      <c r="B2289" s="327">
        <v>150</v>
      </c>
      <c r="C2289" s="327" t="s">
        <v>115</v>
      </c>
      <c r="D2289" s="327" t="s">
        <v>114</v>
      </c>
      <c r="E2289" s="328" t="s">
        <v>1629</v>
      </c>
      <c r="F2289" s="328">
        <v>20162.422000000006</v>
      </c>
      <c r="G2289" s="328">
        <v>13152.335000000001</v>
      </c>
      <c r="H2289" s="328">
        <v>9527.1447250000001</v>
      </c>
      <c r="I2289" s="329">
        <v>0.36569727466663382</v>
      </c>
      <c r="J2289" s="329">
        <v>1.0568741127851382</v>
      </c>
      <c r="K2289" s="329">
        <v>1.0335664930405482</v>
      </c>
    </row>
    <row r="2290" spans="1:11" ht="11.25" x14ac:dyDescent="0.15">
      <c r="A2290" s="326">
        <v>1.2250000000000001</v>
      </c>
      <c r="B2290" s="327">
        <v>150</v>
      </c>
      <c r="C2290" s="327" t="s">
        <v>115</v>
      </c>
      <c r="D2290" s="327" t="s">
        <v>113</v>
      </c>
      <c r="E2290" s="328" t="s">
        <v>1630</v>
      </c>
      <c r="F2290" s="328">
        <v>7992.8065000000006</v>
      </c>
      <c r="G2290" s="328">
        <v>11751.967675</v>
      </c>
      <c r="H2290" s="328">
        <v>9408.8342250000005</v>
      </c>
      <c r="I2290" s="329">
        <v>0.14497006133428589</v>
      </c>
      <c r="J2290" s="329">
        <v>0.94434565497269096</v>
      </c>
      <c r="K2290" s="329">
        <v>1.0207314021392841</v>
      </c>
    </row>
    <row r="2291" spans="1:11" ht="11.25" x14ac:dyDescent="0.15">
      <c r="A2291" s="326">
        <v>1.25</v>
      </c>
      <c r="B2291" s="327">
        <v>150</v>
      </c>
      <c r="C2291" s="327" t="s">
        <v>115</v>
      </c>
      <c r="D2291" s="327" t="s">
        <v>79</v>
      </c>
      <c r="E2291" s="328" t="s">
        <v>1631</v>
      </c>
      <c r="F2291" s="328">
        <v>69658.850000000006</v>
      </c>
      <c r="G2291" s="328">
        <v>14312.174999999999</v>
      </c>
      <c r="H2291" s="328">
        <v>10036.474999999999</v>
      </c>
      <c r="I2291" s="329">
        <v>1.2634420409121403</v>
      </c>
      <c r="J2291" s="329">
        <v>1.1500746639399493</v>
      </c>
      <c r="K2291" s="329">
        <v>1.0888219469384763</v>
      </c>
    </row>
    <row r="2292" spans="1:11" ht="11.25" x14ac:dyDescent="0.15">
      <c r="A2292" s="326">
        <v>1.25</v>
      </c>
      <c r="B2292" s="327">
        <v>150</v>
      </c>
      <c r="C2292" s="327" t="s">
        <v>115</v>
      </c>
      <c r="D2292" s="327" t="s">
        <v>114</v>
      </c>
      <c r="E2292" s="328" t="s">
        <v>1632</v>
      </c>
      <c r="F2292" s="328">
        <v>21477.212500000001</v>
      </c>
      <c r="G2292" s="328">
        <v>13998.0375</v>
      </c>
      <c r="H2292" s="328">
        <v>9935.8174999999992</v>
      </c>
      <c r="I2292" s="329">
        <v>0.38954437510960532</v>
      </c>
      <c r="J2292" s="329">
        <v>1.124831709620048</v>
      </c>
      <c r="K2292" s="329">
        <v>1.0779019680490796</v>
      </c>
    </row>
    <row r="2293" spans="1:11" ht="11.25" x14ac:dyDescent="0.15">
      <c r="A2293" s="326">
        <v>1.25</v>
      </c>
      <c r="B2293" s="327">
        <v>150</v>
      </c>
      <c r="C2293" s="327" t="s">
        <v>115</v>
      </c>
      <c r="D2293" s="327" t="s">
        <v>113</v>
      </c>
      <c r="E2293" s="328" t="s">
        <v>1633</v>
      </c>
      <c r="F2293" s="328">
        <v>8504.7300000000014</v>
      </c>
      <c r="G2293" s="328">
        <v>12474.75375</v>
      </c>
      <c r="H2293" s="328">
        <v>9813.7100000000009</v>
      </c>
      <c r="I2293" s="329">
        <v>0.15425510798135067</v>
      </c>
      <c r="J2293" s="329">
        <v>1.0024261320704138</v>
      </c>
      <c r="K2293" s="329">
        <v>1.0646549539444474</v>
      </c>
    </row>
    <row r="2294" spans="1:11" ht="11.25" x14ac:dyDescent="0.15">
      <c r="A2294" s="326">
        <v>1.2749999999999999</v>
      </c>
      <c r="B2294" s="327">
        <v>150</v>
      </c>
      <c r="C2294" s="327" t="s">
        <v>115</v>
      </c>
      <c r="D2294" s="327" t="s">
        <v>79</v>
      </c>
      <c r="E2294" s="328" t="s">
        <v>1634</v>
      </c>
      <c r="F2294" s="328">
        <v>73786.404750000002</v>
      </c>
      <c r="G2294" s="328">
        <v>15210.915749999998</v>
      </c>
      <c r="H2294" s="328">
        <v>10457.004299999999</v>
      </c>
      <c r="I2294" s="329">
        <v>1.3383058406635946</v>
      </c>
      <c r="J2294" s="329">
        <v>1.2222942228836728</v>
      </c>
      <c r="K2294" s="329">
        <v>1.1344436947304726</v>
      </c>
    </row>
    <row r="2295" spans="1:11" ht="11.25" x14ac:dyDescent="0.15">
      <c r="A2295" s="326">
        <v>1.2749999999999999</v>
      </c>
      <c r="B2295" s="327">
        <v>150</v>
      </c>
      <c r="C2295" s="327" t="s">
        <v>115</v>
      </c>
      <c r="D2295" s="327" t="s">
        <v>114</v>
      </c>
      <c r="E2295" s="328" t="s">
        <v>1635</v>
      </c>
      <c r="F2295" s="328">
        <v>22862.267250000001</v>
      </c>
      <c r="G2295" s="328">
        <v>14884.324500000001</v>
      </c>
      <c r="H2295" s="328">
        <v>10353.1173</v>
      </c>
      <c r="I2295" s="329">
        <v>0.41466589807639354</v>
      </c>
      <c r="J2295" s="329">
        <v>1.1960505302171511</v>
      </c>
      <c r="K2295" s="329">
        <v>1.1231733587209078</v>
      </c>
    </row>
    <row r="2296" spans="1:11" ht="11.25" x14ac:dyDescent="0.15">
      <c r="A2296" s="326">
        <v>1.2749999999999999</v>
      </c>
      <c r="B2296" s="327">
        <v>150</v>
      </c>
      <c r="C2296" s="327" t="s">
        <v>115</v>
      </c>
      <c r="D2296" s="327" t="s">
        <v>113</v>
      </c>
      <c r="E2296" s="328" t="s">
        <v>1636</v>
      </c>
      <c r="F2296" s="328">
        <v>9043.5329249999995</v>
      </c>
      <c r="G2296" s="328">
        <v>13232.52375</v>
      </c>
      <c r="H2296" s="328">
        <v>10226.8413</v>
      </c>
      <c r="I2296" s="329">
        <v>0.16402768199328782</v>
      </c>
      <c r="J2296" s="329">
        <v>1.0633177909617966</v>
      </c>
      <c r="K2296" s="329">
        <v>1.1094741186817902</v>
      </c>
    </row>
    <row r="2297" spans="1:11" ht="11.25" x14ac:dyDescent="0.15">
      <c r="A2297" s="326">
        <v>1.3</v>
      </c>
      <c r="B2297" s="327">
        <v>150</v>
      </c>
      <c r="C2297" s="327" t="s">
        <v>115</v>
      </c>
      <c r="D2297" s="327" t="s">
        <v>79</v>
      </c>
      <c r="E2297" s="328" t="s">
        <v>1637</v>
      </c>
      <c r="F2297" s="328">
        <v>78098.396999999997</v>
      </c>
      <c r="G2297" s="328">
        <v>16147.794</v>
      </c>
      <c r="H2297" s="328">
        <v>10886.552299999999</v>
      </c>
      <c r="I2297" s="329">
        <v>1.4165148878806724</v>
      </c>
      <c r="J2297" s="329">
        <v>1.2975783735121693</v>
      </c>
      <c r="K2297" s="329">
        <v>1.1810438496318227</v>
      </c>
    </row>
    <row r="2298" spans="1:11" ht="11.25" x14ac:dyDescent="0.15">
      <c r="A2298" s="326">
        <v>1.3</v>
      </c>
      <c r="B2298" s="327">
        <v>150</v>
      </c>
      <c r="C2298" s="327" t="s">
        <v>115</v>
      </c>
      <c r="D2298" s="327" t="s">
        <v>114</v>
      </c>
      <c r="E2298" s="328" t="s">
        <v>1638</v>
      </c>
      <c r="F2298" s="328">
        <v>24320.672999999999</v>
      </c>
      <c r="G2298" s="328">
        <v>15811.782999999999</v>
      </c>
      <c r="H2298" s="328">
        <v>10778.090700000001</v>
      </c>
      <c r="I2298" s="329">
        <v>0.44111782970113322</v>
      </c>
      <c r="J2298" s="329">
        <v>1.2705777437752406</v>
      </c>
      <c r="K2298" s="329">
        <v>1.1692772313240942</v>
      </c>
    </row>
    <row r="2299" spans="1:11" ht="11.25" x14ac:dyDescent="0.15">
      <c r="A2299" s="326">
        <v>1.3</v>
      </c>
      <c r="B2299" s="327">
        <v>150</v>
      </c>
      <c r="C2299" s="327" t="s">
        <v>115</v>
      </c>
      <c r="D2299" s="327" t="s">
        <v>113</v>
      </c>
      <c r="E2299" s="328" t="s">
        <v>1639</v>
      </c>
      <c r="F2299" s="328">
        <v>9610.4046999999991</v>
      </c>
      <c r="G2299" s="328">
        <v>14025.687</v>
      </c>
      <c r="H2299" s="328">
        <v>10649.047500000001</v>
      </c>
      <c r="I2299" s="329">
        <v>0.17430935664541725</v>
      </c>
      <c r="J2299" s="329">
        <v>1.1270535235246857</v>
      </c>
      <c r="K2299" s="329">
        <v>1.1552777874692375</v>
      </c>
    </row>
    <row r="2300" spans="1:11" ht="11.25" x14ac:dyDescent="0.15">
      <c r="A2300" s="326">
        <v>1.325</v>
      </c>
      <c r="B2300" s="327">
        <v>150</v>
      </c>
      <c r="C2300" s="327" t="s">
        <v>115</v>
      </c>
      <c r="D2300" s="327" t="s">
        <v>79</v>
      </c>
      <c r="E2300" s="328" t="s">
        <v>1640</v>
      </c>
      <c r="F2300" s="328">
        <v>82600.658999999985</v>
      </c>
      <c r="G2300" s="328">
        <v>17119.569749999999</v>
      </c>
      <c r="H2300" s="328">
        <v>11326.086749999999</v>
      </c>
      <c r="I2300" s="329">
        <v>1.4981749653869929</v>
      </c>
      <c r="J2300" s="329">
        <v>1.3756667611336342</v>
      </c>
      <c r="K2300" s="329">
        <v>1.228727399443438</v>
      </c>
    </row>
    <row r="2301" spans="1:11" ht="11.25" x14ac:dyDescent="0.15">
      <c r="A2301" s="326">
        <v>1.325</v>
      </c>
      <c r="B2301" s="327">
        <v>150</v>
      </c>
      <c r="C2301" s="327" t="s">
        <v>115</v>
      </c>
      <c r="D2301" s="327" t="s">
        <v>114</v>
      </c>
      <c r="E2301" s="328" t="s">
        <v>1641</v>
      </c>
      <c r="F2301" s="328">
        <v>25855.705499999996</v>
      </c>
      <c r="G2301" s="328">
        <v>16779.972249999999</v>
      </c>
      <c r="H2301" s="328">
        <v>11212.7012</v>
      </c>
      <c r="I2301" s="329">
        <v>0.4689595841180732</v>
      </c>
      <c r="J2301" s="329">
        <v>1.3483779332170285</v>
      </c>
      <c r="K2301" s="329">
        <v>1.2164265990821868</v>
      </c>
    </row>
    <row r="2302" spans="1:11" ht="11.25" x14ac:dyDescent="0.15">
      <c r="A2302" s="326">
        <v>1.325</v>
      </c>
      <c r="B2302" s="327">
        <v>150</v>
      </c>
      <c r="C2302" s="327" t="s">
        <v>115</v>
      </c>
      <c r="D2302" s="327" t="s">
        <v>113</v>
      </c>
      <c r="E2302" s="328" t="s">
        <v>1642</v>
      </c>
      <c r="F2302" s="328">
        <v>10206.577024999999</v>
      </c>
      <c r="G2302" s="328">
        <v>14855.303749999999</v>
      </c>
      <c r="H2302" s="328">
        <v>11079.836824999998</v>
      </c>
      <c r="I2302" s="329">
        <v>0.18512247197869272</v>
      </c>
      <c r="J2302" s="329">
        <v>1.1937185276177185</v>
      </c>
      <c r="K2302" s="329">
        <v>1.2020126093630608</v>
      </c>
    </row>
    <row r="2303" spans="1:11" ht="11.25" x14ac:dyDescent="0.15">
      <c r="A2303" s="326">
        <v>1.35</v>
      </c>
      <c r="B2303" s="327">
        <v>150</v>
      </c>
      <c r="C2303" s="327" t="s">
        <v>115</v>
      </c>
      <c r="D2303" s="327" t="s">
        <v>79</v>
      </c>
      <c r="E2303" s="328" t="s">
        <v>1643</v>
      </c>
      <c r="F2303" s="328">
        <v>87299.113499999992</v>
      </c>
      <c r="G2303" s="328">
        <v>18133.065000000002</v>
      </c>
      <c r="H2303" s="328">
        <v>11773.75635</v>
      </c>
      <c r="I2303" s="329">
        <v>1.5833934974559667</v>
      </c>
      <c r="J2303" s="329">
        <v>1.4571075770158108</v>
      </c>
      <c r="K2303" s="329">
        <v>1.2772935031259731</v>
      </c>
    </row>
    <row r="2304" spans="1:11" ht="11.25" x14ac:dyDescent="0.15">
      <c r="A2304" s="326">
        <v>1.35</v>
      </c>
      <c r="B2304" s="327">
        <v>150</v>
      </c>
      <c r="C2304" s="327" t="s">
        <v>115</v>
      </c>
      <c r="D2304" s="327" t="s">
        <v>114</v>
      </c>
      <c r="E2304" s="328" t="s">
        <v>1644</v>
      </c>
      <c r="F2304" s="328">
        <v>27470.7045</v>
      </c>
      <c r="G2304" s="328">
        <v>17788.113000000001</v>
      </c>
      <c r="H2304" s="328">
        <v>11656.118700000001</v>
      </c>
      <c r="I2304" s="329">
        <v>0.49825173626573388</v>
      </c>
      <c r="J2304" s="329">
        <v>1.4293884808284447</v>
      </c>
      <c r="K2304" s="329">
        <v>1.2645314073596541</v>
      </c>
    </row>
    <row r="2305" spans="1:11" ht="11.25" x14ac:dyDescent="0.15">
      <c r="A2305" s="326">
        <v>1.35</v>
      </c>
      <c r="B2305" s="327">
        <v>150</v>
      </c>
      <c r="C2305" s="327" t="s">
        <v>115</v>
      </c>
      <c r="D2305" s="327" t="s">
        <v>113</v>
      </c>
      <c r="E2305" s="328" t="s">
        <v>1645</v>
      </c>
      <c r="F2305" s="328">
        <v>10833.335550000002</v>
      </c>
      <c r="G2305" s="328">
        <v>15721.965</v>
      </c>
      <c r="H2305" s="328">
        <v>11519.566200000001</v>
      </c>
      <c r="I2305" s="329">
        <v>0.19649034655579364</v>
      </c>
      <c r="J2305" s="329">
        <v>1.2633602938652333</v>
      </c>
      <c r="K2305" s="329">
        <v>1.2497173059037827</v>
      </c>
    </row>
    <row r="2306" spans="1:11" ht="11.25" x14ac:dyDescent="0.15">
      <c r="A2306" s="326">
        <v>1.375</v>
      </c>
      <c r="B2306" s="327">
        <v>150</v>
      </c>
      <c r="C2306" s="327" t="s">
        <v>115</v>
      </c>
      <c r="D2306" s="327" t="s">
        <v>79</v>
      </c>
      <c r="E2306" s="328" t="s">
        <v>1646</v>
      </c>
      <c r="F2306" s="328">
        <v>92199.827499999999</v>
      </c>
      <c r="G2306" s="328">
        <v>19188.0425</v>
      </c>
      <c r="H2306" s="328">
        <v>12229.936125</v>
      </c>
      <c r="I2306" s="329">
        <v>1.6722805247050054</v>
      </c>
      <c r="J2306" s="329">
        <v>1.5418817566060341</v>
      </c>
      <c r="K2306" s="329">
        <v>1.3267828458254225</v>
      </c>
    </row>
    <row r="2307" spans="1:11" ht="11.25" x14ac:dyDescent="0.15">
      <c r="A2307" s="326">
        <v>1.375</v>
      </c>
      <c r="B2307" s="327">
        <v>150</v>
      </c>
      <c r="C2307" s="327" t="s">
        <v>115</v>
      </c>
      <c r="D2307" s="327" t="s">
        <v>114</v>
      </c>
      <c r="E2307" s="328" t="s">
        <v>1647</v>
      </c>
      <c r="F2307" s="328">
        <v>29169.1675</v>
      </c>
      <c r="G2307" s="328">
        <v>18838.723750000001</v>
      </c>
      <c r="H2307" s="328">
        <v>12108.339374999998</v>
      </c>
      <c r="I2307" s="329">
        <v>0.52905772228378833</v>
      </c>
      <c r="J2307" s="329">
        <v>1.5138117641685345</v>
      </c>
      <c r="K2307" s="329">
        <v>1.3135912411956701</v>
      </c>
    </row>
    <row r="2308" spans="1:11" ht="11.25" x14ac:dyDescent="0.15">
      <c r="A2308" s="326">
        <v>1.375</v>
      </c>
      <c r="B2308" s="327">
        <v>150</v>
      </c>
      <c r="C2308" s="327" t="s">
        <v>115</v>
      </c>
      <c r="D2308" s="327" t="s">
        <v>113</v>
      </c>
      <c r="E2308" s="328" t="s">
        <v>1648</v>
      </c>
      <c r="F2308" s="328">
        <v>11492.013499999999</v>
      </c>
      <c r="G2308" s="328">
        <v>16626.403750000001</v>
      </c>
      <c r="H2308" s="328">
        <v>11967.532499999999</v>
      </c>
      <c r="I2308" s="329">
        <v>0.20843716183413691</v>
      </c>
      <c r="J2308" s="329">
        <v>1.3360377234984318</v>
      </c>
      <c r="K2308" s="329">
        <v>1.2983155975279659</v>
      </c>
    </row>
    <row r="2309" spans="1:11" ht="11.25" x14ac:dyDescent="0.15">
      <c r="A2309" s="326">
        <v>1.4</v>
      </c>
      <c r="B2309" s="327">
        <v>150</v>
      </c>
      <c r="C2309" s="327" t="s">
        <v>115</v>
      </c>
      <c r="D2309" s="327" t="s">
        <v>79</v>
      </c>
      <c r="E2309" s="328" t="s">
        <v>1649</v>
      </c>
      <c r="F2309" s="328">
        <v>97308.959999999992</v>
      </c>
      <c r="G2309" s="328">
        <v>20281.421999999999</v>
      </c>
      <c r="H2309" s="328">
        <v>12696.061</v>
      </c>
      <c r="I2309" s="329">
        <v>1.7649477564076612</v>
      </c>
      <c r="J2309" s="329">
        <v>1.6297417821452223</v>
      </c>
      <c r="K2309" s="329">
        <v>1.3773510975187664</v>
      </c>
    </row>
    <row r="2310" spans="1:11" ht="11.25" x14ac:dyDescent="0.15">
      <c r="A2310" s="326">
        <v>1.4</v>
      </c>
      <c r="B2310" s="327">
        <v>150</v>
      </c>
      <c r="C2310" s="327" t="s">
        <v>115</v>
      </c>
      <c r="D2310" s="327" t="s">
        <v>114</v>
      </c>
      <c r="E2310" s="328" t="s">
        <v>1650</v>
      </c>
      <c r="F2310" s="328">
        <v>30954.727999999999</v>
      </c>
      <c r="G2310" s="328">
        <v>19932.905999999999</v>
      </c>
      <c r="H2310" s="328">
        <v>12569.297999999999</v>
      </c>
      <c r="I2310" s="329">
        <v>0.56144344502098686</v>
      </c>
      <c r="J2310" s="329">
        <v>1.6017362957968722</v>
      </c>
      <c r="K2310" s="329">
        <v>1.3635990245589111</v>
      </c>
    </row>
    <row r="2311" spans="1:11" ht="11.25" x14ac:dyDescent="0.15">
      <c r="A2311" s="326">
        <v>1.4</v>
      </c>
      <c r="B2311" s="327">
        <v>150</v>
      </c>
      <c r="C2311" s="327" t="s">
        <v>115</v>
      </c>
      <c r="D2311" s="327" t="s">
        <v>113</v>
      </c>
      <c r="E2311" s="328" t="s">
        <v>1651</v>
      </c>
      <c r="F2311" s="328">
        <v>12183.995599999998</v>
      </c>
      <c r="G2311" s="328">
        <v>17569.075999999997</v>
      </c>
      <c r="H2311" s="328">
        <v>12424.5828</v>
      </c>
      <c r="I2311" s="329">
        <v>0.22098803335582679</v>
      </c>
      <c r="J2311" s="329">
        <v>1.4117874590294925</v>
      </c>
      <c r="K2311" s="329">
        <v>1.3478993804293149</v>
      </c>
    </row>
    <row r="2312" spans="1:11" ht="11.25" x14ac:dyDescent="0.15">
      <c r="A2312" s="326">
        <v>0.9</v>
      </c>
      <c r="B2312" s="327">
        <v>-40</v>
      </c>
      <c r="C2312" s="327" t="s">
        <v>109</v>
      </c>
      <c r="D2312" s="327" t="s">
        <v>79</v>
      </c>
      <c r="E2312" s="328" t="s">
        <v>1652</v>
      </c>
      <c r="F2312" s="328">
        <v>10.02969</v>
      </c>
      <c r="G2312" s="328">
        <v>4470.1587</v>
      </c>
      <c r="H2312" s="328">
        <v>5028.6186000000007</v>
      </c>
      <c r="I2312" s="329">
        <v>1.0452961868567605E-2</v>
      </c>
      <c r="J2312" s="329">
        <v>0.46685085002062215</v>
      </c>
      <c r="K2312" s="329">
        <v>0.53000895693484795</v>
      </c>
    </row>
    <row r="2313" spans="1:11" ht="11.25" x14ac:dyDescent="0.15">
      <c r="A2313" s="326">
        <v>0.9</v>
      </c>
      <c r="B2313" s="327">
        <v>-40</v>
      </c>
      <c r="C2313" s="327" t="s">
        <v>109</v>
      </c>
      <c r="D2313" s="327" t="s">
        <v>114</v>
      </c>
      <c r="E2313" s="328" t="s">
        <v>1653</v>
      </c>
      <c r="F2313" s="328">
        <v>3.4944795000000006</v>
      </c>
      <c r="G2313" s="328">
        <v>4459.7510999999995</v>
      </c>
      <c r="H2313" s="328">
        <v>4925.5973999999997</v>
      </c>
      <c r="I2313" s="329">
        <v>3.6419531375337815E-3</v>
      </c>
      <c r="J2313" s="329">
        <v>0.46576390943690754</v>
      </c>
      <c r="K2313" s="329">
        <v>0.51915067494977618</v>
      </c>
    </row>
    <row r="2314" spans="1:11" ht="11.25" x14ac:dyDescent="0.15">
      <c r="A2314" s="326">
        <v>0.9</v>
      </c>
      <c r="B2314" s="327">
        <v>-40</v>
      </c>
      <c r="C2314" s="327" t="s">
        <v>109</v>
      </c>
      <c r="D2314" s="327" t="s">
        <v>113</v>
      </c>
      <c r="E2314" s="328" t="s">
        <v>1654</v>
      </c>
      <c r="F2314" s="328">
        <v>2.6599293000000004</v>
      </c>
      <c r="G2314" s="328">
        <v>4449.9087000000009</v>
      </c>
      <c r="H2314" s="328">
        <v>4825.199700000001</v>
      </c>
      <c r="I2314" s="329">
        <v>2.772183342255416E-3</v>
      </c>
      <c r="J2314" s="329">
        <v>0.46473599675760102</v>
      </c>
      <c r="K2314" s="329">
        <v>0.50856890598132487</v>
      </c>
    </row>
    <row r="2315" spans="1:11" ht="11.25" x14ac:dyDescent="0.15">
      <c r="A2315" s="326">
        <v>0.92500000000000004</v>
      </c>
      <c r="B2315" s="327">
        <v>-40</v>
      </c>
      <c r="C2315" s="327" t="s">
        <v>109</v>
      </c>
      <c r="D2315" s="327" t="s">
        <v>79</v>
      </c>
      <c r="E2315" s="328" t="s">
        <v>1655</v>
      </c>
      <c r="F2315" s="328">
        <v>11.49002625</v>
      </c>
      <c r="G2315" s="328">
        <v>4703.8229499999998</v>
      </c>
      <c r="H2315" s="328">
        <v>5333.7128000000002</v>
      </c>
      <c r="I2315" s="329">
        <v>1.197492706754554E-2</v>
      </c>
      <c r="J2315" s="329">
        <v>0.49125408960402467</v>
      </c>
      <c r="K2315" s="329">
        <v>0.56216543400568242</v>
      </c>
    </row>
    <row r="2316" spans="1:11" ht="11.25" x14ac:dyDescent="0.15">
      <c r="A2316" s="326">
        <v>0.92500000000000004</v>
      </c>
      <c r="B2316" s="327">
        <v>-40</v>
      </c>
      <c r="C2316" s="327" t="s">
        <v>109</v>
      </c>
      <c r="D2316" s="327" t="s">
        <v>114</v>
      </c>
      <c r="E2316" s="328" t="s">
        <v>1656</v>
      </c>
      <c r="F2316" s="328">
        <v>3.9651688250000001</v>
      </c>
      <c r="G2316" s="328">
        <v>4688.5197500000004</v>
      </c>
      <c r="H2316" s="328">
        <v>5225.1945749999995</v>
      </c>
      <c r="I2316" s="329">
        <v>4.1325064413913109E-3</v>
      </c>
      <c r="J2316" s="329">
        <v>0.48965586627293012</v>
      </c>
      <c r="K2316" s="329">
        <v>0.55072777372246429</v>
      </c>
    </row>
    <row r="2317" spans="1:11" ht="11.25" x14ac:dyDescent="0.15">
      <c r="A2317" s="326">
        <v>0.92500000000000004</v>
      </c>
      <c r="B2317" s="327">
        <v>-40</v>
      </c>
      <c r="C2317" s="327" t="s">
        <v>109</v>
      </c>
      <c r="D2317" s="327" t="s">
        <v>113</v>
      </c>
      <c r="E2317" s="328" t="s">
        <v>1657</v>
      </c>
      <c r="F2317" s="328">
        <v>3.015669275</v>
      </c>
      <c r="G2317" s="328">
        <v>4677.1135750000003</v>
      </c>
      <c r="H2317" s="328">
        <v>5121.5474000000004</v>
      </c>
      <c r="I2317" s="329">
        <v>3.1429362163522415E-3</v>
      </c>
      <c r="J2317" s="329">
        <v>0.48846463731404904</v>
      </c>
      <c r="K2317" s="329">
        <v>0.53980351489897882</v>
      </c>
    </row>
    <row r="2318" spans="1:11" ht="11.25" x14ac:dyDescent="0.15">
      <c r="A2318" s="326">
        <v>0.95</v>
      </c>
      <c r="B2318" s="327">
        <v>-40</v>
      </c>
      <c r="C2318" s="327" t="s">
        <v>109</v>
      </c>
      <c r="D2318" s="327" t="s">
        <v>79</v>
      </c>
      <c r="E2318" s="328" t="s">
        <v>1658</v>
      </c>
      <c r="F2318" s="328">
        <v>13.141920000000001</v>
      </c>
      <c r="G2318" s="328">
        <v>4945.2420999999995</v>
      </c>
      <c r="H2318" s="328">
        <v>5647.2123000000001</v>
      </c>
      <c r="I2318" s="329">
        <v>1.3696533854961218E-2</v>
      </c>
      <c r="J2318" s="329">
        <v>0.51646722921554578</v>
      </c>
      <c r="K2318" s="329">
        <v>0.59520781725475125</v>
      </c>
    </row>
    <row r="2319" spans="1:11" ht="11.25" x14ac:dyDescent="0.15">
      <c r="A2319" s="326">
        <v>0.95</v>
      </c>
      <c r="B2319" s="327">
        <v>-40</v>
      </c>
      <c r="C2319" s="327" t="s">
        <v>109</v>
      </c>
      <c r="D2319" s="327" t="s">
        <v>114</v>
      </c>
      <c r="E2319" s="328" t="s">
        <v>1659</v>
      </c>
      <c r="F2319" s="328">
        <v>4.4942561999999997</v>
      </c>
      <c r="G2319" s="328">
        <v>4923.0263499999992</v>
      </c>
      <c r="H2319" s="328">
        <v>5534.6401499999993</v>
      </c>
      <c r="I2319" s="329">
        <v>4.6839223032988592E-3</v>
      </c>
      <c r="J2319" s="329">
        <v>0.51414707853021424</v>
      </c>
      <c r="K2319" s="329">
        <v>0.58334287927726902</v>
      </c>
    </row>
    <row r="2320" spans="1:11" ht="11.25" x14ac:dyDescent="0.15">
      <c r="A2320" s="326">
        <v>0.95</v>
      </c>
      <c r="B2320" s="327">
        <v>-40</v>
      </c>
      <c r="C2320" s="327" t="s">
        <v>109</v>
      </c>
      <c r="D2320" s="327" t="s">
        <v>113</v>
      </c>
      <c r="E2320" s="328" t="s">
        <v>1660</v>
      </c>
      <c r="F2320" s="328">
        <v>3.4155055499999993</v>
      </c>
      <c r="G2320" s="328">
        <v>4908.1730999999991</v>
      </c>
      <c r="H2320" s="328">
        <v>5425.5241000000005</v>
      </c>
      <c r="I2320" s="329">
        <v>3.559646337626688E-3</v>
      </c>
      <c r="J2320" s="329">
        <v>0.51259584671643799</v>
      </c>
      <c r="K2320" s="329">
        <v>0.57184220912396888</v>
      </c>
    </row>
    <row r="2321" spans="1:11" ht="11.25" x14ac:dyDescent="0.15">
      <c r="A2321" s="326">
        <v>0.97499999999999998</v>
      </c>
      <c r="B2321" s="327">
        <v>-40</v>
      </c>
      <c r="C2321" s="327" t="s">
        <v>109</v>
      </c>
      <c r="D2321" s="327" t="s">
        <v>79</v>
      </c>
      <c r="E2321" s="328" t="s">
        <v>1661</v>
      </c>
      <c r="F2321" s="328">
        <v>15.018529500000001</v>
      </c>
      <c r="G2321" s="328">
        <v>5194.0619249999991</v>
      </c>
      <c r="H2321" s="328">
        <v>5969.867475</v>
      </c>
      <c r="I2321" s="329">
        <v>1.5652339821615395E-2</v>
      </c>
      <c r="J2321" s="329">
        <v>0.54245327458866244</v>
      </c>
      <c r="K2321" s="329">
        <v>0.62921519509632806</v>
      </c>
    </row>
    <row r="2322" spans="1:11" ht="11.25" x14ac:dyDescent="0.15">
      <c r="A2322" s="326">
        <v>0.97499999999999998</v>
      </c>
      <c r="B2322" s="327">
        <v>-40</v>
      </c>
      <c r="C2322" s="327" t="s">
        <v>109</v>
      </c>
      <c r="D2322" s="327" t="s">
        <v>114</v>
      </c>
      <c r="E2322" s="328" t="s">
        <v>1662</v>
      </c>
      <c r="F2322" s="328">
        <v>5.093342475</v>
      </c>
      <c r="G2322" s="328">
        <v>5162.3276249999999</v>
      </c>
      <c r="H2322" s="328">
        <v>5852.9327999999996</v>
      </c>
      <c r="I2322" s="329">
        <v>5.3082911510456202E-3</v>
      </c>
      <c r="J2322" s="329">
        <v>0.53913903321065304</v>
      </c>
      <c r="K2322" s="329">
        <v>0.61689045344138016</v>
      </c>
    </row>
    <row r="2323" spans="1:11" ht="11.25" x14ac:dyDescent="0.15">
      <c r="A2323" s="326">
        <v>0.97499999999999998</v>
      </c>
      <c r="B2323" s="327">
        <v>-40</v>
      </c>
      <c r="C2323" s="327" t="s">
        <v>109</v>
      </c>
      <c r="D2323" s="327" t="s">
        <v>113</v>
      </c>
      <c r="E2323" s="328" t="s">
        <v>1663</v>
      </c>
      <c r="F2323" s="328">
        <v>3.8681896499999997</v>
      </c>
      <c r="G2323" s="328">
        <v>5144.7981</v>
      </c>
      <c r="H2323" s="328">
        <v>5738.8041749999993</v>
      </c>
      <c r="I2323" s="329">
        <v>4.0314345619692996E-3</v>
      </c>
      <c r="J2323" s="329">
        <v>0.53730829873433394</v>
      </c>
      <c r="K2323" s="329">
        <v>0.6048614653028368</v>
      </c>
    </row>
    <row r="2324" spans="1:11" ht="11.25" x14ac:dyDescent="0.15">
      <c r="A2324" s="326">
        <v>1</v>
      </c>
      <c r="B2324" s="327">
        <v>-40</v>
      </c>
      <c r="C2324" s="327" t="s">
        <v>109</v>
      </c>
      <c r="D2324" s="327" t="s">
        <v>79</v>
      </c>
      <c r="E2324" s="328" t="s">
        <v>1664</v>
      </c>
      <c r="F2324" s="328">
        <v>17.146970000000003</v>
      </c>
      <c r="G2324" s="328">
        <v>5451.2959999999994</v>
      </c>
      <c r="H2324" s="328">
        <v>6301.5479999999998</v>
      </c>
      <c r="I2324" s="329">
        <v>1.7870604532290897E-2</v>
      </c>
      <c r="J2324" s="329">
        <v>0.5693180806565139</v>
      </c>
      <c r="K2324" s="329">
        <v>0.66417383146832343</v>
      </c>
    </row>
    <row r="2325" spans="1:11" ht="11.25" x14ac:dyDescent="0.15">
      <c r="A2325" s="326">
        <v>1</v>
      </c>
      <c r="B2325" s="327">
        <v>-40</v>
      </c>
      <c r="C2325" s="327" t="s">
        <v>109</v>
      </c>
      <c r="D2325" s="327" t="s">
        <v>114</v>
      </c>
      <c r="E2325" s="328" t="s">
        <v>1665</v>
      </c>
      <c r="F2325" s="328">
        <v>5.7716229999999999</v>
      </c>
      <c r="G2325" s="328">
        <v>5409.9279999999999</v>
      </c>
      <c r="H2325" s="328">
        <v>6179.9690000000001</v>
      </c>
      <c r="I2325" s="329">
        <v>6.0151963957757182E-3</v>
      </c>
      <c r="J2325" s="329">
        <v>0.56499772264245662</v>
      </c>
      <c r="K2325" s="329">
        <v>0.65135958483303835</v>
      </c>
    </row>
    <row r="2326" spans="1:11" ht="11.25" x14ac:dyDescent="0.15">
      <c r="A2326" s="326">
        <v>1</v>
      </c>
      <c r="B2326" s="327">
        <v>-40</v>
      </c>
      <c r="C2326" s="327" t="s">
        <v>109</v>
      </c>
      <c r="D2326" s="327" t="s">
        <v>113</v>
      </c>
      <c r="E2326" s="328" t="s">
        <v>1666</v>
      </c>
      <c r="F2326" s="328">
        <v>4.3806409999999998</v>
      </c>
      <c r="G2326" s="328">
        <v>5387.41</v>
      </c>
      <c r="H2326" s="328">
        <v>6060.7669999999998</v>
      </c>
      <c r="I2326" s="329">
        <v>4.5655123271889616E-3</v>
      </c>
      <c r="J2326" s="329">
        <v>0.56264600581397706</v>
      </c>
      <c r="K2326" s="329">
        <v>0.63879587047924991</v>
      </c>
    </row>
    <row r="2327" spans="1:11" ht="11.25" x14ac:dyDescent="0.15">
      <c r="A2327" s="326">
        <v>1.0249999999999999</v>
      </c>
      <c r="B2327" s="327">
        <v>-40</v>
      </c>
      <c r="C2327" s="327" t="s">
        <v>109</v>
      </c>
      <c r="D2327" s="327" t="s">
        <v>79</v>
      </c>
      <c r="E2327" s="328" t="s">
        <v>1667</v>
      </c>
      <c r="F2327" s="328">
        <v>19.547590499999998</v>
      </c>
      <c r="G2327" s="328">
        <v>5719.1381749999991</v>
      </c>
      <c r="H2327" s="328">
        <v>6642.0635499999989</v>
      </c>
      <c r="I2327" s="329">
        <v>2.0372535753236075E-2</v>
      </c>
      <c r="J2327" s="329">
        <v>0.59729076696631356</v>
      </c>
      <c r="K2327" s="329">
        <v>0.70006366639746187</v>
      </c>
    </row>
    <row r="2328" spans="1:11" ht="11.25" x14ac:dyDescent="0.15">
      <c r="A2328" s="326">
        <v>1.0249999999999999</v>
      </c>
      <c r="B2328" s="327">
        <v>-40</v>
      </c>
      <c r="C2328" s="327" t="s">
        <v>109</v>
      </c>
      <c r="D2328" s="327" t="s">
        <v>114</v>
      </c>
      <c r="E2328" s="328" t="s">
        <v>1668</v>
      </c>
      <c r="F2328" s="328">
        <v>6.5356449749999994</v>
      </c>
      <c r="G2328" s="328">
        <v>5663.9798499999997</v>
      </c>
      <c r="H2328" s="328">
        <v>6515.5262750000002</v>
      </c>
      <c r="I2328" s="329">
        <v>6.8114615416997402E-3</v>
      </c>
      <c r="J2328" s="329">
        <v>0.59153018604734897</v>
      </c>
      <c r="K2328" s="329">
        <v>0.68672682491655757</v>
      </c>
    </row>
    <row r="2329" spans="1:11" ht="11.25" x14ac:dyDescent="0.15">
      <c r="A2329" s="326">
        <v>1.0249999999999999</v>
      </c>
      <c r="B2329" s="327">
        <v>-40</v>
      </c>
      <c r="C2329" s="327" t="s">
        <v>109</v>
      </c>
      <c r="D2329" s="327" t="s">
        <v>113</v>
      </c>
      <c r="E2329" s="328" t="s">
        <v>1669</v>
      </c>
      <c r="F2329" s="328">
        <v>4.9577569000000006</v>
      </c>
      <c r="G2329" s="328">
        <v>5634.9272499999997</v>
      </c>
      <c r="H2329" s="328">
        <v>6391.9614999999994</v>
      </c>
      <c r="I2329" s="329">
        <v>5.166983608598864E-3</v>
      </c>
      <c r="J2329" s="329">
        <v>0.58849601390368234</v>
      </c>
      <c r="K2329" s="329">
        <v>0.67370328053567341</v>
      </c>
    </row>
    <row r="2330" spans="1:11" ht="11.25" x14ac:dyDescent="0.15">
      <c r="A2330" s="326">
        <v>1.05</v>
      </c>
      <c r="B2330" s="327">
        <v>-40</v>
      </c>
      <c r="C2330" s="327" t="s">
        <v>109</v>
      </c>
      <c r="D2330" s="327" t="s">
        <v>79</v>
      </c>
      <c r="E2330" s="328" t="s">
        <v>1670</v>
      </c>
      <c r="F2330" s="328">
        <v>22.251536999999999</v>
      </c>
      <c r="G2330" s="328">
        <v>5997.3994499999999</v>
      </c>
      <c r="H2330" s="328">
        <v>6990.9294000000009</v>
      </c>
      <c r="I2330" s="329">
        <v>2.3190593904499658E-2</v>
      </c>
      <c r="J2330" s="329">
        <v>0.62635159488760694</v>
      </c>
      <c r="K2330" s="329">
        <v>0.73683361058624774</v>
      </c>
    </row>
    <row r="2331" spans="1:11" ht="11.25" x14ac:dyDescent="0.15">
      <c r="A2331" s="326">
        <v>1.05</v>
      </c>
      <c r="B2331" s="327">
        <v>-40</v>
      </c>
      <c r="C2331" s="327" t="s">
        <v>109</v>
      </c>
      <c r="D2331" s="327" t="s">
        <v>114</v>
      </c>
      <c r="E2331" s="328" t="s">
        <v>1671</v>
      </c>
      <c r="F2331" s="328">
        <v>7.39627035</v>
      </c>
      <c r="G2331" s="328">
        <v>5924.4454500000011</v>
      </c>
      <c r="H2331" s="328">
        <v>6859.9671000000008</v>
      </c>
      <c r="I2331" s="329">
        <v>7.7084069336307674E-3</v>
      </c>
      <c r="J2331" s="329">
        <v>0.61873248353202936</v>
      </c>
      <c r="K2331" s="329">
        <v>0.72303037802039183</v>
      </c>
    </row>
    <row r="2332" spans="1:11" ht="11.25" x14ac:dyDescent="0.15">
      <c r="A2332" s="326">
        <v>1.05</v>
      </c>
      <c r="B2332" s="327">
        <v>-40</v>
      </c>
      <c r="C2332" s="327" t="s">
        <v>109</v>
      </c>
      <c r="D2332" s="327" t="s">
        <v>113</v>
      </c>
      <c r="E2332" s="328" t="s">
        <v>1672</v>
      </c>
      <c r="F2332" s="328">
        <v>5.6076783000000008</v>
      </c>
      <c r="G2332" s="328">
        <v>5889.5571</v>
      </c>
      <c r="H2332" s="328">
        <v>6731.4313499999998</v>
      </c>
      <c r="I2332" s="329">
        <v>5.8443329196708983E-3</v>
      </c>
      <c r="J2332" s="329">
        <v>0.6150888420091194</v>
      </c>
      <c r="K2332" s="329">
        <v>0.70948290023268712</v>
      </c>
    </row>
    <row r="2333" spans="1:11" ht="11.25" x14ac:dyDescent="0.15">
      <c r="A2333" s="326">
        <v>1.075</v>
      </c>
      <c r="B2333" s="327">
        <v>-40</v>
      </c>
      <c r="C2333" s="327" t="s">
        <v>109</v>
      </c>
      <c r="D2333" s="327" t="s">
        <v>79</v>
      </c>
      <c r="E2333" s="328" t="s">
        <v>1673</v>
      </c>
      <c r="F2333" s="328">
        <v>25.293621249999998</v>
      </c>
      <c r="G2333" s="328">
        <v>6288.4102999999986</v>
      </c>
      <c r="H2333" s="328">
        <v>7349.3879999999999</v>
      </c>
      <c r="I2333" s="329">
        <v>2.6361059857706592E-2</v>
      </c>
      <c r="J2333" s="329">
        <v>0.6567439526998079</v>
      </c>
      <c r="K2333" s="329">
        <v>0.77461461642557017</v>
      </c>
    </row>
    <row r="2334" spans="1:11" ht="11.25" x14ac:dyDescent="0.15">
      <c r="A2334" s="326">
        <v>1.075</v>
      </c>
      <c r="B2334" s="327">
        <v>-40</v>
      </c>
      <c r="C2334" s="327" t="s">
        <v>109</v>
      </c>
      <c r="D2334" s="327" t="s">
        <v>114</v>
      </c>
      <c r="E2334" s="328" t="s">
        <v>1674</v>
      </c>
      <c r="F2334" s="328">
        <v>8.3658875750000004</v>
      </c>
      <c r="G2334" s="328">
        <v>6195.4303249999994</v>
      </c>
      <c r="H2334" s="328">
        <v>7213.1328250000006</v>
      </c>
      <c r="I2334" s="329">
        <v>8.718943837566117E-3</v>
      </c>
      <c r="J2334" s="329">
        <v>0.64703338462452997</v>
      </c>
      <c r="K2334" s="329">
        <v>0.7602535226693794</v>
      </c>
    </row>
    <row r="2335" spans="1:11" ht="11.25" x14ac:dyDescent="0.15">
      <c r="A2335" s="326">
        <v>1.075</v>
      </c>
      <c r="B2335" s="327">
        <v>-40</v>
      </c>
      <c r="C2335" s="327" t="s">
        <v>109</v>
      </c>
      <c r="D2335" s="327" t="s">
        <v>113</v>
      </c>
      <c r="E2335" s="328" t="s">
        <v>1675</v>
      </c>
      <c r="F2335" s="328">
        <v>6.339671675</v>
      </c>
      <c r="G2335" s="328">
        <v>6150.1029499999995</v>
      </c>
      <c r="H2335" s="328">
        <v>7080.2853999999998</v>
      </c>
      <c r="I2335" s="329">
        <v>6.6072177981585786E-3</v>
      </c>
      <c r="J2335" s="329">
        <v>0.64229952057895301</v>
      </c>
      <c r="K2335" s="329">
        <v>0.74625160071893937</v>
      </c>
    </row>
    <row r="2336" spans="1:11" ht="11.25" x14ac:dyDescent="0.15">
      <c r="A2336" s="326">
        <v>1.1000000000000001</v>
      </c>
      <c r="B2336" s="327">
        <v>-40</v>
      </c>
      <c r="C2336" s="327" t="s">
        <v>109</v>
      </c>
      <c r="D2336" s="327" t="s">
        <v>79</v>
      </c>
      <c r="E2336" s="328" t="s">
        <v>1676</v>
      </c>
      <c r="F2336" s="328">
        <v>28.712244000000005</v>
      </c>
      <c r="G2336" s="328">
        <v>6592.3286000000016</v>
      </c>
      <c r="H2336" s="328">
        <v>7716.6903000000002</v>
      </c>
      <c r="I2336" s="329">
        <v>2.9923954947063073E-2</v>
      </c>
      <c r="J2336" s="329">
        <v>0.68848432842557883</v>
      </c>
      <c r="K2336" s="329">
        <v>0.81332773515419488</v>
      </c>
    </row>
    <row r="2337" spans="1:11" ht="11.25" x14ac:dyDescent="0.15">
      <c r="A2337" s="326">
        <v>1.1000000000000001</v>
      </c>
      <c r="B2337" s="327">
        <v>-40</v>
      </c>
      <c r="C2337" s="327" t="s">
        <v>109</v>
      </c>
      <c r="D2337" s="327" t="s">
        <v>114</v>
      </c>
      <c r="E2337" s="328" t="s">
        <v>1677</v>
      </c>
      <c r="F2337" s="328">
        <v>9.4584105000000012</v>
      </c>
      <c r="G2337" s="328">
        <v>6474.1765000000005</v>
      </c>
      <c r="H2337" s="328">
        <v>7574.2689</v>
      </c>
      <c r="I2337" s="329">
        <v>9.8575732942652733E-3</v>
      </c>
      <c r="J2337" s="329">
        <v>0.6761448541432179</v>
      </c>
      <c r="K2337" s="329">
        <v>0.79831673041042672</v>
      </c>
    </row>
    <row r="2338" spans="1:11" ht="11.25" x14ac:dyDescent="0.15">
      <c r="A2338" s="326">
        <v>1.1000000000000001</v>
      </c>
      <c r="B2338" s="327">
        <v>-40</v>
      </c>
      <c r="C2338" s="327" t="s">
        <v>109</v>
      </c>
      <c r="D2338" s="327" t="s">
        <v>113</v>
      </c>
      <c r="E2338" s="328" t="s">
        <v>1678</v>
      </c>
      <c r="F2338" s="328">
        <v>7.1641273000000005</v>
      </c>
      <c r="G2338" s="328">
        <v>6417.6475000000009</v>
      </c>
      <c r="H2338" s="328">
        <v>7437.9052000000001</v>
      </c>
      <c r="I2338" s="329">
        <v>7.4664670082987801E-3</v>
      </c>
      <c r="J2338" s="329">
        <v>0.67024112376764633</v>
      </c>
      <c r="K2338" s="329">
        <v>0.78394419827987771</v>
      </c>
    </row>
    <row r="2339" spans="1:11" ht="11.25" x14ac:dyDescent="0.15">
      <c r="A2339" s="326">
        <v>1.125</v>
      </c>
      <c r="B2339" s="327">
        <v>-40</v>
      </c>
      <c r="C2339" s="327" t="s">
        <v>109</v>
      </c>
      <c r="D2339" s="327" t="s">
        <v>79</v>
      </c>
      <c r="E2339" s="328" t="s">
        <v>1679</v>
      </c>
      <c r="F2339" s="328">
        <v>32.549726249999999</v>
      </c>
      <c r="G2339" s="328">
        <v>6910.0717500000001</v>
      </c>
      <c r="H2339" s="328">
        <v>8093.082375</v>
      </c>
      <c r="I2339" s="329">
        <v>3.3923386198732364E-2</v>
      </c>
      <c r="J2339" s="329">
        <v>0.72166853275052356</v>
      </c>
      <c r="K2339" s="329">
        <v>0.85299890271287448</v>
      </c>
    </row>
    <row r="2340" spans="1:11" ht="11.25" x14ac:dyDescent="0.15">
      <c r="A2340" s="326">
        <v>1.125</v>
      </c>
      <c r="B2340" s="327">
        <v>-40</v>
      </c>
      <c r="C2340" s="327" t="s">
        <v>109</v>
      </c>
      <c r="D2340" s="327" t="s">
        <v>114</v>
      </c>
      <c r="E2340" s="328" t="s">
        <v>1680</v>
      </c>
      <c r="F2340" s="328">
        <v>10.689437250000001</v>
      </c>
      <c r="G2340" s="328">
        <v>6763.8566250000003</v>
      </c>
      <c r="H2340" s="328">
        <v>7944.9862499999999</v>
      </c>
      <c r="I2340" s="329">
        <v>1.1140551699075062E-2</v>
      </c>
      <c r="J2340" s="329">
        <v>0.70639823476487906</v>
      </c>
      <c r="K2340" s="329">
        <v>0.83738979035399663</v>
      </c>
    </row>
    <row r="2341" spans="1:11" ht="11.25" x14ac:dyDescent="0.15">
      <c r="A2341" s="326">
        <v>1.125</v>
      </c>
      <c r="B2341" s="327">
        <v>-40</v>
      </c>
      <c r="C2341" s="327" t="s">
        <v>109</v>
      </c>
      <c r="D2341" s="327" t="s">
        <v>113</v>
      </c>
      <c r="E2341" s="328" t="s">
        <v>1681</v>
      </c>
      <c r="F2341" s="328">
        <v>8.0926683750000006</v>
      </c>
      <c r="G2341" s="328">
        <v>6693.618375</v>
      </c>
      <c r="H2341" s="328">
        <v>7803.5062500000004</v>
      </c>
      <c r="I2341" s="329">
        <v>8.4341942710929214E-3</v>
      </c>
      <c r="J2341" s="329">
        <v>0.6990627487302421</v>
      </c>
      <c r="K2341" s="329">
        <v>0.82247800777674129</v>
      </c>
    </row>
    <row r="2342" spans="1:11" ht="11.25" x14ac:dyDescent="0.15">
      <c r="A2342" s="326">
        <v>1.1499999999999999</v>
      </c>
      <c r="B2342" s="327">
        <v>-40</v>
      </c>
      <c r="C2342" s="327" t="s">
        <v>109</v>
      </c>
      <c r="D2342" s="327" t="s">
        <v>79</v>
      </c>
      <c r="E2342" s="328" t="s">
        <v>1682</v>
      </c>
      <c r="F2342" s="328">
        <v>36.852739</v>
      </c>
      <c r="G2342" s="328">
        <v>7244.2927499999996</v>
      </c>
      <c r="H2342" s="328">
        <v>8478.2806999999993</v>
      </c>
      <c r="I2342" s="329">
        <v>3.8407994217096862E-2</v>
      </c>
      <c r="J2342" s="329">
        <v>0.75657363756139806</v>
      </c>
      <c r="K2342" s="329">
        <v>0.89359823598629085</v>
      </c>
    </row>
    <row r="2343" spans="1:11" ht="11.25" x14ac:dyDescent="0.15">
      <c r="A2343" s="326">
        <v>1.1499999999999999</v>
      </c>
      <c r="B2343" s="327">
        <v>-40</v>
      </c>
      <c r="C2343" s="327" t="s">
        <v>109</v>
      </c>
      <c r="D2343" s="327" t="s">
        <v>114</v>
      </c>
      <c r="E2343" s="328" t="s">
        <v>1683</v>
      </c>
      <c r="F2343" s="328">
        <v>12.0764605</v>
      </c>
      <c r="G2343" s="328">
        <v>7064.9904999999999</v>
      </c>
      <c r="H2343" s="328">
        <v>8324.3647000000001</v>
      </c>
      <c r="I2343" s="329">
        <v>1.2586109950931968E-2</v>
      </c>
      <c r="J2343" s="329">
        <v>0.73784781294512436</v>
      </c>
      <c r="K2343" s="329">
        <v>0.87737571741715858</v>
      </c>
    </row>
    <row r="2344" spans="1:11" ht="11.25" x14ac:dyDescent="0.15">
      <c r="A2344" s="326">
        <v>1.1499999999999999</v>
      </c>
      <c r="B2344" s="327">
        <v>-40</v>
      </c>
      <c r="C2344" s="327" t="s">
        <v>109</v>
      </c>
      <c r="D2344" s="327" t="s">
        <v>113</v>
      </c>
      <c r="E2344" s="328" t="s">
        <v>1684</v>
      </c>
      <c r="F2344" s="328">
        <v>9.1383116999999991</v>
      </c>
      <c r="G2344" s="328">
        <v>6975.8953999999994</v>
      </c>
      <c r="H2344" s="328">
        <v>8177.7707499999988</v>
      </c>
      <c r="I2344" s="329">
        <v>9.5239657200955549E-3</v>
      </c>
      <c r="J2344" s="329">
        <v>0.72854297033010207</v>
      </c>
      <c r="K2344" s="329">
        <v>0.86192493207971821</v>
      </c>
    </row>
    <row r="2345" spans="1:11" ht="11.25" x14ac:dyDescent="0.15">
      <c r="A2345" s="326">
        <v>1.175</v>
      </c>
      <c r="B2345" s="327">
        <v>-40</v>
      </c>
      <c r="C2345" s="327" t="s">
        <v>109</v>
      </c>
      <c r="D2345" s="327" t="s">
        <v>79</v>
      </c>
      <c r="E2345" s="328" t="s">
        <v>1685</v>
      </c>
      <c r="F2345" s="328">
        <v>41.672808500000002</v>
      </c>
      <c r="G2345" s="328">
        <v>7596.1693750000013</v>
      </c>
      <c r="H2345" s="328">
        <v>8872.4061999999994</v>
      </c>
      <c r="I2345" s="329">
        <v>4.3431479757262685E-2</v>
      </c>
      <c r="J2345" s="329">
        <v>0.79332264637928152</v>
      </c>
      <c r="K2345" s="329">
        <v>0.93513848029044733</v>
      </c>
    </row>
    <row r="2346" spans="1:11" ht="11.25" x14ac:dyDescent="0.15">
      <c r="A2346" s="326">
        <v>1.175</v>
      </c>
      <c r="B2346" s="327">
        <v>-40</v>
      </c>
      <c r="C2346" s="327" t="s">
        <v>109</v>
      </c>
      <c r="D2346" s="327" t="s">
        <v>114</v>
      </c>
      <c r="E2346" s="328" t="s">
        <v>1686</v>
      </c>
      <c r="F2346" s="328">
        <v>13.63908275</v>
      </c>
      <c r="G2346" s="328">
        <v>7380.4710999999998</v>
      </c>
      <c r="H2346" s="328">
        <v>8713.3182500000003</v>
      </c>
      <c r="I2346" s="329">
        <v>1.421467781237388E-2</v>
      </c>
      <c r="J2346" s="329">
        <v>0.77079572288734088</v>
      </c>
      <c r="K2346" s="329">
        <v>0.91837084584698347</v>
      </c>
    </row>
    <row r="2347" spans="1:11" ht="11.25" x14ac:dyDescent="0.15">
      <c r="A2347" s="326">
        <v>1.175</v>
      </c>
      <c r="B2347" s="327">
        <v>-40</v>
      </c>
      <c r="C2347" s="327" t="s">
        <v>109</v>
      </c>
      <c r="D2347" s="327" t="s">
        <v>113</v>
      </c>
      <c r="E2347" s="328" t="s">
        <v>1687</v>
      </c>
      <c r="F2347" s="328">
        <v>10.31562815</v>
      </c>
      <c r="G2347" s="328">
        <v>7268.8508000000011</v>
      </c>
      <c r="H2347" s="328">
        <v>8559.9231749999999</v>
      </c>
      <c r="I2347" s="329">
        <v>1.0750967148762582E-2</v>
      </c>
      <c r="J2347" s="329">
        <v>0.75913841149601236</v>
      </c>
      <c r="K2347" s="329">
        <v>0.90220323200176311</v>
      </c>
    </row>
    <row r="2348" spans="1:11" ht="11.25" x14ac:dyDescent="0.15">
      <c r="A2348" s="326">
        <v>1.2</v>
      </c>
      <c r="B2348" s="327">
        <v>-40</v>
      </c>
      <c r="C2348" s="327" t="s">
        <v>109</v>
      </c>
      <c r="D2348" s="327" t="s">
        <v>79</v>
      </c>
      <c r="E2348" s="328" t="s">
        <v>1688</v>
      </c>
      <c r="F2348" s="328">
        <v>47.066904000000001</v>
      </c>
      <c r="G2348" s="328">
        <v>7966.0427999999993</v>
      </c>
      <c r="H2348" s="328">
        <v>9275.8572000000004</v>
      </c>
      <c r="I2348" s="329">
        <v>4.9053216279220199E-2</v>
      </c>
      <c r="J2348" s="329">
        <v>0.83195119056526035</v>
      </c>
      <c r="K2348" s="329">
        <v>0.97766161849073197</v>
      </c>
    </row>
    <row r="2349" spans="1:11" ht="11.25" x14ac:dyDescent="0.15">
      <c r="A2349" s="326">
        <v>1.2</v>
      </c>
      <c r="B2349" s="327">
        <v>-40</v>
      </c>
      <c r="C2349" s="327" t="s">
        <v>109</v>
      </c>
      <c r="D2349" s="327" t="s">
        <v>114</v>
      </c>
      <c r="E2349" s="328" t="s">
        <v>1689</v>
      </c>
      <c r="F2349" s="328">
        <v>15.399324</v>
      </c>
      <c r="G2349" s="328">
        <v>7709.1959999999999</v>
      </c>
      <c r="H2349" s="328">
        <v>9110.8739999999998</v>
      </c>
      <c r="I2349" s="329">
        <v>1.6049204569006416E-2</v>
      </c>
      <c r="J2349" s="329">
        <v>0.80512683041333188</v>
      </c>
      <c r="K2349" s="329">
        <v>0.96027263342358571</v>
      </c>
    </row>
    <row r="2350" spans="1:11" ht="11.25" x14ac:dyDescent="0.15">
      <c r="A2350" s="326">
        <v>1.2</v>
      </c>
      <c r="B2350" s="327">
        <v>-40</v>
      </c>
      <c r="C2350" s="327" t="s">
        <v>109</v>
      </c>
      <c r="D2350" s="327" t="s">
        <v>113</v>
      </c>
      <c r="E2350" s="328" t="s">
        <v>1690</v>
      </c>
      <c r="F2350" s="328">
        <v>11.640943200000001</v>
      </c>
      <c r="G2350" s="328">
        <v>7571.19</v>
      </c>
      <c r="H2350" s="328">
        <v>8951.7371999999996</v>
      </c>
      <c r="I2350" s="329">
        <v>1.2132212997985118E-2</v>
      </c>
      <c r="J2350" s="329">
        <v>0.79071387044214647</v>
      </c>
      <c r="K2350" s="329">
        <v>0.94349985026243099</v>
      </c>
    </row>
    <row r="2351" spans="1:11" ht="11.25" x14ac:dyDescent="0.15">
      <c r="A2351" s="326">
        <v>1.2250000000000001</v>
      </c>
      <c r="B2351" s="327">
        <v>-40</v>
      </c>
      <c r="C2351" s="327" t="s">
        <v>109</v>
      </c>
      <c r="D2351" s="327" t="s">
        <v>79</v>
      </c>
      <c r="E2351" s="328" t="s">
        <v>1691</v>
      </c>
      <c r="F2351" s="328">
        <v>53.098017000000006</v>
      </c>
      <c r="G2351" s="328">
        <v>8357.0149250000013</v>
      </c>
      <c r="H2351" s="328">
        <v>9688.2481500000013</v>
      </c>
      <c r="I2351" s="329">
        <v>5.5338853643288527E-2</v>
      </c>
      <c r="J2351" s="329">
        <v>0.87278322386435103</v>
      </c>
      <c r="K2351" s="329">
        <v>1.0211270141878468</v>
      </c>
    </row>
    <row r="2352" spans="1:11" ht="11.25" x14ac:dyDescent="0.15">
      <c r="A2352" s="326">
        <v>1.2250000000000001</v>
      </c>
      <c r="B2352" s="327">
        <v>-40</v>
      </c>
      <c r="C2352" s="327" t="s">
        <v>109</v>
      </c>
      <c r="D2352" s="327" t="s">
        <v>114</v>
      </c>
      <c r="E2352" s="328" t="s">
        <v>1692</v>
      </c>
      <c r="F2352" s="328">
        <v>17.381880250000002</v>
      </c>
      <c r="G2352" s="328">
        <v>8053.5946749999994</v>
      </c>
      <c r="H2352" s="328">
        <v>9516.8792250000024</v>
      </c>
      <c r="I2352" s="329">
        <v>1.811542843869136E-2</v>
      </c>
      <c r="J2352" s="329">
        <v>0.84109486308513071</v>
      </c>
      <c r="K2352" s="329">
        <v>1.0030649831580336</v>
      </c>
    </row>
    <row r="2353" spans="1:11" ht="11.25" x14ac:dyDescent="0.15">
      <c r="A2353" s="326">
        <v>1.2250000000000001</v>
      </c>
      <c r="B2353" s="327">
        <v>-40</v>
      </c>
      <c r="C2353" s="327" t="s">
        <v>109</v>
      </c>
      <c r="D2353" s="327" t="s">
        <v>113</v>
      </c>
      <c r="E2353" s="328" t="s">
        <v>1693</v>
      </c>
      <c r="F2353" s="328">
        <v>13.132551250000002</v>
      </c>
      <c r="G2353" s="328">
        <v>7886.5708250000007</v>
      </c>
      <c r="H2353" s="328">
        <v>9352.3323250000012</v>
      </c>
      <c r="I2353" s="329">
        <v>1.3686769726009464E-2</v>
      </c>
      <c r="J2353" s="329">
        <v>0.8236513601629154</v>
      </c>
      <c r="K2353" s="329">
        <v>0.98572198346506357</v>
      </c>
    </row>
    <row r="2354" spans="1:11" ht="11.25" x14ac:dyDescent="0.15">
      <c r="A2354" s="326">
        <v>1.25</v>
      </c>
      <c r="B2354" s="327">
        <v>-40</v>
      </c>
      <c r="C2354" s="327" t="s">
        <v>109</v>
      </c>
      <c r="D2354" s="327" t="s">
        <v>79</v>
      </c>
      <c r="E2354" s="328" t="s">
        <v>1694</v>
      </c>
      <c r="F2354" s="328">
        <v>59.835999999999999</v>
      </c>
      <c r="G2354" s="328">
        <v>8768.8274999999994</v>
      </c>
      <c r="H2354" s="328">
        <v>10110.0375</v>
      </c>
      <c r="I2354" s="329">
        <v>6.2361192256950235E-2</v>
      </c>
      <c r="J2354" s="329">
        <v>0.91579177537012424</v>
      </c>
      <c r="K2354" s="329">
        <v>1.0655829873331808</v>
      </c>
    </row>
    <row r="2355" spans="1:11" ht="11.25" x14ac:dyDescent="0.15">
      <c r="A2355" s="326">
        <v>1.25</v>
      </c>
      <c r="B2355" s="327">
        <v>-40</v>
      </c>
      <c r="C2355" s="327" t="s">
        <v>109</v>
      </c>
      <c r="D2355" s="327" t="s">
        <v>114</v>
      </c>
      <c r="E2355" s="328" t="s">
        <v>1695</v>
      </c>
      <c r="F2355" s="328">
        <v>19.614474999999999</v>
      </c>
      <c r="G2355" s="328">
        <v>8414.42</v>
      </c>
      <c r="H2355" s="328">
        <v>9932.2224999999999</v>
      </c>
      <c r="I2355" s="329">
        <v>2.0442242905510794E-2</v>
      </c>
      <c r="J2355" s="329">
        <v>0.87877844905831271</v>
      </c>
      <c r="K2355" s="329">
        <v>1.0468415495400321</v>
      </c>
    </row>
    <row r="2356" spans="1:11" ht="11.25" x14ac:dyDescent="0.15">
      <c r="A2356" s="326">
        <v>1.25</v>
      </c>
      <c r="B2356" s="327">
        <v>-40</v>
      </c>
      <c r="C2356" s="327" t="s">
        <v>109</v>
      </c>
      <c r="D2356" s="327" t="s">
        <v>113</v>
      </c>
      <c r="E2356" s="328" t="s">
        <v>1696</v>
      </c>
      <c r="F2356" s="328">
        <v>14.810974999999999</v>
      </c>
      <c r="G2356" s="328">
        <v>8214.01</v>
      </c>
      <c r="H2356" s="328">
        <v>9762.1687499999989</v>
      </c>
      <c r="I2356" s="329">
        <v>1.5436026129552166E-2</v>
      </c>
      <c r="J2356" s="329">
        <v>0.8578481901722842</v>
      </c>
      <c r="K2356" s="329">
        <v>1.0289181360084589</v>
      </c>
    </row>
    <row r="2357" spans="1:11" ht="11.25" x14ac:dyDescent="0.15">
      <c r="A2357" s="326">
        <v>1.2749999999999999</v>
      </c>
      <c r="B2357" s="327">
        <v>-40</v>
      </c>
      <c r="C2357" s="327" t="s">
        <v>109</v>
      </c>
      <c r="D2357" s="327" t="s">
        <v>79</v>
      </c>
      <c r="E2357" s="328" t="s">
        <v>1697</v>
      </c>
      <c r="F2357" s="328">
        <v>67.358313749999994</v>
      </c>
      <c r="G2357" s="328">
        <v>9202.23855</v>
      </c>
      <c r="H2357" s="328">
        <v>10540.416074999999</v>
      </c>
      <c r="I2357" s="329">
        <v>7.020096186021331E-2</v>
      </c>
      <c r="J2357" s="329">
        <v>0.96105601108972649</v>
      </c>
      <c r="K2357" s="329">
        <v>1.1109442520794981</v>
      </c>
    </row>
    <row r="2358" spans="1:11" ht="11.25" x14ac:dyDescent="0.15">
      <c r="A2358" s="326">
        <v>1.2749999999999999</v>
      </c>
      <c r="B2358" s="327">
        <v>-40</v>
      </c>
      <c r="C2358" s="327" t="s">
        <v>109</v>
      </c>
      <c r="D2358" s="327" t="s">
        <v>114</v>
      </c>
      <c r="E2358" s="328" t="s">
        <v>1698</v>
      </c>
      <c r="F2358" s="328">
        <v>22.128262499999998</v>
      </c>
      <c r="G2358" s="328">
        <v>8792.8819500000009</v>
      </c>
      <c r="H2358" s="328">
        <v>10356.248699999998</v>
      </c>
      <c r="I2358" s="329">
        <v>2.3062116987679022E-2</v>
      </c>
      <c r="J2358" s="329">
        <v>0.91830395473173831</v>
      </c>
      <c r="K2358" s="329">
        <v>1.0915332833643165</v>
      </c>
    </row>
    <row r="2359" spans="1:11" ht="11.25" x14ac:dyDescent="0.15">
      <c r="A2359" s="326">
        <v>1.2749999999999999</v>
      </c>
      <c r="B2359" s="327">
        <v>-40</v>
      </c>
      <c r="C2359" s="327" t="s">
        <v>109</v>
      </c>
      <c r="D2359" s="327" t="s">
        <v>113</v>
      </c>
      <c r="E2359" s="328" t="s">
        <v>1699</v>
      </c>
      <c r="F2359" s="328">
        <v>16.699223249999999</v>
      </c>
      <c r="G2359" s="328">
        <v>8555.7242999999999</v>
      </c>
      <c r="H2359" s="328">
        <v>10180.218375</v>
      </c>
      <c r="I2359" s="329">
        <v>1.7403962023447142E-2</v>
      </c>
      <c r="J2359" s="329">
        <v>0.89353587424023495</v>
      </c>
      <c r="K2359" s="329">
        <v>1.0729799476744413</v>
      </c>
    </row>
    <row r="2360" spans="1:11" ht="11.25" x14ac:dyDescent="0.15">
      <c r="A2360" s="326">
        <v>1.3</v>
      </c>
      <c r="B2360" s="327">
        <v>-40</v>
      </c>
      <c r="C2360" s="327" t="s">
        <v>109</v>
      </c>
      <c r="D2360" s="327" t="s">
        <v>79</v>
      </c>
      <c r="E2360" s="328" t="s">
        <v>1700</v>
      </c>
      <c r="F2360" s="328">
        <v>75.751078000000007</v>
      </c>
      <c r="G2360" s="328">
        <v>9659.3639999999996</v>
      </c>
      <c r="H2360" s="328">
        <v>10980.478599999999</v>
      </c>
      <c r="I2360" s="329">
        <v>7.8947916619246494E-2</v>
      </c>
      <c r="J2360" s="329">
        <v>1.0087969123017035</v>
      </c>
      <c r="K2360" s="329">
        <v>1.1573261908213555</v>
      </c>
    </row>
    <row r="2361" spans="1:11" ht="11.25" x14ac:dyDescent="0.15">
      <c r="A2361" s="326">
        <v>1.3</v>
      </c>
      <c r="B2361" s="327">
        <v>-40</v>
      </c>
      <c r="C2361" s="327" t="s">
        <v>109</v>
      </c>
      <c r="D2361" s="327" t="s">
        <v>114</v>
      </c>
      <c r="E2361" s="328" t="s">
        <v>1701</v>
      </c>
      <c r="F2361" s="328">
        <v>24.958245000000002</v>
      </c>
      <c r="G2361" s="328">
        <v>9192.0348000000013</v>
      </c>
      <c r="H2361" s="328">
        <v>10789.2811</v>
      </c>
      <c r="I2361" s="329">
        <v>2.601153009628095E-2</v>
      </c>
      <c r="J2361" s="329">
        <v>0.95999036002885985</v>
      </c>
      <c r="K2361" s="329">
        <v>1.1371742573373664</v>
      </c>
    </row>
    <row r="2362" spans="1:11" ht="11.25" x14ac:dyDescent="0.15">
      <c r="A2362" s="326">
        <v>1.3</v>
      </c>
      <c r="B2362" s="327">
        <v>-40</v>
      </c>
      <c r="C2362" s="327" t="s">
        <v>109</v>
      </c>
      <c r="D2362" s="327" t="s">
        <v>113</v>
      </c>
      <c r="E2362" s="328" t="s">
        <v>1702</v>
      </c>
      <c r="F2362" s="328">
        <v>18.823155</v>
      </c>
      <c r="G2362" s="328">
        <v>8912.4516000000003</v>
      </c>
      <c r="H2362" s="328">
        <v>10607.342200000001</v>
      </c>
      <c r="I2362" s="329">
        <v>1.96175277063536E-2</v>
      </c>
      <c r="J2362" s="329">
        <v>0.93079147396437045</v>
      </c>
      <c r="K2362" s="329">
        <v>1.1179981665885328</v>
      </c>
    </row>
    <row r="2363" spans="1:11" ht="11.25" x14ac:dyDescent="0.15">
      <c r="A2363" s="326">
        <v>1.325</v>
      </c>
      <c r="B2363" s="327">
        <v>-40</v>
      </c>
      <c r="C2363" s="327" t="s">
        <v>109</v>
      </c>
      <c r="D2363" s="327" t="s">
        <v>79</v>
      </c>
      <c r="E2363" s="328" t="s">
        <v>1703</v>
      </c>
      <c r="F2363" s="328">
        <v>85.110089749999986</v>
      </c>
      <c r="G2363" s="328">
        <v>10139.166325</v>
      </c>
      <c r="H2363" s="328">
        <v>11429.064425</v>
      </c>
      <c r="I2363" s="329">
        <v>8.8701896348453074E-2</v>
      </c>
      <c r="J2363" s="329">
        <v>1.05890612280202</v>
      </c>
      <c r="K2363" s="329">
        <v>1.2046064727667807</v>
      </c>
    </row>
    <row r="2364" spans="1:11" ht="11.25" x14ac:dyDescent="0.15">
      <c r="A2364" s="326">
        <v>1.325</v>
      </c>
      <c r="B2364" s="327">
        <v>-40</v>
      </c>
      <c r="C2364" s="327" t="s">
        <v>109</v>
      </c>
      <c r="D2364" s="327" t="s">
        <v>114</v>
      </c>
      <c r="E2364" s="328" t="s">
        <v>1704</v>
      </c>
      <c r="F2364" s="328">
        <v>28.143781749999999</v>
      </c>
      <c r="G2364" s="328">
        <v>9611.084925000001</v>
      </c>
      <c r="H2364" s="328">
        <v>11231.108100000001</v>
      </c>
      <c r="I2364" s="329">
        <v>2.9331502516033781E-2</v>
      </c>
      <c r="J2364" s="329">
        <v>1.0037547809782768</v>
      </c>
      <c r="K2364" s="329">
        <v>1.1837421691323977</v>
      </c>
    </row>
    <row r="2365" spans="1:11" ht="11.25" x14ac:dyDescent="0.15">
      <c r="A2365" s="326">
        <v>1.325</v>
      </c>
      <c r="B2365" s="327">
        <v>-40</v>
      </c>
      <c r="C2365" s="327" t="s">
        <v>109</v>
      </c>
      <c r="D2365" s="327" t="s">
        <v>113</v>
      </c>
      <c r="E2365" s="328" t="s">
        <v>1705</v>
      </c>
      <c r="F2365" s="328">
        <v>21.211818999999998</v>
      </c>
      <c r="G2365" s="328">
        <v>9285.2011749999983</v>
      </c>
      <c r="H2365" s="328">
        <v>11043.942574999999</v>
      </c>
      <c r="I2365" s="329">
        <v>2.2106997840407611E-2</v>
      </c>
      <c r="J2365" s="329">
        <v>0.96972039519787712</v>
      </c>
      <c r="K2365" s="329">
        <v>1.1640151998451638</v>
      </c>
    </row>
    <row r="2366" spans="1:11" ht="11.25" x14ac:dyDescent="0.15">
      <c r="A2366" s="326">
        <v>1.35</v>
      </c>
      <c r="B2366" s="327">
        <v>-40</v>
      </c>
      <c r="C2366" s="327" t="s">
        <v>109</v>
      </c>
      <c r="D2366" s="327" t="s">
        <v>79</v>
      </c>
      <c r="E2366" s="328" t="s">
        <v>1706</v>
      </c>
      <c r="F2366" s="328">
        <v>95.542119000000014</v>
      </c>
      <c r="G2366" s="328">
        <v>10644.615</v>
      </c>
      <c r="H2366" s="328">
        <v>11887.921800000002</v>
      </c>
      <c r="I2366" s="329">
        <v>9.9574176943569404E-2</v>
      </c>
      <c r="J2366" s="329">
        <v>1.111693766239723</v>
      </c>
      <c r="K2366" s="329">
        <v>1.2529693608779635</v>
      </c>
    </row>
    <row r="2367" spans="1:11" ht="11.25" x14ac:dyDescent="0.15">
      <c r="A2367" s="326">
        <v>1.35</v>
      </c>
      <c r="B2367" s="327">
        <v>-40</v>
      </c>
      <c r="C2367" s="327" t="s">
        <v>109</v>
      </c>
      <c r="D2367" s="327" t="s">
        <v>114</v>
      </c>
      <c r="E2367" s="328" t="s">
        <v>1707</v>
      </c>
      <c r="F2367" s="328">
        <v>31.729158000000002</v>
      </c>
      <c r="G2367" s="328">
        <v>10052.7426</v>
      </c>
      <c r="H2367" s="328">
        <v>11682.55845</v>
      </c>
      <c r="I2367" s="329">
        <v>3.3068188418162156E-2</v>
      </c>
      <c r="J2367" s="329">
        <v>1.0498802711072694</v>
      </c>
      <c r="K2367" s="329">
        <v>1.2313243677726708</v>
      </c>
    </row>
    <row r="2368" spans="1:11" ht="11.25" x14ac:dyDescent="0.15">
      <c r="A2368" s="326">
        <v>1.35</v>
      </c>
      <c r="B2368" s="327">
        <v>-40</v>
      </c>
      <c r="C2368" s="327" t="s">
        <v>109</v>
      </c>
      <c r="D2368" s="327" t="s">
        <v>113</v>
      </c>
      <c r="E2368" s="328" t="s">
        <v>1708</v>
      </c>
      <c r="F2368" s="328">
        <v>23.897835000000004</v>
      </c>
      <c r="G2368" s="328">
        <v>9675.6984000000011</v>
      </c>
      <c r="H2368" s="328">
        <v>11488.365</v>
      </c>
      <c r="I2368" s="329">
        <v>2.4906368790692468E-2</v>
      </c>
      <c r="J2368" s="329">
        <v>1.0105028312715552</v>
      </c>
      <c r="K2368" s="329">
        <v>1.2108566655933726</v>
      </c>
    </row>
    <row r="2369" spans="1:11" ht="11.25" x14ac:dyDescent="0.15">
      <c r="A2369" s="326">
        <v>1.375</v>
      </c>
      <c r="B2369" s="327">
        <v>-40</v>
      </c>
      <c r="C2369" s="327" t="s">
        <v>109</v>
      </c>
      <c r="D2369" s="327" t="s">
        <v>79</v>
      </c>
      <c r="E2369" s="328" t="s">
        <v>1709</v>
      </c>
      <c r="F2369" s="328">
        <v>107.16633125</v>
      </c>
      <c r="G2369" s="328">
        <v>11174.715750000001</v>
      </c>
      <c r="H2369" s="328">
        <v>12354.791625</v>
      </c>
      <c r="I2369" s="329">
        <v>0.11168895291385225</v>
      </c>
      <c r="J2369" s="329">
        <v>1.1670560033195991</v>
      </c>
      <c r="K2369" s="329">
        <v>1.3021767493588883</v>
      </c>
    </row>
    <row r="2370" spans="1:11" ht="11.25" x14ac:dyDescent="0.15">
      <c r="A2370" s="326">
        <v>1.375</v>
      </c>
      <c r="B2370" s="327">
        <v>-40</v>
      </c>
      <c r="C2370" s="327" t="s">
        <v>109</v>
      </c>
      <c r="D2370" s="327" t="s">
        <v>114</v>
      </c>
      <c r="E2370" s="328" t="s">
        <v>1710</v>
      </c>
      <c r="F2370" s="328">
        <v>35.764176249999998</v>
      </c>
      <c r="G2370" s="328">
        <v>10514.658000000001</v>
      </c>
      <c r="H2370" s="328">
        <v>12142.575499999999</v>
      </c>
      <c r="I2370" s="329">
        <v>3.7273492062265247E-2</v>
      </c>
      <c r="J2370" s="329">
        <v>1.0981214212766395</v>
      </c>
      <c r="K2370" s="329">
        <v>1.2798094839122693</v>
      </c>
    </row>
    <row r="2371" spans="1:11" ht="11.25" x14ac:dyDescent="0.15">
      <c r="A2371" s="326">
        <v>1.375</v>
      </c>
      <c r="B2371" s="327">
        <v>-40</v>
      </c>
      <c r="C2371" s="327" t="s">
        <v>109</v>
      </c>
      <c r="D2371" s="327" t="s">
        <v>113</v>
      </c>
      <c r="E2371" s="328" t="s">
        <v>1711</v>
      </c>
      <c r="F2371" s="328">
        <v>26.917935</v>
      </c>
      <c r="G2371" s="328">
        <v>10083.643625000001</v>
      </c>
      <c r="H2371" s="328">
        <v>11941.858499999998</v>
      </c>
      <c r="I2371" s="329">
        <v>2.8053922717011324E-2</v>
      </c>
      <c r="J2371" s="329">
        <v>1.0531074875789708</v>
      </c>
      <c r="K2371" s="329">
        <v>1.2586542092193165</v>
      </c>
    </row>
    <row r="2372" spans="1:11" ht="11.25" x14ac:dyDescent="0.15">
      <c r="A2372" s="326">
        <v>1.4</v>
      </c>
      <c r="B2372" s="327">
        <v>-40</v>
      </c>
      <c r="C2372" s="327" t="s">
        <v>109</v>
      </c>
      <c r="D2372" s="327" t="s">
        <v>79</v>
      </c>
      <c r="E2372" s="328" t="s">
        <v>1712</v>
      </c>
      <c r="F2372" s="328">
        <v>120.11574399999999</v>
      </c>
      <c r="G2372" s="328">
        <v>11729.6774</v>
      </c>
      <c r="H2372" s="328">
        <v>12831.307999999999</v>
      </c>
      <c r="I2372" s="329">
        <v>0.12518485534913124</v>
      </c>
      <c r="J2372" s="329">
        <v>1.2250146431395559</v>
      </c>
      <c r="K2372" s="329">
        <v>1.3524008699307137</v>
      </c>
    </row>
    <row r="2373" spans="1:11" ht="11.25" x14ac:dyDescent="0.15">
      <c r="A2373" s="326">
        <v>1.4</v>
      </c>
      <c r="B2373" s="327">
        <v>-40</v>
      </c>
      <c r="C2373" s="327" t="s">
        <v>109</v>
      </c>
      <c r="D2373" s="327" t="s">
        <v>114</v>
      </c>
      <c r="E2373" s="328" t="s">
        <v>1713</v>
      </c>
      <c r="F2373" s="328">
        <v>40.304949999999998</v>
      </c>
      <c r="G2373" s="328">
        <v>11001.41</v>
      </c>
      <c r="H2373" s="328">
        <v>12611.368</v>
      </c>
      <c r="I2373" s="329">
        <v>4.200589504406655E-2</v>
      </c>
      <c r="J2373" s="329">
        <v>1.1489564363621749</v>
      </c>
      <c r="K2373" s="329">
        <v>1.3292195194921959</v>
      </c>
    </row>
    <row r="2374" spans="1:11" ht="11.25" x14ac:dyDescent="0.15">
      <c r="A2374" s="326">
        <v>1.4</v>
      </c>
      <c r="B2374" s="327">
        <v>-40</v>
      </c>
      <c r="C2374" s="327" t="s">
        <v>109</v>
      </c>
      <c r="D2374" s="327" t="s">
        <v>113</v>
      </c>
      <c r="E2374" s="328" t="s">
        <v>1714</v>
      </c>
      <c r="F2374" s="328">
        <v>30.313415999999997</v>
      </c>
      <c r="G2374" s="328">
        <v>10513.847400000001</v>
      </c>
      <c r="H2374" s="328">
        <v>12404.506800000001</v>
      </c>
      <c r="I2374" s="329">
        <v>3.1592699430792688E-2</v>
      </c>
      <c r="J2374" s="329">
        <v>1.0980367644837998</v>
      </c>
      <c r="K2374" s="329">
        <v>1.3074166552140638</v>
      </c>
    </row>
    <row r="2375" spans="1:11" ht="11.25" x14ac:dyDescent="0.15">
      <c r="A2375" s="326">
        <v>0.9</v>
      </c>
      <c r="B2375" s="327">
        <v>-20</v>
      </c>
      <c r="C2375" s="327" t="s">
        <v>109</v>
      </c>
      <c r="D2375" s="327" t="s">
        <v>79</v>
      </c>
      <c r="E2375" s="328" t="s">
        <v>1715</v>
      </c>
      <c r="F2375" s="328">
        <v>10.860606000000002</v>
      </c>
      <c r="G2375" s="328">
        <v>4464.2817000000005</v>
      </c>
      <c r="H2375" s="328">
        <v>5047.3386</v>
      </c>
      <c r="I2375" s="329">
        <v>1.1318944093739344E-2</v>
      </c>
      <c r="J2375" s="329">
        <v>0.46623707260695424</v>
      </c>
      <c r="K2375" s="329">
        <v>0.53198201722496818</v>
      </c>
    </row>
    <row r="2376" spans="1:11" ht="11.25" x14ac:dyDescent="0.15">
      <c r="A2376" s="326">
        <v>0.9</v>
      </c>
      <c r="B2376" s="327">
        <v>-20</v>
      </c>
      <c r="C2376" s="327" t="s">
        <v>109</v>
      </c>
      <c r="D2376" s="327" t="s">
        <v>114</v>
      </c>
      <c r="E2376" s="328" t="s">
        <v>1716</v>
      </c>
      <c r="F2376" s="328">
        <v>3.6439956000000002</v>
      </c>
      <c r="G2376" s="328">
        <v>4446.6191999999992</v>
      </c>
      <c r="H2376" s="328">
        <v>4943.3148000000001</v>
      </c>
      <c r="I2376" s="329">
        <v>3.7977790994565266E-3</v>
      </c>
      <c r="J2376" s="329">
        <v>0.46439245059420786</v>
      </c>
      <c r="K2376" s="329">
        <v>0.52101806268397366</v>
      </c>
    </row>
    <row r="2377" spans="1:11" ht="11.25" x14ac:dyDescent="0.15">
      <c r="A2377" s="326">
        <v>0.9</v>
      </c>
      <c r="B2377" s="327">
        <v>-20</v>
      </c>
      <c r="C2377" s="327" t="s">
        <v>109</v>
      </c>
      <c r="D2377" s="327" t="s">
        <v>113</v>
      </c>
      <c r="E2377" s="328" t="s">
        <v>1717</v>
      </c>
      <c r="F2377" s="328">
        <v>2.7327915000000003</v>
      </c>
      <c r="G2377" s="328">
        <v>4433.7285000000002</v>
      </c>
      <c r="H2377" s="328">
        <v>4843.1699999999992</v>
      </c>
      <c r="I2377" s="329">
        <v>2.8481204647646807E-3</v>
      </c>
      <c r="J2377" s="329">
        <v>0.46304618200370784</v>
      </c>
      <c r="K2377" s="329">
        <v>0.51046294900117228</v>
      </c>
    </row>
    <row r="2378" spans="1:11" ht="11.25" x14ac:dyDescent="0.15">
      <c r="A2378" s="326">
        <v>0.92500000000000004</v>
      </c>
      <c r="B2378" s="327">
        <v>-20</v>
      </c>
      <c r="C2378" s="327" t="s">
        <v>109</v>
      </c>
      <c r="D2378" s="327" t="s">
        <v>79</v>
      </c>
      <c r="E2378" s="328" t="s">
        <v>1718</v>
      </c>
      <c r="F2378" s="328">
        <v>12.395712250000001</v>
      </c>
      <c r="G2378" s="328">
        <v>4701.6926750000002</v>
      </c>
      <c r="H2378" s="328">
        <v>5352.456075000001</v>
      </c>
      <c r="I2378" s="329">
        <v>1.2918834727991229E-2</v>
      </c>
      <c r="J2378" s="329">
        <v>0.4910316096516848</v>
      </c>
      <c r="K2378" s="329">
        <v>0.56414094744635046</v>
      </c>
    </row>
    <row r="2379" spans="1:11" ht="11.25" x14ac:dyDescent="0.15">
      <c r="A2379" s="326">
        <v>0.92500000000000004</v>
      </c>
      <c r="B2379" s="327">
        <v>-20</v>
      </c>
      <c r="C2379" s="327" t="s">
        <v>109</v>
      </c>
      <c r="D2379" s="327" t="s">
        <v>114</v>
      </c>
      <c r="E2379" s="328" t="s">
        <v>1719</v>
      </c>
      <c r="F2379" s="328">
        <v>4.1314829000000008</v>
      </c>
      <c r="G2379" s="328">
        <v>4675.9416000000001</v>
      </c>
      <c r="H2379" s="328">
        <v>5244.5289250000005</v>
      </c>
      <c r="I2379" s="329">
        <v>4.3058392845979404E-3</v>
      </c>
      <c r="J2379" s="329">
        <v>0.48834223952871919</v>
      </c>
      <c r="K2379" s="329">
        <v>0.55276558559320632</v>
      </c>
    </row>
    <row r="2380" spans="1:11" ht="11.25" x14ac:dyDescent="0.15">
      <c r="A2380" s="326">
        <v>0.92500000000000004</v>
      </c>
      <c r="B2380" s="327">
        <v>-20</v>
      </c>
      <c r="C2380" s="327" t="s">
        <v>109</v>
      </c>
      <c r="D2380" s="327" t="s">
        <v>113</v>
      </c>
      <c r="E2380" s="328" t="s">
        <v>1720</v>
      </c>
      <c r="F2380" s="328">
        <v>3.0984503000000001</v>
      </c>
      <c r="G2380" s="328">
        <v>4661.2433499999997</v>
      </c>
      <c r="H2380" s="328">
        <v>5139.5802750000012</v>
      </c>
      <c r="I2380" s="329">
        <v>3.2292107570176002E-3</v>
      </c>
      <c r="J2380" s="329">
        <v>0.48680719548065982</v>
      </c>
      <c r="K2380" s="329">
        <v>0.54170415323120136</v>
      </c>
    </row>
    <row r="2381" spans="1:11" ht="11.25" x14ac:dyDescent="0.15">
      <c r="A2381" s="326">
        <v>0.95</v>
      </c>
      <c r="B2381" s="327">
        <v>-20</v>
      </c>
      <c r="C2381" s="327" t="s">
        <v>109</v>
      </c>
      <c r="D2381" s="327" t="s">
        <v>79</v>
      </c>
      <c r="E2381" s="328" t="s">
        <v>1721</v>
      </c>
      <c r="F2381" s="328">
        <v>14.129539999999999</v>
      </c>
      <c r="G2381" s="328">
        <v>4947.4954999999991</v>
      </c>
      <c r="H2381" s="328">
        <v>5666.5419499999998</v>
      </c>
      <c r="I2381" s="329">
        <v>1.4725833285016855E-2</v>
      </c>
      <c r="J2381" s="329">
        <v>0.51670256799791081</v>
      </c>
      <c r="K2381" s="329">
        <v>0.59724513375245014</v>
      </c>
    </row>
    <row r="2382" spans="1:11" ht="11.25" x14ac:dyDescent="0.15">
      <c r="A2382" s="326">
        <v>0.95</v>
      </c>
      <c r="B2382" s="327">
        <v>-20</v>
      </c>
      <c r="C2382" s="327" t="s">
        <v>109</v>
      </c>
      <c r="D2382" s="327" t="s">
        <v>114</v>
      </c>
      <c r="E2382" s="328" t="s">
        <v>1722</v>
      </c>
      <c r="F2382" s="328">
        <v>4.6794263999999997</v>
      </c>
      <c r="G2382" s="328">
        <v>4912.6779999999999</v>
      </c>
      <c r="H2382" s="328">
        <v>5553.9156499999999</v>
      </c>
      <c r="I2382" s="329">
        <v>4.8769070356081369E-3</v>
      </c>
      <c r="J2382" s="329">
        <v>0.51306632585049161</v>
      </c>
      <c r="K2382" s="329">
        <v>0.58537448844512241</v>
      </c>
    </row>
    <row r="2383" spans="1:11" ht="11.25" x14ac:dyDescent="0.15">
      <c r="A2383" s="326">
        <v>0.95</v>
      </c>
      <c r="B2383" s="327">
        <v>-20</v>
      </c>
      <c r="C2383" s="327" t="s">
        <v>109</v>
      </c>
      <c r="D2383" s="327" t="s">
        <v>113</v>
      </c>
      <c r="E2383" s="328" t="s">
        <v>1723</v>
      </c>
      <c r="F2383" s="328">
        <v>3.5096172999999999</v>
      </c>
      <c r="G2383" s="328">
        <v>4893.7568499999988</v>
      </c>
      <c r="H2383" s="328">
        <v>5444.3046499999991</v>
      </c>
      <c r="I2383" s="329">
        <v>3.6577297812958516E-3</v>
      </c>
      <c r="J2383" s="329">
        <v>0.51109025395826368</v>
      </c>
      <c r="K2383" s="329">
        <v>0.57382165129446117</v>
      </c>
    </row>
    <row r="2384" spans="1:11" ht="11.25" x14ac:dyDescent="0.15">
      <c r="A2384" s="326">
        <v>0.97499999999999998</v>
      </c>
      <c r="B2384" s="327">
        <v>-20</v>
      </c>
      <c r="C2384" s="327" t="s">
        <v>109</v>
      </c>
      <c r="D2384" s="327" t="s">
        <v>79</v>
      </c>
      <c r="E2384" s="328" t="s">
        <v>1724</v>
      </c>
      <c r="F2384" s="328">
        <v>16.095962999999998</v>
      </c>
      <c r="G2384" s="328">
        <v>5202.0257249999995</v>
      </c>
      <c r="H2384" s="328">
        <v>5989.4113500000003</v>
      </c>
      <c r="I2384" s="329">
        <v>1.6775243051068877E-2</v>
      </c>
      <c r="J2384" s="329">
        <v>0.54328499154747978</v>
      </c>
      <c r="K2384" s="329">
        <v>0.63127509059192499</v>
      </c>
    </row>
    <row r="2385" spans="1:11" ht="11.25" x14ac:dyDescent="0.15">
      <c r="A2385" s="326">
        <v>0.97499999999999998</v>
      </c>
      <c r="B2385" s="327">
        <v>-20</v>
      </c>
      <c r="C2385" s="327" t="s">
        <v>109</v>
      </c>
      <c r="D2385" s="327" t="s">
        <v>114</v>
      </c>
      <c r="E2385" s="328" t="s">
        <v>1725</v>
      </c>
      <c r="F2385" s="328">
        <v>5.299705125</v>
      </c>
      <c r="G2385" s="328">
        <v>5154.9722249999995</v>
      </c>
      <c r="H2385" s="328">
        <v>5872.38015</v>
      </c>
      <c r="I2385" s="329">
        <v>5.523362694786909E-3</v>
      </c>
      <c r="J2385" s="329">
        <v>0.53837085584320477</v>
      </c>
      <c r="K2385" s="329">
        <v>0.61894017534485624</v>
      </c>
    </row>
    <row r="2386" spans="1:11" ht="11.25" x14ac:dyDescent="0.15">
      <c r="A2386" s="326">
        <v>0.97499999999999998</v>
      </c>
      <c r="B2386" s="327">
        <v>-20</v>
      </c>
      <c r="C2386" s="327" t="s">
        <v>109</v>
      </c>
      <c r="D2386" s="327" t="s">
        <v>113</v>
      </c>
      <c r="E2386" s="328" t="s">
        <v>1726</v>
      </c>
      <c r="F2386" s="328">
        <v>3.9752700000000001</v>
      </c>
      <c r="G2386" s="328">
        <v>5131.0574249999991</v>
      </c>
      <c r="H2386" s="328">
        <v>5758.5040500000005</v>
      </c>
      <c r="I2386" s="329">
        <v>4.1430339050619455E-3</v>
      </c>
      <c r="J2386" s="329">
        <v>0.53587326113631584</v>
      </c>
      <c r="K2386" s="329">
        <v>0.6069378029675182</v>
      </c>
    </row>
    <row r="2387" spans="1:11" ht="11.25" x14ac:dyDescent="0.15">
      <c r="A2387" s="326">
        <v>1</v>
      </c>
      <c r="B2387" s="327">
        <v>-20</v>
      </c>
      <c r="C2387" s="327" t="s">
        <v>109</v>
      </c>
      <c r="D2387" s="327" t="s">
        <v>79</v>
      </c>
      <c r="E2387" s="328" t="s">
        <v>1727</v>
      </c>
      <c r="F2387" s="328">
        <v>18.323090000000001</v>
      </c>
      <c r="G2387" s="328">
        <v>5467.1139999999996</v>
      </c>
      <c r="H2387" s="328">
        <v>6321.8670000000002</v>
      </c>
      <c r="I2387" s="329">
        <v>1.909635901850729E-2</v>
      </c>
      <c r="J2387" s="329">
        <v>0.5709700682572284</v>
      </c>
      <c r="K2387" s="329">
        <v>0.66631542399155819</v>
      </c>
    </row>
    <row r="2388" spans="1:11" ht="11.25" x14ac:dyDescent="0.15">
      <c r="A2388" s="326">
        <v>1</v>
      </c>
      <c r="B2388" s="327">
        <v>-20</v>
      </c>
      <c r="C2388" s="327" t="s">
        <v>109</v>
      </c>
      <c r="D2388" s="327" t="s">
        <v>114</v>
      </c>
      <c r="E2388" s="328" t="s">
        <v>1728</v>
      </c>
      <c r="F2388" s="328">
        <v>6.001824</v>
      </c>
      <c r="G2388" s="328">
        <v>5405.25</v>
      </c>
      <c r="H2388" s="328">
        <v>6200.1959999999999</v>
      </c>
      <c r="I2388" s="329">
        <v>6.255112312928305E-3</v>
      </c>
      <c r="J2388" s="329">
        <v>0.56450916542939911</v>
      </c>
      <c r="K2388" s="329">
        <v>0.65349148069245411</v>
      </c>
    </row>
    <row r="2389" spans="1:11" ht="11.25" x14ac:dyDescent="0.15">
      <c r="A2389" s="326">
        <v>1</v>
      </c>
      <c r="B2389" s="327">
        <v>-20</v>
      </c>
      <c r="C2389" s="327" t="s">
        <v>109</v>
      </c>
      <c r="D2389" s="327" t="s">
        <v>113</v>
      </c>
      <c r="E2389" s="328" t="s">
        <v>1729</v>
      </c>
      <c r="F2389" s="328">
        <v>4.5025409999999999</v>
      </c>
      <c r="G2389" s="328">
        <v>5374.59</v>
      </c>
      <c r="H2389" s="328">
        <v>6080.9290000000001</v>
      </c>
      <c r="I2389" s="329">
        <v>4.6925567375125498E-3</v>
      </c>
      <c r="J2389" s="329">
        <v>0.56130712093338786</v>
      </c>
      <c r="K2389" s="329">
        <v>0.6409209154348805</v>
      </c>
    </row>
    <row r="2390" spans="1:11" ht="11.25" x14ac:dyDescent="0.15">
      <c r="A2390" s="326">
        <v>1.0249999999999999</v>
      </c>
      <c r="B2390" s="327">
        <v>-20</v>
      </c>
      <c r="C2390" s="327" t="s">
        <v>109</v>
      </c>
      <c r="D2390" s="327" t="s">
        <v>79</v>
      </c>
      <c r="E2390" s="328" t="s">
        <v>1730</v>
      </c>
      <c r="F2390" s="328">
        <v>20.8323255</v>
      </c>
      <c r="G2390" s="328">
        <v>5742.752125</v>
      </c>
      <c r="H2390" s="328">
        <v>6662.3421499999995</v>
      </c>
      <c r="I2390" s="329">
        <v>2.171148899767476E-2</v>
      </c>
      <c r="J2390" s="329">
        <v>0.5997569417421319</v>
      </c>
      <c r="K2390" s="329">
        <v>0.70220100082049797</v>
      </c>
    </row>
    <row r="2391" spans="1:11" ht="11.25" x14ac:dyDescent="0.15">
      <c r="A2391" s="326">
        <v>1.0249999999999999</v>
      </c>
      <c r="B2391" s="327">
        <v>-20</v>
      </c>
      <c r="C2391" s="327" t="s">
        <v>109</v>
      </c>
      <c r="D2391" s="327" t="s">
        <v>114</v>
      </c>
      <c r="E2391" s="328" t="s">
        <v>1731</v>
      </c>
      <c r="F2391" s="328">
        <v>6.7926924249999994</v>
      </c>
      <c r="G2391" s="328">
        <v>5663.661075</v>
      </c>
      <c r="H2391" s="328">
        <v>6536.1472249999988</v>
      </c>
      <c r="I2391" s="329">
        <v>7.0793568797672714E-3</v>
      </c>
      <c r="J2391" s="329">
        <v>0.59149689407950112</v>
      </c>
      <c r="K2391" s="329">
        <v>0.6889002425228371</v>
      </c>
    </row>
    <row r="2392" spans="1:11" ht="11.25" x14ac:dyDescent="0.15">
      <c r="A2392" s="326">
        <v>1.0249999999999999</v>
      </c>
      <c r="B2392" s="327">
        <v>-20</v>
      </c>
      <c r="C2392" s="327" t="s">
        <v>109</v>
      </c>
      <c r="D2392" s="327" t="s">
        <v>113</v>
      </c>
      <c r="E2392" s="328" t="s">
        <v>1732</v>
      </c>
      <c r="F2392" s="328">
        <v>5.0966146749999997</v>
      </c>
      <c r="G2392" s="328">
        <v>5625.4019249999992</v>
      </c>
      <c r="H2392" s="328">
        <v>6413.0734249999987</v>
      </c>
      <c r="I2392" s="329">
        <v>5.3117014440682685E-3</v>
      </c>
      <c r="J2392" s="329">
        <v>0.58750121564898661</v>
      </c>
      <c r="K2392" s="329">
        <v>0.67592844618019776</v>
      </c>
    </row>
    <row r="2393" spans="1:11" ht="11.25" x14ac:dyDescent="0.15">
      <c r="A2393" s="326">
        <v>1.05</v>
      </c>
      <c r="B2393" s="327">
        <v>-20</v>
      </c>
      <c r="C2393" s="327" t="s">
        <v>109</v>
      </c>
      <c r="D2393" s="327" t="s">
        <v>79</v>
      </c>
      <c r="E2393" s="328" t="s">
        <v>1733</v>
      </c>
      <c r="F2393" s="328">
        <v>23.656048500000001</v>
      </c>
      <c r="G2393" s="328">
        <v>6030.0450000000001</v>
      </c>
      <c r="H2393" s="328">
        <v>7012.2422999999999</v>
      </c>
      <c r="I2393" s="329">
        <v>2.4654378443549691E-2</v>
      </c>
      <c r="J2393" s="329">
        <v>0.62976100466245244</v>
      </c>
      <c r="K2393" s="329">
        <v>0.73907995869828313</v>
      </c>
    </row>
    <row r="2394" spans="1:11" ht="11.25" x14ac:dyDescent="0.15">
      <c r="A2394" s="326">
        <v>1.05</v>
      </c>
      <c r="B2394" s="327">
        <v>-20</v>
      </c>
      <c r="C2394" s="327" t="s">
        <v>109</v>
      </c>
      <c r="D2394" s="327" t="s">
        <v>114</v>
      </c>
      <c r="E2394" s="328" t="s">
        <v>1734</v>
      </c>
      <c r="F2394" s="328">
        <v>7.6835787</v>
      </c>
      <c r="G2394" s="328">
        <v>5929.1830500000005</v>
      </c>
      <c r="H2394" s="328">
        <v>6880.5471000000007</v>
      </c>
      <c r="I2394" s="329">
        <v>8.0078402388546657E-3</v>
      </c>
      <c r="J2394" s="329">
        <v>0.61922726520209792</v>
      </c>
      <c r="K2394" s="329">
        <v>0.72519947955728692</v>
      </c>
    </row>
    <row r="2395" spans="1:11" ht="11.25" x14ac:dyDescent="0.15">
      <c r="A2395" s="326">
        <v>1.05</v>
      </c>
      <c r="B2395" s="327">
        <v>-20</v>
      </c>
      <c r="C2395" s="327" t="s">
        <v>109</v>
      </c>
      <c r="D2395" s="327" t="s">
        <v>113</v>
      </c>
      <c r="E2395" s="328" t="s">
        <v>1735</v>
      </c>
      <c r="F2395" s="328">
        <v>5.7659353499999995</v>
      </c>
      <c r="G2395" s="328">
        <v>5881.5771000000004</v>
      </c>
      <c r="H2395" s="328">
        <v>6753.0361499999999</v>
      </c>
      <c r="I2395" s="329">
        <v>6.0092687161992049E-3</v>
      </c>
      <c r="J2395" s="329">
        <v>0.61425543316769182</v>
      </c>
      <c r="K2395" s="329">
        <v>0.7117600141726439</v>
      </c>
    </row>
    <row r="2396" spans="1:11" ht="11.25" x14ac:dyDescent="0.15">
      <c r="A2396" s="326">
        <v>1.075</v>
      </c>
      <c r="B2396" s="327">
        <v>-20</v>
      </c>
      <c r="C2396" s="327" t="s">
        <v>109</v>
      </c>
      <c r="D2396" s="327" t="s">
        <v>79</v>
      </c>
      <c r="E2396" s="328" t="s">
        <v>1736</v>
      </c>
      <c r="F2396" s="328">
        <v>26.830365999999998</v>
      </c>
      <c r="G2396" s="328">
        <v>6331.6446500000002</v>
      </c>
      <c r="H2396" s="328">
        <v>7371.1610499999997</v>
      </c>
      <c r="I2396" s="329">
        <v>2.7962658139754338E-2</v>
      </c>
      <c r="J2396" s="329">
        <v>0.66125922707867724</v>
      </c>
      <c r="K2396" s="329">
        <v>0.77690946366647839</v>
      </c>
    </row>
    <row r="2397" spans="1:11" ht="11.25" x14ac:dyDescent="0.15">
      <c r="A2397" s="326">
        <v>1.075</v>
      </c>
      <c r="B2397" s="327">
        <v>-20</v>
      </c>
      <c r="C2397" s="327" t="s">
        <v>109</v>
      </c>
      <c r="D2397" s="327" t="s">
        <v>114</v>
      </c>
      <c r="E2397" s="328" t="s">
        <v>1737</v>
      </c>
      <c r="F2397" s="328">
        <v>8.687342675</v>
      </c>
      <c r="G2397" s="328">
        <v>6205.4321249999994</v>
      </c>
      <c r="H2397" s="328">
        <v>7234.3404250000003</v>
      </c>
      <c r="I2397" s="329">
        <v>9.0539649501584878E-3</v>
      </c>
      <c r="J2397" s="329">
        <v>0.64807794459322554</v>
      </c>
      <c r="K2397" s="329">
        <v>0.76248877231728296</v>
      </c>
    </row>
    <row r="2398" spans="1:11" ht="11.25" x14ac:dyDescent="0.15">
      <c r="A2398" s="326">
        <v>1.075</v>
      </c>
      <c r="B2398" s="327">
        <v>-20</v>
      </c>
      <c r="C2398" s="327" t="s">
        <v>109</v>
      </c>
      <c r="D2398" s="327" t="s">
        <v>113</v>
      </c>
      <c r="E2398" s="328" t="s">
        <v>1738</v>
      </c>
      <c r="F2398" s="328">
        <v>6.520113649999999</v>
      </c>
      <c r="G2398" s="328">
        <v>6144.6397999999999</v>
      </c>
      <c r="H2398" s="328">
        <v>7101.6961749999991</v>
      </c>
      <c r="I2398" s="329">
        <v>6.7952747654391249E-3</v>
      </c>
      <c r="J2398" s="329">
        <v>0.64172896449974937</v>
      </c>
      <c r="K2398" s="329">
        <v>0.74850826471109744</v>
      </c>
    </row>
    <row r="2399" spans="1:11" ht="11.25" x14ac:dyDescent="0.15">
      <c r="A2399" s="326">
        <v>1.1000000000000001</v>
      </c>
      <c r="B2399" s="327">
        <v>-20</v>
      </c>
      <c r="C2399" s="327" t="s">
        <v>109</v>
      </c>
      <c r="D2399" s="327" t="s">
        <v>79</v>
      </c>
      <c r="E2399" s="328" t="s">
        <v>1739</v>
      </c>
      <c r="F2399" s="328">
        <v>30.395145000000003</v>
      </c>
      <c r="G2399" s="328">
        <v>6647.1217999999999</v>
      </c>
      <c r="H2399" s="328">
        <v>7738.8630000000003</v>
      </c>
      <c r="I2399" s="329">
        <v>3.1677877549015306E-2</v>
      </c>
      <c r="J2399" s="329">
        <v>0.69420677671256004</v>
      </c>
      <c r="K2399" s="329">
        <v>0.81566470491352983</v>
      </c>
    </row>
    <row r="2400" spans="1:11" ht="11.25" x14ac:dyDescent="0.15">
      <c r="A2400" s="326">
        <v>1.1000000000000001</v>
      </c>
      <c r="B2400" s="327">
        <v>-20</v>
      </c>
      <c r="C2400" s="327" t="s">
        <v>109</v>
      </c>
      <c r="D2400" s="327" t="s">
        <v>114</v>
      </c>
      <c r="E2400" s="328" t="s">
        <v>1740</v>
      </c>
      <c r="F2400" s="328">
        <v>9.8183976000000008</v>
      </c>
      <c r="G2400" s="328">
        <v>6491.4333000000006</v>
      </c>
      <c r="H2400" s="328">
        <v>7596.6505999999999</v>
      </c>
      <c r="I2400" s="329">
        <v>1.0232752530061815E-2</v>
      </c>
      <c r="J2400" s="329">
        <v>0.67794710598466501</v>
      </c>
      <c r="K2400" s="329">
        <v>0.80067572846039392</v>
      </c>
    </row>
    <row r="2401" spans="1:11" ht="11.25" x14ac:dyDescent="0.15">
      <c r="A2401" s="326">
        <v>1.1000000000000001</v>
      </c>
      <c r="B2401" s="327">
        <v>-20</v>
      </c>
      <c r="C2401" s="327" t="s">
        <v>109</v>
      </c>
      <c r="D2401" s="327" t="s">
        <v>113</v>
      </c>
      <c r="E2401" s="328" t="s">
        <v>1741</v>
      </c>
      <c r="F2401" s="328">
        <v>7.3699439000000009</v>
      </c>
      <c r="G2401" s="328">
        <v>6416.7829000000011</v>
      </c>
      <c r="H2401" s="328">
        <v>7459.9261000000006</v>
      </c>
      <c r="I2401" s="329">
        <v>7.680969457698336E-3</v>
      </c>
      <c r="J2401" s="329">
        <v>0.67015082736610521</v>
      </c>
      <c r="K2401" s="329">
        <v>0.78626516854391137</v>
      </c>
    </row>
    <row r="2402" spans="1:11" ht="11.25" x14ac:dyDescent="0.15">
      <c r="A2402" s="326">
        <v>1.125</v>
      </c>
      <c r="B2402" s="327">
        <v>-20</v>
      </c>
      <c r="C2402" s="327" t="s">
        <v>109</v>
      </c>
      <c r="D2402" s="327" t="s">
        <v>79</v>
      </c>
      <c r="E2402" s="328" t="s">
        <v>1742</v>
      </c>
      <c r="F2402" s="328">
        <v>34.394624999999998</v>
      </c>
      <c r="G2402" s="328">
        <v>6979.7913749999998</v>
      </c>
      <c r="H2402" s="328">
        <v>8115.8838750000004</v>
      </c>
      <c r="I2402" s="329">
        <v>3.5846143161820755E-2</v>
      </c>
      <c r="J2402" s="329">
        <v>0.7289498550432576</v>
      </c>
      <c r="K2402" s="329">
        <v>0.85540214706144169</v>
      </c>
    </row>
    <row r="2403" spans="1:11" ht="11.25" x14ac:dyDescent="0.15">
      <c r="A2403" s="326">
        <v>1.125</v>
      </c>
      <c r="B2403" s="327">
        <v>-20</v>
      </c>
      <c r="C2403" s="327" t="s">
        <v>109</v>
      </c>
      <c r="D2403" s="327" t="s">
        <v>114</v>
      </c>
      <c r="E2403" s="328" t="s">
        <v>1743</v>
      </c>
      <c r="F2403" s="328">
        <v>11.092999499999999</v>
      </c>
      <c r="G2403" s="328">
        <v>6790.2524999999996</v>
      </c>
      <c r="H2403" s="328">
        <v>7967.7067500000003</v>
      </c>
      <c r="I2403" s="329">
        <v>1.156114503853454E-2</v>
      </c>
      <c r="J2403" s="329">
        <v>0.70915494599322715</v>
      </c>
      <c r="K2403" s="329">
        <v>0.83978449742246242</v>
      </c>
    </row>
    <row r="2404" spans="1:11" ht="11.25" x14ac:dyDescent="0.15">
      <c r="A2404" s="326">
        <v>1.125</v>
      </c>
      <c r="B2404" s="327">
        <v>-20</v>
      </c>
      <c r="C2404" s="327" t="s">
        <v>109</v>
      </c>
      <c r="D2404" s="327" t="s">
        <v>113</v>
      </c>
      <c r="E2404" s="328" t="s">
        <v>1744</v>
      </c>
      <c r="F2404" s="328">
        <v>8.3275098749999987</v>
      </c>
      <c r="G2404" s="328">
        <v>6696.1473750000005</v>
      </c>
      <c r="H2404" s="328">
        <v>7825.2929999999997</v>
      </c>
      <c r="I2404" s="329">
        <v>8.678946526113486E-3</v>
      </c>
      <c r="J2404" s="329">
        <v>0.69932687040442387</v>
      </c>
      <c r="K2404" s="329">
        <v>0.82477429897737042</v>
      </c>
    </row>
    <row r="2405" spans="1:11" ht="11.25" x14ac:dyDescent="0.15">
      <c r="A2405" s="326">
        <v>1.1499999999999999</v>
      </c>
      <c r="B2405" s="327">
        <v>-20</v>
      </c>
      <c r="C2405" s="327" t="s">
        <v>109</v>
      </c>
      <c r="D2405" s="327" t="s">
        <v>79</v>
      </c>
      <c r="E2405" s="328" t="s">
        <v>1745</v>
      </c>
      <c r="F2405" s="328">
        <v>38.877383000000002</v>
      </c>
      <c r="G2405" s="328">
        <v>7328.0000999999993</v>
      </c>
      <c r="H2405" s="328">
        <v>8501.7464500000006</v>
      </c>
      <c r="I2405" s="329">
        <v>4.0518082019354383E-2</v>
      </c>
      <c r="J2405" s="329">
        <v>0.76531579866195887</v>
      </c>
      <c r="K2405" s="329">
        <v>0.89607149130161623</v>
      </c>
    </row>
    <row r="2406" spans="1:11" ht="11.25" x14ac:dyDescent="0.15">
      <c r="A2406" s="326">
        <v>1.1499999999999999</v>
      </c>
      <c r="B2406" s="327">
        <v>-20</v>
      </c>
      <c r="C2406" s="327" t="s">
        <v>109</v>
      </c>
      <c r="D2406" s="327" t="s">
        <v>114</v>
      </c>
      <c r="E2406" s="328" t="s">
        <v>1746</v>
      </c>
      <c r="F2406" s="328">
        <v>12.529203999999998</v>
      </c>
      <c r="G2406" s="328">
        <v>7101.4236499999988</v>
      </c>
      <c r="H2406" s="328">
        <v>8347.5544499999996</v>
      </c>
      <c r="I2406" s="329">
        <v>1.3057960082066812E-2</v>
      </c>
      <c r="J2406" s="329">
        <v>0.74165278905177312</v>
      </c>
      <c r="K2406" s="329">
        <v>0.87981988274102696</v>
      </c>
    </row>
    <row r="2407" spans="1:11" ht="11.25" x14ac:dyDescent="0.15">
      <c r="A2407" s="326">
        <v>1.1499999999999999</v>
      </c>
      <c r="B2407" s="327">
        <v>-20</v>
      </c>
      <c r="C2407" s="327" t="s">
        <v>109</v>
      </c>
      <c r="D2407" s="327" t="s">
        <v>113</v>
      </c>
      <c r="E2407" s="328" t="s">
        <v>1747</v>
      </c>
      <c r="F2407" s="328">
        <v>9.4063353000000003</v>
      </c>
      <c r="G2407" s="328">
        <v>6985.1609499999995</v>
      </c>
      <c r="H2407" s="328">
        <v>8199.8173999999999</v>
      </c>
      <c r="I2407" s="329">
        <v>9.803300422431941E-3</v>
      </c>
      <c r="J2407" s="329">
        <v>0.7295106384116421</v>
      </c>
      <c r="K2407" s="329">
        <v>0.8642486163556361</v>
      </c>
    </row>
    <row r="2408" spans="1:11" ht="11.25" x14ac:dyDescent="0.15">
      <c r="A2408" s="326">
        <v>1.175</v>
      </c>
      <c r="B2408" s="327">
        <v>-20</v>
      </c>
      <c r="C2408" s="327" t="s">
        <v>109</v>
      </c>
      <c r="D2408" s="327" t="s">
        <v>79</v>
      </c>
      <c r="E2408" s="328" t="s">
        <v>1748</v>
      </c>
      <c r="F2408" s="328">
        <v>43.897165749999992</v>
      </c>
      <c r="G2408" s="328">
        <v>7696.2899500000003</v>
      </c>
      <c r="H2408" s="328">
        <v>8896.4584500000019</v>
      </c>
      <c r="I2408" s="329">
        <v>4.574970908601779E-2</v>
      </c>
      <c r="J2408" s="329">
        <v>0.8037789587118398</v>
      </c>
      <c r="K2408" s="329">
        <v>0.9376735518376188</v>
      </c>
    </row>
    <row r="2409" spans="1:11" ht="11.25" x14ac:dyDescent="0.15">
      <c r="A2409" s="326">
        <v>1.175</v>
      </c>
      <c r="B2409" s="327">
        <v>-20</v>
      </c>
      <c r="C2409" s="327" t="s">
        <v>109</v>
      </c>
      <c r="D2409" s="327" t="s">
        <v>114</v>
      </c>
      <c r="E2409" s="328" t="s">
        <v>1749</v>
      </c>
      <c r="F2409" s="328">
        <v>14.147517000000001</v>
      </c>
      <c r="G2409" s="328">
        <v>7427.4957750000003</v>
      </c>
      <c r="H2409" s="328">
        <v>8737.3798999999999</v>
      </c>
      <c r="I2409" s="329">
        <v>1.4744568948383446E-2</v>
      </c>
      <c r="J2409" s="329">
        <v>0.77570684818937852</v>
      </c>
      <c r="K2409" s="329">
        <v>0.92090690814024057</v>
      </c>
    </row>
    <row r="2410" spans="1:11" ht="11.25" x14ac:dyDescent="0.15">
      <c r="A2410" s="326">
        <v>1.175</v>
      </c>
      <c r="B2410" s="327">
        <v>-20</v>
      </c>
      <c r="C2410" s="327" t="s">
        <v>109</v>
      </c>
      <c r="D2410" s="327" t="s">
        <v>113</v>
      </c>
      <c r="E2410" s="328" t="s">
        <v>1750</v>
      </c>
      <c r="F2410" s="328">
        <v>10.621589925</v>
      </c>
      <c r="G2410" s="328">
        <v>7285.880075</v>
      </c>
      <c r="H2410" s="328">
        <v>8583.7333749999998</v>
      </c>
      <c r="I2410" s="329">
        <v>1.1069841088766137E-2</v>
      </c>
      <c r="J2410" s="329">
        <v>0.76091690126394484</v>
      </c>
      <c r="K2410" s="329">
        <v>0.90471279183722364</v>
      </c>
    </row>
    <row r="2411" spans="1:11" ht="11.25" x14ac:dyDescent="0.15">
      <c r="A2411" s="326">
        <v>1.2</v>
      </c>
      <c r="B2411" s="327">
        <v>-20</v>
      </c>
      <c r="C2411" s="327" t="s">
        <v>109</v>
      </c>
      <c r="D2411" s="327" t="s">
        <v>79</v>
      </c>
      <c r="E2411" s="328" t="s">
        <v>1751</v>
      </c>
      <c r="F2411" s="328">
        <v>49.513596</v>
      </c>
      <c r="G2411" s="328">
        <v>8084.3171999999995</v>
      </c>
      <c r="H2411" s="328">
        <v>9300.4176000000007</v>
      </c>
      <c r="I2411" s="329">
        <v>5.1603163304515039E-2</v>
      </c>
      <c r="J2411" s="329">
        <v>0.84430343751695791</v>
      </c>
      <c r="K2411" s="329">
        <v>0.98025024829572505</v>
      </c>
    </row>
    <row r="2412" spans="1:11" ht="11.25" x14ac:dyDescent="0.15">
      <c r="A2412" s="326">
        <v>1.2</v>
      </c>
      <c r="B2412" s="327">
        <v>-20</v>
      </c>
      <c r="C2412" s="327" t="s">
        <v>109</v>
      </c>
      <c r="D2412" s="327" t="s">
        <v>114</v>
      </c>
      <c r="E2412" s="328" t="s">
        <v>1752</v>
      </c>
      <c r="F2412" s="328">
        <v>15.970800000000001</v>
      </c>
      <c r="G2412" s="328">
        <v>7768.848</v>
      </c>
      <c r="H2412" s="328">
        <v>9134.728799999999</v>
      </c>
      <c r="I2412" s="329">
        <v>1.6644797935980025E-2</v>
      </c>
      <c r="J2412" s="329">
        <v>0.81135671815880062</v>
      </c>
      <c r="K2412" s="329">
        <v>0.96278689403302808</v>
      </c>
    </row>
    <row r="2413" spans="1:11" ht="11.25" x14ac:dyDescent="0.15">
      <c r="A2413" s="326">
        <v>1.2</v>
      </c>
      <c r="B2413" s="327">
        <v>-20</v>
      </c>
      <c r="C2413" s="327" t="s">
        <v>109</v>
      </c>
      <c r="D2413" s="327" t="s">
        <v>113</v>
      </c>
      <c r="E2413" s="328" t="s">
        <v>1753</v>
      </c>
      <c r="F2413" s="328">
        <v>11.9902728</v>
      </c>
      <c r="G2413" s="328">
        <v>7595.9327999999987</v>
      </c>
      <c r="H2413" s="328">
        <v>8975.7947999999997</v>
      </c>
      <c r="I2413" s="329">
        <v>1.2496284967144878E-2</v>
      </c>
      <c r="J2413" s="329">
        <v>0.79329793914912328</v>
      </c>
      <c r="K2413" s="329">
        <v>0.94603548569168305</v>
      </c>
    </row>
    <row r="2414" spans="1:11" ht="11.25" x14ac:dyDescent="0.15">
      <c r="A2414" s="326">
        <v>1.2250000000000001</v>
      </c>
      <c r="B2414" s="327">
        <v>-20</v>
      </c>
      <c r="C2414" s="327" t="s">
        <v>109</v>
      </c>
      <c r="D2414" s="327" t="s">
        <v>79</v>
      </c>
      <c r="E2414" s="328" t="s">
        <v>1754</v>
      </c>
      <c r="F2414" s="328">
        <v>55.792588250000001</v>
      </c>
      <c r="G2414" s="328">
        <v>8493.5938499999993</v>
      </c>
      <c r="H2414" s="328">
        <v>9713.2369250000011</v>
      </c>
      <c r="I2414" s="329">
        <v>5.8147140891288064E-2</v>
      </c>
      <c r="J2414" s="329">
        <v>0.8870471441209522</v>
      </c>
      <c r="K2414" s="329">
        <v>1.0237607940837468</v>
      </c>
    </row>
    <row r="2415" spans="1:11" ht="11.25" x14ac:dyDescent="0.15">
      <c r="A2415" s="326">
        <v>1.2250000000000001</v>
      </c>
      <c r="B2415" s="327">
        <v>-20</v>
      </c>
      <c r="C2415" s="327" t="s">
        <v>109</v>
      </c>
      <c r="D2415" s="327" t="s">
        <v>114</v>
      </c>
      <c r="E2415" s="328" t="s">
        <v>1755</v>
      </c>
      <c r="F2415" s="328">
        <v>18.024650000000001</v>
      </c>
      <c r="G2415" s="328">
        <v>8126.6071249999995</v>
      </c>
      <c r="H2415" s="328">
        <v>9542.08115</v>
      </c>
      <c r="I2415" s="329">
        <v>1.8785324286620733E-2</v>
      </c>
      <c r="J2415" s="329">
        <v>0.84872007879494171</v>
      </c>
      <c r="K2415" s="329">
        <v>1.0057212287484227</v>
      </c>
    </row>
    <row r="2416" spans="1:11" ht="11.25" x14ac:dyDescent="0.15">
      <c r="A2416" s="326">
        <v>1.2250000000000001</v>
      </c>
      <c r="B2416" s="327">
        <v>-20</v>
      </c>
      <c r="C2416" s="327" t="s">
        <v>109</v>
      </c>
      <c r="D2416" s="327" t="s">
        <v>113</v>
      </c>
      <c r="E2416" s="328" t="s">
        <v>1756</v>
      </c>
      <c r="F2416" s="328">
        <v>13.53143575</v>
      </c>
      <c r="G2416" s="328">
        <v>7920.5707000000002</v>
      </c>
      <c r="H2416" s="328">
        <v>9376.8237499999996</v>
      </c>
      <c r="I2416" s="329">
        <v>1.410248790558058E-2</v>
      </c>
      <c r="J2416" s="329">
        <v>0.8272022118461777</v>
      </c>
      <c r="K2416" s="329">
        <v>0.9883033434071552</v>
      </c>
    </row>
    <row r="2417" spans="1:11" ht="11.25" x14ac:dyDescent="0.15">
      <c r="A2417" s="326">
        <v>1.25</v>
      </c>
      <c r="B2417" s="327">
        <v>-20</v>
      </c>
      <c r="C2417" s="327" t="s">
        <v>109</v>
      </c>
      <c r="D2417" s="327" t="s">
        <v>79</v>
      </c>
      <c r="E2417" s="328" t="s">
        <v>1757</v>
      </c>
      <c r="F2417" s="328">
        <v>62.806925</v>
      </c>
      <c r="G2417" s="328">
        <v>8924.5737499999996</v>
      </c>
      <c r="H2417" s="328">
        <v>10135.797500000001</v>
      </c>
      <c r="I2417" s="329">
        <v>6.5457495905355545E-2</v>
      </c>
      <c r="J2417" s="329">
        <v>0.93205747734621391</v>
      </c>
      <c r="K2417" s="329">
        <v>1.0682980532024915</v>
      </c>
    </row>
    <row r="2418" spans="1:11" ht="11.25" x14ac:dyDescent="0.15">
      <c r="A2418" s="326">
        <v>1.25</v>
      </c>
      <c r="B2418" s="327">
        <v>-20</v>
      </c>
      <c r="C2418" s="327" t="s">
        <v>109</v>
      </c>
      <c r="D2418" s="327" t="s">
        <v>114</v>
      </c>
      <c r="E2418" s="328" t="s">
        <v>1758</v>
      </c>
      <c r="F2418" s="328">
        <v>20.338062499999999</v>
      </c>
      <c r="G2418" s="328">
        <v>8502.375</v>
      </c>
      <c r="H2418" s="328">
        <v>9957.59375</v>
      </c>
      <c r="I2418" s="329">
        <v>2.1196367165191021E-2</v>
      </c>
      <c r="J2418" s="329">
        <v>0.88796422282369691</v>
      </c>
      <c r="K2418" s="329">
        <v>1.0495156417347817</v>
      </c>
    </row>
    <row r="2419" spans="1:11" ht="11.25" x14ac:dyDescent="0.15">
      <c r="A2419" s="326">
        <v>1.25</v>
      </c>
      <c r="B2419" s="327">
        <v>-20</v>
      </c>
      <c r="C2419" s="327" t="s">
        <v>109</v>
      </c>
      <c r="D2419" s="327" t="s">
        <v>113</v>
      </c>
      <c r="E2419" s="328" t="s">
        <v>1759</v>
      </c>
      <c r="F2419" s="328">
        <v>15.266487499999998</v>
      </c>
      <c r="G2419" s="328">
        <v>8259.9350000000013</v>
      </c>
      <c r="H2419" s="328">
        <v>9787.4212500000012</v>
      </c>
      <c r="I2419" s="329">
        <v>1.5910762117718889E-2</v>
      </c>
      <c r="J2419" s="329">
        <v>0.86264446849842003</v>
      </c>
      <c r="K2419" s="329">
        <v>1.0315797121289862</v>
      </c>
    </row>
    <row r="2420" spans="1:11" ht="11.25" x14ac:dyDescent="0.15">
      <c r="A2420" s="326">
        <v>1.2749999999999999</v>
      </c>
      <c r="B2420" s="327">
        <v>-20</v>
      </c>
      <c r="C2420" s="327" t="s">
        <v>109</v>
      </c>
      <c r="D2420" s="327" t="s">
        <v>79</v>
      </c>
      <c r="E2420" s="328" t="s">
        <v>1760</v>
      </c>
      <c r="F2420" s="328">
        <v>70.638187500000001</v>
      </c>
      <c r="G2420" s="328">
        <v>9377.0499749999999</v>
      </c>
      <c r="H2420" s="328">
        <v>10566.938624999999</v>
      </c>
      <c r="I2420" s="329">
        <v>7.3619252479610917E-2</v>
      </c>
      <c r="J2420" s="329">
        <v>0.97931282652551099</v>
      </c>
      <c r="K2420" s="329">
        <v>1.1137396895900604</v>
      </c>
    </row>
    <row r="2421" spans="1:11" ht="11.25" x14ac:dyDescent="0.15">
      <c r="A2421" s="326">
        <v>1.2749999999999999</v>
      </c>
      <c r="B2421" s="327">
        <v>-20</v>
      </c>
      <c r="C2421" s="327" t="s">
        <v>109</v>
      </c>
      <c r="D2421" s="327" t="s">
        <v>114</v>
      </c>
      <c r="E2421" s="328" t="s">
        <v>1761</v>
      </c>
      <c r="F2421" s="328">
        <v>22.943357249999995</v>
      </c>
      <c r="G2421" s="328">
        <v>8897.7507000000005</v>
      </c>
      <c r="H2421" s="328">
        <v>10382.336474999998</v>
      </c>
      <c r="I2421" s="329">
        <v>2.3911610276207345E-2</v>
      </c>
      <c r="J2421" s="329">
        <v>0.92925615315773602</v>
      </c>
      <c r="K2421" s="329">
        <v>1.0942828962334454</v>
      </c>
    </row>
    <row r="2422" spans="1:11" ht="11.25" x14ac:dyDescent="0.15">
      <c r="A2422" s="326">
        <v>1.2749999999999999</v>
      </c>
      <c r="B2422" s="327">
        <v>-20</v>
      </c>
      <c r="C2422" s="327" t="s">
        <v>109</v>
      </c>
      <c r="D2422" s="327" t="s">
        <v>113</v>
      </c>
      <c r="E2422" s="328" t="s">
        <v>1762</v>
      </c>
      <c r="F2422" s="328">
        <v>17.219423249999998</v>
      </c>
      <c r="G2422" s="328">
        <v>8612.8073249999998</v>
      </c>
      <c r="H2422" s="328">
        <v>10206.383924999998</v>
      </c>
      <c r="I2422" s="329">
        <v>1.7946115446337469E-2</v>
      </c>
      <c r="J2422" s="329">
        <v>0.89949746543452491</v>
      </c>
      <c r="K2422" s="329">
        <v>1.0757377579134451</v>
      </c>
    </row>
    <row r="2423" spans="1:11" ht="11.25" x14ac:dyDescent="0.15">
      <c r="A2423" s="326">
        <v>1.3</v>
      </c>
      <c r="B2423" s="327">
        <v>-20</v>
      </c>
      <c r="C2423" s="327" t="s">
        <v>109</v>
      </c>
      <c r="D2423" s="327" t="s">
        <v>79</v>
      </c>
      <c r="E2423" s="328" t="s">
        <v>1763</v>
      </c>
      <c r="F2423" s="328">
        <v>79.376738999999986</v>
      </c>
      <c r="G2423" s="328">
        <v>9853.9961000000003</v>
      </c>
      <c r="H2423" s="328">
        <v>11007.2976</v>
      </c>
      <c r="I2423" s="329">
        <v>8.2726587363940757E-2</v>
      </c>
      <c r="J2423" s="329">
        <v>1.0291237435004033</v>
      </c>
      <c r="K2423" s="329">
        <v>1.1601528737231044</v>
      </c>
    </row>
    <row r="2424" spans="1:11" ht="11.25" x14ac:dyDescent="0.15">
      <c r="A2424" s="326">
        <v>1.3</v>
      </c>
      <c r="B2424" s="327">
        <v>-20</v>
      </c>
      <c r="C2424" s="327" t="s">
        <v>109</v>
      </c>
      <c r="D2424" s="327" t="s">
        <v>114</v>
      </c>
      <c r="E2424" s="328" t="s">
        <v>1764</v>
      </c>
      <c r="F2424" s="328">
        <v>25.877084999999997</v>
      </c>
      <c r="G2424" s="328">
        <v>9313.0998999999993</v>
      </c>
      <c r="H2424" s="328">
        <v>10815.625600000003</v>
      </c>
      <c r="I2424" s="329">
        <v>2.6969146880380421E-2</v>
      </c>
      <c r="J2424" s="329">
        <v>0.97263405986950102</v>
      </c>
      <c r="K2424" s="329">
        <v>1.139950928641484</v>
      </c>
    </row>
    <row r="2425" spans="1:11" ht="11.25" x14ac:dyDescent="0.15">
      <c r="A2425" s="326">
        <v>1.3</v>
      </c>
      <c r="B2425" s="327">
        <v>-20</v>
      </c>
      <c r="C2425" s="327" t="s">
        <v>109</v>
      </c>
      <c r="D2425" s="327" t="s">
        <v>113</v>
      </c>
      <c r="E2425" s="328" t="s">
        <v>1765</v>
      </c>
      <c r="F2425" s="328">
        <v>19.417216000000003</v>
      </c>
      <c r="G2425" s="328">
        <v>8982.1706000000013</v>
      </c>
      <c r="H2425" s="328">
        <v>10633.867400000001</v>
      </c>
      <c r="I2425" s="329">
        <v>2.0236659203000374E-2</v>
      </c>
      <c r="J2425" s="329">
        <v>0.93807273098385568</v>
      </c>
      <c r="K2425" s="329">
        <v>1.1207938834051727</v>
      </c>
    </row>
    <row r="2426" spans="1:11" ht="11.25" x14ac:dyDescent="0.15">
      <c r="A2426" s="326">
        <v>1.325</v>
      </c>
      <c r="B2426" s="327">
        <v>-20</v>
      </c>
      <c r="C2426" s="327" t="s">
        <v>109</v>
      </c>
      <c r="D2426" s="327" t="s">
        <v>79</v>
      </c>
      <c r="E2426" s="328" t="s">
        <v>1766</v>
      </c>
      <c r="F2426" s="328">
        <v>89.122905249999988</v>
      </c>
      <c r="G2426" s="328">
        <v>10355.124099999999</v>
      </c>
      <c r="H2426" s="328">
        <v>11457.06565</v>
      </c>
      <c r="I2426" s="329">
        <v>9.2884060244555255E-2</v>
      </c>
      <c r="J2426" s="329">
        <v>1.0814601477468864</v>
      </c>
      <c r="K2426" s="329">
        <v>1.2075577604335661</v>
      </c>
    </row>
    <row r="2427" spans="1:11" ht="11.25" x14ac:dyDescent="0.15">
      <c r="A2427" s="326">
        <v>1.325</v>
      </c>
      <c r="B2427" s="327">
        <v>-20</v>
      </c>
      <c r="C2427" s="327" t="s">
        <v>109</v>
      </c>
      <c r="D2427" s="327" t="s">
        <v>114</v>
      </c>
      <c r="E2427" s="328" t="s">
        <v>1767</v>
      </c>
      <c r="F2427" s="328">
        <v>29.18019675</v>
      </c>
      <c r="G2427" s="328">
        <v>9750.5928499999991</v>
      </c>
      <c r="H2427" s="328">
        <v>11258.693274999998</v>
      </c>
      <c r="I2427" s="329">
        <v>3.0411656187284985E-2</v>
      </c>
      <c r="J2427" s="329">
        <v>1.0183245977883291</v>
      </c>
      <c r="K2427" s="329">
        <v>1.186649605745032</v>
      </c>
    </row>
    <row r="2428" spans="1:11" ht="11.25" x14ac:dyDescent="0.15">
      <c r="A2428" s="326">
        <v>1.325</v>
      </c>
      <c r="B2428" s="327">
        <v>-20</v>
      </c>
      <c r="C2428" s="327" t="s">
        <v>109</v>
      </c>
      <c r="D2428" s="327" t="s">
        <v>113</v>
      </c>
      <c r="E2428" s="328" t="s">
        <v>1768</v>
      </c>
      <c r="F2428" s="328">
        <v>21.890192500000001</v>
      </c>
      <c r="G2428" s="328">
        <v>9369.1651000000002</v>
      </c>
      <c r="H2428" s="328">
        <v>11070.569774999998</v>
      </c>
      <c r="I2428" s="329">
        <v>2.2813999983858382E-2</v>
      </c>
      <c r="J2428" s="329">
        <v>0.97848935227255962</v>
      </c>
      <c r="K2428" s="329">
        <v>1.16682166731082</v>
      </c>
    </row>
    <row r="2429" spans="1:11" ht="11.25" x14ac:dyDescent="0.15">
      <c r="A2429" s="326">
        <v>1.35</v>
      </c>
      <c r="B2429" s="327">
        <v>-20</v>
      </c>
      <c r="C2429" s="327" t="s">
        <v>109</v>
      </c>
      <c r="D2429" s="327" t="s">
        <v>79</v>
      </c>
      <c r="E2429" s="328" t="s">
        <v>1769</v>
      </c>
      <c r="F2429" s="328">
        <v>99.989383500000002</v>
      </c>
      <c r="G2429" s="328">
        <v>10880.493750000001</v>
      </c>
      <c r="H2429" s="328">
        <v>11915.343000000001</v>
      </c>
      <c r="I2429" s="329">
        <v>0.10420912440833992</v>
      </c>
      <c r="J2429" s="329">
        <v>1.1363282819984819</v>
      </c>
      <c r="K2429" s="329">
        <v>1.2558595147683185</v>
      </c>
    </row>
    <row r="2430" spans="1:11" ht="11.25" x14ac:dyDescent="0.15">
      <c r="A2430" s="326">
        <v>1.35</v>
      </c>
      <c r="B2430" s="327">
        <v>-20</v>
      </c>
      <c r="C2430" s="327" t="s">
        <v>109</v>
      </c>
      <c r="D2430" s="327" t="s">
        <v>114</v>
      </c>
      <c r="E2430" s="328" t="s">
        <v>1770</v>
      </c>
      <c r="F2430" s="328">
        <v>32.898892500000002</v>
      </c>
      <c r="G2430" s="328">
        <v>10209.559950000001</v>
      </c>
      <c r="H2430" s="328">
        <v>11710.107900000001</v>
      </c>
      <c r="I2430" s="329">
        <v>3.428728792421349E-2</v>
      </c>
      <c r="J2430" s="329">
        <v>1.0662578357663233</v>
      </c>
      <c r="K2430" s="329">
        <v>1.2342280390231866</v>
      </c>
    </row>
    <row r="2431" spans="1:11" ht="11.25" x14ac:dyDescent="0.15">
      <c r="A2431" s="326">
        <v>1.35</v>
      </c>
      <c r="B2431" s="327">
        <v>-20</v>
      </c>
      <c r="C2431" s="327" t="s">
        <v>109</v>
      </c>
      <c r="D2431" s="327" t="s">
        <v>113</v>
      </c>
      <c r="E2431" s="328" t="s">
        <v>1771</v>
      </c>
      <c r="F2431" s="328">
        <v>24.672465000000003</v>
      </c>
      <c r="G2431" s="328">
        <v>9774.8410500000009</v>
      </c>
      <c r="H2431" s="328">
        <v>11515.594500000001</v>
      </c>
      <c r="I2431" s="329">
        <v>2.5713689640314789E-2</v>
      </c>
      <c r="J2431" s="329">
        <v>1.0208570118570894</v>
      </c>
      <c r="K2431" s="329">
        <v>1.2137266145874877</v>
      </c>
    </row>
    <row r="2432" spans="1:11" ht="11.25" x14ac:dyDescent="0.15">
      <c r="A2432" s="326">
        <v>1.375</v>
      </c>
      <c r="B2432" s="327">
        <v>-20</v>
      </c>
      <c r="C2432" s="327" t="s">
        <v>109</v>
      </c>
      <c r="D2432" s="327" t="s">
        <v>79</v>
      </c>
      <c r="E2432" s="328" t="s">
        <v>1772</v>
      </c>
      <c r="F2432" s="328">
        <v>112.10094500000001</v>
      </c>
      <c r="G2432" s="328">
        <v>11431.167000000001</v>
      </c>
      <c r="H2432" s="328">
        <v>12382.998374999999</v>
      </c>
      <c r="I2432" s="329">
        <v>0.11683181668779338</v>
      </c>
      <c r="J2432" s="329">
        <v>1.1938390533377901</v>
      </c>
      <c r="K2432" s="329">
        <v>1.3051496990564497</v>
      </c>
    </row>
    <row r="2433" spans="1:11" ht="11.25" x14ac:dyDescent="0.15">
      <c r="A2433" s="326">
        <v>1.375</v>
      </c>
      <c r="B2433" s="327">
        <v>-20</v>
      </c>
      <c r="C2433" s="327" t="s">
        <v>109</v>
      </c>
      <c r="D2433" s="327" t="s">
        <v>114</v>
      </c>
      <c r="E2433" s="328" t="s">
        <v>1773</v>
      </c>
      <c r="F2433" s="328">
        <v>37.085097500000003</v>
      </c>
      <c r="G2433" s="328">
        <v>10690.890375000001</v>
      </c>
      <c r="H2433" s="328">
        <v>12170.254249999998</v>
      </c>
      <c r="I2433" s="329">
        <v>3.8650158684825936E-2</v>
      </c>
      <c r="J2433" s="329">
        <v>1.1165266367491691</v>
      </c>
      <c r="K2433" s="329">
        <v>1.2827267831913913</v>
      </c>
    </row>
    <row r="2434" spans="1:11" ht="11.25" x14ac:dyDescent="0.15">
      <c r="A2434" s="326">
        <v>1.375</v>
      </c>
      <c r="B2434" s="327">
        <v>-20</v>
      </c>
      <c r="C2434" s="327" t="s">
        <v>109</v>
      </c>
      <c r="D2434" s="327" t="s">
        <v>113</v>
      </c>
      <c r="E2434" s="328" t="s">
        <v>1774</v>
      </c>
      <c r="F2434" s="328">
        <v>27.802389999999999</v>
      </c>
      <c r="G2434" s="328">
        <v>10200.169375000001</v>
      </c>
      <c r="H2434" s="328">
        <v>11969.814999999999</v>
      </c>
      <c r="I2434" s="329">
        <v>2.8975703389142165E-2</v>
      </c>
      <c r="J2434" s="329">
        <v>1.0652771104240815</v>
      </c>
      <c r="K2434" s="329">
        <v>1.261600782937305</v>
      </c>
    </row>
    <row r="2435" spans="1:11" ht="11.25" x14ac:dyDescent="0.15">
      <c r="A2435" s="326">
        <v>1.4</v>
      </c>
      <c r="B2435" s="327">
        <v>-20</v>
      </c>
      <c r="C2435" s="327" t="s">
        <v>109</v>
      </c>
      <c r="D2435" s="327" t="s">
        <v>79</v>
      </c>
      <c r="E2435" s="328" t="s">
        <v>1775</v>
      </c>
      <c r="F2435" s="328">
        <v>125.59787799999999</v>
      </c>
      <c r="G2435" s="328">
        <v>12007.342200000001</v>
      </c>
      <c r="H2435" s="328">
        <v>12859.8372</v>
      </c>
      <c r="I2435" s="329">
        <v>0.13089834576213283</v>
      </c>
      <c r="J2435" s="329">
        <v>1.2540131768830685</v>
      </c>
      <c r="K2435" s="329">
        <v>1.3554078053809757</v>
      </c>
    </row>
    <row r="2436" spans="1:11" ht="11.25" x14ac:dyDescent="0.15">
      <c r="A2436" s="326">
        <v>1.4</v>
      </c>
      <c r="B2436" s="327">
        <v>-20</v>
      </c>
      <c r="C2436" s="327" t="s">
        <v>109</v>
      </c>
      <c r="D2436" s="327" t="s">
        <v>114</v>
      </c>
      <c r="E2436" s="328" t="s">
        <v>1776</v>
      </c>
      <c r="F2436" s="328">
        <v>41.797336000000001</v>
      </c>
      <c r="G2436" s="328">
        <v>11196.421599999998</v>
      </c>
      <c r="H2436" s="328">
        <v>12639.844000000001</v>
      </c>
      <c r="I2436" s="329">
        <v>4.3561262553050796E-2</v>
      </c>
      <c r="J2436" s="329">
        <v>1.1693229014775814</v>
      </c>
      <c r="K2436" s="329">
        <v>1.3322208477412059</v>
      </c>
    </row>
    <row r="2437" spans="1:11" ht="11.25" x14ac:dyDescent="0.15">
      <c r="A2437" s="326">
        <v>1.4</v>
      </c>
      <c r="B2437" s="327">
        <v>-20</v>
      </c>
      <c r="C2437" s="327" t="s">
        <v>109</v>
      </c>
      <c r="D2437" s="327" t="s">
        <v>113</v>
      </c>
      <c r="E2437" s="328" t="s">
        <v>1777</v>
      </c>
      <c r="F2437" s="328">
        <v>31.32311</v>
      </c>
      <c r="G2437" s="328">
        <v>10646.246800000001</v>
      </c>
      <c r="H2437" s="328">
        <v>12433.4462</v>
      </c>
      <c r="I2437" s="329">
        <v>3.2645004425355978E-2</v>
      </c>
      <c r="J2437" s="329">
        <v>1.1118641868597035</v>
      </c>
      <c r="K2437" s="329">
        <v>1.3104668251371356</v>
      </c>
    </row>
    <row r="2438" spans="1:11" ht="11.25" x14ac:dyDescent="0.15">
      <c r="A2438" s="326">
        <v>0.9</v>
      </c>
      <c r="B2438" s="327">
        <v>0</v>
      </c>
      <c r="C2438" s="327" t="s">
        <v>109</v>
      </c>
      <c r="D2438" s="327" t="s">
        <v>79</v>
      </c>
      <c r="E2438" s="328" t="s">
        <v>1778</v>
      </c>
      <c r="F2438" s="328">
        <v>12.97593</v>
      </c>
      <c r="G2438" s="328">
        <v>4464.9755999999998</v>
      </c>
      <c r="H2438" s="328">
        <v>5064.9848999999995</v>
      </c>
      <c r="I2438" s="329">
        <v>1.3523538763331911E-2</v>
      </c>
      <c r="J2438" s="329">
        <v>0.46630954157876703</v>
      </c>
      <c r="K2438" s="329">
        <v>0.53384191112440982</v>
      </c>
    </row>
    <row r="2439" spans="1:11" ht="11.25" x14ac:dyDescent="0.15">
      <c r="A2439" s="326">
        <v>0.9</v>
      </c>
      <c r="B2439" s="327">
        <v>0</v>
      </c>
      <c r="C2439" s="327" t="s">
        <v>109</v>
      </c>
      <c r="D2439" s="327" t="s">
        <v>114</v>
      </c>
      <c r="E2439" s="328" t="s">
        <v>1779</v>
      </c>
      <c r="F2439" s="328">
        <v>4.0259997000000007</v>
      </c>
      <c r="G2439" s="328">
        <v>4436.9901000000009</v>
      </c>
      <c r="H2439" s="328">
        <v>4961.5398000000005</v>
      </c>
      <c r="I2439" s="329">
        <v>4.1959044942530251E-3</v>
      </c>
      <c r="J2439" s="329">
        <v>0.46338681436927187</v>
      </c>
      <c r="K2439" s="329">
        <v>0.52293895070680718</v>
      </c>
    </row>
    <row r="2440" spans="1:11" ht="11.25" x14ac:dyDescent="0.15">
      <c r="A2440" s="326">
        <v>0.9</v>
      </c>
      <c r="B2440" s="327">
        <v>0</v>
      </c>
      <c r="C2440" s="327" t="s">
        <v>109</v>
      </c>
      <c r="D2440" s="327" t="s">
        <v>113</v>
      </c>
      <c r="E2440" s="328" t="s">
        <v>1780</v>
      </c>
      <c r="F2440" s="328">
        <v>2.8925406000000002</v>
      </c>
      <c r="G2440" s="328">
        <v>4421.2833000000001</v>
      </c>
      <c r="H2440" s="328">
        <v>4861.3688999999995</v>
      </c>
      <c r="I2440" s="329">
        <v>3.014611278622137E-3</v>
      </c>
      <c r="J2440" s="329">
        <v>0.46174644018499417</v>
      </c>
      <c r="K2440" s="329">
        <v>0.51238108612263977</v>
      </c>
    </row>
    <row r="2441" spans="1:11" ht="11.25" x14ac:dyDescent="0.15">
      <c r="A2441" s="326">
        <v>0.92500000000000004</v>
      </c>
      <c r="B2441" s="327">
        <v>0</v>
      </c>
      <c r="C2441" s="327" t="s">
        <v>109</v>
      </c>
      <c r="D2441" s="327" t="s">
        <v>79</v>
      </c>
      <c r="E2441" s="328" t="s">
        <v>1781</v>
      </c>
      <c r="F2441" s="328">
        <v>14.67191525</v>
      </c>
      <c r="G2441" s="328">
        <v>4707.4295250000005</v>
      </c>
      <c r="H2441" s="328">
        <v>5370.591625</v>
      </c>
      <c r="I2441" s="329">
        <v>1.529109779535614E-2</v>
      </c>
      <c r="J2441" s="329">
        <v>0.49163075019202868</v>
      </c>
      <c r="K2441" s="329">
        <v>0.56605240757159025</v>
      </c>
    </row>
    <row r="2442" spans="1:11" ht="11.25" x14ac:dyDescent="0.15">
      <c r="A2442" s="326">
        <v>0.92500000000000004</v>
      </c>
      <c r="B2442" s="327">
        <v>0</v>
      </c>
      <c r="C2442" s="327" t="s">
        <v>109</v>
      </c>
      <c r="D2442" s="327" t="s">
        <v>114</v>
      </c>
      <c r="E2442" s="328" t="s">
        <v>1782</v>
      </c>
      <c r="F2442" s="328">
        <v>4.5460253499999999</v>
      </c>
      <c r="G2442" s="328">
        <v>4669.4444000000012</v>
      </c>
      <c r="H2442" s="328">
        <v>5263.0104250000004</v>
      </c>
      <c r="I2442" s="329">
        <v>4.7378762092439245E-3</v>
      </c>
      <c r="J2442" s="329">
        <v>0.48766369016474392</v>
      </c>
      <c r="K2442" s="329">
        <v>0.55471350833636113</v>
      </c>
    </row>
    <row r="2443" spans="1:11" ht="11.25" x14ac:dyDescent="0.15">
      <c r="A2443" s="326">
        <v>0.92500000000000004</v>
      </c>
      <c r="B2443" s="327">
        <v>0</v>
      </c>
      <c r="C2443" s="327" t="s">
        <v>109</v>
      </c>
      <c r="D2443" s="327" t="s">
        <v>113</v>
      </c>
      <c r="E2443" s="328" t="s">
        <v>1783</v>
      </c>
      <c r="F2443" s="328">
        <v>3.2741040999999997</v>
      </c>
      <c r="G2443" s="328">
        <v>4648.0852250000007</v>
      </c>
      <c r="H2443" s="328">
        <v>5157.9572500000004</v>
      </c>
      <c r="I2443" s="329">
        <v>3.4122774792661442E-3</v>
      </c>
      <c r="J2443" s="329">
        <v>0.48543299777243815</v>
      </c>
      <c r="K2443" s="329">
        <v>0.54364105919407701</v>
      </c>
    </row>
    <row r="2444" spans="1:11" ht="11.25" x14ac:dyDescent="0.15">
      <c r="A2444" s="326">
        <v>0.95</v>
      </c>
      <c r="B2444" s="327">
        <v>0</v>
      </c>
      <c r="C2444" s="327" t="s">
        <v>109</v>
      </c>
      <c r="D2444" s="327" t="s">
        <v>79</v>
      </c>
      <c r="E2444" s="328" t="s">
        <v>1784</v>
      </c>
      <c r="F2444" s="328">
        <v>16.578032</v>
      </c>
      <c r="G2444" s="328">
        <v>4958.4670500000002</v>
      </c>
      <c r="H2444" s="328">
        <v>5685.8602000000001</v>
      </c>
      <c r="I2444" s="329">
        <v>1.7277656273712701E-2</v>
      </c>
      <c r="J2444" s="329">
        <v>0.51784840593953563</v>
      </c>
      <c r="K2444" s="329">
        <v>0.59928124870702371</v>
      </c>
    </row>
    <row r="2445" spans="1:11" ht="11.25" x14ac:dyDescent="0.15">
      <c r="A2445" s="326">
        <v>0.95</v>
      </c>
      <c r="B2445" s="327">
        <v>0</v>
      </c>
      <c r="C2445" s="327" t="s">
        <v>109</v>
      </c>
      <c r="D2445" s="327" t="s">
        <v>114</v>
      </c>
      <c r="E2445" s="328" t="s">
        <v>1785</v>
      </c>
      <c r="F2445" s="328">
        <v>5.1293939000000002</v>
      </c>
      <c r="G2445" s="328">
        <v>4907.4871999999996</v>
      </c>
      <c r="H2445" s="328">
        <v>5573.3849500000006</v>
      </c>
      <c r="I2445" s="329">
        <v>5.3458640142978768E-3</v>
      </c>
      <c r="J2445" s="329">
        <v>0.51252421324221054</v>
      </c>
      <c r="K2445" s="329">
        <v>0.58742652384610738</v>
      </c>
    </row>
    <row r="2446" spans="1:11" ht="11.25" x14ac:dyDescent="0.15">
      <c r="A2446" s="326">
        <v>0.95</v>
      </c>
      <c r="B2446" s="327">
        <v>0</v>
      </c>
      <c r="C2446" s="327" t="s">
        <v>109</v>
      </c>
      <c r="D2446" s="327" t="s">
        <v>113</v>
      </c>
      <c r="E2446" s="328" t="s">
        <v>1786</v>
      </c>
      <c r="F2446" s="328">
        <v>3.7029479999999997</v>
      </c>
      <c r="G2446" s="328">
        <v>4882.2076999999999</v>
      </c>
      <c r="H2446" s="328">
        <v>5463.5269499999995</v>
      </c>
      <c r="I2446" s="329">
        <v>3.859219402123961E-3</v>
      </c>
      <c r="J2446" s="329">
        <v>0.50988409309097382</v>
      </c>
      <c r="K2446" s="329">
        <v>0.57584765326106269</v>
      </c>
    </row>
    <row r="2447" spans="1:11" ht="11.25" x14ac:dyDescent="0.15">
      <c r="A2447" s="326">
        <v>0.97499999999999998</v>
      </c>
      <c r="B2447" s="327">
        <v>0</v>
      </c>
      <c r="C2447" s="327" t="s">
        <v>109</v>
      </c>
      <c r="D2447" s="327" t="s">
        <v>79</v>
      </c>
      <c r="E2447" s="328" t="s">
        <v>1787</v>
      </c>
      <c r="F2447" s="328">
        <v>18.729301500000002</v>
      </c>
      <c r="G2447" s="328">
        <v>5220.3147749999998</v>
      </c>
      <c r="H2447" s="328">
        <v>6009.0517499999996</v>
      </c>
      <c r="I2447" s="329">
        <v>1.951971341132239E-2</v>
      </c>
      <c r="J2447" s="329">
        <v>0.54519504868674185</v>
      </c>
      <c r="K2447" s="329">
        <v>0.63334515967964278</v>
      </c>
    </row>
    <row r="2448" spans="1:11" ht="11.25" x14ac:dyDescent="0.15">
      <c r="A2448" s="326">
        <v>0.97499999999999998</v>
      </c>
      <c r="B2448" s="327">
        <v>0</v>
      </c>
      <c r="C2448" s="327" t="s">
        <v>109</v>
      </c>
      <c r="D2448" s="327" t="s">
        <v>114</v>
      </c>
      <c r="E2448" s="328" t="s">
        <v>1788</v>
      </c>
      <c r="F2448" s="328">
        <v>5.7882981000000004</v>
      </c>
      <c r="G2448" s="328">
        <v>5154.0215999999991</v>
      </c>
      <c r="H2448" s="328">
        <v>5892.3939750000009</v>
      </c>
      <c r="I2448" s="329">
        <v>6.0325752165024359E-3</v>
      </c>
      <c r="J2448" s="329">
        <v>0.53827157523169067</v>
      </c>
      <c r="K2448" s="329">
        <v>0.62104960287481981</v>
      </c>
    </row>
    <row r="2449" spans="1:11" ht="11.25" x14ac:dyDescent="0.15">
      <c r="A2449" s="326">
        <v>0.97499999999999998</v>
      </c>
      <c r="B2449" s="327">
        <v>0</v>
      </c>
      <c r="C2449" s="327" t="s">
        <v>109</v>
      </c>
      <c r="D2449" s="327" t="s">
        <v>113</v>
      </c>
      <c r="E2449" s="328" t="s">
        <v>1789</v>
      </c>
      <c r="F2449" s="328">
        <v>4.188253875</v>
      </c>
      <c r="G2449" s="328">
        <v>5120.9437499999995</v>
      </c>
      <c r="H2449" s="328">
        <v>5777.9016750000001</v>
      </c>
      <c r="I2449" s="329">
        <v>4.3650061020086874E-3</v>
      </c>
      <c r="J2449" s="329">
        <v>0.53481701725607467</v>
      </c>
      <c r="K2449" s="329">
        <v>0.60898228392959852</v>
      </c>
    </row>
    <row r="2450" spans="1:11" ht="11.25" x14ac:dyDescent="0.15">
      <c r="A2450" s="326">
        <v>1</v>
      </c>
      <c r="B2450" s="327">
        <v>0</v>
      </c>
      <c r="C2450" s="327" t="s">
        <v>109</v>
      </c>
      <c r="D2450" s="327" t="s">
        <v>79</v>
      </c>
      <c r="E2450" s="328" t="s">
        <v>1790</v>
      </c>
      <c r="F2450" s="328">
        <v>21.154880000000002</v>
      </c>
      <c r="G2450" s="328">
        <v>5492.5289999999995</v>
      </c>
      <c r="H2450" s="328">
        <v>6341.6170000000002</v>
      </c>
      <c r="I2450" s="329">
        <v>2.2047655907024392E-2</v>
      </c>
      <c r="J2450" s="329">
        <v>0.57362433964881776</v>
      </c>
      <c r="K2450" s="329">
        <v>0.66839704475704298</v>
      </c>
    </row>
    <row r="2451" spans="1:11" ht="11.25" x14ac:dyDescent="0.15">
      <c r="A2451" s="326">
        <v>1</v>
      </c>
      <c r="B2451" s="327">
        <v>0</v>
      </c>
      <c r="C2451" s="327" t="s">
        <v>109</v>
      </c>
      <c r="D2451" s="327" t="s">
        <v>114</v>
      </c>
      <c r="E2451" s="328" t="s">
        <v>1791</v>
      </c>
      <c r="F2451" s="328">
        <v>6.5326070000000005</v>
      </c>
      <c r="G2451" s="328">
        <v>5407.2690000000002</v>
      </c>
      <c r="H2451" s="328">
        <v>6219.7110000000002</v>
      </c>
      <c r="I2451" s="329">
        <v>6.8082953584146485E-3</v>
      </c>
      <c r="J2451" s="329">
        <v>0.56472002413251221</v>
      </c>
      <c r="K2451" s="329">
        <v>0.65554833280579272</v>
      </c>
    </row>
    <row r="2452" spans="1:11" ht="11.25" x14ac:dyDescent="0.15">
      <c r="A2452" s="326">
        <v>1</v>
      </c>
      <c r="B2452" s="327">
        <v>0</v>
      </c>
      <c r="C2452" s="327" t="s">
        <v>109</v>
      </c>
      <c r="D2452" s="327" t="s">
        <v>113</v>
      </c>
      <c r="E2452" s="328" t="s">
        <v>1792</v>
      </c>
      <c r="F2452" s="328">
        <v>4.7374330000000002</v>
      </c>
      <c r="G2452" s="328">
        <v>5366.2979999999998</v>
      </c>
      <c r="H2452" s="328">
        <v>6101.4100000000008</v>
      </c>
      <c r="I2452" s="329">
        <v>4.9373616237285336E-3</v>
      </c>
      <c r="J2452" s="329">
        <v>0.56044112768612986</v>
      </c>
      <c r="K2452" s="329">
        <v>0.64307958251831832</v>
      </c>
    </row>
    <row r="2453" spans="1:11" ht="11.25" x14ac:dyDescent="0.15">
      <c r="A2453" s="326">
        <v>1.0249999999999999</v>
      </c>
      <c r="B2453" s="327">
        <v>0</v>
      </c>
      <c r="C2453" s="327" t="s">
        <v>109</v>
      </c>
      <c r="D2453" s="327" t="s">
        <v>79</v>
      </c>
      <c r="E2453" s="328" t="s">
        <v>1793</v>
      </c>
      <c r="F2453" s="328">
        <v>23.877456999999996</v>
      </c>
      <c r="G2453" s="328">
        <v>5777.9044999999987</v>
      </c>
      <c r="H2453" s="328">
        <v>6683.2521499999993</v>
      </c>
      <c r="I2453" s="329">
        <v>2.4885130800589308E-2</v>
      </c>
      <c r="J2453" s="329">
        <v>0.60342815729628951</v>
      </c>
      <c r="K2453" s="329">
        <v>0.70440488386891753</v>
      </c>
    </row>
    <row r="2454" spans="1:11" ht="11.25" x14ac:dyDescent="0.15">
      <c r="A2454" s="326">
        <v>1.0249999999999999</v>
      </c>
      <c r="B2454" s="327">
        <v>0</v>
      </c>
      <c r="C2454" s="327" t="s">
        <v>109</v>
      </c>
      <c r="D2454" s="327" t="s">
        <v>114</v>
      </c>
      <c r="E2454" s="328" t="s">
        <v>1794</v>
      </c>
      <c r="F2454" s="328">
        <v>7.3696269999999986</v>
      </c>
      <c r="G2454" s="328">
        <v>5670.1606000000002</v>
      </c>
      <c r="H2454" s="328">
        <v>6556.3735499999993</v>
      </c>
      <c r="I2454" s="329">
        <v>7.6806391839195683E-3</v>
      </c>
      <c r="J2454" s="329">
        <v>0.59217568625996231</v>
      </c>
      <c r="K2454" s="329">
        <v>0.69103206723825206</v>
      </c>
    </row>
    <row r="2455" spans="1:11" ht="11.25" x14ac:dyDescent="0.15">
      <c r="A2455" s="326">
        <v>1.0249999999999999</v>
      </c>
      <c r="B2455" s="327">
        <v>0</v>
      </c>
      <c r="C2455" s="327" t="s">
        <v>109</v>
      </c>
      <c r="D2455" s="327" t="s">
        <v>113</v>
      </c>
      <c r="E2455" s="328" t="s">
        <v>1795</v>
      </c>
      <c r="F2455" s="328">
        <v>5.355947875</v>
      </c>
      <c r="G2455" s="328">
        <v>5618.7240499999998</v>
      </c>
      <c r="H2455" s="328">
        <v>6433.1910999999991</v>
      </c>
      <c r="I2455" s="329">
        <v>5.5819789951046033E-3</v>
      </c>
      <c r="J2455" s="329">
        <v>0.58680379709423125</v>
      </c>
      <c r="K2455" s="329">
        <v>0.67804881934643957</v>
      </c>
    </row>
    <row r="2456" spans="1:11" ht="11.25" x14ac:dyDescent="0.15">
      <c r="A2456" s="326">
        <v>1.05</v>
      </c>
      <c r="B2456" s="327">
        <v>0</v>
      </c>
      <c r="C2456" s="327" t="s">
        <v>109</v>
      </c>
      <c r="D2456" s="327" t="s">
        <v>79</v>
      </c>
      <c r="E2456" s="328" t="s">
        <v>1796</v>
      </c>
      <c r="F2456" s="328">
        <v>26.930799</v>
      </c>
      <c r="G2456" s="328">
        <v>6076.1484</v>
      </c>
      <c r="H2456" s="328">
        <v>7033.3000499999998</v>
      </c>
      <c r="I2456" s="329">
        <v>2.8067329602117171E-2</v>
      </c>
      <c r="J2456" s="329">
        <v>0.63457591458474238</v>
      </c>
      <c r="K2456" s="329">
        <v>0.74129941437799896</v>
      </c>
    </row>
    <row r="2457" spans="1:11" ht="11.25" x14ac:dyDescent="0.15">
      <c r="A2457" s="326">
        <v>1.05</v>
      </c>
      <c r="B2457" s="327">
        <v>0</v>
      </c>
      <c r="C2457" s="327" t="s">
        <v>109</v>
      </c>
      <c r="D2457" s="327" t="s">
        <v>114</v>
      </c>
      <c r="E2457" s="328" t="s">
        <v>1797</v>
      </c>
      <c r="F2457" s="328">
        <v>8.3110818000000002</v>
      </c>
      <c r="G2457" s="328">
        <v>5941.7410500000005</v>
      </c>
      <c r="H2457" s="328">
        <v>6901.7854500000003</v>
      </c>
      <c r="I2457" s="329">
        <v>8.6618251553085106E-3</v>
      </c>
      <c r="J2457" s="329">
        <v>0.62053878753676561</v>
      </c>
      <c r="K2457" s="329">
        <v>0.72743797020967338</v>
      </c>
    </row>
    <row r="2458" spans="1:11" ht="11.25" x14ac:dyDescent="0.15">
      <c r="A2458" s="326">
        <v>1.05</v>
      </c>
      <c r="B2458" s="327">
        <v>0</v>
      </c>
      <c r="C2458" s="327" t="s">
        <v>109</v>
      </c>
      <c r="D2458" s="327" t="s">
        <v>113</v>
      </c>
      <c r="E2458" s="328" t="s">
        <v>1798</v>
      </c>
      <c r="F2458" s="328">
        <v>6.0525748500000009</v>
      </c>
      <c r="G2458" s="328">
        <v>5878.2548999999999</v>
      </c>
      <c r="H2458" s="328">
        <v>6774.2881500000003</v>
      </c>
      <c r="I2458" s="329">
        <v>6.3080049446893474E-3</v>
      </c>
      <c r="J2458" s="329">
        <v>0.61390847190791842</v>
      </c>
      <c r="K2458" s="329">
        <v>0.71399994351482532</v>
      </c>
    </row>
    <row r="2459" spans="1:11" ht="11.25" x14ac:dyDescent="0.15">
      <c r="A2459" s="326">
        <v>1.075</v>
      </c>
      <c r="B2459" s="327">
        <v>0</v>
      </c>
      <c r="C2459" s="327" t="s">
        <v>109</v>
      </c>
      <c r="D2459" s="327" t="s">
        <v>79</v>
      </c>
      <c r="E2459" s="328" t="s">
        <v>1799</v>
      </c>
      <c r="F2459" s="328">
        <v>30.35265725</v>
      </c>
      <c r="G2459" s="328">
        <v>6389.5194250000004</v>
      </c>
      <c r="H2459" s="328">
        <v>7392.7481250000001</v>
      </c>
      <c r="I2459" s="329">
        <v>3.1633596735686949E-2</v>
      </c>
      <c r="J2459" s="329">
        <v>0.66730350642462133</v>
      </c>
      <c r="K2459" s="329">
        <v>0.77918470941767237</v>
      </c>
    </row>
    <row r="2460" spans="1:11" ht="11.25" x14ac:dyDescent="0.15">
      <c r="A2460" s="326">
        <v>1.075</v>
      </c>
      <c r="B2460" s="327">
        <v>0</v>
      </c>
      <c r="C2460" s="327" t="s">
        <v>109</v>
      </c>
      <c r="D2460" s="327" t="s">
        <v>114</v>
      </c>
      <c r="E2460" s="328" t="s">
        <v>1800</v>
      </c>
      <c r="F2460" s="328">
        <v>9.3703374750000012</v>
      </c>
      <c r="G2460" s="328">
        <v>6225.0186249999988</v>
      </c>
      <c r="H2460" s="328">
        <v>7255.7705500000002</v>
      </c>
      <c r="I2460" s="329">
        <v>9.7657834212009614E-3</v>
      </c>
      <c r="J2460" s="329">
        <v>0.65012350377525829</v>
      </c>
      <c r="K2460" s="329">
        <v>0.7647474757707986</v>
      </c>
    </row>
    <row r="2461" spans="1:11" ht="11.25" x14ac:dyDescent="0.15">
      <c r="A2461" s="326">
        <v>1.075</v>
      </c>
      <c r="B2461" s="327">
        <v>0</v>
      </c>
      <c r="C2461" s="327" t="s">
        <v>109</v>
      </c>
      <c r="D2461" s="327" t="s">
        <v>113</v>
      </c>
      <c r="E2461" s="328" t="s">
        <v>1801</v>
      </c>
      <c r="F2461" s="328">
        <v>6.8373106749999994</v>
      </c>
      <c r="G2461" s="328">
        <v>6147.2778499999995</v>
      </c>
      <c r="H2461" s="328">
        <v>7123.6003749999991</v>
      </c>
      <c r="I2461" s="329">
        <v>7.1258581042210898E-3</v>
      </c>
      <c r="J2461" s="329">
        <v>0.64200447505039193</v>
      </c>
      <c r="K2461" s="329">
        <v>0.75081693496787383</v>
      </c>
    </row>
    <row r="2462" spans="1:11" ht="11.25" x14ac:dyDescent="0.15">
      <c r="A2462" s="326">
        <v>1.1000000000000001</v>
      </c>
      <c r="B2462" s="327">
        <v>0</v>
      </c>
      <c r="C2462" s="327" t="s">
        <v>109</v>
      </c>
      <c r="D2462" s="327" t="s">
        <v>79</v>
      </c>
      <c r="E2462" s="328" t="s">
        <v>1802</v>
      </c>
      <c r="F2462" s="328">
        <v>34.184754999999996</v>
      </c>
      <c r="G2462" s="328">
        <v>6718.7472000000007</v>
      </c>
      <c r="H2462" s="328">
        <v>7761.0742000000009</v>
      </c>
      <c r="I2462" s="329">
        <v>3.5627416251282511E-2</v>
      </c>
      <c r="J2462" s="329">
        <v>0.70168713280664408</v>
      </c>
      <c r="K2462" s="329">
        <v>0.81800573251587605</v>
      </c>
    </row>
    <row r="2463" spans="1:11" ht="11.25" x14ac:dyDescent="0.15">
      <c r="A2463" s="326">
        <v>1.1000000000000001</v>
      </c>
      <c r="B2463" s="327">
        <v>0</v>
      </c>
      <c r="C2463" s="327" t="s">
        <v>109</v>
      </c>
      <c r="D2463" s="327" t="s">
        <v>114</v>
      </c>
      <c r="E2463" s="328" t="s">
        <v>1803</v>
      </c>
      <c r="F2463" s="328">
        <v>10.562414500000001</v>
      </c>
      <c r="G2463" s="328">
        <v>6520.7593000000015</v>
      </c>
      <c r="H2463" s="328">
        <v>7618.781500000001</v>
      </c>
      <c r="I2463" s="329">
        <v>1.100816834902231E-2</v>
      </c>
      <c r="J2463" s="329">
        <v>0.6810098312583126</v>
      </c>
      <c r="K2463" s="329">
        <v>0.80300829256160244</v>
      </c>
    </row>
    <row r="2464" spans="1:11" ht="11.25" x14ac:dyDescent="0.15">
      <c r="A2464" s="326">
        <v>1.1000000000000001</v>
      </c>
      <c r="B2464" s="327">
        <v>0</v>
      </c>
      <c r="C2464" s="327" t="s">
        <v>109</v>
      </c>
      <c r="D2464" s="327" t="s">
        <v>113</v>
      </c>
      <c r="E2464" s="328" t="s">
        <v>1804</v>
      </c>
      <c r="F2464" s="328">
        <v>7.7213972000000011</v>
      </c>
      <c r="G2464" s="328">
        <v>6422.1487000000006</v>
      </c>
      <c r="H2464" s="328">
        <v>7480.8667999999998</v>
      </c>
      <c r="I2464" s="329">
        <v>8.0472547510107174E-3</v>
      </c>
      <c r="J2464" s="329">
        <v>0.67071121648406662</v>
      </c>
      <c r="K2464" s="329">
        <v>0.7884722873268879</v>
      </c>
    </row>
    <row r="2465" spans="1:11" ht="11.25" x14ac:dyDescent="0.15">
      <c r="A2465" s="326">
        <v>1.125</v>
      </c>
      <c r="B2465" s="327">
        <v>0</v>
      </c>
      <c r="C2465" s="327" t="s">
        <v>109</v>
      </c>
      <c r="D2465" s="327" t="s">
        <v>79</v>
      </c>
      <c r="E2465" s="328" t="s">
        <v>1805</v>
      </c>
      <c r="F2465" s="328">
        <v>38.473177499999998</v>
      </c>
      <c r="G2465" s="328">
        <v>7065.1203750000004</v>
      </c>
      <c r="H2465" s="328">
        <v>8138.4423750000005</v>
      </c>
      <c r="I2465" s="329">
        <v>4.0096818283529512E-2</v>
      </c>
      <c r="J2465" s="329">
        <v>0.73786137672623719</v>
      </c>
      <c r="K2465" s="329">
        <v>0.85777977956970453</v>
      </c>
    </row>
    <row r="2466" spans="1:11" ht="11.25" x14ac:dyDescent="0.15">
      <c r="A2466" s="326">
        <v>1.125</v>
      </c>
      <c r="B2466" s="327">
        <v>0</v>
      </c>
      <c r="C2466" s="327" t="s">
        <v>109</v>
      </c>
      <c r="D2466" s="327" t="s">
        <v>114</v>
      </c>
      <c r="E2466" s="328" t="s">
        <v>1806</v>
      </c>
      <c r="F2466" s="328">
        <v>11.904164999999999</v>
      </c>
      <c r="G2466" s="328">
        <v>6827.9951249999995</v>
      </c>
      <c r="H2466" s="328">
        <v>7990.3417499999996</v>
      </c>
      <c r="I2466" s="329">
        <v>1.2406543255288754E-2</v>
      </c>
      <c r="J2466" s="329">
        <v>0.71309667999995474</v>
      </c>
      <c r="K2466" s="329">
        <v>0.84217019291748763</v>
      </c>
    </row>
    <row r="2467" spans="1:11" ht="11.25" x14ac:dyDescent="0.15">
      <c r="A2467" s="326">
        <v>1.125</v>
      </c>
      <c r="B2467" s="327">
        <v>0</v>
      </c>
      <c r="C2467" s="327" t="s">
        <v>109</v>
      </c>
      <c r="D2467" s="327" t="s">
        <v>113</v>
      </c>
      <c r="E2467" s="328" t="s">
        <v>1807</v>
      </c>
      <c r="F2467" s="328">
        <v>8.7173268749999995</v>
      </c>
      <c r="G2467" s="328">
        <v>6708.3806249999998</v>
      </c>
      <c r="H2467" s="328">
        <v>7847.5320000000002</v>
      </c>
      <c r="I2467" s="329">
        <v>9.0852145400520442E-3</v>
      </c>
      <c r="J2467" s="329">
        <v>0.70060447675898452</v>
      </c>
      <c r="K2467" s="329">
        <v>0.82711825665856631</v>
      </c>
    </row>
    <row r="2468" spans="1:11" ht="11.25" x14ac:dyDescent="0.15">
      <c r="A2468" s="326">
        <v>1.1499999999999999</v>
      </c>
      <c r="B2468" s="327">
        <v>0</v>
      </c>
      <c r="C2468" s="327" t="s">
        <v>109</v>
      </c>
      <c r="D2468" s="327" t="s">
        <v>79</v>
      </c>
      <c r="E2468" s="328" t="s">
        <v>1808</v>
      </c>
      <c r="F2468" s="328">
        <v>43.268841999999992</v>
      </c>
      <c r="G2468" s="328">
        <v>7430.4087499999996</v>
      </c>
      <c r="H2468" s="328">
        <v>8524.7797999999984</v>
      </c>
      <c r="I2468" s="329">
        <v>4.5094868886583372E-2</v>
      </c>
      <c r="J2468" s="329">
        <v>0.77601107113672907</v>
      </c>
      <c r="K2468" s="329">
        <v>0.89849917229699228</v>
      </c>
    </row>
    <row r="2469" spans="1:11" ht="11.25" x14ac:dyDescent="0.15">
      <c r="A2469" s="326">
        <v>1.1499999999999999</v>
      </c>
      <c r="B2469" s="327">
        <v>0</v>
      </c>
      <c r="C2469" s="327" t="s">
        <v>109</v>
      </c>
      <c r="D2469" s="327" t="s">
        <v>114</v>
      </c>
      <c r="E2469" s="328" t="s">
        <v>1809</v>
      </c>
      <c r="F2469" s="328">
        <v>13.414496999999999</v>
      </c>
      <c r="G2469" s="328">
        <v>7150.7735999999986</v>
      </c>
      <c r="H2469" s="328">
        <v>8371.1121999999996</v>
      </c>
      <c r="I2469" s="329">
        <v>1.3980614119381009E-2</v>
      </c>
      <c r="J2469" s="329">
        <v>0.74680675955979448</v>
      </c>
      <c r="K2469" s="329">
        <v>0.88230283472017135</v>
      </c>
    </row>
    <row r="2470" spans="1:11" ht="11.25" x14ac:dyDescent="0.15">
      <c r="A2470" s="326">
        <v>1.1499999999999999</v>
      </c>
      <c r="B2470" s="327">
        <v>0</v>
      </c>
      <c r="C2470" s="327" t="s">
        <v>109</v>
      </c>
      <c r="D2470" s="327" t="s">
        <v>113</v>
      </c>
      <c r="E2470" s="328" t="s">
        <v>1810</v>
      </c>
      <c r="F2470" s="328">
        <v>9.8392631500000007</v>
      </c>
      <c r="G2470" s="328">
        <v>7004.3337499999998</v>
      </c>
      <c r="H2470" s="328">
        <v>8223.2670499999986</v>
      </c>
      <c r="I2470" s="329">
        <v>1.0254498645696166E-2</v>
      </c>
      <c r="J2470" s="329">
        <v>0.73151299192479047</v>
      </c>
      <c r="K2470" s="329">
        <v>0.86672017475479302</v>
      </c>
    </row>
    <row r="2471" spans="1:11" ht="11.25" x14ac:dyDescent="0.15">
      <c r="A2471" s="326">
        <v>1.175</v>
      </c>
      <c r="B2471" s="327">
        <v>0</v>
      </c>
      <c r="C2471" s="327" t="s">
        <v>109</v>
      </c>
      <c r="D2471" s="327" t="s">
        <v>79</v>
      </c>
      <c r="E2471" s="328" t="s">
        <v>1811</v>
      </c>
      <c r="F2471" s="328">
        <v>48.628056500000007</v>
      </c>
      <c r="G2471" s="328">
        <v>7815.5877</v>
      </c>
      <c r="H2471" s="328">
        <v>8920.2698250000012</v>
      </c>
      <c r="I2471" s="329">
        <v>5.0680252364435102E-2</v>
      </c>
      <c r="J2471" s="329">
        <v>0.81623808147028853</v>
      </c>
      <c r="K2471" s="329">
        <v>0.94018323551634009</v>
      </c>
    </row>
    <row r="2472" spans="1:11" ht="11.25" x14ac:dyDescent="0.15">
      <c r="A2472" s="326">
        <v>1.175</v>
      </c>
      <c r="B2472" s="327">
        <v>0</v>
      </c>
      <c r="C2472" s="327" t="s">
        <v>109</v>
      </c>
      <c r="D2472" s="327" t="s">
        <v>114</v>
      </c>
      <c r="E2472" s="328" t="s">
        <v>1812</v>
      </c>
      <c r="F2472" s="328">
        <v>15.11464775</v>
      </c>
      <c r="G2472" s="328">
        <v>7487.6593000000003</v>
      </c>
      <c r="H2472" s="328">
        <v>8760.7424250000004</v>
      </c>
      <c r="I2472" s="329">
        <v>1.5752514443375731E-2</v>
      </c>
      <c r="J2472" s="329">
        <v>0.78199015817264317</v>
      </c>
      <c r="K2472" s="329">
        <v>0.92336928369336257</v>
      </c>
    </row>
    <row r="2473" spans="1:11" ht="11.25" x14ac:dyDescent="0.15">
      <c r="A2473" s="326">
        <v>1.175</v>
      </c>
      <c r="B2473" s="327">
        <v>0</v>
      </c>
      <c r="C2473" s="327" t="s">
        <v>109</v>
      </c>
      <c r="D2473" s="327" t="s">
        <v>113</v>
      </c>
      <c r="E2473" s="328" t="s">
        <v>1813</v>
      </c>
      <c r="F2473" s="328">
        <v>11.102970975</v>
      </c>
      <c r="G2473" s="328">
        <v>7311.8558000000003</v>
      </c>
      <c r="H2473" s="328">
        <v>8607.11</v>
      </c>
      <c r="I2473" s="329">
        <v>1.1571537328620115E-2</v>
      </c>
      <c r="J2473" s="329">
        <v>0.76362973320348027</v>
      </c>
      <c r="K2473" s="329">
        <v>0.90717665350947441</v>
      </c>
    </row>
    <row r="2474" spans="1:11" ht="11.25" x14ac:dyDescent="0.15">
      <c r="A2474" s="326">
        <v>1.2</v>
      </c>
      <c r="B2474" s="327">
        <v>0</v>
      </c>
      <c r="C2474" s="327" t="s">
        <v>109</v>
      </c>
      <c r="D2474" s="327" t="s">
        <v>79</v>
      </c>
      <c r="E2474" s="328" t="s">
        <v>1814</v>
      </c>
      <c r="F2474" s="328">
        <v>54.613176000000003</v>
      </c>
      <c r="G2474" s="328">
        <v>8221.1855999999989</v>
      </c>
      <c r="H2474" s="328">
        <v>9324.5627999999997</v>
      </c>
      <c r="I2474" s="329">
        <v>5.6917955215901136E-2</v>
      </c>
      <c r="J2474" s="329">
        <v>0.85859758973150058</v>
      </c>
      <c r="K2474" s="329">
        <v>0.98279511663530894</v>
      </c>
    </row>
    <row r="2475" spans="1:11" ht="11.25" x14ac:dyDescent="0.15">
      <c r="A2475" s="326">
        <v>1.2</v>
      </c>
      <c r="B2475" s="327">
        <v>0</v>
      </c>
      <c r="C2475" s="327" t="s">
        <v>109</v>
      </c>
      <c r="D2475" s="327" t="s">
        <v>114</v>
      </c>
      <c r="E2475" s="328" t="s">
        <v>1815</v>
      </c>
      <c r="F2475" s="328">
        <v>17.028456000000002</v>
      </c>
      <c r="G2475" s="328">
        <v>7842.5555999999997</v>
      </c>
      <c r="H2475" s="328">
        <v>9159.2351999999992</v>
      </c>
      <c r="I2475" s="329">
        <v>1.7747089017564974E-2</v>
      </c>
      <c r="J2475" s="329">
        <v>0.81905453338692213</v>
      </c>
      <c r="K2475" s="329">
        <v>0.96536983231795348</v>
      </c>
    </row>
    <row r="2476" spans="1:11" ht="11.25" x14ac:dyDescent="0.15">
      <c r="A2476" s="326">
        <v>1.2</v>
      </c>
      <c r="B2476" s="327">
        <v>0</v>
      </c>
      <c r="C2476" s="327" t="s">
        <v>109</v>
      </c>
      <c r="D2476" s="327" t="s">
        <v>113</v>
      </c>
      <c r="E2476" s="328" t="s">
        <v>1816</v>
      </c>
      <c r="F2476" s="328">
        <v>12.526164</v>
      </c>
      <c r="G2476" s="328">
        <v>7633.4531999999999</v>
      </c>
      <c r="H2476" s="328">
        <v>9000.2952000000005</v>
      </c>
      <c r="I2476" s="329">
        <v>1.3054791788322894E-2</v>
      </c>
      <c r="J2476" s="329">
        <v>0.79721646459948681</v>
      </c>
      <c r="K2476" s="329">
        <v>0.94861779158548987</v>
      </c>
    </row>
    <row r="2477" spans="1:11" ht="11.25" x14ac:dyDescent="0.15">
      <c r="A2477" s="326">
        <v>1.2250000000000001</v>
      </c>
      <c r="B2477" s="327">
        <v>0</v>
      </c>
      <c r="C2477" s="327" t="s">
        <v>109</v>
      </c>
      <c r="D2477" s="327" t="s">
        <v>79</v>
      </c>
      <c r="E2477" s="328" t="s">
        <v>1817</v>
      </c>
      <c r="F2477" s="328">
        <v>61.293340499999999</v>
      </c>
      <c r="G2477" s="328">
        <v>8648.0014250000004</v>
      </c>
      <c r="H2477" s="328">
        <v>9738.0578750000004</v>
      </c>
      <c r="I2477" s="329">
        <v>6.3880035279617858E-2</v>
      </c>
      <c r="J2477" s="329">
        <v>0.90317303863077658</v>
      </c>
      <c r="K2477" s="329">
        <v>1.0263768854730664</v>
      </c>
    </row>
    <row r="2478" spans="1:11" ht="11.25" x14ac:dyDescent="0.15">
      <c r="A2478" s="326">
        <v>1.2250000000000001</v>
      </c>
      <c r="B2478" s="327">
        <v>0</v>
      </c>
      <c r="C2478" s="327" t="s">
        <v>109</v>
      </c>
      <c r="D2478" s="327" t="s">
        <v>114</v>
      </c>
      <c r="E2478" s="328" t="s">
        <v>1818</v>
      </c>
      <c r="F2478" s="328">
        <v>19.182630250000003</v>
      </c>
      <c r="G2478" s="328">
        <v>8215.242000000002</v>
      </c>
      <c r="H2478" s="328">
        <v>9566.6497500000005</v>
      </c>
      <c r="I2478" s="329">
        <v>1.9992173491113034E-2</v>
      </c>
      <c r="J2478" s="329">
        <v>0.85797685680043456</v>
      </c>
      <c r="K2478" s="329">
        <v>1.008310722821278</v>
      </c>
    </row>
    <row r="2479" spans="1:11" ht="11.25" x14ac:dyDescent="0.15">
      <c r="A2479" s="326">
        <v>1.2250000000000001</v>
      </c>
      <c r="B2479" s="327">
        <v>0</v>
      </c>
      <c r="C2479" s="327" t="s">
        <v>109</v>
      </c>
      <c r="D2479" s="327" t="s">
        <v>113</v>
      </c>
      <c r="E2479" s="328" t="s">
        <v>1819</v>
      </c>
      <c r="F2479" s="328">
        <v>14.128709000000001</v>
      </c>
      <c r="G2479" s="328">
        <v>7967.5139250000002</v>
      </c>
      <c r="H2479" s="328">
        <v>9401.5822250000001</v>
      </c>
      <c r="I2479" s="329">
        <v>1.4724967215246727E-2</v>
      </c>
      <c r="J2479" s="329">
        <v>0.83210483073842401</v>
      </c>
      <c r="K2479" s="329">
        <v>0.99091285002395213</v>
      </c>
    </row>
    <row r="2480" spans="1:11" ht="11.25" x14ac:dyDescent="0.15">
      <c r="A2480" s="326">
        <v>1.25</v>
      </c>
      <c r="B2480" s="327">
        <v>0</v>
      </c>
      <c r="C2480" s="327" t="s">
        <v>109</v>
      </c>
      <c r="D2480" s="327" t="s">
        <v>79</v>
      </c>
      <c r="E2480" s="328" t="s">
        <v>1820</v>
      </c>
      <c r="F2480" s="328">
        <v>68.745312499999997</v>
      </c>
      <c r="G2480" s="328">
        <v>9098.255000000001</v>
      </c>
      <c r="H2480" s="328">
        <v>10161.021250000002</v>
      </c>
      <c r="I2480" s="329">
        <v>7.1646494578123943E-2</v>
      </c>
      <c r="J2480" s="329">
        <v>0.95019626047155237</v>
      </c>
      <c r="K2480" s="329">
        <v>1.0709565991155752</v>
      </c>
    </row>
    <row r="2481" spans="1:11" ht="11.25" x14ac:dyDescent="0.15">
      <c r="A2481" s="326">
        <v>1.25</v>
      </c>
      <c r="B2481" s="327">
        <v>0</v>
      </c>
      <c r="C2481" s="327" t="s">
        <v>109</v>
      </c>
      <c r="D2481" s="327" t="s">
        <v>114</v>
      </c>
      <c r="E2481" s="328" t="s">
        <v>1821</v>
      </c>
      <c r="F2481" s="328">
        <v>21.607312499999999</v>
      </c>
      <c r="G2481" s="328">
        <v>8606.2487499999988</v>
      </c>
      <c r="H2481" s="328">
        <v>9982.9575000000004</v>
      </c>
      <c r="I2481" s="329">
        <v>2.2519181913371614E-2</v>
      </c>
      <c r="J2481" s="329">
        <v>0.89881250623751152</v>
      </c>
      <c r="K2481" s="329">
        <v>1.0521889434406333</v>
      </c>
    </row>
    <row r="2482" spans="1:11" ht="11.25" x14ac:dyDescent="0.15">
      <c r="A2482" s="326">
        <v>1.25</v>
      </c>
      <c r="B2482" s="327">
        <v>0</v>
      </c>
      <c r="C2482" s="327" t="s">
        <v>109</v>
      </c>
      <c r="D2482" s="327" t="s">
        <v>113</v>
      </c>
      <c r="E2482" s="328" t="s">
        <v>1822</v>
      </c>
      <c r="F2482" s="328">
        <v>15.9329125</v>
      </c>
      <c r="G2482" s="328">
        <v>8318.43</v>
      </c>
      <c r="H2482" s="328">
        <v>9812.8312499999993</v>
      </c>
      <c r="I2482" s="329">
        <v>1.6605311511893601E-2</v>
      </c>
      <c r="J2482" s="329">
        <v>0.86875352240560144</v>
      </c>
      <c r="K2482" s="329">
        <v>1.0342578885163769</v>
      </c>
    </row>
    <row r="2483" spans="1:11" ht="11.25" x14ac:dyDescent="0.15">
      <c r="A2483" s="326">
        <v>1.2749999999999999</v>
      </c>
      <c r="B2483" s="327">
        <v>0</v>
      </c>
      <c r="C2483" s="327" t="s">
        <v>109</v>
      </c>
      <c r="D2483" s="327" t="s">
        <v>79</v>
      </c>
      <c r="E2483" s="328" t="s">
        <v>1823</v>
      </c>
      <c r="F2483" s="328">
        <v>77.054382749999988</v>
      </c>
      <c r="G2483" s="328">
        <v>9571.0475999999999</v>
      </c>
      <c r="H2483" s="328">
        <v>10592.632425</v>
      </c>
      <c r="I2483" s="329">
        <v>8.0306223292221715E-2</v>
      </c>
      <c r="J2483" s="329">
        <v>0.99957339493289921</v>
      </c>
      <c r="K2483" s="329">
        <v>1.1164477780773625</v>
      </c>
    </row>
    <row r="2484" spans="1:11" ht="11.25" x14ac:dyDescent="0.15">
      <c r="A2484" s="326">
        <v>1.2749999999999999</v>
      </c>
      <c r="B2484" s="327">
        <v>0</v>
      </c>
      <c r="C2484" s="327" t="s">
        <v>109</v>
      </c>
      <c r="D2484" s="327" t="s">
        <v>114</v>
      </c>
      <c r="E2484" s="328" t="s">
        <v>1824</v>
      </c>
      <c r="F2484" s="328">
        <v>24.336269249999997</v>
      </c>
      <c r="G2484" s="328">
        <v>9018.6474749999998</v>
      </c>
      <c r="H2484" s="328">
        <v>10407.8658</v>
      </c>
      <c r="I2484" s="329">
        <v>2.5363305794440735E-2</v>
      </c>
      <c r="J2484" s="329">
        <v>0.94188227360699461</v>
      </c>
      <c r="K2484" s="329">
        <v>1.0969736492992082</v>
      </c>
    </row>
    <row r="2485" spans="1:11" ht="11.25" x14ac:dyDescent="0.15">
      <c r="A2485" s="326">
        <v>1.2749999999999999</v>
      </c>
      <c r="B2485" s="327">
        <v>0</v>
      </c>
      <c r="C2485" s="327" t="s">
        <v>109</v>
      </c>
      <c r="D2485" s="327" t="s">
        <v>113</v>
      </c>
      <c r="E2485" s="328" t="s">
        <v>1825</v>
      </c>
      <c r="F2485" s="328">
        <v>17.963831999999996</v>
      </c>
      <c r="G2485" s="328">
        <v>8683.3824000000004</v>
      </c>
      <c r="H2485" s="328">
        <v>10232.030549999999</v>
      </c>
      <c r="I2485" s="329">
        <v>1.8721939652108339E-2</v>
      </c>
      <c r="J2485" s="329">
        <v>0.9068681285284369</v>
      </c>
      <c r="K2485" s="329">
        <v>1.0784408742255771</v>
      </c>
    </row>
    <row r="2486" spans="1:11" ht="11.25" x14ac:dyDescent="0.15">
      <c r="A2486" s="326">
        <v>1.3</v>
      </c>
      <c r="B2486" s="327">
        <v>0</v>
      </c>
      <c r="C2486" s="327" t="s">
        <v>109</v>
      </c>
      <c r="D2486" s="327" t="s">
        <v>79</v>
      </c>
      <c r="E2486" s="328" t="s">
        <v>1826</v>
      </c>
      <c r="F2486" s="328">
        <v>86.315528000000015</v>
      </c>
      <c r="G2486" s="328">
        <v>10068.0723</v>
      </c>
      <c r="H2486" s="328">
        <v>11033.62</v>
      </c>
      <c r="I2486" s="329">
        <v>8.9958206370214788E-2</v>
      </c>
      <c r="J2486" s="329">
        <v>1.0514812620241156</v>
      </c>
      <c r="K2486" s="329">
        <v>1.1629272157199348</v>
      </c>
    </row>
    <row r="2487" spans="1:11" ht="11.25" x14ac:dyDescent="0.15">
      <c r="A2487" s="326">
        <v>1.3</v>
      </c>
      <c r="B2487" s="327">
        <v>0</v>
      </c>
      <c r="C2487" s="327" t="s">
        <v>109</v>
      </c>
      <c r="D2487" s="327" t="s">
        <v>114</v>
      </c>
      <c r="E2487" s="328" t="s">
        <v>1827</v>
      </c>
      <c r="F2487" s="328">
        <v>27.407549000000003</v>
      </c>
      <c r="G2487" s="328">
        <v>9451.4875000000011</v>
      </c>
      <c r="H2487" s="328">
        <v>10842.1703</v>
      </c>
      <c r="I2487" s="329">
        <v>2.8564199352911029E-2</v>
      </c>
      <c r="J2487" s="329">
        <v>0.98708687307550969</v>
      </c>
      <c r="K2487" s="329">
        <v>1.1427487007292592</v>
      </c>
    </row>
    <row r="2488" spans="1:11" ht="11.25" x14ac:dyDescent="0.15">
      <c r="A2488" s="326">
        <v>1.3</v>
      </c>
      <c r="B2488" s="327">
        <v>0</v>
      </c>
      <c r="C2488" s="327" t="s">
        <v>109</v>
      </c>
      <c r="D2488" s="327" t="s">
        <v>113</v>
      </c>
      <c r="E2488" s="328" t="s">
        <v>1828</v>
      </c>
      <c r="F2488" s="328">
        <v>20.249631999999998</v>
      </c>
      <c r="G2488" s="328">
        <v>9066.9007000000001</v>
      </c>
      <c r="H2488" s="328">
        <v>10660.152100000001</v>
      </c>
      <c r="I2488" s="329">
        <v>2.1104204731006278E-2</v>
      </c>
      <c r="J2488" s="329">
        <v>0.94692170522884878</v>
      </c>
      <c r="K2488" s="329">
        <v>1.1235642518778077</v>
      </c>
    </row>
    <row r="2489" spans="1:11" ht="11.25" x14ac:dyDescent="0.15">
      <c r="A2489" s="326">
        <v>1.325</v>
      </c>
      <c r="B2489" s="327">
        <v>0</v>
      </c>
      <c r="C2489" s="327" t="s">
        <v>109</v>
      </c>
      <c r="D2489" s="327" t="s">
        <v>79</v>
      </c>
      <c r="E2489" s="328" t="s">
        <v>1829</v>
      </c>
      <c r="F2489" s="328">
        <v>96.634555500000005</v>
      </c>
      <c r="G2489" s="328">
        <v>10589.13235</v>
      </c>
      <c r="H2489" s="328">
        <v>11483.614674999999</v>
      </c>
      <c r="I2489" s="329">
        <v>0.10071271632797026</v>
      </c>
      <c r="J2489" s="329">
        <v>1.1058993137264608</v>
      </c>
      <c r="K2489" s="329">
        <v>1.2103559883699395</v>
      </c>
    </row>
    <row r="2490" spans="1:11" ht="11.25" x14ac:dyDescent="0.15">
      <c r="A2490" s="326">
        <v>1.325</v>
      </c>
      <c r="B2490" s="327">
        <v>0</v>
      </c>
      <c r="C2490" s="327" t="s">
        <v>109</v>
      </c>
      <c r="D2490" s="327" t="s">
        <v>114</v>
      </c>
      <c r="E2490" s="328" t="s">
        <v>1830</v>
      </c>
      <c r="F2490" s="328">
        <v>30.863914000000001</v>
      </c>
      <c r="G2490" s="328">
        <v>9905.5754500000003</v>
      </c>
      <c r="H2490" s="328">
        <v>11285.29</v>
      </c>
      <c r="I2490" s="329">
        <v>3.216642948652948E-2</v>
      </c>
      <c r="J2490" s="329">
        <v>1.0345105462980335</v>
      </c>
      <c r="K2490" s="329">
        <v>1.1894528611907988</v>
      </c>
    </row>
    <row r="2491" spans="1:11" ht="11.25" x14ac:dyDescent="0.15">
      <c r="A2491" s="326">
        <v>1.325</v>
      </c>
      <c r="B2491" s="327">
        <v>0</v>
      </c>
      <c r="C2491" s="327" t="s">
        <v>109</v>
      </c>
      <c r="D2491" s="327" t="s">
        <v>113</v>
      </c>
      <c r="E2491" s="328" t="s">
        <v>1831</v>
      </c>
      <c r="F2491" s="328">
        <v>22.8219855</v>
      </c>
      <c r="G2491" s="328">
        <v>9469.6650250000002</v>
      </c>
      <c r="H2491" s="328">
        <v>11097.500399999999</v>
      </c>
      <c r="I2491" s="329">
        <v>2.3785116409031862E-2</v>
      </c>
      <c r="J2491" s="329">
        <v>0.98898528285624543</v>
      </c>
      <c r="K2491" s="329">
        <v>1.1696601153223385</v>
      </c>
    </row>
    <row r="2492" spans="1:11" ht="11.25" x14ac:dyDescent="0.15">
      <c r="A2492" s="326">
        <v>1.35</v>
      </c>
      <c r="B2492" s="327">
        <v>0</v>
      </c>
      <c r="C2492" s="327" t="s">
        <v>109</v>
      </c>
      <c r="D2492" s="327" t="s">
        <v>79</v>
      </c>
      <c r="E2492" s="328" t="s">
        <v>1832</v>
      </c>
      <c r="F2492" s="328">
        <v>108.12960000000001</v>
      </c>
      <c r="G2492" s="328">
        <v>11135.739600000001</v>
      </c>
      <c r="H2492" s="328">
        <v>11942.584650000001</v>
      </c>
      <c r="I2492" s="329">
        <v>0.11269287342514751</v>
      </c>
      <c r="J2492" s="329">
        <v>1.1629854434179938</v>
      </c>
      <c r="K2492" s="329">
        <v>1.2587307443544486</v>
      </c>
    </row>
    <row r="2493" spans="1:11" ht="11.25" x14ac:dyDescent="0.15">
      <c r="A2493" s="326">
        <v>1.35</v>
      </c>
      <c r="B2493" s="327">
        <v>0</v>
      </c>
      <c r="C2493" s="327" t="s">
        <v>109</v>
      </c>
      <c r="D2493" s="327" t="s">
        <v>114</v>
      </c>
      <c r="E2493" s="328" t="s">
        <v>1833</v>
      </c>
      <c r="F2493" s="328">
        <v>34.7534955</v>
      </c>
      <c r="G2493" s="328">
        <v>10383.533100000001</v>
      </c>
      <c r="H2493" s="328">
        <v>11737.502100000002</v>
      </c>
      <c r="I2493" s="329">
        <v>3.6220158674987547E-2</v>
      </c>
      <c r="J2493" s="329">
        <v>1.0844271041098084</v>
      </c>
      <c r="K2493" s="329">
        <v>1.2371153471535079</v>
      </c>
    </row>
    <row r="2494" spans="1:11" ht="11.25" x14ac:dyDescent="0.15">
      <c r="A2494" s="326">
        <v>1.35</v>
      </c>
      <c r="B2494" s="327">
        <v>0</v>
      </c>
      <c r="C2494" s="327" t="s">
        <v>109</v>
      </c>
      <c r="D2494" s="327" t="s">
        <v>113</v>
      </c>
      <c r="E2494" s="328" t="s">
        <v>1834</v>
      </c>
      <c r="F2494" s="328">
        <v>25.716474000000002</v>
      </c>
      <c r="G2494" s="328">
        <v>9890.784450000001</v>
      </c>
      <c r="H2494" s="328">
        <v>11543.34375</v>
      </c>
      <c r="I2494" s="329">
        <v>2.6801757792714456E-2</v>
      </c>
      <c r="J2494" s="329">
        <v>1.0329658156998436</v>
      </c>
      <c r="K2494" s="329">
        <v>1.2166513444622535</v>
      </c>
    </row>
    <row r="2495" spans="1:11" ht="11.25" x14ac:dyDescent="0.15">
      <c r="A2495" s="326">
        <v>1.375</v>
      </c>
      <c r="B2495" s="327">
        <v>0</v>
      </c>
      <c r="C2495" s="327" t="s">
        <v>109</v>
      </c>
      <c r="D2495" s="327" t="s">
        <v>79</v>
      </c>
      <c r="E2495" s="328" t="s">
        <v>1835</v>
      </c>
      <c r="F2495" s="328">
        <v>120.93262500000002</v>
      </c>
      <c r="G2495" s="328">
        <v>11707.469125000001</v>
      </c>
      <c r="H2495" s="328">
        <v>12410.479125</v>
      </c>
      <c r="I2495" s="329">
        <v>0.1260362102707846</v>
      </c>
      <c r="J2495" s="329">
        <v>1.2226952731222809</v>
      </c>
      <c r="K2495" s="329">
        <v>1.3080461294286572</v>
      </c>
    </row>
    <row r="2496" spans="1:11" ht="11.25" x14ac:dyDescent="0.15">
      <c r="A2496" s="326">
        <v>1.375</v>
      </c>
      <c r="B2496" s="327">
        <v>0</v>
      </c>
      <c r="C2496" s="327" t="s">
        <v>109</v>
      </c>
      <c r="D2496" s="327" t="s">
        <v>114</v>
      </c>
      <c r="E2496" s="328" t="s">
        <v>1836</v>
      </c>
      <c r="F2496" s="328">
        <v>39.130506249999996</v>
      </c>
      <c r="G2496" s="328">
        <v>10884.357</v>
      </c>
      <c r="H2496" s="328">
        <v>12198.752499999999</v>
      </c>
      <c r="I2496" s="329">
        <v>4.078188754876734E-2</v>
      </c>
      <c r="J2496" s="329">
        <v>1.1367317490043269</v>
      </c>
      <c r="K2496" s="329">
        <v>1.2857304565574663</v>
      </c>
    </row>
    <row r="2497" spans="1:11" ht="11.25" x14ac:dyDescent="0.15">
      <c r="A2497" s="326">
        <v>1.375</v>
      </c>
      <c r="B2497" s="327">
        <v>0</v>
      </c>
      <c r="C2497" s="327" t="s">
        <v>109</v>
      </c>
      <c r="D2497" s="327" t="s">
        <v>113</v>
      </c>
      <c r="E2497" s="328" t="s">
        <v>1837</v>
      </c>
      <c r="F2497" s="328">
        <v>28.973243749999998</v>
      </c>
      <c r="G2497" s="328">
        <v>10333.031499999999</v>
      </c>
      <c r="H2497" s="328">
        <v>11997.8485</v>
      </c>
      <c r="I2497" s="329">
        <v>3.0195969379658259E-2</v>
      </c>
      <c r="J2497" s="329">
        <v>1.0791528585025099</v>
      </c>
      <c r="K2497" s="329">
        <v>1.2645554723413164</v>
      </c>
    </row>
    <row r="2498" spans="1:11" ht="11.25" x14ac:dyDescent="0.15">
      <c r="A2498" s="326">
        <v>1.4</v>
      </c>
      <c r="B2498" s="327">
        <v>0</v>
      </c>
      <c r="C2498" s="327" t="s">
        <v>109</v>
      </c>
      <c r="D2498" s="327" t="s">
        <v>79</v>
      </c>
      <c r="E2498" s="328" t="s">
        <v>1838</v>
      </c>
      <c r="F2498" s="328">
        <v>135.19128000000001</v>
      </c>
      <c r="G2498" s="328">
        <v>12306.072799999998</v>
      </c>
      <c r="H2498" s="328">
        <v>12888.9558</v>
      </c>
      <c r="I2498" s="329">
        <v>0.14089660745275739</v>
      </c>
      <c r="J2498" s="329">
        <v>1.2852117637558722</v>
      </c>
      <c r="K2498" s="329">
        <v>1.3584768627187906</v>
      </c>
    </row>
    <row r="2499" spans="1:11" ht="11.25" x14ac:dyDescent="0.15">
      <c r="A2499" s="326">
        <v>1.4</v>
      </c>
      <c r="B2499" s="327">
        <v>0</v>
      </c>
      <c r="C2499" s="327" t="s">
        <v>109</v>
      </c>
      <c r="D2499" s="327" t="s">
        <v>114</v>
      </c>
      <c r="E2499" s="328" t="s">
        <v>1839</v>
      </c>
      <c r="F2499" s="328">
        <v>44.056011999999996</v>
      </c>
      <c r="G2499" s="328">
        <v>11408.731599999999</v>
      </c>
      <c r="H2499" s="328">
        <v>12668.39</v>
      </c>
      <c r="I2499" s="329">
        <v>4.5915258947899364E-2</v>
      </c>
      <c r="J2499" s="329">
        <v>1.1914959630218793</v>
      </c>
      <c r="K2499" s="329">
        <v>1.3352295538865995</v>
      </c>
    </row>
    <row r="2500" spans="1:11" ht="11.25" x14ac:dyDescent="0.15">
      <c r="A2500" s="326">
        <v>1.4</v>
      </c>
      <c r="B2500" s="327">
        <v>0</v>
      </c>
      <c r="C2500" s="327" t="s">
        <v>109</v>
      </c>
      <c r="D2500" s="327" t="s">
        <v>113</v>
      </c>
      <c r="E2500" s="328" t="s">
        <v>1840</v>
      </c>
      <c r="F2500" s="328">
        <v>32.637401999999994</v>
      </c>
      <c r="G2500" s="328">
        <v>10795.311800000001</v>
      </c>
      <c r="H2500" s="328">
        <v>12461.818599999999</v>
      </c>
      <c r="I2500" s="329">
        <v>3.4014762031041042E-2</v>
      </c>
      <c r="J2500" s="329">
        <v>1.1274321178054938</v>
      </c>
      <c r="K2500" s="329">
        <v>1.313457234099497</v>
      </c>
    </row>
    <row r="2501" spans="1:11" ht="11.25" x14ac:dyDescent="0.15">
      <c r="A2501" s="326">
        <v>0.9</v>
      </c>
      <c r="B2501" s="327">
        <v>25</v>
      </c>
      <c r="C2501" s="327" t="s">
        <v>109</v>
      </c>
      <c r="D2501" s="327" t="s">
        <v>79</v>
      </c>
      <c r="E2501" s="328" t="s">
        <v>1841</v>
      </c>
      <c r="F2501" s="328">
        <v>19.984410000000004</v>
      </c>
      <c r="G2501" s="328">
        <v>4477.6952999999994</v>
      </c>
      <c r="H2501" s="328">
        <v>5087.4281999999994</v>
      </c>
      <c r="I2501" s="329">
        <v>2.0827789861483374E-2</v>
      </c>
      <c r="J2501" s="329">
        <v>0.46763795140837938</v>
      </c>
      <c r="K2501" s="329">
        <v>0.53620740172319492</v>
      </c>
    </row>
    <row r="2502" spans="1:11" ht="11.25" x14ac:dyDescent="0.15">
      <c r="A2502" s="326">
        <v>0.9</v>
      </c>
      <c r="B2502" s="327">
        <v>25</v>
      </c>
      <c r="C2502" s="327" t="s">
        <v>109</v>
      </c>
      <c r="D2502" s="327" t="s">
        <v>114</v>
      </c>
      <c r="E2502" s="328" t="s">
        <v>1842</v>
      </c>
      <c r="F2502" s="328">
        <v>5.4420840000000004</v>
      </c>
      <c r="G2502" s="328">
        <v>4431.5297999999993</v>
      </c>
      <c r="H2502" s="328">
        <v>4984.3971000000001</v>
      </c>
      <c r="I2502" s="329">
        <v>5.6717502273292463E-3</v>
      </c>
      <c r="J2502" s="329">
        <v>0.46281655593608284</v>
      </c>
      <c r="K2502" s="329">
        <v>0.52534807629277758</v>
      </c>
    </row>
    <row r="2503" spans="1:11" ht="11.25" x14ac:dyDescent="0.15">
      <c r="A2503" s="326">
        <v>0.9</v>
      </c>
      <c r="B2503" s="327">
        <v>25</v>
      </c>
      <c r="C2503" s="327" t="s">
        <v>109</v>
      </c>
      <c r="D2503" s="327" t="s">
        <v>113</v>
      </c>
      <c r="E2503" s="328" t="s">
        <v>1843</v>
      </c>
      <c r="F2503" s="328">
        <v>3.4614197999999998</v>
      </c>
      <c r="G2503" s="328">
        <v>4407.2649000000001</v>
      </c>
      <c r="H2503" s="328">
        <v>4883.7933000000003</v>
      </c>
      <c r="I2503" s="329">
        <v>3.6074982557292301E-3</v>
      </c>
      <c r="J2503" s="329">
        <v>0.4602823977661134</v>
      </c>
      <c r="K2503" s="329">
        <v>0.51474458468940132</v>
      </c>
    </row>
    <row r="2504" spans="1:11" ht="11.25" x14ac:dyDescent="0.15">
      <c r="A2504" s="326">
        <v>0.92500000000000004</v>
      </c>
      <c r="B2504" s="327">
        <v>25</v>
      </c>
      <c r="C2504" s="327" t="s">
        <v>109</v>
      </c>
      <c r="D2504" s="327" t="s">
        <v>79</v>
      </c>
      <c r="E2504" s="328" t="s">
        <v>1844</v>
      </c>
      <c r="F2504" s="328">
        <v>22.159753250000001</v>
      </c>
      <c r="G2504" s="328">
        <v>4726.1256250000006</v>
      </c>
      <c r="H2504" s="328">
        <v>5394.1125250000005</v>
      </c>
      <c r="I2504" s="329">
        <v>2.309493670682913E-2</v>
      </c>
      <c r="J2504" s="329">
        <v>0.49358331849280751</v>
      </c>
      <c r="K2504" s="329">
        <v>0.56853147561528106</v>
      </c>
    </row>
    <row r="2505" spans="1:11" ht="11.25" x14ac:dyDescent="0.15">
      <c r="A2505" s="326">
        <v>0.92500000000000004</v>
      </c>
      <c r="B2505" s="327">
        <v>25</v>
      </c>
      <c r="C2505" s="327" t="s">
        <v>109</v>
      </c>
      <c r="D2505" s="327" t="s">
        <v>114</v>
      </c>
      <c r="E2505" s="328" t="s">
        <v>1845</v>
      </c>
      <c r="F2505" s="328">
        <v>6.0626673750000002</v>
      </c>
      <c r="G2505" s="328">
        <v>4666.8534749999999</v>
      </c>
      <c r="H2505" s="328">
        <v>5286.4674999999997</v>
      </c>
      <c r="I2505" s="329">
        <v>6.3185233933136372E-3</v>
      </c>
      <c r="J2505" s="329">
        <v>0.48739310121706514</v>
      </c>
      <c r="K2505" s="329">
        <v>0.5571858493195273</v>
      </c>
    </row>
    <row r="2506" spans="1:11" ht="11.25" x14ac:dyDescent="0.15">
      <c r="A2506" s="326">
        <v>0.92500000000000004</v>
      </c>
      <c r="B2506" s="327">
        <v>25</v>
      </c>
      <c r="C2506" s="327" t="s">
        <v>109</v>
      </c>
      <c r="D2506" s="327" t="s">
        <v>113</v>
      </c>
      <c r="E2506" s="328" t="s">
        <v>1846</v>
      </c>
      <c r="F2506" s="328">
        <v>3.8861655000000006</v>
      </c>
      <c r="G2506" s="328">
        <v>4636.7179000000006</v>
      </c>
      <c r="H2506" s="328">
        <v>5180.9000249999999</v>
      </c>
      <c r="I2506" s="329">
        <v>4.0501690268037165E-3</v>
      </c>
      <c r="J2506" s="329">
        <v>0.48424582619870615</v>
      </c>
      <c r="K2506" s="329">
        <v>0.54605919371852485</v>
      </c>
    </row>
    <row r="2507" spans="1:11" ht="11.25" x14ac:dyDescent="0.15">
      <c r="A2507" s="326">
        <v>0.95</v>
      </c>
      <c r="B2507" s="327">
        <v>25</v>
      </c>
      <c r="C2507" s="327" t="s">
        <v>109</v>
      </c>
      <c r="D2507" s="327" t="s">
        <v>79</v>
      </c>
      <c r="E2507" s="328" t="s">
        <v>1847</v>
      </c>
      <c r="F2507" s="328">
        <v>24.572443500000002</v>
      </c>
      <c r="G2507" s="328">
        <v>4986.3932500000001</v>
      </c>
      <c r="H2507" s="328">
        <v>5709.3555999999999</v>
      </c>
      <c r="I2507" s="329">
        <v>2.5609447044029468E-2</v>
      </c>
      <c r="J2507" s="329">
        <v>0.52076494002317919</v>
      </c>
      <c r="K2507" s="329">
        <v>0.60175762908846031</v>
      </c>
    </row>
    <row r="2508" spans="1:11" ht="11.25" x14ac:dyDescent="0.15">
      <c r="A2508" s="326">
        <v>0.95</v>
      </c>
      <c r="B2508" s="327">
        <v>25</v>
      </c>
      <c r="C2508" s="327" t="s">
        <v>109</v>
      </c>
      <c r="D2508" s="327" t="s">
        <v>114</v>
      </c>
      <c r="E2508" s="328" t="s">
        <v>1848</v>
      </c>
      <c r="F2508" s="328">
        <v>6.7529942499999995</v>
      </c>
      <c r="G2508" s="328">
        <v>4909.6047499999995</v>
      </c>
      <c r="H2508" s="328">
        <v>5596.9116999999997</v>
      </c>
      <c r="I2508" s="329">
        <v>7.0379833667746743E-3</v>
      </c>
      <c r="J2508" s="329">
        <v>0.51274536423120365</v>
      </c>
      <c r="K2508" s="329">
        <v>0.58990620847113873</v>
      </c>
    </row>
    <row r="2509" spans="1:11" ht="11.25" x14ac:dyDescent="0.15">
      <c r="A2509" s="326">
        <v>0.95</v>
      </c>
      <c r="B2509" s="327">
        <v>25</v>
      </c>
      <c r="C2509" s="327" t="s">
        <v>109</v>
      </c>
      <c r="D2509" s="327" t="s">
        <v>113</v>
      </c>
      <c r="E2509" s="328" t="s">
        <v>1849</v>
      </c>
      <c r="F2509" s="328">
        <v>4.36147755</v>
      </c>
      <c r="G2509" s="328">
        <v>4872.1861499999995</v>
      </c>
      <c r="H2509" s="328">
        <v>5487.2075999999997</v>
      </c>
      <c r="I2509" s="329">
        <v>4.5455401433906386E-3</v>
      </c>
      <c r="J2509" s="329">
        <v>0.5088374704876143</v>
      </c>
      <c r="K2509" s="329">
        <v>0.57834355871828691</v>
      </c>
    </row>
    <row r="2510" spans="1:11" ht="11.25" x14ac:dyDescent="0.15">
      <c r="A2510" s="326">
        <v>0.97499999999999998</v>
      </c>
      <c r="B2510" s="327">
        <v>25</v>
      </c>
      <c r="C2510" s="327" t="s">
        <v>109</v>
      </c>
      <c r="D2510" s="327" t="s">
        <v>79</v>
      </c>
      <c r="E2510" s="328" t="s">
        <v>1850</v>
      </c>
      <c r="F2510" s="328">
        <v>27.259225499999999</v>
      </c>
      <c r="G2510" s="328">
        <v>5257.6777499999998</v>
      </c>
      <c r="H2510" s="328">
        <v>6033.5505750000002</v>
      </c>
      <c r="I2510" s="329">
        <v>2.8409616320961634E-2</v>
      </c>
      <c r="J2510" s="329">
        <v>0.5490971331111828</v>
      </c>
      <c r="K2510" s="329">
        <v>0.63592729957078109</v>
      </c>
    </row>
    <row r="2511" spans="1:11" ht="11.25" x14ac:dyDescent="0.15">
      <c r="A2511" s="326">
        <v>0.97499999999999998</v>
      </c>
      <c r="B2511" s="327">
        <v>25</v>
      </c>
      <c r="C2511" s="327" t="s">
        <v>109</v>
      </c>
      <c r="D2511" s="327" t="s">
        <v>114</v>
      </c>
      <c r="E2511" s="328" t="s">
        <v>1851</v>
      </c>
      <c r="F2511" s="328">
        <v>7.52576175</v>
      </c>
      <c r="G2511" s="328">
        <v>5159.9525249999997</v>
      </c>
      <c r="H2511" s="328">
        <v>5916.6841499999991</v>
      </c>
      <c r="I2511" s="329">
        <v>7.8433631153779042E-3</v>
      </c>
      <c r="J2511" s="329">
        <v>0.53889098442127015</v>
      </c>
      <c r="K2511" s="329">
        <v>0.62360975136480745</v>
      </c>
    </row>
    <row r="2512" spans="1:11" ht="11.25" x14ac:dyDescent="0.15">
      <c r="A2512" s="326">
        <v>0.97499999999999998</v>
      </c>
      <c r="B2512" s="327">
        <v>25</v>
      </c>
      <c r="C2512" s="327" t="s">
        <v>109</v>
      </c>
      <c r="D2512" s="327" t="s">
        <v>113</v>
      </c>
      <c r="E2512" s="328" t="s">
        <v>1852</v>
      </c>
      <c r="F2512" s="328">
        <v>4.8968731499999993</v>
      </c>
      <c r="G2512" s="328">
        <v>5113.8964500000002</v>
      </c>
      <c r="H2512" s="328">
        <v>5802.5389500000001</v>
      </c>
      <c r="I2512" s="329">
        <v>5.1035304493122447E-3</v>
      </c>
      <c r="J2512" s="329">
        <v>0.53408101698938382</v>
      </c>
      <c r="K2512" s="329">
        <v>0.61157901624579902</v>
      </c>
    </row>
    <row r="2513" spans="1:11" ht="11.25" x14ac:dyDescent="0.15">
      <c r="A2513" s="326">
        <v>1</v>
      </c>
      <c r="B2513" s="327">
        <v>25</v>
      </c>
      <c r="C2513" s="327" t="s">
        <v>109</v>
      </c>
      <c r="D2513" s="327" t="s">
        <v>79</v>
      </c>
      <c r="E2513" s="328" t="s">
        <v>1853</v>
      </c>
      <c r="F2513" s="328">
        <v>30.251169999999998</v>
      </c>
      <c r="G2513" s="328">
        <v>5541.4229999999998</v>
      </c>
      <c r="H2513" s="328">
        <v>6366.5280000000002</v>
      </c>
      <c r="I2513" s="329">
        <v>3.1527826531982169E-2</v>
      </c>
      <c r="J2513" s="329">
        <v>0.57873069201633176</v>
      </c>
      <c r="K2513" s="329">
        <v>0.67102262728306794</v>
      </c>
    </row>
    <row r="2514" spans="1:11" ht="11.25" x14ac:dyDescent="0.15">
      <c r="A2514" s="326">
        <v>1</v>
      </c>
      <c r="B2514" s="327">
        <v>25</v>
      </c>
      <c r="C2514" s="327" t="s">
        <v>109</v>
      </c>
      <c r="D2514" s="327" t="s">
        <v>114</v>
      </c>
      <c r="E2514" s="328" t="s">
        <v>1854</v>
      </c>
      <c r="F2514" s="328">
        <v>8.3913930000000008</v>
      </c>
      <c r="G2514" s="328">
        <v>5419.58</v>
      </c>
      <c r="H2514" s="328">
        <v>6244.6140000000005</v>
      </c>
      <c r="I2514" s="329">
        <v>8.7455256396922667E-3</v>
      </c>
      <c r="J2514" s="329">
        <v>0.56600575047923096</v>
      </c>
      <c r="K2514" s="329">
        <v>0.6581730721436595</v>
      </c>
    </row>
    <row r="2515" spans="1:11" ht="11.25" x14ac:dyDescent="0.15">
      <c r="A2515" s="326">
        <v>1</v>
      </c>
      <c r="B2515" s="327">
        <v>25</v>
      </c>
      <c r="C2515" s="327" t="s">
        <v>109</v>
      </c>
      <c r="D2515" s="327" t="s">
        <v>113</v>
      </c>
      <c r="E2515" s="328" t="s">
        <v>1855</v>
      </c>
      <c r="F2515" s="328">
        <v>5.5001199999999999</v>
      </c>
      <c r="G2515" s="328">
        <v>5362.9139999999998</v>
      </c>
      <c r="H2515" s="328">
        <v>6126.0590000000002</v>
      </c>
      <c r="I2515" s="329">
        <v>5.7322354561851916E-3</v>
      </c>
      <c r="J2515" s="329">
        <v>0.56008771220750952</v>
      </c>
      <c r="K2515" s="329">
        <v>0.64567755063216314</v>
      </c>
    </row>
    <row r="2516" spans="1:11" ht="11.25" x14ac:dyDescent="0.15">
      <c r="A2516" s="326">
        <v>1.0249999999999999</v>
      </c>
      <c r="B2516" s="327">
        <v>25</v>
      </c>
      <c r="C2516" s="327" t="s">
        <v>109</v>
      </c>
      <c r="D2516" s="327" t="s">
        <v>79</v>
      </c>
      <c r="E2516" s="328" t="s">
        <v>1856</v>
      </c>
      <c r="F2516" s="328">
        <v>33.573065249999999</v>
      </c>
      <c r="G2516" s="328">
        <v>5839.5100750000001</v>
      </c>
      <c r="H2516" s="328">
        <v>6708.5419749999992</v>
      </c>
      <c r="I2516" s="329">
        <v>3.4989912038077157E-2</v>
      </c>
      <c r="J2516" s="329">
        <v>0.60986207094118094</v>
      </c>
      <c r="K2516" s="329">
        <v>0.70707039398919491</v>
      </c>
    </row>
    <row r="2517" spans="1:11" ht="11.25" x14ac:dyDescent="0.15">
      <c r="A2517" s="326">
        <v>1.0249999999999999</v>
      </c>
      <c r="B2517" s="327">
        <v>25</v>
      </c>
      <c r="C2517" s="327" t="s">
        <v>109</v>
      </c>
      <c r="D2517" s="327" t="s">
        <v>114</v>
      </c>
      <c r="E2517" s="328" t="s">
        <v>1857</v>
      </c>
      <c r="F2517" s="328">
        <v>9.3578153999999998</v>
      </c>
      <c r="G2517" s="328">
        <v>5689.7688499999995</v>
      </c>
      <c r="H2517" s="328">
        <v>6582.0057249999991</v>
      </c>
      <c r="I2517" s="329">
        <v>9.7527328909761627E-3</v>
      </c>
      <c r="J2517" s="329">
        <v>0.59422351695105535</v>
      </c>
      <c r="K2517" s="329">
        <v>0.6937336605417731</v>
      </c>
    </row>
    <row r="2518" spans="1:11" ht="11.25" x14ac:dyDescent="0.15">
      <c r="A2518" s="326">
        <v>1.0249999999999999</v>
      </c>
      <c r="B2518" s="327">
        <v>25</v>
      </c>
      <c r="C2518" s="327" t="s">
        <v>109</v>
      </c>
      <c r="D2518" s="327" t="s">
        <v>113</v>
      </c>
      <c r="E2518" s="328" t="s">
        <v>1858</v>
      </c>
      <c r="F2518" s="328">
        <v>6.1771040749999999</v>
      </c>
      <c r="G2518" s="328">
        <v>5619.6198999999997</v>
      </c>
      <c r="H2518" s="328">
        <v>6458.8714499999987</v>
      </c>
      <c r="I2518" s="329">
        <v>6.4377895382757159E-3</v>
      </c>
      <c r="J2518" s="329">
        <v>0.58689735715821534</v>
      </c>
      <c r="K2518" s="329">
        <v>0.68075549022365056</v>
      </c>
    </row>
    <row r="2519" spans="1:11" ht="11.25" x14ac:dyDescent="0.15">
      <c r="A2519" s="326">
        <v>1.05</v>
      </c>
      <c r="B2519" s="327">
        <v>25</v>
      </c>
      <c r="C2519" s="327" t="s">
        <v>109</v>
      </c>
      <c r="D2519" s="327" t="s">
        <v>79</v>
      </c>
      <c r="E2519" s="328" t="s">
        <v>1859</v>
      </c>
      <c r="F2519" s="328">
        <v>37.260940500000004</v>
      </c>
      <c r="G2519" s="328">
        <v>6152.9811</v>
      </c>
      <c r="H2519" s="328">
        <v>7059.6046500000002</v>
      </c>
      <c r="I2519" s="329">
        <v>3.8833422591671961E-2</v>
      </c>
      <c r="J2519" s="329">
        <v>0.64260010650087718</v>
      </c>
      <c r="K2519" s="329">
        <v>0.74407188028117732</v>
      </c>
    </row>
    <row r="2520" spans="1:11" ht="11.25" x14ac:dyDescent="0.15">
      <c r="A2520" s="326">
        <v>1.05</v>
      </c>
      <c r="B2520" s="327">
        <v>25</v>
      </c>
      <c r="C2520" s="327" t="s">
        <v>109</v>
      </c>
      <c r="D2520" s="327" t="s">
        <v>114</v>
      </c>
      <c r="E2520" s="328" t="s">
        <v>1860</v>
      </c>
      <c r="F2520" s="328">
        <v>10.43743995</v>
      </c>
      <c r="G2520" s="328">
        <v>5971.4203500000003</v>
      </c>
      <c r="H2520" s="328">
        <v>6927.9955500000005</v>
      </c>
      <c r="I2520" s="329">
        <v>1.0877919636879521E-2</v>
      </c>
      <c r="J2520" s="329">
        <v>0.62363841047252777</v>
      </c>
      <c r="K2520" s="329">
        <v>0.73020047595273341</v>
      </c>
    </row>
    <row r="2521" spans="1:11" ht="11.25" x14ac:dyDescent="0.15">
      <c r="A2521" s="326">
        <v>1.05</v>
      </c>
      <c r="B2521" s="327">
        <v>25</v>
      </c>
      <c r="C2521" s="327" t="s">
        <v>109</v>
      </c>
      <c r="D2521" s="327" t="s">
        <v>113</v>
      </c>
      <c r="E2521" s="328" t="s">
        <v>1861</v>
      </c>
      <c r="F2521" s="328">
        <v>6.9370665000000002</v>
      </c>
      <c r="G2521" s="328">
        <v>5883.9532499999996</v>
      </c>
      <c r="H2521" s="328">
        <v>6799.9616999999998</v>
      </c>
      <c r="I2521" s="329">
        <v>7.2298238135194339E-3</v>
      </c>
      <c r="J2521" s="329">
        <v>0.61450359161613255</v>
      </c>
      <c r="K2521" s="329">
        <v>0.71670589768210191</v>
      </c>
    </row>
    <row r="2522" spans="1:11" ht="11.25" x14ac:dyDescent="0.15">
      <c r="A2522" s="326">
        <v>1.075</v>
      </c>
      <c r="B2522" s="327">
        <v>25</v>
      </c>
      <c r="C2522" s="327" t="s">
        <v>109</v>
      </c>
      <c r="D2522" s="327" t="s">
        <v>79</v>
      </c>
      <c r="E2522" s="328" t="s">
        <v>1862</v>
      </c>
      <c r="F2522" s="328">
        <v>41.35508875</v>
      </c>
      <c r="G2522" s="328">
        <v>6482.218824999999</v>
      </c>
      <c r="H2522" s="328">
        <v>7419.5371249999989</v>
      </c>
      <c r="I2522" s="329">
        <v>4.3100351633498055E-2</v>
      </c>
      <c r="J2522" s="329">
        <v>0.67698477203302154</v>
      </c>
      <c r="K2522" s="329">
        <v>0.78200823036382783</v>
      </c>
    </row>
    <row r="2523" spans="1:11" ht="11.25" x14ac:dyDescent="0.15">
      <c r="A2523" s="326">
        <v>1.075</v>
      </c>
      <c r="B2523" s="327">
        <v>25</v>
      </c>
      <c r="C2523" s="327" t="s">
        <v>109</v>
      </c>
      <c r="D2523" s="327" t="s">
        <v>114</v>
      </c>
      <c r="E2523" s="328" t="s">
        <v>1863</v>
      </c>
      <c r="F2523" s="328">
        <v>11.644400000000001</v>
      </c>
      <c r="G2523" s="328">
        <v>6264.4743500000004</v>
      </c>
      <c r="H2523" s="328">
        <v>7283.0282499999994</v>
      </c>
      <c r="I2523" s="329">
        <v>1.2135815681476559E-2</v>
      </c>
      <c r="J2523" s="329">
        <v>0.6542441491461779</v>
      </c>
      <c r="K2523" s="329">
        <v>0.76762039700317097</v>
      </c>
    </row>
    <row r="2524" spans="1:11" ht="11.25" x14ac:dyDescent="0.15">
      <c r="A2524" s="326">
        <v>1.075</v>
      </c>
      <c r="B2524" s="327">
        <v>25</v>
      </c>
      <c r="C2524" s="327" t="s">
        <v>109</v>
      </c>
      <c r="D2524" s="327" t="s">
        <v>113</v>
      </c>
      <c r="E2524" s="328" t="s">
        <v>1864</v>
      </c>
      <c r="F2524" s="328">
        <v>7.7905292999999993</v>
      </c>
      <c r="G2524" s="328">
        <v>6157.7085749999997</v>
      </c>
      <c r="H2524" s="328">
        <v>7149.6530000000002</v>
      </c>
      <c r="I2524" s="329">
        <v>8.1193043562521536E-3</v>
      </c>
      <c r="J2524" s="329">
        <v>0.64309383074431425</v>
      </c>
      <c r="K2524" s="329">
        <v>0.75356284307903287</v>
      </c>
    </row>
    <row r="2525" spans="1:11" ht="11.25" x14ac:dyDescent="0.15">
      <c r="A2525" s="326">
        <v>1.1000000000000001</v>
      </c>
      <c r="B2525" s="327">
        <v>25</v>
      </c>
      <c r="C2525" s="327" t="s">
        <v>109</v>
      </c>
      <c r="D2525" s="327" t="s">
        <v>79</v>
      </c>
      <c r="E2525" s="328" t="s">
        <v>1865</v>
      </c>
      <c r="F2525" s="328">
        <v>45.900019000000007</v>
      </c>
      <c r="G2525" s="328">
        <v>6829.5117000000018</v>
      </c>
      <c r="H2525" s="328">
        <v>7788.643500000001</v>
      </c>
      <c r="I2525" s="329">
        <v>4.7837086527452853E-2</v>
      </c>
      <c r="J2525" s="329">
        <v>0.7132550668437756</v>
      </c>
      <c r="K2525" s="329">
        <v>0.82091149592700929</v>
      </c>
    </row>
    <row r="2526" spans="1:11" ht="11.25" x14ac:dyDescent="0.15">
      <c r="A2526" s="326">
        <v>1.1000000000000001</v>
      </c>
      <c r="B2526" s="327">
        <v>25</v>
      </c>
      <c r="C2526" s="327" t="s">
        <v>109</v>
      </c>
      <c r="D2526" s="327" t="s">
        <v>114</v>
      </c>
      <c r="E2526" s="328" t="s">
        <v>1866</v>
      </c>
      <c r="F2526" s="328">
        <v>12.994575000000001</v>
      </c>
      <c r="G2526" s="328">
        <v>6570.3418000000011</v>
      </c>
      <c r="H2526" s="328">
        <v>7645.9097000000011</v>
      </c>
      <c r="I2526" s="329">
        <v>1.3542970617560652E-2</v>
      </c>
      <c r="J2526" s="329">
        <v>0.68618808863676917</v>
      </c>
      <c r="K2526" s="329">
        <v>0.80586756468566456</v>
      </c>
    </row>
    <row r="2527" spans="1:11" ht="11.25" x14ac:dyDescent="0.15">
      <c r="A2527" s="326">
        <v>1.1000000000000001</v>
      </c>
      <c r="B2527" s="327">
        <v>25</v>
      </c>
      <c r="C2527" s="327" t="s">
        <v>109</v>
      </c>
      <c r="D2527" s="327" t="s">
        <v>113</v>
      </c>
      <c r="E2527" s="328" t="s">
        <v>1867</v>
      </c>
      <c r="F2527" s="328">
        <v>8.7493031999999999</v>
      </c>
      <c r="G2527" s="328">
        <v>6441.4063999999998</v>
      </c>
      <c r="H2527" s="328">
        <v>7508.3041000000012</v>
      </c>
      <c r="I2527" s="329">
        <v>9.1185403263846169E-3</v>
      </c>
      <c r="J2527" s="329">
        <v>0.67272243671533982</v>
      </c>
      <c r="K2527" s="329">
        <v>0.79136413813341144</v>
      </c>
    </row>
    <row r="2528" spans="1:11" ht="11.25" x14ac:dyDescent="0.15">
      <c r="A2528" s="326">
        <v>1.125</v>
      </c>
      <c r="B2528" s="327">
        <v>25</v>
      </c>
      <c r="C2528" s="327" t="s">
        <v>109</v>
      </c>
      <c r="D2528" s="327" t="s">
        <v>79</v>
      </c>
      <c r="E2528" s="328" t="s">
        <v>1868</v>
      </c>
      <c r="F2528" s="328">
        <v>50.944893750000006</v>
      </c>
      <c r="G2528" s="328">
        <v>7194.9611249999998</v>
      </c>
      <c r="H2528" s="328">
        <v>8166.4987500000007</v>
      </c>
      <c r="I2528" s="329">
        <v>5.3094864523926276E-2</v>
      </c>
      <c r="J2528" s="329">
        <v>0.75142158086503319</v>
      </c>
      <c r="K2528" s="329">
        <v>0.86073687996485537</v>
      </c>
    </row>
    <row r="2529" spans="1:11" ht="11.25" x14ac:dyDescent="0.15">
      <c r="A2529" s="326">
        <v>1.125</v>
      </c>
      <c r="B2529" s="327">
        <v>25</v>
      </c>
      <c r="C2529" s="327" t="s">
        <v>109</v>
      </c>
      <c r="D2529" s="327" t="s">
        <v>114</v>
      </c>
      <c r="E2529" s="328" t="s">
        <v>1869</v>
      </c>
      <c r="F2529" s="328">
        <v>14.505772499999999</v>
      </c>
      <c r="G2529" s="328">
        <v>6892.2708750000002</v>
      </c>
      <c r="H2529" s="328">
        <v>8018.5556249999991</v>
      </c>
      <c r="I2529" s="329">
        <v>1.511794350738822E-2</v>
      </c>
      <c r="J2529" s="329">
        <v>0.71980945924048001</v>
      </c>
      <c r="K2529" s="329">
        <v>0.84514389357950237</v>
      </c>
    </row>
    <row r="2530" spans="1:11" ht="11.25" x14ac:dyDescent="0.15">
      <c r="A2530" s="326">
        <v>1.125</v>
      </c>
      <c r="B2530" s="327">
        <v>25</v>
      </c>
      <c r="C2530" s="327" t="s">
        <v>109</v>
      </c>
      <c r="D2530" s="327" t="s">
        <v>113</v>
      </c>
      <c r="E2530" s="328" t="s">
        <v>1870</v>
      </c>
      <c r="F2530" s="328">
        <v>9.8266263750000018</v>
      </c>
      <c r="G2530" s="328">
        <v>6735.3536249999997</v>
      </c>
      <c r="H2530" s="328">
        <v>7875.7785000000003</v>
      </c>
      <c r="I2530" s="329">
        <v>1.0241328574914652E-2</v>
      </c>
      <c r="J2530" s="329">
        <v>0.70342146130532879</v>
      </c>
      <c r="K2530" s="329">
        <v>0.83009539594728876</v>
      </c>
    </row>
    <row r="2531" spans="1:11" ht="11.25" x14ac:dyDescent="0.15">
      <c r="A2531" s="326">
        <v>1.1499999999999999</v>
      </c>
      <c r="B2531" s="327">
        <v>25</v>
      </c>
      <c r="C2531" s="327" t="s">
        <v>109</v>
      </c>
      <c r="D2531" s="327" t="s">
        <v>79</v>
      </c>
      <c r="E2531" s="328" t="s">
        <v>1871</v>
      </c>
      <c r="F2531" s="328">
        <v>56.544050999999996</v>
      </c>
      <c r="G2531" s="328">
        <v>7580.8241499999995</v>
      </c>
      <c r="H2531" s="328">
        <v>8553.7068999999992</v>
      </c>
      <c r="I2531" s="329">
        <v>5.8930316789187094E-2</v>
      </c>
      <c r="J2531" s="329">
        <v>0.79172003407493341</v>
      </c>
      <c r="K2531" s="329">
        <v>0.90154804581827108</v>
      </c>
    </row>
    <row r="2532" spans="1:11" ht="11.25" x14ac:dyDescent="0.15">
      <c r="A2532" s="326">
        <v>1.1499999999999999</v>
      </c>
      <c r="B2532" s="327">
        <v>25</v>
      </c>
      <c r="C2532" s="327" t="s">
        <v>109</v>
      </c>
      <c r="D2532" s="327" t="s">
        <v>114</v>
      </c>
      <c r="E2532" s="328" t="s">
        <v>1872</v>
      </c>
      <c r="F2532" s="328">
        <v>16.197979999999998</v>
      </c>
      <c r="G2532" s="328">
        <v>7229.3715000000002</v>
      </c>
      <c r="H2532" s="328">
        <v>8400.2290499999999</v>
      </c>
      <c r="I2532" s="329">
        <v>1.688156536122459E-2</v>
      </c>
      <c r="J2532" s="329">
        <v>0.75501530401814598</v>
      </c>
      <c r="K2532" s="329">
        <v>0.88537170761057671</v>
      </c>
    </row>
    <row r="2533" spans="1:11" ht="11.25" x14ac:dyDescent="0.15">
      <c r="A2533" s="326">
        <v>1.1499999999999999</v>
      </c>
      <c r="B2533" s="327">
        <v>25</v>
      </c>
      <c r="C2533" s="327" t="s">
        <v>109</v>
      </c>
      <c r="D2533" s="327" t="s">
        <v>113</v>
      </c>
      <c r="E2533" s="328" t="s">
        <v>1873</v>
      </c>
      <c r="F2533" s="328">
        <v>11.037340049999999</v>
      </c>
      <c r="G2533" s="328">
        <v>7040.8910999999998</v>
      </c>
      <c r="H2533" s="328">
        <v>8251.6846999999998</v>
      </c>
      <c r="I2533" s="329">
        <v>1.1503136654578959E-2</v>
      </c>
      <c r="J2533" s="329">
        <v>0.73533093913145253</v>
      </c>
      <c r="K2533" s="329">
        <v>0.86971535300017444</v>
      </c>
    </row>
    <row r="2534" spans="1:11" ht="11.25" x14ac:dyDescent="0.15">
      <c r="A2534" s="326">
        <v>1.175</v>
      </c>
      <c r="B2534" s="327">
        <v>25</v>
      </c>
      <c r="C2534" s="327" t="s">
        <v>109</v>
      </c>
      <c r="D2534" s="327" t="s">
        <v>79</v>
      </c>
      <c r="E2534" s="328" t="s">
        <v>1874</v>
      </c>
      <c r="F2534" s="328">
        <v>62.757584250000008</v>
      </c>
      <c r="G2534" s="328">
        <v>7987.6053500000007</v>
      </c>
      <c r="H2534" s="328">
        <v>8949.7987499999999</v>
      </c>
      <c r="I2534" s="329">
        <v>6.5406072882478822E-2</v>
      </c>
      <c r="J2534" s="329">
        <v>0.8342031228727449</v>
      </c>
      <c r="K2534" s="329">
        <v>0.94329554050178011</v>
      </c>
    </row>
    <row r="2535" spans="1:11" ht="11.25" x14ac:dyDescent="0.15">
      <c r="A2535" s="326">
        <v>1.175</v>
      </c>
      <c r="B2535" s="327">
        <v>25</v>
      </c>
      <c r="C2535" s="327" t="s">
        <v>109</v>
      </c>
      <c r="D2535" s="327" t="s">
        <v>114</v>
      </c>
      <c r="E2535" s="328" t="s">
        <v>1875</v>
      </c>
      <c r="F2535" s="328">
        <v>18.093625250000002</v>
      </c>
      <c r="G2535" s="328">
        <v>7583.1033750000006</v>
      </c>
      <c r="H2535" s="328">
        <v>8790.3512500000015</v>
      </c>
      <c r="I2535" s="329">
        <v>1.8857210422495812E-2</v>
      </c>
      <c r="J2535" s="329">
        <v>0.79195806994794138</v>
      </c>
      <c r="K2535" s="329">
        <v>0.92649001002053266</v>
      </c>
    </row>
    <row r="2536" spans="1:11" ht="11.25" x14ac:dyDescent="0.15">
      <c r="A2536" s="326">
        <v>1.175</v>
      </c>
      <c r="B2536" s="327">
        <v>25</v>
      </c>
      <c r="C2536" s="327" t="s">
        <v>109</v>
      </c>
      <c r="D2536" s="327" t="s">
        <v>113</v>
      </c>
      <c r="E2536" s="328" t="s">
        <v>1876</v>
      </c>
      <c r="F2536" s="328">
        <v>12.398106499999999</v>
      </c>
      <c r="G2536" s="328">
        <v>7361.310375</v>
      </c>
      <c r="H2536" s="328">
        <v>8636.4979249999997</v>
      </c>
      <c r="I2536" s="329">
        <v>1.2921330019865037E-2</v>
      </c>
      <c r="J2536" s="329">
        <v>0.76879463045336061</v>
      </c>
      <c r="K2536" s="329">
        <v>0.91027409730362685</v>
      </c>
    </row>
    <row r="2537" spans="1:11" ht="11.25" x14ac:dyDescent="0.15">
      <c r="A2537" s="326">
        <v>1.2</v>
      </c>
      <c r="B2537" s="327">
        <v>25</v>
      </c>
      <c r="C2537" s="327" t="s">
        <v>109</v>
      </c>
      <c r="D2537" s="327" t="s">
        <v>79</v>
      </c>
      <c r="E2537" s="328" t="s">
        <v>1877</v>
      </c>
      <c r="F2537" s="328">
        <v>69.652067999999986</v>
      </c>
      <c r="G2537" s="328">
        <v>8415.3707999999988</v>
      </c>
      <c r="H2537" s="328">
        <v>9354.9503999999997</v>
      </c>
      <c r="I2537" s="329">
        <v>7.2591516873490372E-2</v>
      </c>
      <c r="J2537" s="329">
        <v>0.87887774794633633</v>
      </c>
      <c r="K2537" s="329">
        <v>0.98599792469471381</v>
      </c>
    </row>
    <row r="2538" spans="1:11" ht="11.25" x14ac:dyDescent="0.15">
      <c r="A2538" s="326">
        <v>1.2</v>
      </c>
      <c r="B2538" s="327">
        <v>25</v>
      </c>
      <c r="C2538" s="327" t="s">
        <v>109</v>
      </c>
      <c r="D2538" s="327" t="s">
        <v>114</v>
      </c>
      <c r="E2538" s="328" t="s">
        <v>1878</v>
      </c>
      <c r="F2538" s="328">
        <v>20.217864000000002</v>
      </c>
      <c r="G2538" s="328">
        <v>7955.0843999999997</v>
      </c>
      <c r="H2538" s="328">
        <v>9189.3791999999994</v>
      </c>
      <c r="I2538" s="329">
        <v>2.1071096061382327E-2</v>
      </c>
      <c r="J2538" s="329">
        <v>0.8308067259727917</v>
      </c>
      <c r="K2538" s="329">
        <v>0.96854696529794215</v>
      </c>
    </row>
    <row r="2539" spans="1:11" ht="11.25" x14ac:dyDescent="0.15">
      <c r="A2539" s="326">
        <v>1.2</v>
      </c>
      <c r="B2539" s="327">
        <v>25</v>
      </c>
      <c r="C2539" s="327" t="s">
        <v>109</v>
      </c>
      <c r="D2539" s="327" t="s">
        <v>113</v>
      </c>
      <c r="E2539" s="328" t="s">
        <v>1879</v>
      </c>
      <c r="F2539" s="328">
        <v>13.927559999999998</v>
      </c>
      <c r="G2539" s="328">
        <v>7694.652</v>
      </c>
      <c r="H2539" s="328">
        <v>9030.1283999999996</v>
      </c>
      <c r="I2539" s="329">
        <v>1.4515329347386351E-2</v>
      </c>
      <c r="J2539" s="329">
        <v>0.80360789580309089</v>
      </c>
      <c r="K2539" s="329">
        <v>0.95176216670553349</v>
      </c>
    </row>
    <row r="2540" spans="1:11" ht="11.25" x14ac:dyDescent="0.15">
      <c r="A2540" s="326">
        <v>1.2250000000000001</v>
      </c>
      <c r="B2540" s="327">
        <v>25</v>
      </c>
      <c r="C2540" s="327" t="s">
        <v>109</v>
      </c>
      <c r="D2540" s="327" t="s">
        <v>79</v>
      </c>
      <c r="E2540" s="328" t="s">
        <v>1880</v>
      </c>
      <c r="F2540" s="328">
        <v>77.301346499999994</v>
      </c>
      <c r="G2540" s="328">
        <v>8866.3380750000015</v>
      </c>
      <c r="H2540" s="328">
        <v>9769.1765500000001</v>
      </c>
      <c r="I2540" s="329">
        <v>8.0563609379096637E-2</v>
      </c>
      <c r="J2540" s="329">
        <v>0.92597550661544914</v>
      </c>
      <c r="K2540" s="329">
        <v>1.0296567477553131</v>
      </c>
    </row>
    <row r="2541" spans="1:11" ht="11.25" x14ac:dyDescent="0.15">
      <c r="A2541" s="326">
        <v>1.2250000000000001</v>
      </c>
      <c r="B2541" s="327">
        <v>25</v>
      </c>
      <c r="C2541" s="327" t="s">
        <v>109</v>
      </c>
      <c r="D2541" s="327" t="s">
        <v>114</v>
      </c>
      <c r="E2541" s="328" t="s">
        <v>1881</v>
      </c>
      <c r="F2541" s="328">
        <v>22.598983749999999</v>
      </c>
      <c r="G2541" s="328">
        <v>8346.6624499999998</v>
      </c>
      <c r="H2541" s="328">
        <v>9597.3506999999991</v>
      </c>
      <c r="I2541" s="329">
        <v>2.3552703563831875E-2</v>
      </c>
      <c r="J2541" s="329">
        <v>0.87170204038118571</v>
      </c>
      <c r="K2541" s="329">
        <v>1.0115465575068532</v>
      </c>
    </row>
    <row r="2542" spans="1:11" ht="11.25" x14ac:dyDescent="0.15">
      <c r="A2542" s="326">
        <v>1.2250000000000001</v>
      </c>
      <c r="B2542" s="327">
        <v>25</v>
      </c>
      <c r="C2542" s="327" t="s">
        <v>109</v>
      </c>
      <c r="D2542" s="327" t="s">
        <v>113</v>
      </c>
      <c r="E2542" s="328" t="s">
        <v>1882</v>
      </c>
      <c r="F2542" s="328">
        <v>15.646692250000001</v>
      </c>
      <c r="G2542" s="328">
        <v>8042.9200250000013</v>
      </c>
      <c r="H2542" s="328">
        <v>9432.5563500000007</v>
      </c>
      <c r="I2542" s="329">
        <v>1.6307012226545611E-2</v>
      </c>
      <c r="J2542" s="329">
        <v>0.83998003254764408</v>
      </c>
      <c r="K2542" s="329">
        <v>0.99417747695016601</v>
      </c>
    </row>
    <row r="2543" spans="1:11" ht="11.25" x14ac:dyDescent="0.15">
      <c r="A2543" s="326">
        <v>1.25</v>
      </c>
      <c r="B2543" s="327">
        <v>25</v>
      </c>
      <c r="C2543" s="327" t="s">
        <v>109</v>
      </c>
      <c r="D2543" s="327" t="s">
        <v>79</v>
      </c>
      <c r="E2543" s="328" t="s">
        <v>1883</v>
      </c>
      <c r="F2543" s="328">
        <v>85.787374999999997</v>
      </c>
      <c r="G2543" s="328">
        <v>9339.6412500000006</v>
      </c>
      <c r="H2543" s="328">
        <v>10192.44125</v>
      </c>
      <c r="I2543" s="329">
        <v>8.9407764315697677E-2</v>
      </c>
      <c r="J2543" s="329">
        <v>0.97540596409925362</v>
      </c>
      <c r="K2543" s="329">
        <v>1.0742682206067917</v>
      </c>
    </row>
    <row r="2544" spans="1:11" ht="11.25" x14ac:dyDescent="0.15">
      <c r="A2544" s="326">
        <v>1.25</v>
      </c>
      <c r="B2544" s="327">
        <v>25</v>
      </c>
      <c r="C2544" s="327" t="s">
        <v>109</v>
      </c>
      <c r="D2544" s="327" t="s">
        <v>114</v>
      </c>
      <c r="E2544" s="328" t="s">
        <v>1884</v>
      </c>
      <c r="F2544" s="328">
        <v>25.268750000000001</v>
      </c>
      <c r="G2544" s="328">
        <v>8758.2100000000009</v>
      </c>
      <c r="H2544" s="328">
        <v>10014.622499999999</v>
      </c>
      <c r="I2544" s="329">
        <v>2.6335138993963687E-2</v>
      </c>
      <c r="J2544" s="329">
        <v>0.91468291341851315</v>
      </c>
      <c r="K2544" s="329">
        <v>1.055526387569194</v>
      </c>
    </row>
    <row r="2545" spans="1:11" ht="11.25" x14ac:dyDescent="0.15">
      <c r="A2545" s="326">
        <v>1.25</v>
      </c>
      <c r="B2545" s="327">
        <v>25</v>
      </c>
      <c r="C2545" s="327" t="s">
        <v>109</v>
      </c>
      <c r="D2545" s="327" t="s">
        <v>113</v>
      </c>
      <c r="E2545" s="328" t="s">
        <v>1885</v>
      </c>
      <c r="F2545" s="328">
        <v>17.579037500000002</v>
      </c>
      <c r="G2545" s="328">
        <v>8408.59375</v>
      </c>
      <c r="H2545" s="328">
        <v>9844.1487500000003</v>
      </c>
      <c r="I2545" s="329">
        <v>1.8320906097159535E-2</v>
      </c>
      <c r="J2545" s="329">
        <v>0.87816997183245216</v>
      </c>
      <c r="K2545" s="329">
        <v>1.0375587066593173</v>
      </c>
    </row>
    <row r="2546" spans="1:11" ht="11.25" x14ac:dyDescent="0.15">
      <c r="A2546" s="326">
        <v>1.2749999999999999</v>
      </c>
      <c r="B2546" s="327">
        <v>25</v>
      </c>
      <c r="C2546" s="327" t="s">
        <v>109</v>
      </c>
      <c r="D2546" s="327" t="s">
        <v>79</v>
      </c>
      <c r="E2546" s="328" t="s">
        <v>1886</v>
      </c>
      <c r="F2546" s="328">
        <v>95.201304750000006</v>
      </c>
      <c r="G2546" s="328">
        <v>9836.8532249999989</v>
      </c>
      <c r="H2546" s="328">
        <v>10624.699949999998</v>
      </c>
      <c r="I2546" s="329">
        <v>9.9218979688268927E-2</v>
      </c>
      <c r="J2546" s="329">
        <v>1.0273333896667578</v>
      </c>
      <c r="K2546" s="329">
        <v>1.1198276477450944</v>
      </c>
    </row>
    <row r="2547" spans="1:11" ht="11.25" x14ac:dyDescent="0.15">
      <c r="A2547" s="326">
        <v>1.2749999999999999</v>
      </c>
      <c r="B2547" s="327">
        <v>25</v>
      </c>
      <c r="C2547" s="327" t="s">
        <v>109</v>
      </c>
      <c r="D2547" s="327" t="s">
        <v>114</v>
      </c>
      <c r="E2547" s="328" t="s">
        <v>1887</v>
      </c>
      <c r="F2547" s="328">
        <v>28.262873999999996</v>
      </c>
      <c r="G2547" s="328">
        <v>9190.1005499999992</v>
      </c>
      <c r="H2547" s="328">
        <v>10440.185775000002</v>
      </c>
      <c r="I2547" s="329">
        <v>2.945562068400227E-2</v>
      </c>
      <c r="J2547" s="329">
        <v>0.95978835237829174</v>
      </c>
      <c r="K2547" s="329">
        <v>1.1003801268232567</v>
      </c>
    </row>
    <row r="2548" spans="1:11" ht="11.25" x14ac:dyDescent="0.15">
      <c r="A2548" s="326">
        <v>1.2749999999999999</v>
      </c>
      <c r="B2548" s="327">
        <v>25</v>
      </c>
      <c r="C2548" s="327" t="s">
        <v>109</v>
      </c>
      <c r="D2548" s="327" t="s">
        <v>113</v>
      </c>
      <c r="E2548" s="328" t="s">
        <v>1888</v>
      </c>
      <c r="F2548" s="328">
        <v>19.751050499999998</v>
      </c>
      <c r="G2548" s="328">
        <v>8792.3553749999992</v>
      </c>
      <c r="H2548" s="328">
        <v>10264.049625</v>
      </c>
      <c r="I2548" s="329">
        <v>2.058458214966296E-2</v>
      </c>
      <c r="J2548" s="329">
        <v>0.91824896071410966</v>
      </c>
      <c r="K2548" s="329">
        <v>1.0818156373350261</v>
      </c>
    </row>
    <row r="2549" spans="1:11" ht="11.25" x14ac:dyDescent="0.15">
      <c r="A2549" s="326">
        <v>1.3</v>
      </c>
      <c r="B2549" s="327">
        <v>25</v>
      </c>
      <c r="C2549" s="327" t="s">
        <v>109</v>
      </c>
      <c r="D2549" s="327" t="s">
        <v>79</v>
      </c>
      <c r="E2549" s="328" t="s">
        <v>1889</v>
      </c>
      <c r="F2549" s="328">
        <v>105.64463000000001</v>
      </c>
      <c r="G2549" s="328">
        <v>10359.029199999999</v>
      </c>
      <c r="H2549" s="328">
        <v>11066.268200000002</v>
      </c>
      <c r="I2549" s="329">
        <v>0.11010303299592841</v>
      </c>
      <c r="J2549" s="329">
        <v>1.0818679854494753</v>
      </c>
      <c r="K2549" s="329">
        <v>1.1663682876731349</v>
      </c>
    </row>
    <row r="2550" spans="1:11" ht="11.25" x14ac:dyDescent="0.15">
      <c r="A2550" s="326">
        <v>1.3</v>
      </c>
      <c r="B2550" s="327">
        <v>25</v>
      </c>
      <c r="C2550" s="327" t="s">
        <v>109</v>
      </c>
      <c r="D2550" s="327" t="s">
        <v>114</v>
      </c>
      <c r="E2550" s="328" t="s">
        <v>1890</v>
      </c>
      <c r="F2550" s="328">
        <v>31.621511999999999</v>
      </c>
      <c r="G2550" s="328">
        <v>9644.5192999999999</v>
      </c>
      <c r="H2550" s="328">
        <v>10875.039500000001</v>
      </c>
      <c r="I2550" s="329">
        <v>3.2955999553570738E-2</v>
      </c>
      <c r="J2550" s="329">
        <v>1.0072465734259717</v>
      </c>
      <c r="K2550" s="329">
        <v>1.1462130657553289</v>
      </c>
    </row>
    <row r="2551" spans="1:11" ht="11.25" x14ac:dyDescent="0.15">
      <c r="A2551" s="326">
        <v>1.3</v>
      </c>
      <c r="B2551" s="327">
        <v>25</v>
      </c>
      <c r="C2551" s="327" t="s">
        <v>109</v>
      </c>
      <c r="D2551" s="327" t="s">
        <v>113</v>
      </c>
      <c r="E2551" s="328" t="s">
        <v>1891</v>
      </c>
      <c r="F2551" s="328">
        <v>22.192469000000003</v>
      </c>
      <c r="G2551" s="328">
        <v>9193.8860000000004</v>
      </c>
      <c r="H2551" s="328">
        <v>10693.087599999999</v>
      </c>
      <c r="I2551" s="329">
        <v>2.3129033123293806E-2</v>
      </c>
      <c r="J2551" s="329">
        <v>0.96018369417011928</v>
      </c>
      <c r="K2551" s="329">
        <v>1.1270356048257377</v>
      </c>
    </row>
    <row r="2552" spans="1:11" ht="11.25" x14ac:dyDescent="0.15">
      <c r="A2552" s="326">
        <v>1.325</v>
      </c>
      <c r="B2552" s="327">
        <v>25</v>
      </c>
      <c r="C2552" s="327" t="s">
        <v>109</v>
      </c>
      <c r="D2552" s="327" t="s">
        <v>79</v>
      </c>
      <c r="E2552" s="328" t="s">
        <v>1892</v>
      </c>
      <c r="F2552" s="328">
        <v>117.23048800000001</v>
      </c>
      <c r="G2552" s="328">
        <v>10905.550299999999</v>
      </c>
      <c r="H2552" s="328">
        <v>11516.800625000002</v>
      </c>
      <c r="I2552" s="329">
        <v>0.12217783609439296</v>
      </c>
      <c r="J2552" s="329">
        <v>1.1389451178763856</v>
      </c>
      <c r="K2552" s="329">
        <v>1.2138537383771468</v>
      </c>
    </row>
    <row r="2553" spans="1:11" ht="11.25" x14ac:dyDescent="0.15">
      <c r="A2553" s="326">
        <v>1.325</v>
      </c>
      <c r="B2553" s="327">
        <v>25</v>
      </c>
      <c r="C2553" s="327" t="s">
        <v>109</v>
      </c>
      <c r="D2553" s="327" t="s">
        <v>114</v>
      </c>
      <c r="E2553" s="328" t="s">
        <v>1893</v>
      </c>
      <c r="F2553" s="328">
        <v>35.389835750000003</v>
      </c>
      <c r="G2553" s="328">
        <v>10121.796899999999</v>
      </c>
      <c r="H2553" s="328">
        <v>11318.970175</v>
      </c>
      <c r="I2553" s="329">
        <v>3.6883353685868717E-2</v>
      </c>
      <c r="J2553" s="329">
        <v>1.0570921087211285</v>
      </c>
      <c r="K2553" s="329">
        <v>1.19300270178144</v>
      </c>
    </row>
    <row r="2554" spans="1:11" ht="11.25" x14ac:dyDescent="0.15">
      <c r="A2554" s="326">
        <v>1.325</v>
      </c>
      <c r="B2554" s="327">
        <v>25</v>
      </c>
      <c r="C2554" s="327" t="s">
        <v>109</v>
      </c>
      <c r="D2554" s="327" t="s">
        <v>113</v>
      </c>
      <c r="E2554" s="328" t="s">
        <v>1894</v>
      </c>
      <c r="F2554" s="328">
        <v>24.936725250000002</v>
      </c>
      <c r="G2554" s="328">
        <v>9614.4477750000005</v>
      </c>
      <c r="H2554" s="328">
        <v>11130.488925</v>
      </c>
      <c r="I2554" s="329">
        <v>2.5989102172170524E-2</v>
      </c>
      <c r="J2554" s="329">
        <v>1.0041059876101557</v>
      </c>
      <c r="K2554" s="329">
        <v>1.1731370570267798</v>
      </c>
    </row>
    <row r="2555" spans="1:11" ht="11.25" x14ac:dyDescent="0.15">
      <c r="A2555" s="326">
        <v>1.35</v>
      </c>
      <c r="B2555" s="327">
        <v>25</v>
      </c>
      <c r="C2555" s="327" t="s">
        <v>109</v>
      </c>
      <c r="D2555" s="327" t="s">
        <v>79</v>
      </c>
      <c r="E2555" s="328" t="s">
        <v>1895</v>
      </c>
      <c r="F2555" s="328">
        <v>130.0851495</v>
      </c>
      <c r="G2555" s="328">
        <v>11478.333150000002</v>
      </c>
      <c r="H2555" s="328">
        <v>11976.997500000001</v>
      </c>
      <c r="I2555" s="329">
        <v>0.13557498859789446</v>
      </c>
      <c r="J2555" s="329">
        <v>1.1987649538924392</v>
      </c>
      <c r="K2555" s="329">
        <v>1.2623578078055633</v>
      </c>
    </row>
    <row r="2556" spans="1:11" ht="11.25" x14ac:dyDescent="0.15">
      <c r="A2556" s="326">
        <v>1.35</v>
      </c>
      <c r="B2556" s="327">
        <v>25</v>
      </c>
      <c r="C2556" s="327" t="s">
        <v>109</v>
      </c>
      <c r="D2556" s="327" t="s">
        <v>114</v>
      </c>
      <c r="E2556" s="328" t="s">
        <v>1896</v>
      </c>
      <c r="F2556" s="328">
        <v>39.618719999999996</v>
      </c>
      <c r="G2556" s="328">
        <v>10622.171250000001</v>
      </c>
      <c r="H2556" s="328">
        <v>11771.330399999999</v>
      </c>
      <c r="I2556" s="329">
        <v>4.1290704841471342E-2</v>
      </c>
      <c r="J2556" s="329">
        <v>1.1093498038732081</v>
      </c>
      <c r="K2556" s="329">
        <v>1.2406807998998899</v>
      </c>
    </row>
    <row r="2557" spans="1:11" ht="11.25" x14ac:dyDescent="0.15">
      <c r="A2557" s="326">
        <v>1.35</v>
      </c>
      <c r="B2557" s="327">
        <v>25</v>
      </c>
      <c r="C2557" s="327" t="s">
        <v>109</v>
      </c>
      <c r="D2557" s="327" t="s">
        <v>113</v>
      </c>
      <c r="E2557" s="328" t="s">
        <v>1897</v>
      </c>
      <c r="F2557" s="328">
        <v>28.021464000000002</v>
      </c>
      <c r="G2557" s="328">
        <v>10056.663</v>
      </c>
      <c r="H2557" s="328">
        <v>11577.070800000001</v>
      </c>
      <c r="I2557" s="329">
        <v>2.9204022725870877E-2</v>
      </c>
      <c r="J2557" s="329">
        <v>1.0502897066989905</v>
      </c>
      <c r="K2557" s="329">
        <v>1.2202061256085091</v>
      </c>
    </row>
    <row r="2558" spans="1:11" ht="11.25" x14ac:dyDescent="0.15">
      <c r="A2558" s="326">
        <v>1.375</v>
      </c>
      <c r="B2558" s="327">
        <v>25</v>
      </c>
      <c r="C2558" s="327" t="s">
        <v>109</v>
      </c>
      <c r="D2558" s="327" t="s">
        <v>79</v>
      </c>
      <c r="E2558" s="328" t="s">
        <v>1898</v>
      </c>
      <c r="F2558" s="328">
        <v>144.34983750000001</v>
      </c>
      <c r="G2558" s="328">
        <v>12075.644625000001</v>
      </c>
      <c r="H2558" s="328">
        <v>12445.944500000001</v>
      </c>
      <c r="I2558" s="329">
        <v>0.15044167338386633</v>
      </c>
      <c r="J2558" s="329">
        <v>1.2611464907785506</v>
      </c>
      <c r="K2558" s="329">
        <v>1.3117841274567945</v>
      </c>
    </row>
    <row r="2559" spans="1:11" ht="11.25" x14ac:dyDescent="0.15">
      <c r="A2559" s="326">
        <v>1.375</v>
      </c>
      <c r="B2559" s="327">
        <v>25</v>
      </c>
      <c r="C2559" s="327" t="s">
        <v>109</v>
      </c>
      <c r="D2559" s="327" t="s">
        <v>114</v>
      </c>
      <c r="E2559" s="328" t="s">
        <v>1899</v>
      </c>
      <c r="F2559" s="328">
        <v>44.365406249999992</v>
      </c>
      <c r="G2559" s="328">
        <v>11146.573625000001</v>
      </c>
      <c r="H2559" s="328">
        <v>12233.101374999998</v>
      </c>
      <c r="I2559" s="329">
        <v>4.6237710219833396E-2</v>
      </c>
      <c r="J2559" s="329">
        <v>1.1641169186339397</v>
      </c>
      <c r="K2559" s="329">
        <v>1.2893507771382786</v>
      </c>
    </row>
    <row r="2560" spans="1:11" ht="11.25" x14ac:dyDescent="0.15">
      <c r="A2560" s="326">
        <v>1.375</v>
      </c>
      <c r="B2560" s="327">
        <v>25</v>
      </c>
      <c r="C2560" s="327" t="s">
        <v>109</v>
      </c>
      <c r="D2560" s="327" t="s">
        <v>113</v>
      </c>
      <c r="E2560" s="328" t="s">
        <v>1900</v>
      </c>
      <c r="F2560" s="328">
        <v>31.489067499999997</v>
      </c>
      <c r="G2560" s="328">
        <v>10519.613500000001</v>
      </c>
      <c r="H2560" s="328">
        <v>12032.846375000001</v>
      </c>
      <c r="I2560" s="329">
        <v>3.2817965645423879E-2</v>
      </c>
      <c r="J2560" s="329">
        <v>1.0986389598121902</v>
      </c>
      <c r="K2560" s="329">
        <v>1.2682441965614604</v>
      </c>
    </row>
    <row r="2561" spans="1:11" ht="11.25" x14ac:dyDescent="0.15">
      <c r="A2561" s="326">
        <v>1.4</v>
      </c>
      <c r="B2561" s="327">
        <v>25</v>
      </c>
      <c r="C2561" s="327" t="s">
        <v>109</v>
      </c>
      <c r="D2561" s="327" t="s">
        <v>79</v>
      </c>
      <c r="E2561" s="328" t="s">
        <v>1901</v>
      </c>
      <c r="F2561" s="328">
        <v>160.18239999999997</v>
      </c>
      <c r="G2561" s="328">
        <v>12700.31</v>
      </c>
      <c r="H2561" s="328">
        <v>12924.374399999999</v>
      </c>
      <c r="I2561" s="329">
        <v>0.16694239993615387</v>
      </c>
      <c r="J2561" s="329">
        <v>1.3263847923397905</v>
      </c>
      <c r="K2561" s="329">
        <v>1.3622099307311653</v>
      </c>
    </row>
    <row r="2562" spans="1:11" ht="11.25" x14ac:dyDescent="0.15">
      <c r="A2562" s="326">
        <v>1.4</v>
      </c>
      <c r="B2562" s="327">
        <v>25</v>
      </c>
      <c r="C2562" s="327" t="s">
        <v>109</v>
      </c>
      <c r="D2562" s="327" t="s">
        <v>114</v>
      </c>
      <c r="E2562" s="328" t="s">
        <v>1902</v>
      </c>
      <c r="F2562" s="328">
        <v>49.694400000000002</v>
      </c>
      <c r="G2562" s="328">
        <v>11695.836599999999</v>
      </c>
      <c r="H2562" s="328">
        <v>12703.662999999999</v>
      </c>
      <c r="I2562" s="329">
        <v>5.1791597574934616E-2</v>
      </c>
      <c r="J2562" s="329">
        <v>1.221480404803593</v>
      </c>
      <c r="K2562" s="329">
        <v>1.3389472758744956</v>
      </c>
    </row>
    <row r="2563" spans="1:11" ht="11.25" x14ac:dyDescent="0.15">
      <c r="A2563" s="326">
        <v>1.4</v>
      </c>
      <c r="B2563" s="327">
        <v>25</v>
      </c>
      <c r="C2563" s="327" t="s">
        <v>109</v>
      </c>
      <c r="D2563" s="327" t="s">
        <v>113</v>
      </c>
      <c r="E2563" s="328" t="s">
        <v>1903</v>
      </c>
      <c r="F2563" s="328">
        <v>35.387267999999999</v>
      </c>
      <c r="G2563" s="328">
        <v>11004.914199999999</v>
      </c>
      <c r="H2563" s="328">
        <v>12496.999199999998</v>
      </c>
      <c r="I2563" s="329">
        <v>3.6880677571967085E-2</v>
      </c>
      <c r="J2563" s="329">
        <v>1.1493224051920159</v>
      </c>
      <c r="K2563" s="329">
        <v>1.3171652172641661</v>
      </c>
    </row>
    <row r="2564" spans="1:11" ht="11.25" x14ac:dyDescent="0.15">
      <c r="A2564" s="326">
        <v>0.9</v>
      </c>
      <c r="B2564" s="327">
        <v>50</v>
      </c>
      <c r="C2564" s="327" t="s">
        <v>109</v>
      </c>
      <c r="D2564" s="327" t="s">
        <v>79</v>
      </c>
      <c r="E2564" s="328" t="s">
        <v>1904</v>
      </c>
      <c r="F2564" s="328">
        <v>37.748564999999999</v>
      </c>
      <c r="G2564" s="328">
        <v>4501.8584999999994</v>
      </c>
      <c r="H2564" s="328">
        <v>5109.9921000000004</v>
      </c>
      <c r="I2564" s="329">
        <v>3.9341625766912601E-2</v>
      </c>
      <c r="J2564" s="329">
        <v>0.47016148831529464</v>
      </c>
      <c r="K2564" s="329">
        <v>0.53858560338346462</v>
      </c>
    </row>
    <row r="2565" spans="1:11" ht="11.25" x14ac:dyDescent="0.15">
      <c r="A2565" s="326">
        <v>0.9</v>
      </c>
      <c r="B2565" s="327">
        <v>50</v>
      </c>
      <c r="C2565" s="327" t="s">
        <v>109</v>
      </c>
      <c r="D2565" s="327" t="s">
        <v>114</v>
      </c>
      <c r="E2565" s="328" t="s">
        <v>1905</v>
      </c>
      <c r="F2565" s="328">
        <v>9.5671079999999993</v>
      </c>
      <c r="G2565" s="328">
        <v>4432.5611999999992</v>
      </c>
      <c r="H2565" s="328">
        <v>5006.7891</v>
      </c>
      <c r="I2565" s="329">
        <v>9.9708580341434355E-3</v>
      </c>
      <c r="J2565" s="329">
        <v>0.46292427246227935</v>
      </c>
      <c r="K2565" s="329">
        <v>0.52770815994749842</v>
      </c>
    </row>
    <row r="2566" spans="1:11" ht="11.25" x14ac:dyDescent="0.15">
      <c r="A2566" s="326">
        <v>0.9</v>
      </c>
      <c r="B2566" s="327">
        <v>50</v>
      </c>
      <c r="C2566" s="327" t="s">
        <v>109</v>
      </c>
      <c r="D2566" s="327" t="s">
        <v>113</v>
      </c>
      <c r="E2566" s="328" t="s">
        <v>1906</v>
      </c>
      <c r="F2566" s="328">
        <v>5.1665643000000001</v>
      </c>
      <c r="G2566" s="328">
        <v>4399.5177000000003</v>
      </c>
      <c r="H2566" s="328">
        <v>4906.2726000000002</v>
      </c>
      <c r="I2566" s="329">
        <v>5.3846030754093775E-3</v>
      </c>
      <c r="J2566" s="329">
        <v>0.45947330190442071</v>
      </c>
      <c r="K2566" s="329">
        <v>0.51711386963489814</v>
      </c>
    </row>
    <row r="2567" spans="1:11" ht="11.25" x14ac:dyDescent="0.15">
      <c r="A2567" s="326">
        <v>0.92500000000000004</v>
      </c>
      <c r="B2567" s="327">
        <v>50</v>
      </c>
      <c r="C2567" s="327" t="s">
        <v>109</v>
      </c>
      <c r="D2567" s="327" t="s">
        <v>79</v>
      </c>
      <c r="E2567" s="328" t="s">
        <v>1907</v>
      </c>
      <c r="F2567" s="328">
        <v>41.061018250000004</v>
      </c>
      <c r="G2567" s="328">
        <v>4760.0990250000013</v>
      </c>
      <c r="H2567" s="328">
        <v>5416.992400000001</v>
      </c>
      <c r="I2567" s="329">
        <v>4.2793870802767441E-2</v>
      </c>
      <c r="J2567" s="329">
        <v>0.49713140520124832</v>
      </c>
      <c r="K2567" s="329">
        <v>0.57094298057283532</v>
      </c>
    </row>
    <row r="2568" spans="1:11" ht="11.25" x14ac:dyDescent="0.15">
      <c r="A2568" s="326">
        <v>0.92500000000000004</v>
      </c>
      <c r="B2568" s="327">
        <v>50</v>
      </c>
      <c r="C2568" s="327" t="s">
        <v>109</v>
      </c>
      <c r="D2568" s="327" t="s">
        <v>114</v>
      </c>
      <c r="E2568" s="328" t="s">
        <v>1908</v>
      </c>
      <c r="F2568" s="328">
        <v>10.453378750000001</v>
      </c>
      <c r="G2568" s="328">
        <v>4672.3692500000006</v>
      </c>
      <c r="H2568" s="328">
        <v>5309.5925000000007</v>
      </c>
      <c r="I2568" s="329">
        <v>1.0894531084355039E-2</v>
      </c>
      <c r="J2568" s="329">
        <v>0.48796915330382279</v>
      </c>
      <c r="K2568" s="329">
        <v>0.55962319008924066</v>
      </c>
    </row>
    <row r="2569" spans="1:11" ht="11.25" x14ac:dyDescent="0.15">
      <c r="A2569" s="326">
        <v>0.92500000000000004</v>
      </c>
      <c r="B2569" s="327">
        <v>50</v>
      </c>
      <c r="C2569" s="327" t="s">
        <v>109</v>
      </c>
      <c r="D2569" s="327" t="s">
        <v>113</v>
      </c>
      <c r="E2569" s="328" t="s">
        <v>1909</v>
      </c>
      <c r="F2569" s="328">
        <v>5.7022910750000007</v>
      </c>
      <c r="G2569" s="328">
        <v>4631.359375</v>
      </c>
      <c r="H2569" s="328">
        <v>5204.5938999999998</v>
      </c>
      <c r="I2569" s="329">
        <v>5.9429385325417217E-3</v>
      </c>
      <c r="J2569" s="329">
        <v>0.48368619686136138</v>
      </c>
      <c r="K2569" s="329">
        <v>0.54855649307117305</v>
      </c>
    </row>
    <row r="2570" spans="1:11" ht="11.25" x14ac:dyDescent="0.15">
      <c r="A2570" s="326">
        <v>0.95</v>
      </c>
      <c r="B2570" s="327">
        <v>50</v>
      </c>
      <c r="C2570" s="327" t="s">
        <v>109</v>
      </c>
      <c r="D2570" s="327" t="s">
        <v>79</v>
      </c>
      <c r="E2570" s="328" t="s">
        <v>1910</v>
      </c>
      <c r="F2570" s="328">
        <v>44.666178499999994</v>
      </c>
      <c r="G2570" s="328">
        <v>5029.4120999999996</v>
      </c>
      <c r="H2570" s="328">
        <v>5732.6714499999998</v>
      </c>
      <c r="I2570" s="329">
        <v>4.655117562707662E-2</v>
      </c>
      <c r="J2570" s="329">
        <v>0.52525770818584183</v>
      </c>
      <c r="K2570" s="329">
        <v>0.60421508516567191</v>
      </c>
    </row>
    <row r="2571" spans="1:11" ht="11.25" x14ac:dyDescent="0.15">
      <c r="A2571" s="326">
        <v>0.95</v>
      </c>
      <c r="B2571" s="327">
        <v>50</v>
      </c>
      <c r="C2571" s="327" t="s">
        <v>109</v>
      </c>
      <c r="D2571" s="327" t="s">
        <v>114</v>
      </c>
      <c r="E2571" s="328" t="s">
        <v>1911</v>
      </c>
      <c r="F2571" s="328">
        <v>11.4228475</v>
      </c>
      <c r="G2571" s="328">
        <v>4919.4419999999991</v>
      </c>
      <c r="H2571" s="328">
        <v>5620.4403500000008</v>
      </c>
      <c r="I2571" s="329">
        <v>1.1904913247364852E-2</v>
      </c>
      <c r="J2571" s="329">
        <v>0.51377273905893972</v>
      </c>
      <c r="K2571" s="329">
        <v>0.59238609335335779</v>
      </c>
    </row>
    <row r="2572" spans="1:11" ht="11.25" x14ac:dyDescent="0.15">
      <c r="A2572" s="326">
        <v>0.95</v>
      </c>
      <c r="B2572" s="327">
        <v>50</v>
      </c>
      <c r="C2572" s="327" t="s">
        <v>109</v>
      </c>
      <c r="D2572" s="327" t="s">
        <v>113</v>
      </c>
      <c r="E2572" s="328" t="s">
        <v>1912</v>
      </c>
      <c r="F2572" s="328">
        <v>6.2946923999999997</v>
      </c>
      <c r="G2572" s="328">
        <v>4869.41975</v>
      </c>
      <c r="H2572" s="328">
        <v>5510.9281499999997</v>
      </c>
      <c r="I2572" s="329">
        <v>6.5603403127676221E-3</v>
      </c>
      <c r="J2572" s="329">
        <v>0.50854855542258615</v>
      </c>
      <c r="K2572" s="329">
        <v>0.58084366957644995</v>
      </c>
    </row>
    <row r="2573" spans="1:11" ht="11.25" x14ac:dyDescent="0.15">
      <c r="A2573" s="326">
        <v>0.97499999999999998</v>
      </c>
      <c r="B2573" s="327">
        <v>50</v>
      </c>
      <c r="C2573" s="327" t="s">
        <v>109</v>
      </c>
      <c r="D2573" s="327" t="s">
        <v>79</v>
      </c>
      <c r="E2573" s="328" t="s">
        <v>1913</v>
      </c>
      <c r="F2573" s="328">
        <v>48.60342825</v>
      </c>
      <c r="G2573" s="328">
        <v>5311.8643499999998</v>
      </c>
      <c r="H2573" s="328">
        <v>6057.4848750000001</v>
      </c>
      <c r="I2573" s="329">
        <v>5.0654584755751325E-2</v>
      </c>
      <c r="J2573" s="329">
        <v>0.55475622979375194</v>
      </c>
      <c r="K2573" s="329">
        <v>0.63844993936254524</v>
      </c>
    </row>
    <row r="2574" spans="1:11" ht="11.25" x14ac:dyDescent="0.15">
      <c r="A2574" s="326">
        <v>0.97499999999999998</v>
      </c>
      <c r="B2574" s="327">
        <v>50</v>
      </c>
      <c r="C2574" s="327" t="s">
        <v>109</v>
      </c>
      <c r="D2574" s="327" t="s">
        <v>114</v>
      </c>
      <c r="E2574" s="328" t="s">
        <v>1914</v>
      </c>
      <c r="F2574" s="328">
        <v>12.488892</v>
      </c>
      <c r="G2574" s="328">
        <v>5177.022825</v>
      </c>
      <c r="H2574" s="328">
        <v>5940.6096749999997</v>
      </c>
      <c r="I2574" s="329">
        <v>1.3015946839499427E-2</v>
      </c>
      <c r="J2574" s="329">
        <v>0.54067375872525791</v>
      </c>
      <c r="K2574" s="329">
        <v>0.62613146628456084</v>
      </c>
    </row>
    <row r="2575" spans="1:11" ht="11.25" x14ac:dyDescent="0.15">
      <c r="A2575" s="326">
        <v>0.97499999999999998</v>
      </c>
      <c r="B2575" s="327">
        <v>50</v>
      </c>
      <c r="C2575" s="327" t="s">
        <v>109</v>
      </c>
      <c r="D2575" s="327" t="s">
        <v>113</v>
      </c>
      <c r="E2575" s="328" t="s">
        <v>1915</v>
      </c>
      <c r="F2575" s="328">
        <v>6.9536999999999995</v>
      </c>
      <c r="G2575" s="328">
        <v>5113.9695750000001</v>
      </c>
      <c r="H2575" s="328">
        <v>5826.8369249999996</v>
      </c>
      <c r="I2575" s="329">
        <v>7.2471592786475499E-3</v>
      </c>
      <c r="J2575" s="329">
        <v>0.53408865395950034</v>
      </c>
      <c r="K2575" s="329">
        <v>0.61413998684424109</v>
      </c>
    </row>
    <row r="2576" spans="1:11" ht="11.25" x14ac:dyDescent="0.15">
      <c r="A2576" s="326">
        <v>1</v>
      </c>
      <c r="B2576" s="327">
        <v>50</v>
      </c>
      <c r="C2576" s="327" t="s">
        <v>109</v>
      </c>
      <c r="D2576" s="327" t="s">
        <v>79</v>
      </c>
      <c r="E2576" s="328" t="s">
        <v>1916</v>
      </c>
      <c r="F2576" s="328">
        <v>52.906669999999998</v>
      </c>
      <c r="G2576" s="328">
        <v>5609.2670000000007</v>
      </c>
      <c r="H2576" s="328">
        <v>6391.34</v>
      </c>
      <c r="I2576" s="329">
        <v>5.5139431438348506E-2</v>
      </c>
      <c r="J2576" s="329">
        <v>0.58581612928924098</v>
      </c>
      <c r="K2576" s="329">
        <v>0.67363777535563552</v>
      </c>
    </row>
    <row r="2577" spans="1:11" ht="11.25" x14ac:dyDescent="0.15">
      <c r="A2577" s="326">
        <v>1</v>
      </c>
      <c r="B2577" s="327">
        <v>50</v>
      </c>
      <c r="C2577" s="327" t="s">
        <v>109</v>
      </c>
      <c r="D2577" s="327" t="s">
        <v>114</v>
      </c>
      <c r="E2577" s="328" t="s">
        <v>1917</v>
      </c>
      <c r="F2577" s="328">
        <v>13.662920000000002</v>
      </c>
      <c r="G2577" s="328">
        <v>5444.83</v>
      </c>
      <c r="H2577" s="328">
        <v>6269.5990000000002</v>
      </c>
      <c r="I2577" s="329">
        <v>1.4239521039363103E-2</v>
      </c>
      <c r="J2577" s="329">
        <v>0.56864278973312155</v>
      </c>
      <c r="K2577" s="329">
        <v>0.66080645416014749</v>
      </c>
    </row>
    <row r="2578" spans="1:11" ht="11.25" x14ac:dyDescent="0.15">
      <c r="A2578" s="326">
        <v>1</v>
      </c>
      <c r="B2578" s="327">
        <v>50</v>
      </c>
      <c r="C2578" s="327" t="s">
        <v>109</v>
      </c>
      <c r="D2578" s="327" t="s">
        <v>113</v>
      </c>
      <c r="E2578" s="328" t="s">
        <v>1918</v>
      </c>
      <c r="F2578" s="328">
        <v>7.6875690000000008</v>
      </c>
      <c r="G2578" s="328">
        <v>5367.7020000000002</v>
      </c>
      <c r="H2578" s="328">
        <v>6150.9719999999998</v>
      </c>
      <c r="I2578" s="329">
        <v>8.0119989370541263E-3</v>
      </c>
      <c r="J2578" s="329">
        <v>0.56058775751236611</v>
      </c>
      <c r="K2578" s="329">
        <v>0.6483033439552276</v>
      </c>
    </row>
    <row r="2579" spans="1:11" ht="11.25" x14ac:dyDescent="0.15">
      <c r="A2579" s="326">
        <v>1.0249999999999999</v>
      </c>
      <c r="B2579" s="327">
        <v>50</v>
      </c>
      <c r="C2579" s="327" t="s">
        <v>109</v>
      </c>
      <c r="D2579" s="327" t="s">
        <v>79</v>
      </c>
      <c r="E2579" s="328" t="s">
        <v>1919</v>
      </c>
      <c r="F2579" s="328">
        <v>57.603677749999996</v>
      </c>
      <c r="G2579" s="328">
        <v>5920.8981499999991</v>
      </c>
      <c r="H2579" s="328">
        <v>6733.5704249999999</v>
      </c>
      <c r="I2579" s="329">
        <v>6.0034661790145667E-2</v>
      </c>
      <c r="J2579" s="329">
        <v>0.61836201345894692</v>
      </c>
      <c r="K2579" s="329">
        <v>0.70970835557136702</v>
      </c>
    </row>
    <row r="2580" spans="1:11" ht="11.25" x14ac:dyDescent="0.15">
      <c r="A2580" s="326">
        <v>1.0249999999999999</v>
      </c>
      <c r="B2580" s="327">
        <v>50</v>
      </c>
      <c r="C2580" s="327" t="s">
        <v>109</v>
      </c>
      <c r="D2580" s="327" t="s">
        <v>114</v>
      </c>
      <c r="E2580" s="328" t="s">
        <v>1920</v>
      </c>
      <c r="F2580" s="328">
        <v>14.953437999999997</v>
      </c>
      <c r="G2580" s="328">
        <v>5723.0998</v>
      </c>
      <c r="H2580" s="328">
        <v>6607.4011249999994</v>
      </c>
      <c r="I2580" s="329">
        <v>1.558450133732845E-2</v>
      </c>
      <c r="J2580" s="329">
        <v>0.5977045079815293</v>
      </c>
      <c r="K2580" s="329">
        <v>0.69641029811077537</v>
      </c>
    </row>
    <row r="2581" spans="1:11" ht="11.25" x14ac:dyDescent="0.15">
      <c r="A2581" s="326">
        <v>1.0249999999999999</v>
      </c>
      <c r="B2581" s="327">
        <v>50</v>
      </c>
      <c r="C2581" s="327" t="s">
        <v>109</v>
      </c>
      <c r="D2581" s="327" t="s">
        <v>113</v>
      </c>
      <c r="E2581" s="328" t="s">
        <v>1921</v>
      </c>
      <c r="F2581" s="328">
        <v>8.502636374999998</v>
      </c>
      <c r="G2581" s="328">
        <v>5629.6310750000002</v>
      </c>
      <c r="H2581" s="328">
        <v>6484.1909999999998</v>
      </c>
      <c r="I2581" s="329">
        <v>8.8614636953057227E-3</v>
      </c>
      <c r="J2581" s="329">
        <v>0.58794289622564389</v>
      </c>
      <c r="K2581" s="329">
        <v>0.68342413331492824</v>
      </c>
    </row>
    <row r="2582" spans="1:11" ht="11.25" x14ac:dyDescent="0.15">
      <c r="A2582" s="326">
        <v>1.05</v>
      </c>
      <c r="B2582" s="327">
        <v>50</v>
      </c>
      <c r="C2582" s="327" t="s">
        <v>109</v>
      </c>
      <c r="D2582" s="327" t="s">
        <v>79</v>
      </c>
      <c r="E2582" s="328" t="s">
        <v>1922</v>
      </c>
      <c r="F2582" s="328">
        <v>62.733783000000003</v>
      </c>
      <c r="G2582" s="328">
        <v>6250.3738499999999</v>
      </c>
      <c r="H2582" s="328">
        <v>7085.5637999999999</v>
      </c>
      <c r="I2582" s="329">
        <v>6.5381267174757604E-2</v>
      </c>
      <c r="J2582" s="329">
        <v>0.65277153243332697</v>
      </c>
      <c r="K2582" s="329">
        <v>0.74680793626570063</v>
      </c>
    </row>
    <row r="2583" spans="1:11" ht="11.25" x14ac:dyDescent="0.15">
      <c r="A2583" s="326">
        <v>1.05</v>
      </c>
      <c r="B2583" s="327">
        <v>50</v>
      </c>
      <c r="C2583" s="327" t="s">
        <v>109</v>
      </c>
      <c r="D2583" s="327" t="s">
        <v>114</v>
      </c>
      <c r="E2583" s="328" t="s">
        <v>1923</v>
      </c>
      <c r="F2583" s="328">
        <v>16.374036</v>
      </c>
      <c r="G2583" s="328">
        <v>6014.1543000000001</v>
      </c>
      <c r="H2583" s="328">
        <v>6953.7373500000003</v>
      </c>
      <c r="I2583" s="329">
        <v>1.7065051257073072E-2</v>
      </c>
      <c r="J2583" s="329">
        <v>0.62810142447743067</v>
      </c>
      <c r="K2583" s="329">
        <v>0.73291362356898437</v>
      </c>
    </row>
    <row r="2584" spans="1:11" ht="11.25" x14ac:dyDescent="0.15">
      <c r="A2584" s="326">
        <v>1.05</v>
      </c>
      <c r="B2584" s="327">
        <v>50</v>
      </c>
      <c r="C2584" s="327" t="s">
        <v>109</v>
      </c>
      <c r="D2584" s="327" t="s">
        <v>113</v>
      </c>
      <c r="E2584" s="328" t="s">
        <v>1924</v>
      </c>
      <c r="F2584" s="328">
        <v>9.4087623000000011</v>
      </c>
      <c r="G2584" s="328">
        <v>5899.7095499999996</v>
      </c>
      <c r="H2584" s="328">
        <v>6825.82215</v>
      </c>
      <c r="I2584" s="329">
        <v>9.8058298464176307E-3</v>
      </c>
      <c r="J2584" s="329">
        <v>0.61614913544171979</v>
      </c>
      <c r="K2584" s="329">
        <v>0.71943155083272381</v>
      </c>
    </row>
    <row r="2585" spans="1:11" ht="11.25" x14ac:dyDescent="0.15">
      <c r="A2585" s="326">
        <v>1.075</v>
      </c>
      <c r="B2585" s="327">
        <v>50</v>
      </c>
      <c r="C2585" s="327" t="s">
        <v>109</v>
      </c>
      <c r="D2585" s="327" t="s">
        <v>79</v>
      </c>
      <c r="E2585" s="328" t="s">
        <v>1925</v>
      </c>
      <c r="F2585" s="328">
        <v>68.340792250000007</v>
      </c>
      <c r="G2585" s="328">
        <v>6597.2427500000003</v>
      </c>
      <c r="H2585" s="328">
        <v>7446.1132749999988</v>
      </c>
      <c r="I2585" s="329">
        <v>7.1224902809254378E-2</v>
      </c>
      <c r="J2585" s="329">
        <v>0.688997548482985</v>
      </c>
      <c r="K2585" s="329">
        <v>0.78480931723504999</v>
      </c>
    </row>
    <row r="2586" spans="1:11" ht="11.25" x14ac:dyDescent="0.15">
      <c r="A2586" s="326">
        <v>1.075</v>
      </c>
      <c r="B2586" s="327">
        <v>50</v>
      </c>
      <c r="C2586" s="327" t="s">
        <v>109</v>
      </c>
      <c r="D2586" s="327" t="s">
        <v>114</v>
      </c>
      <c r="E2586" s="328" t="s">
        <v>1926</v>
      </c>
      <c r="F2586" s="328">
        <v>17.939782750000003</v>
      </c>
      <c r="G2586" s="328">
        <v>6319.0413499999995</v>
      </c>
      <c r="H2586" s="328">
        <v>7309.3764999999994</v>
      </c>
      <c r="I2586" s="329">
        <v>1.8696875478318564E-2</v>
      </c>
      <c r="J2586" s="329">
        <v>0.65994297373893229</v>
      </c>
      <c r="K2586" s="329">
        <v>0.77039746355173733</v>
      </c>
    </row>
    <row r="2587" spans="1:11" ht="11.25" x14ac:dyDescent="0.15">
      <c r="A2587" s="326">
        <v>1.075</v>
      </c>
      <c r="B2587" s="327">
        <v>50</v>
      </c>
      <c r="C2587" s="327" t="s">
        <v>109</v>
      </c>
      <c r="D2587" s="327" t="s">
        <v>113</v>
      </c>
      <c r="E2587" s="328" t="s">
        <v>1927</v>
      </c>
      <c r="F2587" s="328">
        <v>10.417082175000001</v>
      </c>
      <c r="G2587" s="328">
        <v>6181.1553999999996</v>
      </c>
      <c r="H2587" s="328">
        <v>7176.2527999999993</v>
      </c>
      <c r="I2587" s="329">
        <v>1.0856702725309586E-2</v>
      </c>
      <c r="J2587" s="329">
        <v>0.64554255145338768</v>
      </c>
      <c r="K2587" s="329">
        <v>0.75636642262524756</v>
      </c>
    </row>
    <row r="2588" spans="1:11" ht="11.25" x14ac:dyDescent="0.15">
      <c r="A2588" s="326">
        <v>1.1000000000000001</v>
      </c>
      <c r="B2588" s="327">
        <v>50</v>
      </c>
      <c r="C2588" s="327" t="s">
        <v>109</v>
      </c>
      <c r="D2588" s="327" t="s">
        <v>79</v>
      </c>
      <c r="E2588" s="328" t="s">
        <v>1928</v>
      </c>
      <c r="F2588" s="328">
        <v>74.473002999999991</v>
      </c>
      <c r="G2588" s="328">
        <v>6963.4840000000004</v>
      </c>
      <c r="H2588" s="328">
        <v>7815.9862000000003</v>
      </c>
      <c r="I2588" s="329">
        <v>7.7615904439391523E-2</v>
      </c>
      <c r="J2588" s="329">
        <v>0.72724675848868681</v>
      </c>
      <c r="K2588" s="329">
        <v>0.82379337603356217</v>
      </c>
    </row>
    <row r="2589" spans="1:11" ht="11.25" x14ac:dyDescent="0.15">
      <c r="A2589" s="326">
        <v>1.1000000000000001</v>
      </c>
      <c r="B2589" s="327">
        <v>50</v>
      </c>
      <c r="C2589" s="327" t="s">
        <v>109</v>
      </c>
      <c r="D2589" s="327" t="s">
        <v>114</v>
      </c>
      <c r="E2589" s="328" t="s">
        <v>1929</v>
      </c>
      <c r="F2589" s="328">
        <v>19.667670000000001</v>
      </c>
      <c r="G2589" s="328">
        <v>6638.7453000000005</v>
      </c>
      <c r="H2589" s="328">
        <v>7673.6109999999999</v>
      </c>
      <c r="I2589" s="329">
        <v>2.0497682835019928E-2</v>
      </c>
      <c r="J2589" s="329">
        <v>0.69333195852205665</v>
      </c>
      <c r="K2589" s="329">
        <v>0.80878724070140751</v>
      </c>
    </row>
    <row r="2590" spans="1:11" ht="11.25" x14ac:dyDescent="0.15">
      <c r="A2590" s="326">
        <v>1.1000000000000001</v>
      </c>
      <c r="B2590" s="327">
        <v>50</v>
      </c>
      <c r="C2590" s="327" t="s">
        <v>109</v>
      </c>
      <c r="D2590" s="327" t="s">
        <v>113</v>
      </c>
      <c r="E2590" s="328" t="s">
        <v>1930</v>
      </c>
      <c r="F2590" s="328">
        <v>11.540100000000001</v>
      </c>
      <c r="G2590" s="328">
        <v>6473.0094000000008</v>
      </c>
      <c r="H2590" s="328">
        <v>7535.6556</v>
      </c>
      <c r="I2590" s="329">
        <v>1.2027114024407237E-2</v>
      </c>
      <c r="J2590" s="329">
        <v>0.67602296548922924</v>
      </c>
      <c r="K2590" s="329">
        <v>0.79424694574693833</v>
      </c>
    </row>
    <row r="2591" spans="1:11" ht="11.25" x14ac:dyDescent="0.15">
      <c r="A2591" s="326">
        <v>1.125</v>
      </c>
      <c r="B2591" s="327">
        <v>50</v>
      </c>
      <c r="C2591" s="327" t="s">
        <v>109</v>
      </c>
      <c r="D2591" s="327" t="s">
        <v>79</v>
      </c>
      <c r="E2591" s="328" t="s">
        <v>1931</v>
      </c>
      <c r="F2591" s="328">
        <v>81.183723749999999</v>
      </c>
      <c r="G2591" s="328">
        <v>7348.4583750000002</v>
      </c>
      <c r="H2591" s="328">
        <v>8194.3649999999998</v>
      </c>
      <c r="I2591" s="329">
        <v>8.4609830284592666E-2</v>
      </c>
      <c r="J2591" s="329">
        <v>0.76745240358242983</v>
      </c>
      <c r="K2591" s="329">
        <v>0.86367394146643461</v>
      </c>
    </row>
    <row r="2592" spans="1:11" ht="11.25" x14ac:dyDescent="0.15">
      <c r="A2592" s="326">
        <v>1.125</v>
      </c>
      <c r="B2592" s="327">
        <v>50</v>
      </c>
      <c r="C2592" s="327" t="s">
        <v>109</v>
      </c>
      <c r="D2592" s="327" t="s">
        <v>114</v>
      </c>
      <c r="E2592" s="328" t="s">
        <v>1932</v>
      </c>
      <c r="F2592" s="328">
        <v>21.576768750000003</v>
      </c>
      <c r="G2592" s="328">
        <v>6973.9402499999997</v>
      </c>
      <c r="H2592" s="328">
        <v>8046.2306250000001</v>
      </c>
      <c r="I2592" s="329">
        <v>2.2487349159410822E-2</v>
      </c>
      <c r="J2592" s="329">
        <v>0.7283387799420924</v>
      </c>
      <c r="K2592" s="329">
        <v>0.84806079761417563</v>
      </c>
    </row>
    <row r="2593" spans="1:11" ht="11.25" x14ac:dyDescent="0.15">
      <c r="A2593" s="326">
        <v>1.125</v>
      </c>
      <c r="B2593" s="327">
        <v>50</v>
      </c>
      <c r="C2593" s="327" t="s">
        <v>109</v>
      </c>
      <c r="D2593" s="327" t="s">
        <v>113</v>
      </c>
      <c r="E2593" s="328" t="s">
        <v>1933</v>
      </c>
      <c r="F2593" s="328">
        <v>12.791846250000001</v>
      </c>
      <c r="G2593" s="328">
        <v>6777.7098749999996</v>
      </c>
      <c r="H2593" s="328">
        <v>7903.5412500000002</v>
      </c>
      <c r="I2593" s="329">
        <v>1.3331686331265424E-2</v>
      </c>
      <c r="J2593" s="329">
        <v>0.70784502938048144</v>
      </c>
      <c r="K2593" s="329">
        <v>0.83302154870207168</v>
      </c>
    </row>
    <row r="2594" spans="1:11" ht="11.25" x14ac:dyDescent="0.15">
      <c r="A2594" s="326">
        <v>1.1499999999999999</v>
      </c>
      <c r="B2594" s="327">
        <v>50</v>
      </c>
      <c r="C2594" s="327" t="s">
        <v>109</v>
      </c>
      <c r="D2594" s="327" t="s">
        <v>79</v>
      </c>
      <c r="E2594" s="328" t="s">
        <v>1934</v>
      </c>
      <c r="F2594" s="328">
        <v>88.531783999999973</v>
      </c>
      <c r="G2594" s="328">
        <v>7755.3688499999989</v>
      </c>
      <c r="H2594" s="328">
        <v>8582.5764999999992</v>
      </c>
      <c r="I2594" s="329">
        <v>9.2267992560912976E-2</v>
      </c>
      <c r="J2594" s="329">
        <v>0.80994899349903493</v>
      </c>
      <c r="K2594" s="329">
        <v>0.90459085892466307</v>
      </c>
    </row>
    <row r="2595" spans="1:11" ht="11.25" x14ac:dyDescent="0.15">
      <c r="A2595" s="326">
        <v>1.1499999999999999</v>
      </c>
      <c r="B2595" s="327">
        <v>50</v>
      </c>
      <c r="C2595" s="327" t="s">
        <v>109</v>
      </c>
      <c r="D2595" s="327" t="s">
        <v>114</v>
      </c>
      <c r="E2595" s="328" t="s">
        <v>1935</v>
      </c>
      <c r="F2595" s="328">
        <v>23.688401499999998</v>
      </c>
      <c r="G2595" s="328">
        <v>7327.6021999999984</v>
      </c>
      <c r="H2595" s="328">
        <v>8428.7306499999995</v>
      </c>
      <c r="I2595" s="329">
        <v>2.4688096801278966E-2</v>
      </c>
      <c r="J2595" s="329">
        <v>0.76527424310080538</v>
      </c>
      <c r="K2595" s="329">
        <v>0.88837573406169279</v>
      </c>
    </row>
    <row r="2596" spans="1:11" ht="11.25" x14ac:dyDescent="0.15">
      <c r="A2596" s="326">
        <v>1.1499999999999999</v>
      </c>
      <c r="B2596" s="327">
        <v>50</v>
      </c>
      <c r="C2596" s="327" t="s">
        <v>109</v>
      </c>
      <c r="D2596" s="327" t="s">
        <v>113</v>
      </c>
      <c r="E2596" s="328" t="s">
        <v>1936</v>
      </c>
      <c r="F2596" s="328">
        <v>14.188032999999999</v>
      </c>
      <c r="G2596" s="328">
        <v>7094.7248999999993</v>
      </c>
      <c r="H2596" s="328">
        <v>8280.6785</v>
      </c>
      <c r="I2596" s="329">
        <v>1.4786794800136277E-2</v>
      </c>
      <c r="J2596" s="329">
        <v>0.74095319037050589</v>
      </c>
      <c r="K2596" s="329">
        <v>0.87277125660272192</v>
      </c>
    </row>
    <row r="2597" spans="1:11" ht="11.25" x14ac:dyDescent="0.15">
      <c r="A2597" s="326">
        <v>1.175</v>
      </c>
      <c r="B2597" s="327">
        <v>50</v>
      </c>
      <c r="C2597" s="327" t="s">
        <v>109</v>
      </c>
      <c r="D2597" s="327" t="s">
        <v>79</v>
      </c>
      <c r="E2597" s="328" t="s">
        <v>1937</v>
      </c>
      <c r="F2597" s="328">
        <v>96.582156500000011</v>
      </c>
      <c r="G2597" s="328">
        <v>8183.140625</v>
      </c>
      <c r="H2597" s="328">
        <v>8979.167875000001</v>
      </c>
      <c r="I2597" s="329">
        <v>0.10065810599116512</v>
      </c>
      <c r="J2597" s="329">
        <v>0.85462427913790517</v>
      </c>
      <c r="K2597" s="329">
        <v>0.94639100280376098</v>
      </c>
    </row>
    <row r="2598" spans="1:11" ht="11.25" x14ac:dyDescent="0.15">
      <c r="A2598" s="326">
        <v>1.175</v>
      </c>
      <c r="B2598" s="327">
        <v>50</v>
      </c>
      <c r="C2598" s="327" t="s">
        <v>109</v>
      </c>
      <c r="D2598" s="327" t="s">
        <v>114</v>
      </c>
      <c r="E2598" s="328" t="s">
        <v>1938</v>
      </c>
      <c r="F2598" s="328">
        <v>26.026473250000002</v>
      </c>
      <c r="G2598" s="328">
        <v>7698.4120000000003</v>
      </c>
      <c r="H2598" s="328">
        <v>8819.5312000000013</v>
      </c>
      <c r="I2598" s="329">
        <v>2.7124839596791607E-2</v>
      </c>
      <c r="J2598" s="329">
        <v>0.80400057966822469</v>
      </c>
      <c r="K2598" s="329">
        <v>0.92956553355753557</v>
      </c>
    </row>
    <row r="2599" spans="1:11" ht="11.25" x14ac:dyDescent="0.15">
      <c r="A2599" s="326">
        <v>1.175</v>
      </c>
      <c r="B2599" s="327">
        <v>50</v>
      </c>
      <c r="C2599" s="327" t="s">
        <v>109</v>
      </c>
      <c r="D2599" s="327" t="s">
        <v>113</v>
      </c>
      <c r="E2599" s="328" t="s">
        <v>1939</v>
      </c>
      <c r="F2599" s="328">
        <v>15.74628075</v>
      </c>
      <c r="G2599" s="328">
        <v>7426.2584999999999</v>
      </c>
      <c r="H2599" s="328">
        <v>8665.8294500000011</v>
      </c>
      <c r="I2599" s="329">
        <v>1.6410803549412805E-2</v>
      </c>
      <c r="J2599" s="329">
        <v>0.77557763065500795</v>
      </c>
      <c r="K2599" s="329">
        <v>0.91336559662126426</v>
      </c>
    </row>
    <row r="2600" spans="1:11" ht="11.25" x14ac:dyDescent="0.15">
      <c r="A2600" s="326">
        <v>1.2</v>
      </c>
      <c r="B2600" s="327">
        <v>50</v>
      </c>
      <c r="C2600" s="327" t="s">
        <v>109</v>
      </c>
      <c r="D2600" s="327" t="s">
        <v>79</v>
      </c>
      <c r="E2600" s="328" t="s">
        <v>1940</v>
      </c>
      <c r="F2600" s="328">
        <v>105.40679999999999</v>
      </c>
      <c r="G2600" s="328">
        <v>8633.6819999999989</v>
      </c>
      <c r="H2600" s="328">
        <v>9384.7188000000006</v>
      </c>
      <c r="I2600" s="329">
        <v>0.10985516612056122</v>
      </c>
      <c r="J2600" s="329">
        <v>0.90167755800431526</v>
      </c>
      <c r="K2600" s="329">
        <v>0.98913546999067636</v>
      </c>
    </row>
    <row r="2601" spans="1:11" ht="11.25" x14ac:dyDescent="0.15">
      <c r="A2601" s="326">
        <v>1.2</v>
      </c>
      <c r="B2601" s="327">
        <v>50</v>
      </c>
      <c r="C2601" s="327" t="s">
        <v>109</v>
      </c>
      <c r="D2601" s="327" t="s">
        <v>114</v>
      </c>
      <c r="E2601" s="328" t="s">
        <v>1941</v>
      </c>
      <c r="F2601" s="328">
        <v>28.617840000000001</v>
      </c>
      <c r="G2601" s="328">
        <v>8088.5135999999993</v>
      </c>
      <c r="H2601" s="328">
        <v>9219.2963999999993</v>
      </c>
      <c r="I2601" s="329">
        <v>2.9825566919891716E-2</v>
      </c>
      <c r="J2601" s="329">
        <v>0.84474169777537478</v>
      </c>
      <c r="K2601" s="329">
        <v>0.97170019389364648</v>
      </c>
    </row>
    <row r="2602" spans="1:11" ht="11.25" x14ac:dyDescent="0.15">
      <c r="A2602" s="326">
        <v>1.2</v>
      </c>
      <c r="B2602" s="327">
        <v>50</v>
      </c>
      <c r="C2602" s="327" t="s">
        <v>109</v>
      </c>
      <c r="D2602" s="327" t="s">
        <v>113</v>
      </c>
      <c r="E2602" s="328" t="s">
        <v>1942</v>
      </c>
      <c r="F2602" s="328">
        <v>17.486352</v>
      </c>
      <c r="G2602" s="328">
        <v>7773.69</v>
      </c>
      <c r="H2602" s="328">
        <v>9060.1332000000002</v>
      </c>
      <c r="I2602" s="329">
        <v>1.8224309093935194E-2</v>
      </c>
      <c r="J2602" s="329">
        <v>0.81186240307235846</v>
      </c>
      <c r="K2602" s="329">
        <v>0.95492462821156998</v>
      </c>
    </row>
    <row r="2603" spans="1:11" ht="11.25" x14ac:dyDescent="0.15">
      <c r="A2603" s="326">
        <v>1.2250000000000001</v>
      </c>
      <c r="B2603" s="327">
        <v>50</v>
      </c>
      <c r="C2603" s="327" t="s">
        <v>109</v>
      </c>
      <c r="D2603" s="327" t="s">
        <v>79</v>
      </c>
      <c r="E2603" s="328" t="s">
        <v>1943</v>
      </c>
      <c r="F2603" s="328">
        <v>115.08539350000001</v>
      </c>
      <c r="G2603" s="328">
        <v>9107.4119500000015</v>
      </c>
      <c r="H2603" s="328">
        <v>9799.6312749999997</v>
      </c>
      <c r="I2603" s="329">
        <v>0.11994221455345062</v>
      </c>
      <c r="J2603" s="329">
        <v>0.95115258667337077</v>
      </c>
      <c r="K2603" s="329">
        <v>1.0328666306903576</v>
      </c>
    </row>
    <row r="2604" spans="1:11" ht="11.25" x14ac:dyDescent="0.15">
      <c r="A2604" s="326">
        <v>1.2250000000000001</v>
      </c>
      <c r="B2604" s="327">
        <v>50</v>
      </c>
      <c r="C2604" s="327" t="s">
        <v>109</v>
      </c>
      <c r="D2604" s="327" t="s">
        <v>114</v>
      </c>
      <c r="E2604" s="328" t="s">
        <v>1944</v>
      </c>
      <c r="F2604" s="328">
        <v>31.492569500000002</v>
      </c>
      <c r="G2604" s="328">
        <v>8498.1079750000008</v>
      </c>
      <c r="H2604" s="328">
        <v>9627.7429500000017</v>
      </c>
      <c r="I2604" s="329">
        <v>3.2821615436440722E-2</v>
      </c>
      <c r="J2604" s="329">
        <v>0.88751858668815908</v>
      </c>
      <c r="K2604" s="329">
        <v>1.0147498556693753</v>
      </c>
    </row>
    <row r="2605" spans="1:11" ht="11.25" x14ac:dyDescent="0.15">
      <c r="A2605" s="326">
        <v>1.2250000000000001</v>
      </c>
      <c r="B2605" s="327">
        <v>50</v>
      </c>
      <c r="C2605" s="327" t="s">
        <v>109</v>
      </c>
      <c r="D2605" s="327" t="s">
        <v>113</v>
      </c>
      <c r="E2605" s="328" t="s">
        <v>1945</v>
      </c>
      <c r="F2605" s="328">
        <v>19.43042325</v>
      </c>
      <c r="G2605" s="328">
        <v>8137.4790000000012</v>
      </c>
      <c r="H2605" s="328">
        <v>9462.889799999999</v>
      </c>
      <c r="I2605" s="329">
        <v>2.0250423823904771E-2</v>
      </c>
      <c r="J2605" s="329">
        <v>0.8498555069588386</v>
      </c>
      <c r="K2605" s="329">
        <v>0.99737457767972504</v>
      </c>
    </row>
    <row r="2606" spans="1:11" ht="11.25" x14ac:dyDescent="0.15">
      <c r="A2606" s="326">
        <v>1.25</v>
      </c>
      <c r="B2606" s="327">
        <v>50</v>
      </c>
      <c r="C2606" s="327" t="s">
        <v>109</v>
      </c>
      <c r="D2606" s="327" t="s">
        <v>79</v>
      </c>
      <c r="E2606" s="328" t="s">
        <v>1946</v>
      </c>
      <c r="F2606" s="328">
        <v>125.70637500000001</v>
      </c>
      <c r="G2606" s="328">
        <v>9604.7537500000017</v>
      </c>
      <c r="H2606" s="328">
        <v>10223.636250000001</v>
      </c>
      <c r="I2606" s="329">
        <v>0.13101142154053216</v>
      </c>
      <c r="J2606" s="329">
        <v>1.0030935708001283</v>
      </c>
      <c r="K2606" s="329">
        <v>1.0775561274310603</v>
      </c>
    </row>
    <row r="2607" spans="1:11" ht="11.25" x14ac:dyDescent="0.15">
      <c r="A2607" s="326">
        <v>1.25</v>
      </c>
      <c r="B2607" s="327">
        <v>50</v>
      </c>
      <c r="C2607" s="327" t="s">
        <v>109</v>
      </c>
      <c r="D2607" s="327" t="s">
        <v>114</v>
      </c>
      <c r="E2607" s="328" t="s">
        <v>1947</v>
      </c>
      <c r="F2607" s="328">
        <v>34.684474999999999</v>
      </c>
      <c r="G2607" s="328">
        <v>8930.6887500000012</v>
      </c>
      <c r="H2607" s="328">
        <v>10045.64875</v>
      </c>
      <c r="I2607" s="329">
        <v>3.614822537947697E-2</v>
      </c>
      <c r="J2607" s="329">
        <v>0.93269611081304737</v>
      </c>
      <c r="K2607" s="329">
        <v>1.0587965083932511</v>
      </c>
    </row>
    <row r="2608" spans="1:11" ht="11.25" x14ac:dyDescent="0.15">
      <c r="A2608" s="326">
        <v>1.25</v>
      </c>
      <c r="B2608" s="327">
        <v>50</v>
      </c>
      <c r="C2608" s="327" t="s">
        <v>109</v>
      </c>
      <c r="D2608" s="327" t="s">
        <v>113</v>
      </c>
      <c r="E2608" s="328" t="s">
        <v>1948</v>
      </c>
      <c r="F2608" s="328">
        <v>21.603412500000001</v>
      </c>
      <c r="G2608" s="328">
        <v>8520.4674999999988</v>
      </c>
      <c r="H2608" s="328">
        <v>9875.1500000000015</v>
      </c>
      <c r="I2608" s="329">
        <v>2.2515117326002775E-2</v>
      </c>
      <c r="J2608" s="329">
        <v>0.8898537528316578</v>
      </c>
      <c r="K2608" s="329">
        <v>1.0408261925203799</v>
      </c>
    </row>
    <row r="2609" spans="1:11" ht="11.25" x14ac:dyDescent="0.15">
      <c r="A2609" s="326">
        <v>1.2749999999999999</v>
      </c>
      <c r="B2609" s="327">
        <v>50</v>
      </c>
      <c r="C2609" s="327" t="s">
        <v>109</v>
      </c>
      <c r="D2609" s="327" t="s">
        <v>79</v>
      </c>
      <c r="E2609" s="328" t="s">
        <v>1949</v>
      </c>
      <c r="F2609" s="328">
        <v>137.36786249999997</v>
      </c>
      <c r="G2609" s="328">
        <v>10126.088249999999</v>
      </c>
      <c r="H2609" s="328">
        <v>10656.411749999999</v>
      </c>
      <c r="I2609" s="329">
        <v>0.14316504584679463</v>
      </c>
      <c r="J2609" s="329">
        <v>1.0575402852915119</v>
      </c>
      <c r="K2609" s="329">
        <v>1.1231700245243805</v>
      </c>
    </row>
    <row r="2610" spans="1:11" ht="11.25" x14ac:dyDescent="0.15">
      <c r="A2610" s="326">
        <v>1.2749999999999999</v>
      </c>
      <c r="B2610" s="327">
        <v>50</v>
      </c>
      <c r="C2610" s="327" t="s">
        <v>109</v>
      </c>
      <c r="D2610" s="327" t="s">
        <v>114</v>
      </c>
      <c r="E2610" s="328" t="s">
        <v>1950</v>
      </c>
      <c r="F2610" s="328">
        <v>38.231499749999998</v>
      </c>
      <c r="G2610" s="328">
        <v>9383.9515499999998</v>
      </c>
      <c r="H2610" s="328">
        <v>10471.92945</v>
      </c>
      <c r="I2610" s="329">
        <v>3.9844941275842212E-2</v>
      </c>
      <c r="J2610" s="329">
        <v>0.98003360768149794</v>
      </c>
      <c r="K2610" s="329">
        <v>1.1037258631803601</v>
      </c>
    </row>
    <row r="2611" spans="1:11" ht="11.25" x14ac:dyDescent="0.15">
      <c r="A2611" s="326">
        <v>1.2749999999999999</v>
      </c>
      <c r="B2611" s="327">
        <v>50</v>
      </c>
      <c r="C2611" s="327" t="s">
        <v>109</v>
      </c>
      <c r="D2611" s="327" t="s">
        <v>113</v>
      </c>
      <c r="E2611" s="328" t="s">
        <v>1951</v>
      </c>
      <c r="F2611" s="328">
        <v>24.033316499999998</v>
      </c>
      <c r="G2611" s="328">
        <v>8920.7210999999988</v>
      </c>
      <c r="H2611" s="328">
        <v>10295.883824999999</v>
      </c>
      <c r="I2611" s="329">
        <v>2.5047567865977574E-2</v>
      </c>
      <c r="J2611" s="329">
        <v>0.93165511737466922</v>
      </c>
      <c r="K2611" s="329">
        <v>1.0851709148931321</v>
      </c>
    </row>
    <row r="2612" spans="1:11" ht="11.25" x14ac:dyDescent="0.15">
      <c r="A2612" s="326">
        <v>1.3</v>
      </c>
      <c r="B2612" s="327">
        <v>50</v>
      </c>
      <c r="C2612" s="327" t="s">
        <v>109</v>
      </c>
      <c r="D2612" s="327" t="s">
        <v>79</v>
      </c>
      <c r="E2612" s="328" t="s">
        <v>1952</v>
      </c>
      <c r="F2612" s="328">
        <v>150.17925</v>
      </c>
      <c r="G2612" s="328">
        <v>10672.8128</v>
      </c>
      <c r="H2612" s="328">
        <v>11098.826700000001</v>
      </c>
      <c r="I2612" s="329">
        <v>0.15651709810573222</v>
      </c>
      <c r="J2612" s="329">
        <v>1.1146386654663907</v>
      </c>
      <c r="K2612" s="329">
        <v>1.1697999053791115</v>
      </c>
    </row>
    <row r="2613" spans="1:11" ht="11.25" x14ac:dyDescent="0.15">
      <c r="A2613" s="326">
        <v>1.3</v>
      </c>
      <c r="B2613" s="327">
        <v>50</v>
      </c>
      <c r="C2613" s="327" t="s">
        <v>109</v>
      </c>
      <c r="D2613" s="327" t="s">
        <v>114</v>
      </c>
      <c r="E2613" s="328" t="s">
        <v>1953</v>
      </c>
      <c r="F2613" s="328">
        <v>42.176290000000002</v>
      </c>
      <c r="G2613" s="328">
        <v>9860.1437999999998</v>
      </c>
      <c r="H2613" s="328">
        <v>10907.5291</v>
      </c>
      <c r="I2613" s="329">
        <v>4.3956209127864292E-2</v>
      </c>
      <c r="J2613" s="329">
        <v>1.0297657920636167</v>
      </c>
      <c r="K2613" s="329">
        <v>1.1496374215032932</v>
      </c>
    </row>
    <row r="2614" spans="1:11" ht="11.25" x14ac:dyDescent="0.15">
      <c r="A2614" s="326">
        <v>1.3</v>
      </c>
      <c r="B2614" s="327">
        <v>50</v>
      </c>
      <c r="C2614" s="327" t="s">
        <v>109</v>
      </c>
      <c r="D2614" s="327" t="s">
        <v>113</v>
      </c>
      <c r="E2614" s="328" t="s">
        <v>1954</v>
      </c>
      <c r="F2614" s="328">
        <v>26.751594999999998</v>
      </c>
      <c r="G2614" s="328">
        <v>9340.9562999999998</v>
      </c>
      <c r="H2614" s="328">
        <v>10725.154699999999</v>
      </c>
      <c r="I2614" s="329">
        <v>2.7880562854720712E-2</v>
      </c>
      <c r="J2614" s="329">
        <v>0.97554330423671209</v>
      </c>
      <c r="K2614" s="329">
        <v>1.1304154296990987</v>
      </c>
    </row>
    <row r="2615" spans="1:11" ht="11.25" x14ac:dyDescent="0.15">
      <c r="A2615" s="326">
        <v>1.325</v>
      </c>
      <c r="B2615" s="327">
        <v>50</v>
      </c>
      <c r="C2615" s="327" t="s">
        <v>109</v>
      </c>
      <c r="D2615" s="327" t="s">
        <v>79</v>
      </c>
      <c r="E2615" s="328" t="s">
        <v>1955</v>
      </c>
      <c r="F2615" s="328">
        <v>164.26236999999998</v>
      </c>
      <c r="G2615" s="328">
        <v>11244.195125000002</v>
      </c>
      <c r="H2615" s="328">
        <v>11550.079325000001</v>
      </c>
      <c r="I2615" s="329">
        <v>0.17119455237904094</v>
      </c>
      <c r="J2615" s="329">
        <v>1.174312234575472</v>
      </c>
      <c r="K2615" s="329">
        <v>1.2173612640970628</v>
      </c>
    </row>
    <row r="2616" spans="1:11" ht="11.25" x14ac:dyDescent="0.15">
      <c r="A2616" s="326">
        <v>1.325</v>
      </c>
      <c r="B2616" s="327">
        <v>50</v>
      </c>
      <c r="C2616" s="327" t="s">
        <v>109</v>
      </c>
      <c r="D2616" s="327" t="s">
        <v>114</v>
      </c>
      <c r="E2616" s="328" t="s">
        <v>1956</v>
      </c>
      <c r="F2616" s="328">
        <v>46.566820249999999</v>
      </c>
      <c r="G2616" s="328">
        <v>10359.44095</v>
      </c>
      <c r="H2616" s="328">
        <v>11351.512175</v>
      </c>
      <c r="I2616" s="329">
        <v>4.8532028050088466E-2</v>
      </c>
      <c r="J2616" s="329">
        <v>1.0819109874658235</v>
      </c>
      <c r="K2616" s="329">
        <v>1.1964325804118403</v>
      </c>
    </row>
    <row r="2617" spans="1:11" ht="11.25" x14ac:dyDescent="0.15">
      <c r="A2617" s="326">
        <v>1.325</v>
      </c>
      <c r="B2617" s="327">
        <v>50</v>
      </c>
      <c r="C2617" s="327" t="s">
        <v>109</v>
      </c>
      <c r="D2617" s="327" t="s">
        <v>113</v>
      </c>
      <c r="E2617" s="328" t="s">
        <v>1957</v>
      </c>
      <c r="F2617" s="328">
        <v>29.793645249999997</v>
      </c>
      <c r="G2617" s="328">
        <v>9781.9118749999998</v>
      </c>
      <c r="H2617" s="328">
        <v>11163.456249999999</v>
      </c>
      <c r="I2617" s="329">
        <v>3.1050993373063406E-2</v>
      </c>
      <c r="J2617" s="329">
        <v>1.0215954690088671</v>
      </c>
      <c r="K2617" s="329">
        <v>1.1766117642826019</v>
      </c>
    </row>
    <row r="2618" spans="1:11" ht="11.25" x14ac:dyDescent="0.15">
      <c r="A2618" s="326">
        <v>1.35</v>
      </c>
      <c r="B2618" s="327">
        <v>50</v>
      </c>
      <c r="C2618" s="327" t="s">
        <v>109</v>
      </c>
      <c r="D2618" s="327" t="s">
        <v>79</v>
      </c>
      <c r="E2618" s="328" t="s">
        <v>1958</v>
      </c>
      <c r="F2618" s="328">
        <v>179.752905</v>
      </c>
      <c r="G2618" s="328">
        <v>11842.0137</v>
      </c>
      <c r="H2618" s="328">
        <v>12010.52205</v>
      </c>
      <c r="I2618" s="329">
        <v>0.1873388172245857</v>
      </c>
      <c r="J2618" s="329">
        <v>1.2367467315647771</v>
      </c>
      <c r="K2618" s="329">
        <v>1.265891245751565</v>
      </c>
    </row>
    <row r="2619" spans="1:11" ht="11.25" x14ac:dyDescent="0.15">
      <c r="A2619" s="326">
        <v>1.35</v>
      </c>
      <c r="B2619" s="327">
        <v>50</v>
      </c>
      <c r="C2619" s="327" t="s">
        <v>109</v>
      </c>
      <c r="D2619" s="327" t="s">
        <v>114</v>
      </c>
      <c r="E2619" s="328" t="s">
        <v>1959</v>
      </c>
      <c r="F2619" s="328">
        <v>51.457031999999998</v>
      </c>
      <c r="G2619" s="328">
        <v>10882.86975</v>
      </c>
      <c r="H2619" s="328">
        <v>11804.589</v>
      </c>
      <c r="I2619" s="329">
        <v>5.3628615975734345E-2</v>
      </c>
      <c r="J2619" s="329">
        <v>1.1365764247813428</v>
      </c>
      <c r="K2619" s="329">
        <v>1.2441862071095586</v>
      </c>
    </row>
    <row r="2620" spans="1:11" ht="11.25" x14ac:dyDescent="0.15">
      <c r="A2620" s="326">
        <v>1.35</v>
      </c>
      <c r="B2620" s="327">
        <v>50</v>
      </c>
      <c r="C2620" s="327" t="s">
        <v>109</v>
      </c>
      <c r="D2620" s="327" t="s">
        <v>113</v>
      </c>
      <c r="E2620" s="328" t="s">
        <v>1960</v>
      </c>
      <c r="F2620" s="328">
        <v>33.199280999999999</v>
      </c>
      <c r="G2620" s="328">
        <v>10244.2212</v>
      </c>
      <c r="H2620" s="328">
        <v>11611.498500000002</v>
      </c>
      <c r="I2620" s="329">
        <v>3.4600353386481632E-2</v>
      </c>
      <c r="J2620" s="329">
        <v>1.0698777596015279</v>
      </c>
      <c r="K2620" s="329">
        <v>1.2238347542276424</v>
      </c>
    </row>
    <row r="2621" spans="1:11" ht="11.25" x14ac:dyDescent="0.15">
      <c r="A2621" s="326">
        <v>1.375</v>
      </c>
      <c r="B2621" s="327">
        <v>50</v>
      </c>
      <c r="C2621" s="327" t="s">
        <v>109</v>
      </c>
      <c r="D2621" s="327" t="s">
        <v>79</v>
      </c>
      <c r="E2621" s="328" t="s">
        <v>1961</v>
      </c>
      <c r="F2621" s="328">
        <v>196.80265</v>
      </c>
      <c r="G2621" s="328">
        <v>12467.361500000001</v>
      </c>
      <c r="H2621" s="328">
        <v>12480.579374999999</v>
      </c>
      <c r="I2621" s="329">
        <v>0.20510809367817512</v>
      </c>
      <c r="J2621" s="329">
        <v>1.3020563036809809</v>
      </c>
      <c r="K2621" s="329">
        <v>1.3154345920142612</v>
      </c>
    </row>
    <row r="2622" spans="1:11" ht="11.25" x14ac:dyDescent="0.15">
      <c r="A2622" s="326">
        <v>1.375</v>
      </c>
      <c r="B2622" s="327">
        <v>50</v>
      </c>
      <c r="C2622" s="327" t="s">
        <v>109</v>
      </c>
      <c r="D2622" s="327" t="s">
        <v>114</v>
      </c>
      <c r="E2622" s="328" t="s">
        <v>1962</v>
      </c>
      <c r="F2622" s="328">
        <v>56.907647500000003</v>
      </c>
      <c r="G2622" s="328">
        <v>11430.867249999998</v>
      </c>
      <c r="H2622" s="328">
        <v>12266.787500000002</v>
      </c>
      <c r="I2622" s="329">
        <v>5.9309257748483411E-2</v>
      </c>
      <c r="J2622" s="329">
        <v>1.193807748287637</v>
      </c>
      <c r="K2622" s="329">
        <v>1.2929012448501127</v>
      </c>
    </row>
    <row r="2623" spans="1:11" ht="11.25" x14ac:dyDescent="0.15">
      <c r="A2623" s="326">
        <v>1.375</v>
      </c>
      <c r="B2623" s="327">
        <v>50</v>
      </c>
      <c r="C2623" s="327" t="s">
        <v>109</v>
      </c>
      <c r="D2623" s="327" t="s">
        <v>113</v>
      </c>
      <c r="E2623" s="328" t="s">
        <v>1963</v>
      </c>
      <c r="F2623" s="328">
        <v>37.013350000000003</v>
      </c>
      <c r="G2623" s="328">
        <v>10727.843500000001</v>
      </c>
      <c r="H2623" s="328">
        <v>12067.241999999998</v>
      </c>
      <c r="I2623" s="329">
        <v>3.8575383304762838E-2</v>
      </c>
      <c r="J2623" s="329">
        <v>1.1203859175879385</v>
      </c>
      <c r="K2623" s="329">
        <v>1.2718694445230716</v>
      </c>
    </row>
    <row r="2624" spans="1:11" ht="11.25" x14ac:dyDescent="0.15">
      <c r="A2624" s="326">
        <v>1.4</v>
      </c>
      <c r="B2624" s="327">
        <v>50</v>
      </c>
      <c r="C2624" s="327" t="s">
        <v>109</v>
      </c>
      <c r="D2624" s="327" t="s">
        <v>79</v>
      </c>
      <c r="E2624" s="328" t="s">
        <v>1964</v>
      </c>
      <c r="F2624" s="328">
        <v>215.58138</v>
      </c>
      <c r="G2624" s="328">
        <v>13117.106799999998</v>
      </c>
      <c r="H2624" s="328">
        <v>12959.683799999999</v>
      </c>
      <c r="I2624" s="329">
        <v>0.22467932156559003</v>
      </c>
      <c r="J2624" s="329">
        <v>1.369913882339632</v>
      </c>
      <c r="K2624" s="329">
        <v>1.365931489225181</v>
      </c>
    </row>
    <row r="2625" spans="1:11" ht="11.25" x14ac:dyDescent="0.15">
      <c r="A2625" s="326">
        <v>1.4</v>
      </c>
      <c r="B2625" s="327">
        <v>50</v>
      </c>
      <c r="C2625" s="327" t="s">
        <v>109</v>
      </c>
      <c r="D2625" s="327" t="s">
        <v>114</v>
      </c>
      <c r="E2625" s="328" t="s">
        <v>1965</v>
      </c>
      <c r="F2625" s="328">
        <v>62.987050000000004</v>
      </c>
      <c r="G2625" s="328">
        <v>12003.674199999999</v>
      </c>
      <c r="H2625" s="328">
        <v>12738.479600000001</v>
      </c>
      <c r="I2625" s="329">
        <v>6.5645222520692187E-2</v>
      </c>
      <c r="J2625" s="329">
        <v>1.2536301012401665</v>
      </c>
      <c r="K2625" s="329">
        <v>1.3426168939779681</v>
      </c>
    </row>
    <row r="2626" spans="1:11" ht="11.25" x14ac:dyDescent="0.15">
      <c r="A2626" s="326">
        <v>1.4</v>
      </c>
      <c r="B2626" s="327">
        <v>50</v>
      </c>
      <c r="C2626" s="327" t="s">
        <v>109</v>
      </c>
      <c r="D2626" s="327" t="s">
        <v>113</v>
      </c>
      <c r="E2626" s="328" t="s">
        <v>1966</v>
      </c>
      <c r="F2626" s="328">
        <v>41.286391999999999</v>
      </c>
      <c r="G2626" s="328">
        <v>11234.958000000001</v>
      </c>
      <c r="H2626" s="328">
        <v>12532.209200000001</v>
      </c>
      <c r="I2626" s="329">
        <v>4.302875575084919E-2</v>
      </c>
      <c r="J2626" s="329">
        <v>1.1733475351212899</v>
      </c>
      <c r="K2626" s="329">
        <v>1.3208762991453169</v>
      </c>
    </row>
    <row r="2627" spans="1:11" ht="11.25" x14ac:dyDescent="0.15">
      <c r="A2627" s="326">
        <v>0.9</v>
      </c>
      <c r="B2627" s="327">
        <v>75</v>
      </c>
      <c r="C2627" s="327" t="s">
        <v>109</v>
      </c>
      <c r="D2627" s="327" t="s">
        <v>79</v>
      </c>
      <c r="E2627" s="328" t="s">
        <v>1967</v>
      </c>
      <c r="F2627" s="328">
        <v>77.391791999999995</v>
      </c>
      <c r="G2627" s="328">
        <v>4540.5009</v>
      </c>
      <c r="H2627" s="328">
        <v>5131.9457999999995</v>
      </c>
      <c r="I2627" s="329">
        <v>8.0657871850088617E-2</v>
      </c>
      <c r="J2627" s="329">
        <v>0.4741971923020093</v>
      </c>
      <c r="K2627" s="329">
        <v>0.54089949086696953</v>
      </c>
    </row>
    <row r="2628" spans="1:11" ht="11.25" x14ac:dyDescent="0.15">
      <c r="A2628" s="326">
        <v>0.9</v>
      </c>
      <c r="B2628" s="327">
        <v>75</v>
      </c>
      <c r="C2628" s="327" t="s">
        <v>109</v>
      </c>
      <c r="D2628" s="327" t="s">
        <v>114</v>
      </c>
      <c r="E2628" s="328" t="s">
        <v>1968</v>
      </c>
      <c r="F2628" s="328">
        <v>20.023433999999998</v>
      </c>
      <c r="G2628" s="328">
        <v>4442.8248000000003</v>
      </c>
      <c r="H2628" s="328">
        <v>5029.0136999999995</v>
      </c>
      <c r="I2628" s="329">
        <v>2.0868460748017147E-2</v>
      </c>
      <c r="J2628" s="329">
        <v>0.46399617408945698</v>
      </c>
      <c r="K2628" s="329">
        <v>0.53005059989000947</v>
      </c>
    </row>
    <row r="2629" spans="1:11" ht="11.25" x14ac:dyDescent="0.15">
      <c r="A2629" s="326">
        <v>0.9</v>
      </c>
      <c r="B2629" s="327">
        <v>75</v>
      </c>
      <c r="C2629" s="327" t="s">
        <v>109</v>
      </c>
      <c r="D2629" s="327" t="s">
        <v>113</v>
      </c>
      <c r="E2629" s="328" t="s">
        <v>1969</v>
      </c>
      <c r="F2629" s="328">
        <v>9.7040250000000015</v>
      </c>
      <c r="G2629" s="328">
        <v>4396.6611000000003</v>
      </c>
      <c r="H2629" s="328">
        <v>4928.6583000000001</v>
      </c>
      <c r="I2629" s="329">
        <v>1.0113553190240852E-2</v>
      </c>
      <c r="J2629" s="329">
        <v>0.45917496660411716</v>
      </c>
      <c r="K2629" s="329">
        <v>0.51947328927894443</v>
      </c>
    </row>
    <row r="2630" spans="1:11" ht="11.25" x14ac:dyDescent="0.15">
      <c r="A2630" s="326">
        <v>0.92500000000000004</v>
      </c>
      <c r="B2630" s="327">
        <v>75</v>
      </c>
      <c r="C2630" s="327" t="s">
        <v>109</v>
      </c>
      <c r="D2630" s="327" t="s">
        <v>79</v>
      </c>
      <c r="E2630" s="328" t="s">
        <v>1970</v>
      </c>
      <c r="F2630" s="328">
        <v>83.127973999999995</v>
      </c>
      <c r="G2630" s="328">
        <v>4807.9936750000006</v>
      </c>
      <c r="H2630" s="328">
        <v>5439.5383500000007</v>
      </c>
      <c r="I2630" s="329">
        <v>8.6636131568700453E-2</v>
      </c>
      <c r="J2630" s="329">
        <v>0.50213338825476717</v>
      </c>
      <c r="K2630" s="329">
        <v>0.57331929032967499</v>
      </c>
    </row>
    <row r="2631" spans="1:11" ht="11.25" x14ac:dyDescent="0.15">
      <c r="A2631" s="326">
        <v>0.92500000000000004</v>
      </c>
      <c r="B2631" s="327">
        <v>75</v>
      </c>
      <c r="C2631" s="327" t="s">
        <v>109</v>
      </c>
      <c r="D2631" s="327" t="s">
        <v>114</v>
      </c>
      <c r="E2631" s="328" t="s">
        <v>1971</v>
      </c>
      <c r="F2631" s="328">
        <v>21.546126750000003</v>
      </c>
      <c r="G2631" s="328">
        <v>4687.3699749999996</v>
      </c>
      <c r="H2631" s="328">
        <v>5332.1107000000002</v>
      </c>
      <c r="I2631" s="329">
        <v>2.2455414009114386E-2</v>
      </c>
      <c r="J2631" s="329">
        <v>0.48953578699339961</v>
      </c>
      <c r="K2631" s="329">
        <v>0.56199657503715661</v>
      </c>
    </row>
    <row r="2632" spans="1:11" ht="11.25" x14ac:dyDescent="0.15">
      <c r="A2632" s="326">
        <v>0.92500000000000004</v>
      </c>
      <c r="B2632" s="327">
        <v>75</v>
      </c>
      <c r="C2632" s="327" t="s">
        <v>109</v>
      </c>
      <c r="D2632" s="327" t="s">
        <v>113</v>
      </c>
      <c r="E2632" s="328" t="s">
        <v>1972</v>
      </c>
      <c r="F2632" s="328">
        <v>10.51280075</v>
      </c>
      <c r="G2632" s="328">
        <v>4631.5360499999997</v>
      </c>
      <c r="H2632" s="328">
        <v>5227.5884750000005</v>
      </c>
      <c r="I2632" s="329">
        <v>1.0956460805029758E-2</v>
      </c>
      <c r="J2632" s="329">
        <v>0.48370464830334875</v>
      </c>
      <c r="K2632" s="329">
        <v>0.55098008723894509</v>
      </c>
    </row>
    <row r="2633" spans="1:11" ht="11.25" x14ac:dyDescent="0.15">
      <c r="A2633" s="326">
        <v>0.95</v>
      </c>
      <c r="B2633" s="327">
        <v>75</v>
      </c>
      <c r="C2633" s="327" t="s">
        <v>109</v>
      </c>
      <c r="D2633" s="327" t="s">
        <v>79</v>
      </c>
      <c r="E2633" s="328" t="s">
        <v>1973</v>
      </c>
      <c r="F2633" s="328">
        <v>89.2639475</v>
      </c>
      <c r="G2633" s="328">
        <v>5088.7196499999991</v>
      </c>
      <c r="H2633" s="328">
        <v>5755.7393499999998</v>
      </c>
      <c r="I2633" s="329">
        <v>9.303105474399713E-2</v>
      </c>
      <c r="J2633" s="329">
        <v>0.5314516225383995</v>
      </c>
      <c r="K2633" s="329">
        <v>0.60664640767990619</v>
      </c>
    </row>
    <row r="2634" spans="1:11" ht="11.25" x14ac:dyDescent="0.15">
      <c r="A2634" s="326">
        <v>0.95</v>
      </c>
      <c r="B2634" s="327">
        <v>75</v>
      </c>
      <c r="C2634" s="327" t="s">
        <v>109</v>
      </c>
      <c r="D2634" s="327" t="s">
        <v>114</v>
      </c>
      <c r="E2634" s="328" t="s">
        <v>1974</v>
      </c>
      <c r="F2634" s="328">
        <v>23.180265999999996</v>
      </c>
      <c r="G2634" s="328">
        <v>4941.5779499999999</v>
      </c>
      <c r="H2634" s="328">
        <v>5644.0915499999992</v>
      </c>
      <c r="I2634" s="329">
        <v>2.4158517023083872E-2</v>
      </c>
      <c r="J2634" s="329">
        <v>0.51608455565585698</v>
      </c>
      <c r="K2634" s="329">
        <v>0.59487889482417466</v>
      </c>
    </row>
    <row r="2635" spans="1:11" ht="11.25" x14ac:dyDescent="0.15">
      <c r="A2635" s="326">
        <v>0.95</v>
      </c>
      <c r="B2635" s="327">
        <v>75</v>
      </c>
      <c r="C2635" s="327" t="s">
        <v>109</v>
      </c>
      <c r="D2635" s="327" t="s">
        <v>113</v>
      </c>
      <c r="E2635" s="328" t="s">
        <v>1975</v>
      </c>
      <c r="F2635" s="328">
        <v>11.390537999999999</v>
      </c>
      <c r="G2635" s="328">
        <v>4873.2795999999998</v>
      </c>
      <c r="H2635" s="328">
        <v>5534.9070999999994</v>
      </c>
      <c r="I2635" s="329">
        <v>1.1871240225417764E-2</v>
      </c>
      <c r="J2635" s="329">
        <v>0.50895166734195751</v>
      </c>
      <c r="K2635" s="329">
        <v>0.583371015412122</v>
      </c>
    </row>
    <row r="2636" spans="1:11" ht="11.25" x14ac:dyDescent="0.15">
      <c r="A2636" s="326">
        <v>0.97499999999999998</v>
      </c>
      <c r="B2636" s="327">
        <v>75</v>
      </c>
      <c r="C2636" s="327" t="s">
        <v>109</v>
      </c>
      <c r="D2636" s="327" t="s">
        <v>79</v>
      </c>
      <c r="E2636" s="328" t="s">
        <v>1976</v>
      </c>
      <c r="F2636" s="328">
        <v>95.84260725</v>
      </c>
      <c r="G2636" s="328">
        <v>5384.0465249999997</v>
      </c>
      <c r="H2636" s="328">
        <v>6081.1383750000005</v>
      </c>
      <c r="I2636" s="329">
        <v>9.9887346365476012E-2</v>
      </c>
      <c r="J2636" s="329">
        <v>0.5622947339088491</v>
      </c>
      <c r="K2636" s="329">
        <v>0.64094298324995769</v>
      </c>
    </row>
    <row r="2637" spans="1:11" ht="11.25" x14ac:dyDescent="0.15">
      <c r="A2637" s="326">
        <v>0.97499999999999998</v>
      </c>
      <c r="B2637" s="327">
        <v>75</v>
      </c>
      <c r="C2637" s="327" t="s">
        <v>109</v>
      </c>
      <c r="D2637" s="327" t="s">
        <v>114</v>
      </c>
      <c r="E2637" s="328" t="s">
        <v>1977</v>
      </c>
      <c r="F2637" s="328">
        <v>24.940421999999998</v>
      </c>
      <c r="G2637" s="328">
        <v>5206.0241999999998</v>
      </c>
      <c r="H2637" s="328">
        <v>5964.6083249999992</v>
      </c>
      <c r="I2637" s="329">
        <v>2.5992954932005333E-2</v>
      </c>
      <c r="J2637" s="329">
        <v>0.54370258107344804</v>
      </c>
      <c r="K2637" s="329">
        <v>0.62866088847107227</v>
      </c>
    </row>
    <row r="2638" spans="1:11" ht="11.25" x14ac:dyDescent="0.15">
      <c r="A2638" s="326">
        <v>0.97499999999999998</v>
      </c>
      <c r="B2638" s="327">
        <v>75</v>
      </c>
      <c r="C2638" s="327" t="s">
        <v>109</v>
      </c>
      <c r="D2638" s="327" t="s">
        <v>113</v>
      </c>
      <c r="E2638" s="328" t="s">
        <v>1978</v>
      </c>
      <c r="F2638" s="328">
        <v>12.34779975</v>
      </c>
      <c r="G2638" s="328">
        <v>5122.1342249999998</v>
      </c>
      <c r="H2638" s="328">
        <v>5850.8014499999999</v>
      </c>
      <c r="I2638" s="329">
        <v>1.28689002299631E-2</v>
      </c>
      <c r="J2638" s="329">
        <v>0.53494134712957075</v>
      </c>
      <c r="K2638" s="329">
        <v>0.61666581230626549</v>
      </c>
    </row>
    <row r="2639" spans="1:11" ht="11.25" x14ac:dyDescent="0.15">
      <c r="A2639" s="326">
        <v>1</v>
      </c>
      <c r="B2639" s="327">
        <v>75</v>
      </c>
      <c r="C2639" s="327" t="s">
        <v>109</v>
      </c>
      <c r="D2639" s="327" t="s">
        <v>79</v>
      </c>
      <c r="E2639" s="328" t="s">
        <v>1979</v>
      </c>
      <c r="F2639" s="328">
        <v>102.9025</v>
      </c>
      <c r="G2639" s="328">
        <v>5694.9960000000001</v>
      </c>
      <c r="H2639" s="328">
        <v>6415.2650000000003</v>
      </c>
      <c r="I2639" s="329">
        <v>0.10724517992881913</v>
      </c>
      <c r="J2639" s="329">
        <v>0.59476942585149006</v>
      </c>
      <c r="K2639" s="329">
        <v>0.67615943494116593</v>
      </c>
    </row>
    <row r="2640" spans="1:11" ht="11.25" x14ac:dyDescent="0.15">
      <c r="A2640" s="326">
        <v>1</v>
      </c>
      <c r="B2640" s="327">
        <v>75</v>
      </c>
      <c r="C2640" s="327" t="s">
        <v>109</v>
      </c>
      <c r="D2640" s="327" t="s">
        <v>114</v>
      </c>
      <c r="E2640" s="328" t="s">
        <v>1980</v>
      </c>
      <c r="F2640" s="328">
        <v>26.839040000000001</v>
      </c>
      <c r="G2640" s="328">
        <v>5482.53</v>
      </c>
      <c r="H2640" s="328">
        <v>6294.1270000000004</v>
      </c>
      <c r="I2640" s="329">
        <v>2.7971698198943407E-2</v>
      </c>
      <c r="J2640" s="329">
        <v>0.57258007210427708</v>
      </c>
      <c r="K2640" s="329">
        <v>0.6633916690531001</v>
      </c>
    </row>
    <row r="2641" spans="1:11" ht="11.25" x14ac:dyDescent="0.15">
      <c r="A2641" s="326">
        <v>1</v>
      </c>
      <c r="B2641" s="327">
        <v>75</v>
      </c>
      <c r="C2641" s="327" t="s">
        <v>109</v>
      </c>
      <c r="D2641" s="327" t="s">
        <v>113</v>
      </c>
      <c r="E2641" s="328" t="s">
        <v>1981</v>
      </c>
      <c r="F2641" s="328">
        <v>13.39344</v>
      </c>
      <c r="G2641" s="328">
        <v>5381.009</v>
      </c>
      <c r="H2641" s="328">
        <v>6175.598</v>
      </c>
      <c r="I2641" s="329">
        <v>1.3958668474194925E-2</v>
      </c>
      <c r="J2641" s="329">
        <v>0.56197750330846596</v>
      </c>
      <c r="K2641" s="329">
        <v>0.65089888790311767</v>
      </c>
    </row>
    <row r="2642" spans="1:11" ht="11.25" x14ac:dyDescent="0.15">
      <c r="A2642" s="326">
        <v>1.0249999999999999</v>
      </c>
      <c r="B2642" s="327">
        <v>75</v>
      </c>
      <c r="C2642" s="327" t="s">
        <v>109</v>
      </c>
      <c r="D2642" s="327" t="s">
        <v>79</v>
      </c>
      <c r="E2642" s="328" t="s">
        <v>1982</v>
      </c>
      <c r="F2642" s="328">
        <v>110.47583249999998</v>
      </c>
      <c r="G2642" s="328">
        <v>6022.9430499999999</v>
      </c>
      <c r="H2642" s="328">
        <v>6758.5670999999993</v>
      </c>
      <c r="I2642" s="329">
        <v>0.11513812136972942</v>
      </c>
      <c r="J2642" s="329">
        <v>0.62901929690288139</v>
      </c>
      <c r="K2642" s="329">
        <v>0.71234296811557341</v>
      </c>
    </row>
    <row r="2643" spans="1:11" ht="11.25" x14ac:dyDescent="0.15">
      <c r="A2643" s="326">
        <v>1.0249999999999999</v>
      </c>
      <c r="B2643" s="327">
        <v>75</v>
      </c>
      <c r="C2643" s="327" t="s">
        <v>109</v>
      </c>
      <c r="D2643" s="327" t="s">
        <v>114</v>
      </c>
      <c r="E2643" s="328" t="s">
        <v>1983</v>
      </c>
      <c r="F2643" s="328">
        <v>28.886201499999999</v>
      </c>
      <c r="G2643" s="328">
        <v>5770.9990749999997</v>
      </c>
      <c r="H2643" s="328">
        <v>6632.6007499999996</v>
      </c>
      <c r="I2643" s="329">
        <v>3.0105253782246544E-2</v>
      </c>
      <c r="J2643" s="329">
        <v>0.60270697405708973</v>
      </c>
      <c r="K2643" s="329">
        <v>0.69906630128456937</v>
      </c>
    </row>
    <row r="2644" spans="1:11" ht="11.25" x14ac:dyDescent="0.15">
      <c r="A2644" s="326">
        <v>1.0249999999999999</v>
      </c>
      <c r="B2644" s="327">
        <v>75</v>
      </c>
      <c r="C2644" s="327" t="s">
        <v>109</v>
      </c>
      <c r="D2644" s="327" t="s">
        <v>113</v>
      </c>
      <c r="E2644" s="328" t="s">
        <v>1984</v>
      </c>
      <c r="F2644" s="328">
        <v>14.534520499999999</v>
      </c>
      <c r="G2644" s="328">
        <v>5648.6540499999992</v>
      </c>
      <c r="H2644" s="328">
        <v>6509.3844749999989</v>
      </c>
      <c r="I2644" s="329">
        <v>1.5147904727306044E-2</v>
      </c>
      <c r="J2644" s="329">
        <v>0.58992960243557557</v>
      </c>
      <c r="K2644" s="329">
        <v>0.6860794882878255</v>
      </c>
    </row>
    <row r="2645" spans="1:11" ht="11.25" x14ac:dyDescent="0.15">
      <c r="A2645" s="326">
        <v>1.05</v>
      </c>
      <c r="B2645" s="327">
        <v>75</v>
      </c>
      <c r="C2645" s="327" t="s">
        <v>109</v>
      </c>
      <c r="D2645" s="327" t="s">
        <v>79</v>
      </c>
      <c r="E2645" s="328" t="s">
        <v>1985</v>
      </c>
      <c r="F2645" s="328">
        <v>118.60684500000001</v>
      </c>
      <c r="G2645" s="328">
        <v>6369.0532499999999</v>
      </c>
      <c r="H2645" s="328">
        <v>7111.0966500000004</v>
      </c>
      <c r="I2645" s="329">
        <v>0.12361227796034656</v>
      </c>
      <c r="J2645" s="329">
        <v>0.66516607645028492</v>
      </c>
      <c r="K2645" s="329">
        <v>0.74949906086124551</v>
      </c>
    </row>
    <row r="2646" spans="1:11" ht="11.25" x14ac:dyDescent="0.15">
      <c r="A2646" s="326">
        <v>1.05</v>
      </c>
      <c r="B2646" s="327">
        <v>75</v>
      </c>
      <c r="C2646" s="327" t="s">
        <v>109</v>
      </c>
      <c r="D2646" s="327" t="s">
        <v>114</v>
      </c>
      <c r="E2646" s="328" t="s">
        <v>1986</v>
      </c>
      <c r="F2646" s="328">
        <v>31.096653000000003</v>
      </c>
      <c r="G2646" s="328">
        <v>6073.8436500000007</v>
      </c>
      <c r="H2646" s="328">
        <v>6979.7437500000005</v>
      </c>
      <c r="I2646" s="329">
        <v>3.2408990512077483E-2</v>
      </c>
      <c r="J2646" s="329">
        <v>0.63433521295225126</v>
      </c>
      <c r="K2646" s="329">
        <v>0.73565465963356691</v>
      </c>
    </row>
    <row r="2647" spans="1:11" ht="11.25" x14ac:dyDescent="0.15">
      <c r="A2647" s="326">
        <v>1.05</v>
      </c>
      <c r="B2647" s="327">
        <v>75</v>
      </c>
      <c r="C2647" s="327" t="s">
        <v>109</v>
      </c>
      <c r="D2647" s="327" t="s">
        <v>113</v>
      </c>
      <c r="E2647" s="328" t="s">
        <v>1987</v>
      </c>
      <c r="F2647" s="328">
        <v>15.781626000000003</v>
      </c>
      <c r="G2647" s="328">
        <v>5927.0851499999999</v>
      </c>
      <c r="H2647" s="328">
        <v>6851.8568999999998</v>
      </c>
      <c r="I2647" s="329">
        <v>1.6447640435745783E-2</v>
      </c>
      <c r="J2647" s="329">
        <v>0.61900816640404888</v>
      </c>
      <c r="K2647" s="329">
        <v>0.72217557494534179</v>
      </c>
    </row>
    <row r="2648" spans="1:11" ht="11.25" x14ac:dyDescent="0.15">
      <c r="A2648" s="326">
        <v>1.075</v>
      </c>
      <c r="B2648" s="327">
        <v>75</v>
      </c>
      <c r="C2648" s="327" t="s">
        <v>109</v>
      </c>
      <c r="D2648" s="327" t="s">
        <v>79</v>
      </c>
      <c r="E2648" s="328" t="s">
        <v>1988</v>
      </c>
      <c r="F2648" s="328">
        <v>127.344285</v>
      </c>
      <c r="G2648" s="328">
        <v>6733.5129749999996</v>
      </c>
      <c r="H2648" s="328">
        <v>7472.5195750000003</v>
      </c>
      <c r="I2648" s="329">
        <v>0.13271845443727628</v>
      </c>
      <c r="J2648" s="329">
        <v>0.70322922897650997</v>
      </c>
      <c r="K2648" s="329">
        <v>0.78759250216768928</v>
      </c>
    </row>
    <row r="2649" spans="1:11" ht="11.25" x14ac:dyDescent="0.15">
      <c r="A2649" s="326">
        <v>1.075</v>
      </c>
      <c r="B2649" s="327">
        <v>75</v>
      </c>
      <c r="C2649" s="327" t="s">
        <v>109</v>
      </c>
      <c r="D2649" s="327" t="s">
        <v>114</v>
      </c>
      <c r="E2649" s="328" t="s">
        <v>1989</v>
      </c>
      <c r="F2649" s="328">
        <v>33.487034749999999</v>
      </c>
      <c r="G2649" s="328">
        <v>6390.9642250000006</v>
      </c>
      <c r="H2649" s="328">
        <v>7335.5409249999993</v>
      </c>
      <c r="I2649" s="329">
        <v>3.490025088842709E-2</v>
      </c>
      <c r="J2649" s="329">
        <v>0.66745439728854306</v>
      </c>
      <c r="K2649" s="329">
        <v>0.77315515521740674</v>
      </c>
    </row>
    <row r="2650" spans="1:11" ht="11.25" x14ac:dyDescent="0.15">
      <c r="A2650" s="326">
        <v>1.075</v>
      </c>
      <c r="B2650" s="327">
        <v>75</v>
      </c>
      <c r="C2650" s="327" t="s">
        <v>109</v>
      </c>
      <c r="D2650" s="327" t="s">
        <v>113</v>
      </c>
      <c r="E2650" s="328" t="s">
        <v>1990</v>
      </c>
      <c r="F2650" s="328">
        <v>17.146712249999997</v>
      </c>
      <c r="G2650" s="328">
        <v>6215.9832500000002</v>
      </c>
      <c r="H2650" s="328">
        <v>7203.1148999999996</v>
      </c>
      <c r="I2650" s="329">
        <v>1.7870335904753884E-2</v>
      </c>
      <c r="J2650" s="329">
        <v>0.64917987452580816</v>
      </c>
      <c r="K2650" s="329">
        <v>0.75919764820319846</v>
      </c>
    </row>
    <row r="2651" spans="1:11" ht="11.25" x14ac:dyDescent="0.15">
      <c r="A2651" s="326">
        <v>1.1000000000000001</v>
      </c>
      <c r="B2651" s="327">
        <v>75</v>
      </c>
      <c r="C2651" s="327" t="s">
        <v>109</v>
      </c>
      <c r="D2651" s="327" t="s">
        <v>79</v>
      </c>
      <c r="E2651" s="328" t="s">
        <v>1991</v>
      </c>
      <c r="F2651" s="328">
        <v>136.74188000000001</v>
      </c>
      <c r="G2651" s="328">
        <v>7117.7117000000007</v>
      </c>
      <c r="H2651" s="328">
        <v>7842.7228000000014</v>
      </c>
      <c r="I2651" s="329">
        <v>0.14251264570253391</v>
      </c>
      <c r="J2651" s="329">
        <v>0.74335386735748954</v>
      </c>
      <c r="K2651" s="329">
        <v>0.82661137409728191</v>
      </c>
    </row>
    <row r="2652" spans="1:11" ht="11.25" x14ac:dyDescent="0.15">
      <c r="A2652" s="326">
        <v>1.1000000000000001</v>
      </c>
      <c r="B2652" s="327">
        <v>75</v>
      </c>
      <c r="C2652" s="327" t="s">
        <v>109</v>
      </c>
      <c r="D2652" s="327" t="s">
        <v>114</v>
      </c>
      <c r="E2652" s="328" t="s">
        <v>1992</v>
      </c>
      <c r="F2652" s="328">
        <v>36.075941</v>
      </c>
      <c r="G2652" s="328">
        <v>6724.2647999999999</v>
      </c>
      <c r="H2652" s="328">
        <v>7700.3234000000002</v>
      </c>
      <c r="I2652" s="329">
        <v>3.7598413873778221E-2</v>
      </c>
      <c r="J2652" s="329">
        <v>0.70226337549128826</v>
      </c>
      <c r="K2652" s="329">
        <v>0.8116026881209486</v>
      </c>
    </row>
    <row r="2653" spans="1:11" ht="11.25" x14ac:dyDescent="0.15">
      <c r="A2653" s="326">
        <v>1.1000000000000001</v>
      </c>
      <c r="B2653" s="327">
        <v>75</v>
      </c>
      <c r="C2653" s="327" t="s">
        <v>109</v>
      </c>
      <c r="D2653" s="327" t="s">
        <v>113</v>
      </c>
      <c r="E2653" s="328" t="s">
        <v>1993</v>
      </c>
      <c r="F2653" s="328">
        <v>18.643173999999998</v>
      </c>
      <c r="G2653" s="328">
        <v>6517.8894000000009</v>
      </c>
      <c r="H2653" s="328">
        <v>7562.9103000000005</v>
      </c>
      <c r="I2653" s="329">
        <v>1.942995116808904E-2</v>
      </c>
      <c r="J2653" s="329">
        <v>0.68071010694327327</v>
      </c>
      <c r="K2653" s="329">
        <v>0.79711955078375152</v>
      </c>
    </row>
    <row r="2654" spans="1:11" ht="11.25" x14ac:dyDescent="0.15">
      <c r="A2654" s="326">
        <v>1.125</v>
      </c>
      <c r="B2654" s="327">
        <v>75</v>
      </c>
      <c r="C2654" s="327" t="s">
        <v>109</v>
      </c>
      <c r="D2654" s="327" t="s">
        <v>79</v>
      </c>
      <c r="E2654" s="328" t="s">
        <v>1994</v>
      </c>
      <c r="F2654" s="328">
        <v>146.85952499999999</v>
      </c>
      <c r="G2654" s="328">
        <v>7522.9874999999993</v>
      </c>
      <c r="H2654" s="328">
        <v>8222.1221250000017</v>
      </c>
      <c r="I2654" s="329">
        <v>0.15305727443828779</v>
      </c>
      <c r="J2654" s="329">
        <v>0.7856797363971697</v>
      </c>
      <c r="K2654" s="329">
        <v>0.86659950135454411</v>
      </c>
    </row>
    <row r="2655" spans="1:11" ht="11.25" x14ac:dyDescent="0.15">
      <c r="A2655" s="326">
        <v>1.125</v>
      </c>
      <c r="B2655" s="327">
        <v>75</v>
      </c>
      <c r="C2655" s="327" t="s">
        <v>109</v>
      </c>
      <c r="D2655" s="327" t="s">
        <v>114</v>
      </c>
      <c r="E2655" s="328" t="s">
        <v>1995</v>
      </c>
      <c r="F2655" s="328">
        <v>38.884151250000002</v>
      </c>
      <c r="G2655" s="328">
        <v>7074.5760000000009</v>
      </c>
      <c r="H2655" s="328">
        <v>8073.8741250000003</v>
      </c>
      <c r="I2655" s="329">
        <v>4.0525135902292633E-2</v>
      </c>
      <c r="J2655" s="329">
        <v>0.73884889570822021</v>
      </c>
      <c r="K2655" s="329">
        <v>0.85097438159547578</v>
      </c>
    </row>
    <row r="2656" spans="1:11" ht="11.25" x14ac:dyDescent="0.15">
      <c r="A2656" s="326">
        <v>1.125</v>
      </c>
      <c r="B2656" s="327">
        <v>75</v>
      </c>
      <c r="C2656" s="327" t="s">
        <v>109</v>
      </c>
      <c r="D2656" s="327" t="s">
        <v>113</v>
      </c>
      <c r="E2656" s="328" t="s">
        <v>1996</v>
      </c>
      <c r="F2656" s="328">
        <v>20.286011250000001</v>
      </c>
      <c r="G2656" s="328">
        <v>6833.0339999999997</v>
      </c>
      <c r="H2656" s="328">
        <v>7931.363625</v>
      </c>
      <c r="I2656" s="329">
        <v>2.1142119254092945E-2</v>
      </c>
      <c r="J2656" s="329">
        <v>0.71362292598690324</v>
      </c>
      <c r="K2656" s="329">
        <v>0.83595398584359604</v>
      </c>
    </row>
    <row r="2657" spans="1:11" ht="11.25" x14ac:dyDescent="0.15">
      <c r="A2657" s="326">
        <v>1.1499999999999999</v>
      </c>
      <c r="B2657" s="327">
        <v>75</v>
      </c>
      <c r="C2657" s="327" t="s">
        <v>109</v>
      </c>
      <c r="D2657" s="327" t="s">
        <v>79</v>
      </c>
      <c r="E2657" s="328" t="s">
        <v>1997</v>
      </c>
      <c r="F2657" s="328">
        <v>157.76067999999998</v>
      </c>
      <c r="G2657" s="328">
        <v>7950.6215999999995</v>
      </c>
      <c r="H2657" s="328">
        <v>8610.6238499999999</v>
      </c>
      <c r="I2657" s="329">
        <v>0.16441847877644231</v>
      </c>
      <c r="J2657" s="329">
        <v>0.83034064364478122</v>
      </c>
      <c r="K2657" s="329">
        <v>0.90754700809817301</v>
      </c>
    </row>
    <row r="2658" spans="1:11" ht="11.25" x14ac:dyDescent="0.15">
      <c r="A2658" s="326">
        <v>1.1499999999999999</v>
      </c>
      <c r="B2658" s="327">
        <v>75</v>
      </c>
      <c r="C2658" s="327" t="s">
        <v>109</v>
      </c>
      <c r="D2658" s="327" t="s">
        <v>114</v>
      </c>
      <c r="E2658" s="328" t="s">
        <v>1998</v>
      </c>
      <c r="F2658" s="328">
        <v>41.934853499999996</v>
      </c>
      <c r="G2658" s="328">
        <v>7444.8239999999996</v>
      </c>
      <c r="H2658" s="328">
        <v>8456.9378500000003</v>
      </c>
      <c r="I2658" s="329">
        <v>4.3704583551382813E-2</v>
      </c>
      <c r="J2658" s="329">
        <v>0.77751655945770515</v>
      </c>
      <c r="K2658" s="329">
        <v>0.89134873118858826</v>
      </c>
    </row>
    <row r="2659" spans="1:11" ht="11.25" x14ac:dyDescent="0.15">
      <c r="A2659" s="326">
        <v>1.1499999999999999</v>
      </c>
      <c r="B2659" s="327">
        <v>75</v>
      </c>
      <c r="C2659" s="327" t="s">
        <v>109</v>
      </c>
      <c r="D2659" s="327" t="s">
        <v>113</v>
      </c>
      <c r="E2659" s="328" t="s">
        <v>1999</v>
      </c>
      <c r="F2659" s="328">
        <v>22.092017499999997</v>
      </c>
      <c r="G2659" s="328">
        <v>7163.5282499999994</v>
      </c>
      <c r="H2659" s="328">
        <v>8308.8212999999996</v>
      </c>
      <c r="I2659" s="329">
        <v>2.3024342380196017E-2</v>
      </c>
      <c r="J2659" s="329">
        <v>0.74813881946948313</v>
      </c>
      <c r="K2659" s="329">
        <v>0.87573746606494396</v>
      </c>
    </row>
    <row r="2660" spans="1:11" ht="11.25" x14ac:dyDescent="0.15">
      <c r="A2660" s="326">
        <v>1.175</v>
      </c>
      <c r="B2660" s="327">
        <v>75</v>
      </c>
      <c r="C2660" s="327" t="s">
        <v>109</v>
      </c>
      <c r="D2660" s="327" t="s">
        <v>79</v>
      </c>
      <c r="E2660" s="328" t="s">
        <v>2000</v>
      </c>
      <c r="F2660" s="328">
        <v>169.51748499999999</v>
      </c>
      <c r="G2660" s="328">
        <v>8400.3158750000002</v>
      </c>
      <c r="H2660" s="328">
        <v>9007.6863000000012</v>
      </c>
      <c r="I2660" s="329">
        <v>0.17667144316130218</v>
      </c>
      <c r="J2660" s="329">
        <v>0.87730545376061853</v>
      </c>
      <c r="K2660" s="329">
        <v>0.94939680258497228</v>
      </c>
    </row>
    <row r="2661" spans="1:11" ht="11.25" x14ac:dyDescent="0.15">
      <c r="A2661" s="326">
        <v>1.175</v>
      </c>
      <c r="B2661" s="327">
        <v>75</v>
      </c>
      <c r="C2661" s="327" t="s">
        <v>109</v>
      </c>
      <c r="D2661" s="327" t="s">
        <v>114</v>
      </c>
      <c r="E2661" s="328" t="s">
        <v>2001</v>
      </c>
      <c r="F2661" s="328">
        <v>45.253961750000002</v>
      </c>
      <c r="G2661" s="328">
        <v>7833.161000000001</v>
      </c>
      <c r="H2661" s="328">
        <v>8848.449125000001</v>
      </c>
      <c r="I2661" s="329">
        <v>4.7163764440811919E-2</v>
      </c>
      <c r="J2661" s="329">
        <v>0.81807338768495785</v>
      </c>
      <c r="K2661" s="329">
        <v>0.93261344004739544</v>
      </c>
    </row>
    <row r="2662" spans="1:11" ht="11.25" x14ac:dyDescent="0.15">
      <c r="A2662" s="326">
        <v>1.175</v>
      </c>
      <c r="B2662" s="327">
        <v>75</v>
      </c>
      <c r="C2662" s="327" t="s">
        <v>109</v>
      </c>
      <c r="D2662" s="327" t="s">
        <v>113</v>
      </c>
      <c r="E2662" s="328" t="s">
        <v>2002</v>
      </c>
      <c r="F2662" s="328">
        <v>24.0800035</v>
      </c>
      <c r="G2662" s="328">
        <v>7508.6024999999991</v>
      </c>
      <c r="H2662" s="328">
        <v>8694.8284500000009</v>
      </c>
      <c r="I2662" s="329">
        <v>2.5096225145590189E-2</v>
      </c>
      <c r="J2662" s="329">
        <v>0.78417740730143837</v>
      </c>
      <c r="K2662" s="329">
        <v>0.91642204829611462</v>
      </c>
    </row>
    <row r="2663" spans="1:11" ht="11.25" x14ac:dyDescent="0.15">
      <c r="A2663" s="326">
        <v>1.2</v>
      </c>
      <c r="B2663" s="327">
        <v>75</v>
      </c>
      <c r="C2663" s="327" t="s">
        <v>109</v>
      </c>
      <c r="D2663" s="327" t="s">
        <v>79</v>
      </c>
      <c r="E2663" s="328" t="s">
        <v>2003</v>
      </c>
      <c r="F2663" s="328">
        <v>182.20968000000002</v>
      </c>
      <c r="G2663" s="328">
        <v>8872.9331999999995</v>
      </c>
      <c r="H2663" s="328">
        <v>9414.0936000000002</v>
      </c>
      <c r="I2663" s="329">
        <v>0.18989927277153187</v>
      </c>
      <c r="J2663" s="329">
        <v>0.9266642829920555</v>
      </c>
      <c r="K2663" s="329">
        <v>0.99223153042925682</v>
      </c>
    </row>
    <row r="2664" spans="1:11" ht="11.25" x14ac:dyDescent="0.15">
      <c r="A2664" s="326">
        <v>1.2</v>
      </c>
      <c r="B2664" s="327">
        <v>75</v>
      </c>
      <c r="C2664" s="327" t="s">
        <v>109</v>
      </c>
      <c r="D2664" s="327" t="s">
        <v>114</v>
      </c>
      <c r="E2664" s="328" t="s">
        <v>2004</v>
      </c>
      <c r="F2664" s="328">
        <v>48.870779999999989</v>
      </c>
      <c r="G2664" s="328">
        <v>8241.5028000000002</v>
      </c>
      <c r="H2664" s="328">
        <v>9248.732399999999</v>
      </c>
      <c r="I2664" s="329">
        <v>5.0933219254748273E-2</v>
      </c>
      <c r="J2664" s="329">
        <v>0.86071946117423925</v>
      </c>
      <c r="K2664" s="329">
        <v>0.97480270472163699</v>
      </c>
    </row>
    <row r="2665" spans="1:11" ht="11.25" x14ac:dyDescent="0.15">
      <c r="A2665" s="326">
        <v>1.2</v>
      </c>
      <c r="B2665" s="327">
        <v>75</v>
      </c>
      <c r="C2665" s="327" t="s">
        <v>109</v>
      </c>
      <c r="D2665" s="327" t="s">
        <v>113</v>
      </c>
      <c r="E2665" s="328" t="s">
        <v>2005</v>
      </c>
      <c r="F2665" s="328">
        <v>26.271035999999995</v>
      </c>
      <c r="G2665" s="328">
        <v>7871.1263999999992</v>
      </c>
      <c r="H2665" s="328">
        <v>9089.6147999999994</v>
      </c>
      <c r="I2665" s="329">
        <v>2.7379723356929949E-2</v>
      </c>
      <c r="J2665" s="329">
        <v>0.82203838768850845</v>
      </c>
      <c r="K2665" s="329">
        <v>0.95803194521206192</v>
      </c>
    </row>
    <row r="2666" spans="1:11" ht="11.25" x14ac:dyDescent="0.15">
      <c r="A2666" s="326">
        <v>1.2250000000000001</v>
      </c>
      <c r="B2666" s="327">
        <v>75</v>
      </c>
      <c r="C2666" s="327" t="s">
        <v>109</v>
      </c>
      <c r="D2666" s="327" t="s">
        <v>79</v>
      </c>
      <c r="E2666" s="328" t="s">
        <v>2006</v>
      </c>
      <c r="F2666" s="328">
        <v>195.924295</v>
      </c>
      <c r="G2666" s="328">
        <v>9369.3438999999998</v>
      </c>
      <c r="H2666" s="328">
        <v>9829.5090250000012</v>
      </c>
      <c r="I2666" s="329">
        <v>0.20419267043756992</v>
      </c>
      <c r="J2666" s="329">
        <v>0.97850802564359318</v>
      </c>
      <c r="K2666" s="329">
        <v>1.0360157013144571</v>
      </c>
    </row>
    <row r="2667" spans="1:11" ht="11.25" x14ac:dyDescent="0.15">
      <c r="A2667" s="326">
        <v>1.2250000000000001</v>
      </c>
      <c r="B2667" s="327">
        <v>75</v>
      </c>
      <c r="C2667" s="327" t="s">
        <v>109</v>
      </c>
      <c r="D2667" s="327" t="s">
        <v>114</v>
      </c>
      <c r="E2667" s="328" t="s">
        <v>2007</v>
      </c>
      <c r="F2667" s="328">
        <v>52.816891750000003</v>
      </c>
      <c r="G2667" s="328">
        <v>8671.4258750000008</v>
      </c>
      <c r="H2667" s="328">
        <v>9658.1915500000014</v>
      </c>
      <c r="I2667" s="329">
        <v>5.5045864376567263E-2</v>
      </c>
      <c r="J2667" s="329">
        <v>0.90561942255754091</v>
      </c>
      <c r="K2667" s="329">
        <v>1.0179590930384861</v>
      </c>
    </row>
    <row r="2668" spans="1:11" ht="11.25" x14ac:dyDescent="0.15">
      <c r="A2668" s="326">
        <v>1.2250000000000001</v>
      </c>
      <c r="B2668" s="327">
        <v>75</v>
      </c>
      <c r="C2668" s="327" t="s">
        <v>109</v>
      </c>
      <c r="D2668" s="327" t="s">
        <v>113</v>
      </c>
      <c r="E2668" s="328" t="s">
        <v>2008</v>
      </c>
      <c r="F2668" s="328">
        <v>28.688728250000004</v>
      </c>
      <c r="G2668" s="328">
        <v>8251.758025000001</v>
      </c>
      <c r="H2668" s="328">
        <v>9493.4609</v>
      </c>
      <c r="I2668" s="329">
        <v>2.9899446787981308E-2</v>
      </c>
      <c r="J2668" s="329">
        <v>0.86179048813988213</v>
      </c>
      <c r="K2668" s="329">
        <v>1.0005967263675082</v>
      </c>
    </row>
    <row r="2669" spans="1:11" ht="11.25" x14ac:dyDescent="0.15">
      <c r="A2669" s="326">
        <v>1.25</v>
      </c>
      <c r="B2669" s="327">
        <v>75</v>
      </c>
      <c r="C2669" s="327" t="s">
        <v>109</v>
      </c>
      <c r="D2669" s="327" t="s">
        <v>79</v>
      </c>
      <c r="E2669" s="328" t="s">
        <v>2009</v>
      </c>
      <c r="F2669" s="328">
        <v>210.75787500000001</v>
      </c>
      <c r="G2669" s="328">
        <v>9889.7025000000012</v>
      </c>
      <c r="H2669" s="328">
        <v>10254.116250000003</v>
      </c>
      <c r="I2669" s="329">
        <v>0.21965225554083304</v>
      </c>
      <c r="J2669" s="329">
        <v>1.0328528198732794</v>
      </c>
      <c r="K2669" s="329">
        <v>1.0807686743136922</v>
      </c>
    </row>
    <row r="2670" spans="1:11" ht="11.25" x14ac:dyDescent="0.15">
      <c r="A2670" s="326">
        <v>1.25</v>
      </c>
      <c r="B2670" s="327">
        <v>75</v>
      </c>
      <c r="C2670" s="327" t="s">
        <v>109</v>
      </c>
      <c r="D2670" s="327" t="s">
        <v>114</v>
      </c>
      <c r="E2670" s="328" t="s">
        <v>2010</v>
      </c>
      <c r="F2670" s="328">
        <v>57.129537499999998</v>
      </c>
      <c r="G2670" s="328">
        <v>9122.875</v>
      </c>
      <c r="H2670" s="328">
        <v>10076.5975</v>
      </c>
      <c r="I2670" s="329">
        <v>5.95405119257328E-2</v>
      </c>
      <c r="J2670" s="329">
        <v>0.95276750429059343</v>
      </c>
      <c r="K2670" s="329">
        <v>1.0620584608320256</v>
      </c>
    </row>
    <row r="2671" spans="1:11" ht="11.25" x14ac:dyDescent="0.15">
      <c r="A2671" s="326">
        <v>1.25</v>
      </c>
      <c r="B2671" s="327">
        <v>75</v>
      </c>
      <c r="C2671" s="327" t="s">
        <v>109</v>
      </c>
      <c r="D2671" s="327" t="s">
        <v>113</v>
      </c>
      <c r="E2671" s="328" t="s">
        <v>2011</v>
      </c>
      <c r="F2671" s="328">
        <v>31.359624999999998</v>
      </c>
      <c r="G2671" s="328">
        <v>8649.9500000000007</v>
      </c>
      <c r="H2671" s="328">
        <v>9906.0850000000009</v>
      </c>
      <c r="I2671" s="329">
        <v>3.2683060427349135E-2</v>
      </c>
      <c r="J2671" s="329">
        <v>0.90337654234420828</v>
      </c>
      <c r="K2671" s="329">
        <v>1.0440866957295076</v>
      </c>
    </row>
    <row r="2672" spans="1:11" ht="11.25" x14ac:dyDescent="0.15">
      <c r="A2672" s="326">
        <v>1.2749999999999999</v>
      </c>
      <c r="B2672" s="327">
        <v>75</v>
      </c>
      <c r="C2672" s="327" t="s">
        <v>109</v>
      </c>
      <c r="D2672" s="327" t="s">
        <v>79</v>
      </c>
      <c r="E2672" s="328" t="s">
        <v>2012</v>
      </c>
      <c r="F2672" s="328">
        <v>226.81778249999999</v>
      </c>
      <c r="G2672" s="328">
        <v>10435.348425</v>
      </c>
      <c r="H2672" s="328">
        <v>10688.095499999999</v>
      </c>
      <c r="I2672" s="329">
        <v>0.23638992148167695</v>
      </c>
      <c r="J2672" s="329">
        <v>1.0898385514752778</v>
      </c>
      <c r="K2672" s="329">
        <v>1.1265094448751871</v>
      </c>
    </row>
    <row r="2673" spans="1:11" ht="11.25" x14ac:dyDescent="0.15">
      <c r="A2673" s="326">
        <v>1.2749999999999999</v>
      </c>
      <c r="B2673" s="327">
        <v>75</v>
      </c>
      <c r="C2673" s="327" t="s">
        <v>109</v>
      </c>
      <c r="D2673" s="327" t="s">
        <v>114</v>
      </c>
      <c r="E2673" s="328" t="s">
        <v>2013</v>
      </c>
      <c r="F2673" s="328">
        <v>61.849217250000002</v>
      </c>
      <c r="G2673" s="328">
        <v>9597.4553999999989</v>
      </c>
      <c r="H2673" s="328">
        <v>10503.240899999999</v>
      </c>
      <c r="I2673" s="329">
        <v>6.4459371078767508E-2</v>
      </c>
      <c r="J2673" s="329">
        <v>1.0023313515748355</v>
      </c>
      <c r="K2673" s="329">
        <v>1.1070260436622559</v>
      </c>
    </row>
    <row r="2674" spans="1:11" ht="11.25" x14ac:dyDescent="0.15">
      <c r="A2674" s="326">
        <v>1.2749999999999999</v>
      </c>
      <c r="B2674" s="327">
        <v>75</v>
      </c>
      <c r="C2674" s="327" t="s">
        <v>109</v>
      </c>
      <c r="D2674" s="327" t="s">
        <v>113</v>
      </c>
      <c r="E2674" s="328" t="s">
        <v>2014</v>
      </c>
      <c r="F2674" s="328">
        <v>34.313488499999998</v>
      </c>
      <c r="G2674" s="328">
        <v>9068.7996000000003</v>
      </c>
      <c r="H2674" s="328">
        <v>10327.910549999999</v>
      </c>
      <c r="I2674" s="329">
        <v>3.5761582548217638E-2</v>
      </c>
      <c r="J2674" s="329">
        <v>0.94712002102446124</v>
      </c>
      <c r="K2674" s="329">
        <v>1.0885464843012571</v>
      </c>
    </row>
    <row r="2675" spans="1:11" ht="11.25" x14ac:dyDescent="0.15">
      <c r="A2675" s="326">
        <v>1.3</v>
      </c>
      <c r="B2675" s="327">
        <v>75</v>
      </c>
      <c r="C2675" s="327" t="s">
        <v>109</v>
      </c>
      <c r="D2675" s="327" t="s">
        <v>79</v>
      </c>
      <c r="E2675" s="328" t="s">
        <v>2015</v>
      </c>
      <c r="F2675" s="328">
        <v>244.22293999999999</v>
      </c>
      <c r="G2675" s="328">
        <v>11005.553</v>
      </c>
      <c r="H2675" s="328">
        <v>11130.419300000001</v>
      </c>
      <c r="I2675" s="329">
        <v>0.25452960951429943</v>
      </c>
      <c r="J2675" s="329">
        <v>1.1493891196742094</v>
      </c>
      <c r="K2675" s="329">
        <v>1.1731297186548408</v>
      </c>
    </row>
    <row r="2676" spans="1:11" ht="11.25" x14ac:dyDescent="0.15">
      <c r="A2676" s="326">
        <v>1.3</v>
      </c>
      <c r="B2676" s="327">
        <v>75</v>
      </c>
      <c r="C2676" s="327" t="s">
        <v>109</v>
      </c>
      <c r="D2676" s="327" t="s">
        <v>114</v>
      </c>
      <c r="E2676" s="328" t="s">
        <v>2016</v>
      </c>
      <c r="F2676" s="328">
        <v>67.022033000000008</v>
      </c>
      <c r="G2676" s="328">
        <v>10095.919599999999</v>
      </c>
      <c r="H2676" s="328">
        <v>10939.190600000002</v>
      </c>
      <c r="I2676" s="329">
        <v>6.9850489427178683E-2</v>
      </c>
      <c r="J2676" s="329">
        <v>1.0543895560128234</v>
      </c>
      <c r="K2676" s="329">
        <v>1.152974496737035</v>
      </c>
    </row>
    <row r="2677" spans="1:11" ht="11.25" x14ac:dyDescent="0.15">
      <c r="A2677" s="326">
        <v>1.3</v>
      </c>
      <c r="B2677" s="327">
        <v>75</v>
      </c>
      <c r="C2677" s="327" t="s">
        <v>109</v>
      </c>
      <c r="D2677" s="327" t="s">
        <v>113</v>
      </c>
      <c r="E2677" s="328" t="s">
        <v>2017</v>
      </c>
      <c r="F2677" s="328">
        <v>37.583701999999995</v>
      </c>
      <c r="G2677" s="328">
        <v>9507.3953000000001</v>
      </c>
      <c r="H2677" s="328">
        <v>10757.4298</v>
      </c>
      <c r="I2677" s="329">
        <v>3.9169805236812696E-2</v>
      </c>
      <c r="J2677" s="329">
        <v>0.99292572706357562</v>
      </c>
      <c r="K2677" s="329">
        <v>1.1338171774645722</v>
      </c>
    </row>
    <row r="2678" spans="1:11" ht="11.25" x14ac:dyDescent="0.15">
      <c r="A2678" s="326">
        <v>1.325</v>
      </c>
      <c r="B2678" s="327">
        <v>75</v>
      </c>
      <c r="C2678" s="327" t="s">
        <v>109</v>
      </c>
      <c r="D2678" s="327" t="s">
        <v>79</v>
      </c>
      <c r="E2678" s="328" t="s">
        <v>2018</v>
      </c>
      <c r="F2678" s="328">
        <v>263.10577999999998</v>
      </c>
      <c r="G2678" s="328">
        <v>11603.256874999999</v>
      </c>
      <c r="H2678" s="328">
        <v>11582.740575</v>
      </c>
      <c r="I2678" s="329">
        <v>0.27420934104042466</v>
      </c>
      <c r="J2678" s="329">
        <v>1.2118116377168842</v>
      </c>
      <c r="K2678" s="329">
        <v>1.2208037115009458</v>
      </c>
    </row>
    <row r="2679" spans="1:11" ht="11.25" x14ac:dyDescent="0.15">
      <c r="A2679" s="326">
        <v>1.325</v>
      </c>
      <c r="B2679" s="327">
        <v>75</v>
      </c>
      <c r="C2679" s="327" t="s">
        <v>109</v>
      </c>
      <c r="D2679" s="327" t="s">
        <v>114</v>
      </c>
      <c r="E2679" s="328" t="s">
        <v>2019</v>
      </c>
      <c r="F2679" s="328">
        <v>72.698231750000005</v>
      </c>
      <c r="G2679" s="328">
        <v>10616.709574999999</v>
      </c>
      <c r="H2679" s="328">
        <v>11384.292674999999</v>
      </c>
      <c r="I2679" s="329">
        <v>7.5766234489305334E-2</v>
      </c>
      <c r="J2679" s="329">
        <v>1.1087794018388715</v>
      </c>
      <c r="K2679" s="329">
        <v>1.199887596589206</v>
      </c>
    </row>
    <row r="2680" spans="1:11" ht="11.25" x14ac:dyDescent="0.15">
      <c r="A2680" s="326">
        <v>1.325</v>
      </c>
      <c r="B2680" s="327">
        <v>75</v>
      </c>
      <c r="C2680" s="327" t="s">
        <v>109</v>
      </c>
      <c r="D2680" s="327" t="s">
        <v>113</v>
      </c>
      <c r="E2680" s="328" t="s">
        <v>2020</v>
      </c>
      <c r="F2680" s="328">
        <v>41.207963749999998</v>
      </c>
      <c r="G2680" s="328">
        <v>9967.3747749999984</v>
      </c>
      <c r="H2680" s="328">
        <v>11196.614374999999</v>
      </c>
      <c r="I2680" s="329">
        <v>4.2947017680513164E-2</v>
      </c>
      <c r="J2680" s="329">
        <v>1.0409646946500706</v>
      </c>
      <c r="K2680" s="329">
        <v>1.1801065815759963</v>
      </c>
    </row>
    <row r="2681" spans="1:11" ht="11.25" x14ac:dyDescent="0.15">
      <c r="A2681" s="326">
        <v>1.35</v>
      </c>
      <c r="B2681" s="327">
        <v>75</v>
      </c>
      <c r="C2681" s="327" t="s">
        <v>109</v>
      </c>
      <c r="D2681" s="327" t="s">
        <v>79</v>
      </c>
      <c r="E2681" s="328" t="s">
        <v>2021</v>
      </c>
      <c r="F2681" s="328">
        <v>283.61421000000001</v>
      </c>
      <c r="G2681" s="328">
        <v>12225.805200000001</v>
      </c>
      <c r="H2681" s="328">
        <v>12043.910250000003</v>
      </c>
      <c r="I2681" s="329">
        <v>0.2955832655360161</v>
      </c>
      <c r="J2681" s="329">
        <v>1.2768288405077302</v>
      </c>
      <c r="K2681" s="329">
        <v>1.2694103126093961</v>
      </c>
    </row>
    <row r="2682" spans="1:11" ht="11.25" x14ac:dyDescent="0.15">
      <c r="A2682" s="326">
        <v>1.35</v>
      </c>
      <c r="B2682" s="327">
        <v>75</v>
      </c>
      <c r="C2682" s="327" t="s">
        <v>109</v>
      </c>
      <c r="D2682" s="327" t="s">
        <v>114</v>
      </c>
      <c r="E2682" s="328" t="s">
        <v>2022</v>
      </c>
      <c r="F2682" s="328">
        <v>78.936619500000006</v>
      </c>
      <c r="G2682" s="328">
        <v>11163.1203</v>
      </c>
      <c r="H2682" s="328">
        <v>11838.220200000003</v>
      </c>
      <c r="I2682" s="329">
        <v>8.2267893989458302E-2</v>
      </c>
      <c r="J2682" s="329">
        <v>1.1658450070100337</v>
      </c>
      <c r="K2682" s="329">
        <v>1.2477308858076943</v>
      </c>
    </row>
    <row r="2683" spans="1:11" ht="11.25" x14ac:dyDescent="0.15">
      <c r="A2683" s="326">
        <v>1.35</v>
      </c>
      <c r="B2683" s="327">
        <v>75</v>
      </c>
      <c r="C2683" s="327" t="s">
        <v>109</v>
      </c>
      <c r="D2683" s="327" t="s">
        <v>113</v>
      </c>
      <c r="E2683" s="328" t="s">
        <v>2023</v>
      </c>
      <c r="F2683" s="328">
        <v>45.2284425</v>
      </c>
      <c r="G2683" s="328">
        <v>10450.632149999999</v>
      </c>
      <c r="H2683" s="328">
        <v>11644.582950000002</v>
      </c>
      <c r="I2683" s="329">
        <v>4.713716823024465E-2</v>
      </c>
      <c r="J2683" s="329">
        <v>1.0914347408919378</v>
      </c>
      <c r="K2683" s="329">
        <v>1.2273218062850928</v>
      </c>
    </row>
    <row r="2684" spans="1:11" ht="11.25" x14ac:dyDescent="0.15">
      <c r="A2684" s="326">
        <v>1.375</v>
      </c>
      <c r="B2684" s="327">
        <v>75</v>
      </c>
      <c r="C2684" s="327" t="s">
        <v>109</v>
      </c>
      <c r="D2684" s="327" t="s">
        <v>79</v>
      </c>
      <c r="E2684" s="328" t="s">
        <v>2024</v>
      </c>
      <c r="F2684" s="328">
        <v>305.91137500000002</v>
      </c>
      <c r="G2684" s="328">
        <v>12875.251124999999</v>
      </c>
      <c r="H2684" s="328">
        <v>12514.455250000001</v>
      </c>
      <c r="I2684" s="329">
        <v>0.31882141302832745</v>
      </c>
      <c r="J2684" s="329">
        <v>1.344655153280178</v>
      </c>
      <c r="K2684" s="329">
        <v>1.3190050590952216</v>
      </c>
    </row>
    <row r="2685" spans="1:11" ht="11.25" x14ac:dyDescent="0.15">
      <c r="A2685" s="326">
        <v>1.375</v>
      </c>
      <c r="B2685" s="327">
        <v>75</v>
      </c>
      <c r="C2685" s="327" t="s">
        <v>109</v>
      </c>
      <c r="D2685" s="327" t="s">
        <v>114</v>
      </c>
      <c r="E2685" s="328" t="s">
        <v>2025</v>
      </c>
      <c r="F2685" s="328">
        <v>85.801650000000009</v>
      </c>
      <c r="G2685" s="328">
        <v>11733.856749999999</v>
      </c>
      <c r="H2685" s="328">
        <v>12301.122625</v>
      </c>
      <c r="I2685" s="329">
        <v>8.9422641747669535E-2</v>
      </c>
      <c r="J2685" s="329">
        <v>1.2254511227437439</v>
      </c>
      <c r="K2685" s="329">
        <v>1.2965201162012778</v>
      </c>
    </row>
    <row r="2686" spans="1:11" ht="11.25" x14ac:dyDescent="0.15">
      <c r="A2686" s="326">
        <v>1.375</v>
      </c>
      <c r="B2686" s="327">
        <v>75</v>
      </c>
      <c r="C2686" s="327" t="s">
        <v>109</v>
      </c>
      <c r="D2686" s="327" t="s">
        <v>113</v>
      </c>
      <c r="E2686" s="328" t="s">
        <v>2026</v>
      </c>
      <c r="F2686" s="328">
        <v>49.692830000000001</v>
      </c>
      <c r="G2686" s="328">
        <v>10956.526625</v>
      </c>
      <c r="H2686" s="328">
        <v>12101.425875000001</v>
      </c>
      <c r="I2686" s="329">
        <v>5.1789961317968182E-2</v>
      </c>
      <c r="J2686" s="329">
        <v>1.1442689424325871</v>
      </c>
      <c r="K2686" s="329">
        <v>1.275472374348122</v>
      </c>
    </row>
    <row r="2687" spans="1:11" ht="11.25" x14ac:dyDescent="0.15">
      <c r="A2687" s="326">
        <v>1.4</v>
      </c>
      <c r="B2687" s="327">
        <v>75</v>
      </c>
      <c r="C2687" s="327" t="s">
        <v>109</v>
      </c>
      <c r="D2687" s="327" t="s">
        <v>79</v>
      </c>
      <c r="E2687" s="328" t="s">
        <v>2027</v>
      </c>
      <c r="F2687" s="328">
        <v>330.18216000000001</v>
      </c>
      <c r="G2687" s="328">
        <v>13551.393799999998</v>
      </c>
      <c r="H2687" s="328">
        <v>12994.512999999999</v>
      </c>
      <c r="I2687" s="329">
        <v>0.34411647101368914</v>
      </c>
      <c r="J2687" s="329">
        <v>1.4152695998229745</v>
      </c>
      <c r="K2687" s="329">
        <v>1.3696024353500025</v>
      </c>
    </row>
    <row r="2688" spans="1:11" ht="11.25" x14ac:dyDescent="0.15">
      <c r="A2688" s="326">
        <v>1.4</v>
      </c>
      <c r="B2688" s="327">
        <v>75</v>
      </c>
      <c r="C2688" s="327" t="s">
        <v>109</v>
      </c>
      <c r="D2688" s="327" t="s">
        <v>114</v>
      </c>
      <c r="E2688" s="328" t="s">
        <v>2028</v>
      </c>
      <c r="F2688" s="328">
        <v>93.36623800000001</v>
      </c>
      <c r="G2688" s="328">
        <v>12330.492999999999</v>
      </c>
      <c r="H2688" s="328">
        <v>12772.860799999999</v>
      </c>
      <c r="I2688" s="329">
        <v>9.7306469654157582E-2</v>
      </c>
      <c r="J2688" s="329">
        <v>1.2877621410227182</v>
      </c>
      <c r="K2688" s="329">
        <v>1.3462406215659317</v>
      </c>
    </row>
    <row r="2689" spans="1:11" ht="11.25" x14ac:dyDescent="0.15">
      <c r="A2689" s="326">
        <v>1.4</v>
      </c>
      <c r="B2689" s="327">
        <v>75</v>
      </c>
      <c r="C2689" s="327" t="s">
        <v>109</v>
      </c>
      <c r="D2689" s="327" t="s">
        <v>113</v>
      </c>
      <c r="E2689" s="328" t="s">
        <v>2029</v>
      </c>
      <c r="F2689" s="328">
        <v>54.654683999999996</v>
      </c>
      <c r="G2689" s="328">
        <v>11484.558399999998</v>
      </c>
      <c r="H2689" s="328">
        <v>12566.607199999999</v>
      </c>
      <c r="I2689" s="329">
        <v>5.6961214931928295E-2</v>
      </c>
      <c r="J2689" s="329">
        <v>1.1994151015603709</v>
      </c>
      <c r="K2689" s="329">
        <v>1.3245017974284126</v>
      </c>
    </row>
    <row r="2690" spans="1:11" ht="11.25" x14ac:dyDescent="0.15">
      <c r="A2690" s="326">
        <v>0.9</v>
      </c>
      <c r="B2690" s="327">
        <v>85</v>
      </c>
      <c r="C2690" s="327" t="s">
        <v>109</v>
      </c>
      <c r="D2690" s="327" t="s">
        <v>79</v>
      </c>
      <c r="E2690" s="328" t="s">
        <v>2030</v>
      </c>
      <c r="F2690" s="328">
        <v>109.37574720000001</v>
      </c>
      <c r="G2690" s="328">
        <v>4561.7412599999998</v>
      </c>
      <c r="H2690" s="328">
        <v>5140.5623999999998</v>
      </c>
      <c r="I2690" s="329">
        <v>0.11399161039151659</v>
      </c>
      <c r="J2690" s="329">
        <v>0.47641547598861395</v>
      </c>
      <c r="K2690" s="329">
        <v>0.54180766775243161</v>
      </c>
    </row>
    <row r="2691" spans="1:11" ht="11.25" x14ac:dyDescent="0.15">
      <c r="A2691" s="326">
        <v>0.9</v>
      </c>
      <c r="B2691" s="327">
        <v>85</v>
      </c>
      <c r="C2691" s="327" t="s">
        <v>109</v>
      </c>
      <c r="D2691" s="327" t="s">
        <v>114</v>
      </c>
      <c r="E2691" s="328" t="s">
        <v>2031</v>
      </c>
      <c r="F2691" s="328">
        <v>29.396422799999996</v>
      </c>
      <c r="G2691" s="328">
        <v>4450.509</v>
      </c>
      <c r="H2691" s="328">
        <v>5037.8149800000001</v>
      </c>
      <c r="I2691" s="329">
        <v>3.0637007385142641E-2</v>
      </c>
      <c r="J2691" s="329">
        <v>0.46479869040766475</v>
      </c>
      <c r="K2691" s="329">
        <v>0.53097824177410302</v>
      </c>
    </row>
    <row r="2692" spans="1:11" ht="11.25" x14ac:dyDescent="0.15">
      <c r="A2692" s="326">
        <v>0.9</v>
      </c>
      <c r="B2692" s="327">
        <v>85</v>
      </c>
      <c r="C2692" s="327" t="s">
        <v>109</v>
      </c>
      <c r="D2692" s="327" t="s">
        <v>113</v>
      </c>
      <c r="E2692" s="328" t="s">
        <v>2032</v>
      </c>
      <c r="F2692" s="328">
        <v>13.981030200000001</v>
      </c>
      <c r="G2692" s="328">
        <v>4398.76422</v>
      </c>
      <c r="H2692" s="328">
        <v>4937.65218</v>
      </c>
      <c r="I2692" s="329">
        <v>1.4571056090855463E-2</v>
      </c>
      <c r="J2692" s="329">
        <v>0.45939461056434061</v>
      </c>
      <c r="K2692" s="329">
        <v>0.5204212309179459</v>
      </c>
    </row>
    <row r="2693" spans="1:11" ht="11.25" x14ac:dyDescent="0.15">
      <c r="A2693" s="326">
        <v>0.92500000000000004</v>
      </c>
      <c r="B2693" s="327">
        <v>85</v>
      </c>
      <c r="C2693" s="327" t="s">
        <v>109</v>
      </c>
      <c r="D2693" s="327" t="s">
        <v>79</v>
      </c>
      <c r="E2693" s="328" t="s">
        <v>2033</v>
      </c>
      <c r="F2693" s="328">
        <v>116.99082540000001</v>
      </c>
      <c r="G2693" s="328">
        <v>4833.3716050000003</v>
      </c>
      <c r="H2693" s="328">
        <v>5448.2999500000005</v>
      </c>
      <c r="I2693" s="329">
        <v>0.12192805927984318</v>
      </c>
      <c r="J2693" s="329">
        <v>0.50478378815942015</v>
      </c>
      <c r="K2693" s="329">
        <v>0.57424275000050395</v>
      </c>
    </row>
    <row r="2694" spans="1:11" ht="11.25" x14ac:dyDescent="0.15">
      <c r="A2694" s="326">
        <v>0.92500000000000004</v>
      </c>
      <c r="B2694" s="327">
        <v>85</v>
      </c>
      <c r="C2694" s="327" t="s">
        <v>109</v>
      </c>
      <c r="D2694" s="327" t="s">
        <v>114</v>
      </c>
      <c r="E2694" s="328" t="s">
        <v>2034</v>
      </c>
      <c r="F2694" s="328">
        <v>31.466851650000002</v>
      </c>
      <c r="G2694" s="328">
        <v>4697.4654250000003</v>
      </c>
      <c r="H2694" s="328">
        <v>5341.2027100000005</v>
      </c>
      <c r="I2694" s="329">
        <v>3.2794812244578211E-2</v>
      </c>
      <c r="J2694" s="329">
        <v>0.49059012750570424</v>
      </c>
      <c r="K2694" s="329">
        <v>0.56295485943290324</v>
      </c>
    </row>
    <row r="2695" spans="1:11" ht="11.25" x14ac:dyDescent="0.15">
      <c r="A2695" s="326">
        <v>0.92500000000000004</v>
      </c>
      <c r="B2695" s="327">
        <v>85</v>
      </c>
      <c r="C2695" s="327" t="s">
        <v>109</v>
      </c>
      <c r="D2695" s="327" t="s">
        <v>113</v>
      </c>
      <c r="E2695" s="328" t="s">
        <v>2035</v>
      </c>
      <c r="F2695" s="328">
        <v>15.034981450000002</v>
      </c>
      <c r="G2695" s="328">
        <v>4634.5075200000001</v>
      </c>
      <c r="H2695" s="328">
        <v>5236.5776249999999</v>
      </c>
      <c r="I2695" s="329">
        <v>1.5669486074990482E-2</v>
      </c>
      <c r="J2695" s="329">
        <v>0.48401498030460655</v>
      </c>
      <c r="K2695" s="329">
        <v>0.55192753034294806</v>
      </c>
    </row>
    <row r="2696" spans="1:11" ht="11.25" x14ac:dyDescent="0.15">
      <c r="A2696" s="326">
        <v>0.95</v>
      </c>
      <c r="B2696" s="327">
        <v>85</v>
      </c>
      <c r="C2696" s="327" t="s">
        <v>109</v>
      </c>
      <c r="D2696" s="327" t="s">
        <v>79</v>
      </c>
      <c r="E2696" s="328" t="s">
        <v>2036</v>
      </c>
      <c r="F2696" s="328">
        <v>125.08200650000001</v>
      </c>
      <c r="G2696" s="328">
        <v>5119.0406099999991</v>
      </c>
      <c r="H2696" s="328">
        <v>5764.8623899999993</v>
      </c>
      <c r="I2696" s="329">
        <v>0.130360703510121</v>
      </c>
      <c r="J2696" s="329">
        <v>0.53461825864674195</v>
      </c>
      <c r="K2696" s="329">
        <v>0.60760796259172123</v>
      </c>
    </row>
    <row r="2697" spans="1:11" ht="11.25" x14ac:dyDescent="0.15">
      <c r="A2697" s="326">
        <v>0.95</v>
      </c>
      <c r="B2697" s="327">
        <v>85</v>
      </c>
      <c r="C2697" s="327" t="s">
        <v>109</v>
      </c>
      <c r="D2697" s="327" t="s">
        <v>114</v>
      </c>
      <c r="E2697" s="328" t="s">
        <v>2037</v>
      </c>
      <c r="F2697" s="328">
        <v>33.670941200000001</v>
      </c>
      <c r="G2697" s="328">
        <v>4954.70543</v>
      </c>
      <c r="H2697" s="328">
        <v>5653.3624099999997</v>
      </c>
      <c r="I2697" s="329">
        <v>3.5091918538098579E-2</v>
      </c>
      <c r="J2697" s="329">
        <v>0.51745555288614076</v>
      </c>
      <c r="K2697" s="329">
        <v>0.59585602974518237</v>
      </c>
    </row>
    <row r="2698" spans="1:11" ht="11.25" x14ac:dyDescent="0.15">
      <c r="A2698" s="326">
        <v>0.95</v>
      </c>
      <c r="B2698" s="327">
        <v>85</v>
      </c>
      <c r="C2698" s="327" t="s">
        <v>109</v>
      </c>
      <c r="D2698" s="327" t="s">
        <v>113</v>
      </c>
      <c r="E2698" s="328" t="s">
        <v>2038</v>
      </c>
      <c r="F2698" s="328">
        <v>16.167700400000001</v>
      </c>
      <c r="G2698" s="328">
        <v>4877.8654399999996</v>
      </c>
      <c r="H2698" s="328">
        <v>5544.2296399999996</v>
      </c>
      <c r="I2698" s="329">
        <v>1.6850007904892893E-2</v>
      </c>
      <c r="J2698" s="329">
        <v>0.50943059962283122</v>
      </c>
      <c r="K2698" s="329">
        <v>0.58435359732863146</v>
      </c>
    </row>
    <row r="2699" spans="1:11" ht="11.25" x14ac:dyDescent="0.15">
      <c r="A2699" s="326">
        <v>0.97499999999999998</v>
      </c>
      <c r="B2699" s="327">
        <v>85</v>
      </c>
      <c r="C2699" s="327" t="s">
        <v>109</v>
      </c>
      <c r="D2699" s="327" t="s">
        <v>79</v>
      </c>
      <c r="E2699" s="328" t="s">
        <v>2039</v>
      </c>
      <c r="F2699" s="328">
        <v>133.69510635</v>
      </c>
      <c r="G2699" s="328">
        <v>5419.7841749999998</v>
      </c>
      <c r="H2699" s="328">
        <v>6090.4504050000005</v>
      </c>
      <c r="I2699" s="329">
        <v>0.13933729244778659</v>
      </c>
      <c r="J2699" s="329">
        <v>0.56602707394416807</v>
      </c>
      <c r="K2699" s="329">
        <v>0.6419244574280244</v>
      </c>
    </row>
    <row r="2700" spans="1:11" ht="11.25" x14ac:dyDescent="0.15">
      <c r="A2700" s="326">
        <v>0.97499999999999998</v>
      </c>
      <c r="B2700" s="327">
        <v>85</v>
      </c>
      <c r="C2700" s="327" t="s">
        <v>109</v>
      </c>
      <c r="D2700" s="327" t="s">
        <v>114</v>
      </c>
      <c r="E2700" s="328" t="s">
        <v>2040</v>
      </c>
      <c r="F2700" s="328">
        <v>36.023999699999997</v>
      </c>
      <c r="G2700" s="328">
        <v>5222.5079399999995</v>
      </c>
      <c r="H2700" s="328">
        <v>5974.1563049999995</v>
      </c>
      <c r="I2700" s="329">
        <v>3.7544280552777885E-2</v>
      </c>
      <c r="J2700" s="329">
        <v>0.54542409669447489</v>
      </c>
      <c r="K2700" s="329">
        <v>0.62966723142987902</v>
      </c>
    </row>
    <row r="2701" spans="1:11" ht="11.25" x14ac:dyDescent="0.15">
      <c r="A2701" s="326">
        <v>0.97499999999999998</v>
      </c>
      <c r="B2701" s="327">
        <v>85</v>
      </c>
      <c r="C2701" s="327" t="s">
        <v>109</v>
      </c>
      <c r="D2701" s="327" t="s">
        <v>113</v>
      </c>
      <c r="E2701" s="328" t="s">
        <v>2041</v>
      </c>
      <c r="F2701" s="328">
        <v>17.390082449999998</v>
      </c>
      <c r="G2701" s="328">
        <v>5129.5075649999999</v>
      </c>
      <c r="H2701" s="328">
        <v>5860.3681499999993</v>
      </c>
      <c r="I2701" s="329">
        <v>1.812397678702898E-2</v>
      </c>
      <c r="J2701" s="329">
        <v>0.53571139810035417</v>
      </c>
      <c r="K2701" s="329">
        <v>0.61767412832536228</v>
      </c>
    </row>
    <row r="2702" spans="1:11" ht="11.25" x14ac:dyDescent="0.15">
      <c r="A2702" s="326">
        <v>1</v>
      </c>
      <c r="B2702" s="327">
        <v>85</v>
      </c>
      <c r="C2702" s="327" t="s">
        <v>109</v>
      </c>
      <c r="D2702" s="327" t="s">
        <v>79</v>
      </c>
      <c r="E2702" s="328" t="s">
        <v>2042</v>
      </c>
      <c r="F2702" s="328">
        <v>142.87090000000001</v>
      </c>
      <c r="G2702" s="328">
        <v>5736.5456000000004</v>
      </c>
      <c r="H2702" s="328">
        <v>6424.9370000000008</v>
      </c>
      <c r="I2702" s="329">
        <v>0.14890032192699229</v>
      </c>
      <c r="J2702" s="329">
        <v>0.5991087496607358</v>
      </c>
      <c r="K2702" s="329">
        <v>0.67717884942439477</v>
      </c>
    </row>
    <row r="2703" spans="1:11" ht="11.25" x14ac:dyDescent="0.15">
      <c r="A2703" s="326">
        <v>1</v>
      </c>
      <c r="B2703" s="327">
        <v>85</v>
      </c>
      <c r="C2703" s="327" t="s">
        <v>109</v>
      </c>
      <c r="D2703" s="327" t="s">
        <v>114</v>
      </c>
      <c r="E2703" s="328" t="s">
        <v>2043</v>
      </c>
      <c r="F2703" s="328">
        <v>38.539252000000005</v>
      </c>
      <c r="G2703" s="328">
        <v>5503.1431999999995</v>
      </c>
      <c r="H2703" s="328">
        <v>6303.9050000000007</v>
      </c>
      <c r="I2703" s="329">
        <v>4.016568125227378E-2</v>
      </c>
      <c r="J2703" s="329">
        <v>0.57473285695767495</v>
      </c>
      <c r="K2703" s="329">
        <v>0.66442225577942471</v>
      </c>
    </row>
    <row r="2704" spans="1:11" ht="11.25" x14ac:dyDescent="0.15">
      <c r="A2704" s="326">
        <v>1</v>
      </c>
      <c r="B2704" s="327">
        <v>85</v>
      </c>
      <c r="C2704" s="327" t="s">
        <v>109</v>
      </c>
      <c r="D2704" s="327" t="s">
        <v>113</v>
      </c>
      <c r="E2704" s="328" t="s">
        <v>2044</v>
      </c>
      <c r="F2704" s="328">
        <v>18.711364</v>
      </c>
      <c r="G2704" s="328">
        <v>5390.7322000000004</v>
      </c>
      <c r="H2704" s="328">
        <v>6185.5255999999999</v>
      </c>
      <c r="I2704" s="329">
        <v>1.9501018914930432E-2</v>
      </c>
      <c r="J2704" s="329">
        <v>0.56299296707375035</v>
      </c>
      <c r="K2704" s="329">
        <v>0.6519452422480001</v>
      </c>
    </row>
    <row r="2705" spans="1:11" ht="11.25" x14ac:dyDescent="0.15">
      <c r="A2705" s="326">
        <v>1.0249999999999999</v>
      </c>
      <c r="B2705" s="327">
        <v>85</v>
      </c>
      <c r="C2705" s="327" t="s">
        <v>109</v>
      </c>
      <c r="D2705" s="327" t="s">
        <v>79</v>
      </c>
      <c r="E2705" s="328" t="s">
        <v>2045</v>
      </c>
      <c r="F2705" s="328">
        <v>152.64453749999998</v>
      </c>
      <c r="G2705" s="328">
        <v>6070.9573300000002</v>
      </c>
      <c r="H2705" s="328">
        <v>6768.4714699999995</v>
      </c>
      <c r="I2705" s="329">
        <v>0.15908642539626225</v>
      </c>
      <c r="J2705" s="329">
        <v>0.63403377377841796</v>
      </c>
      <c r="K2705" s="329">
        <v>0.71338687405284151</v>
      </c>
    </row>
    <row r="2706" spans="1:11" ht="11.25" x14ac:dyDescent="0.15">
      <c r="A2706" s="326">
        <v>1.0249999999999999</v>
      </c>
      <c r="B2706" s="327">
        <v>85</v>
      </c>
      <c r="C2706" s="327" t="s">
        <v>109</v>
      </c>
      <c r="D2706" s="327" t="s">
        <v>114</v>
      </c>
      <c r="E2706" s="328" t="s">
        <v>2046</v>
      </c>
      <c r="F2706" s="328">
        <v>41.227574599999997</v>
      </c>
      <c r="G2706" s="328">
        <v>5796.1201849999998</v>
      </c>
      <c r="H2706" s="328">
        <v>6642.5805599999994</v>
      </c>
      <c r="I2706" s="329">
        <v>4.2967456145436823E-2</v>
      </c>
      <c r="J2706" s="329">
        <v>0.6053305524005077</v>
      </c>
      <c r="K2706" s="329">
        <v>0.70011815848616898</v>
      </c>
    </row>
    <row r="2707" spans="1:11" ht="11.25" x14ac:dyDescent="0.15">
      <c r="A2707" s="326">
        <v>1.0249999999999999</v>
      </c>
      <c r="B2707" s="327">
        <v>85</v>
      </c>
      <c r="C2707" s="327" t="s">
        <v>109</v>
      </c>
      <c r="D2707" s="327" t="s">
        <v>113</v>
      </c>
      <c r="E2707" s="328" t="s">
        <v>2047</v>
      </c>
      <c r="F2707" s="328">
        <v>20.139003199999998</v>
      </c>
      <c r="G2707" s="328">
        <v>5661.1520799999989</v>
      </c>
      <c r="H2707" s="328">
        <v>6519.5303349999995</v>
      </c>
      <c r="I2707" s="329">
        <v>2.0988907186619023E-2</v>
      </c>
      <c r="J2707" s="329">
        <v>0.59123486167146877</v>
      </c>
      <c r="K2707" s="329">
        <v>0.68714884691363332</v>
      </c>
    </row>
    <row r="2708" spans="1:11" ht="11.25" x14ac:dyDescent="0.15">
      <c r="A2708" s="326">
        <v>1.05</v>
      </c>
      <c r="B2708" s="327">
        <v>85</v>
      </c>
      <c r="C2708" s="327" t="s">
        <v>109</v>
      </c>
      <c r="D2708" s="327" t="s">
        <v>79</v>
      </c>
      <c r="E2708" s="328" t="s">
        <v>2048</v>
      </c>
      <c r="F2708" s="328">
        <v>163.06292100000002</v>
      </c>
      <c r="G2708" s="328">
        <v>6423.7641299999996</v>
      </c>
      <c r="H2708" s="328">
        <v>7121.2551900000008</v>
      </c>
      <c r="I2708" s="329">
        <v>0.16994448436494566</v>
      </c>
      <c r="J2708" s="329">
        <v>0.67087992746711256</v>
      </c>
      <c r="K2708" s="329">
        <v>0.75056975594028386</v>
      </c>
    </row>
    <row r="2709" spans="1:11" ht="11.25" x14ac:dyDescent="0.15">
      <c r="A2709" s="326">
        <v>1.05</v>
      </c>
      <c r="B2709" s="327">
        <v>85</v>
      </c>
      <c r="C2709" s="327" t="s">
        <v>109</v>
      </c>
      <c r="D2709" s="327" t="s">
        <v>114</v>
      </c>
      <c r="E2709" s="328" t="s">
        <v>2049</v>
      </c>
      <c r="F2709" s="328">
        <v>44.104578000000004</v>
      </c>
      <c r="G2709" s="328">
        <v>6103.6565100000007</v>
      </c>
      <c r="H2709" s="328">
        <v>6989.9699100000007</v>
      </c>
      <c r="I2709" s="329">
        <v>4.5965874524862255E-2</v>
      </c>
      <c r="J2709" s="329">
        <v>0.63744878452020159</v>
      </c>
      <c r="K2709" s="329">
        <v>0.7367324817605122</v>
      </c>
    </row>
    <row r="2710" spans="1:11" ht="11.25" x14ac:dyDescent="0.15">
      <c r="A2710" s="326">
        <v>1.05</v>
      </c>
      <c r="B2710" s="327">
        <v>85</v>
      </c>
      <c r="C2710" s="327" t="s">
        <v>109</v>
      </c>
      <c r="D2710" s="327" t="s">
        <v>113</v>
      </c>
      <c r="E2710" s="328" t="s">
        <v>2050</v>
      </c>
      <c r="F2710" s="328">
        <v>21.683999400000001</v>
      </c>
      <c r="G2710" s="328">
        <v>5942.5856699999995</v>
      </c>
      <c r="H2710" s="328">
        <v>6862.2056999999995</v>
      </c>
      <c r="I2710" s="329">
        <v>2.259910514544745E-2</v>
      </c>
      <c r="J2710" s="329">
        <v>0.62062699728308712</v>
      </c>
      <c r="K2710" s="329">
        <v>0.72326632314675188</v>
      </c>
    </row>
    <row r="2711" spans="1:11" ht="11.25" x14ac:dyDescent="0.15">
      <c r="A2711" s="326">
        <v>1.075</v>
      </c>
      <c r="B2711" s="327">
        <v>85</v>
      </c>
      <c r="C2711" s="327" t="s">
        <v>109</v>
      </c>
      <c r="D2711" s="327" t="s">
        <v>79</v>
      </c>
      <c r="E2711" s="328" t="s">
        <v>2051</v>
      </c>
      <c r="F2711" s="328">
        <v>174.177907</v>
      </c>
      <c r="G2711" s="328">
        <v>6795.3964249999999</v>
      </c>
      <c r="H2711" s="328">
        <v>7482.801305</v>
      </c>
      <c r="I2711" s="329">
        <v>0.18152854377532252</v>
      </c>
      <c r="J2711" s="329">
        <v>0.70969216310784378</v>
      </c>
      <c r="K2711" s="329">
        <v>0.78867618129037831</v>
      </c>
    </row>
    <row r="2712" spans="1:11" ht="11.25" x14ac:dyDescent="0.15">
      <c r="A2712" s="326">
        <v>1.075</v>
      </c>
      <c r="B2712" s="327">
        <v>85</v>
      </c>
      <c r="C2712" s="327" t="s">
        <v>109</v>
      </c>
      <c r="D2712" s="327" t="s">
        <v>114</v>
      </c>
      <c r="E2712" s="328" t="s">
        <v>2052</v>
      </c>
      <c r="F2712" s="328">
        <v>47.187793649999996</v>
      </c>
      <c r="G2712" s="328">
        <v>6426.3080749999999</v>
      </c>
      <c r="H2712" s="328">
        <v>7346.0514149999999</v>
      </c>
      <c r="I2712" s="329">
        <v>4.9179207700864785E-2</v>
      </c>
      <c r="J2712" s="329">
        <v>0.6711456099552211</v>
      </c>
      <c r="K2712" s="329">
        <v>0.77426294530547868</v>
      </c>
    </row>
    <row r="2713" spans="1:11" ht="11.25" x14ac:dyDescent="0.15">
      <c r="A2713" s="326">
        <v>1.075</v>
      </c>
      <c r="B2713" s="327">
        <v>85</v>
      </c>
      <c r="C2713" s="327" t="s">
        <v>109</v>
      </c>
      <c r="D2713" s="327" t="s">
        <v>113</v>
      </c>
      <c r="E2713" s="328" t="s">
        <v>2053</v>
      </c>
      <c r="F2713" s="328">
        <v>23.358771749999999</v>
      </c>
      <c r="G2713" s="328">
        <v>6235.5400799999998</v>
      </c>
      <c r="H2713" s="328">
        <v>7213.6133499999996</v>
      </c>
      <c r="I2713" s="329">
        <v>2.4344556053011026E-2</v>
      </c>
      <c r="J2713" s="329">
        <v>0.65122233505617111</v>
      </c>
      <c r="K2713" s="329">
        <v>0.76030416929309241</v>
      </c>
    </row>
    <row r="2714" spans="1:11" ht="11.25" x14ac:dyDescent="0.15">
      <c r="A2714" s="326">
        <v>1.1000000000000001</v>
      </c>
      <c r="B2714" s="327">
        <v>85</v>
      </c>
      <c r="C2714" s="327" t="s">
        <v>109</v>
      </c>
      <c r="D2714" s="327" t="s">
        <v>79</v>
      </c>
      <c r="E2714" s="328" t="s">
        <v>2054</v>
      </c>
      <c r="F2714" s="328">
        <v>186.0463</v>
      </c>
      <c r="G2714" s="328">
        <v>7187.3901000000014</v>
      </c>
      <c r="H2714" s="328">
        <v>7853.3012800000015</v>
      </c>
      <c r="I2714" s="329">
        <v>0.19389780538462198</v>
      </c>
      <c r="J2714" s="329">
        <v>0.75063088422672897</v>
      </c>
      <c r="K2714" s="329">
        <v>0.82772633023071307</v>
      </c>
    </row>
    <row r="2715" spans="1:11" ht="11.25" x14ac:dyDescent="0.15">
      <c r="A2715" s="326">
        <v>1.1000000000000001</v>
      </c>
      <c r="B2715" s="327">
        <v>85</v>
      </c>
      <c r="C2715" s="327" t="s">
        <v>109</v>
      </c>
      <c r="D2715" s="327" t="s">
        <v>114</v>
      </c>
      <c r="E2715" s="328" t="s">
        <v>2055</v>
      </c>
      <c r="F2715" s="328">
        <v>50.496941000000007</v>
      </c>
      <c r="G2715" s="328">
        <v>6765.5227200000008</v>
      </c>
      <c r="H2715" s="328">
        <v>7710.9982400000008</v>
      </c>
      <c r="I2715" s="329">
        <v>5.2628007321493302E-2</v>
      </c>
      <c r="J2715" s="329">
        <v>0.70657223705857064</v>
      </c>
      <c r="K2715" s="329">
        <v>0.812727800455745</v>
      </c>
    </row>
    <row r="2716" spans="1:11" ht="11.25" x14ac:dyDescent="0.15">
      <c r="A2716" s="326">
        <v>1.1000000000000001</v>
      </c>
      <c r="B2716" s="327">
        <v>85</v>
      </c>
      <c r="C2716" s="327" t="s">
        <v>109</v>
      </c>
      <c r="D2716" s="327" t="s">
        <v>113</v>
      </c>
      <c r="E2716" s="328" t="s">
        <v>2056</v>
      </c>
      <c r="F2716" s="328">
        <v>25.1772092</v>
      </c>
      <c r="G2716" s="328">
        <v>6541.9802800000007</v>
      </c>
      <c r="H2716" s="328">
        <v>7573.6573000000008</v>
      </c>
      <c r="I2716" s="329">
        <v>2.6239734999242197E-2</v>
      </c>
      <c r="J2716" s="329">
        <v>0.68322609095201658</v>
      </c>
      <c r="K2716" s="329">
        <v>0.79825226867573462</v>
      </c>
    </row>
    <row r="2717" spans="1:11" ht="11.25" x14ac:dyDescent="0.15">
      <c r="A2717" s="326">
        <v>1.125</v>
      </c>
      <c r="B2717" s="327">
        <v>85</v>
      </c>
      <c r="C2717" s="327" t="s">
        <v>109</v>
      </c>
      <c r="D2717" s="327" t="s">
        <v>79</v>
      </c>
      <c r="E2717" s="328" t="s">
        <v>2057</v>
      </c>
      <c r="F2717" s="328">
        <v>198.73093499999999</v>
      </c>
      <c r="G2717" s="328">
        <v>7600.6219499999997</v>
      </c>
      <c r="H2717" s="328">
        <v>8232.9176250000019</v>
      </c>
      <c r="I2717" s="329">
        <v>0.20711775594856741</v>
      </c>
      <c r="J2717" s="329">
        <v>0.79378766083694041</v>
      </c>
      <c r="K2717" s="329">
        <v>0.86773733107473605</v>
      </c>
    </row>
    <row r="2718" spans="1:11" ht="11.25" x14ac:dyDescent="0.15">
      <c r="A2718" s="326">
        <v>1.125</v>
      </c>
      <c r="B2718" s="327">
        <v>85</v>
      </c>
      <c r="C2718" s="327" t="s">
        <v>109</v>
      </c>
      <c r="D2718" s="327" t="s">
        <v>114</v>
      </c>
      <c r="E2718" s="328" t="s">
        <v>2058</v>
      </c>
      <c r="F2718" s="328">
        <v>54.05346225000001</v>
      </c>
      <c r="G2718" s="328">
        <v>7122.4677000000011</v>
      </c>
      <c r="H2718" s="328">
        <v>8084.937825</v>
      </c>
      <c r="I2718" s="329">
        <v>5.6334620488101686E-2</v>
      </c>
      <c r="J2718" s="329">
        <v>0.74385057067200455</v>
      </c>
      <c r="K2718" s="329">
        <v>0.85214047919867042</v>
      </c>
    </row>
    <row r="2719" spans="1:11" ht="11.25" x14ac:dyDescent="0.15">
      <c r="A2719" s="326">
        <v>1.125</v>
      </c>
      <c r="B2719" s="327">
        <v>85</v>
      </c>
      <c r="C2719" s="327" t="s">
        <v>109</v>
      </c>
      <c r="D2719" s="327" t="s">
        <v>113</v>
      </c>
      <c r="E2719" s="328" t="s">
        <v>2059</v>
      </c>
      <c r="F2719" s="328">
        <v>27.154802249999999</v>
      </c>
      <c r="G2719" s="328">
        <v>6862.18995</v>
      </c>
      <c r="H2719" s="328">
        <v>7942.4025750000001</v>
      </c>
      <c r="I2719" s="329">
        <v>2.8300786212509439E-2</v>
      </c>
      <c r="J2719" s="329">
        <v>0.71666789171500123</v>
      </c>
      <c r="K2719" s="329">
        <v>0.83711747483342636</v>
      </c>
    </row>
    <row r="2720" spans="1:11" ht="11.25" x14ac:dyDescent="0.15">
      <c r="A2720" s="326">
        <v>1.1499999999999999</v>
      </c>
      <c r="B2720" s="327">
        <v>85</v>
      </c>
      <c r="C2720" s="327" t="s">
        <v>109</v>
      </c>
      <c r="D2720" s="327" t="s">
        <v>79</v>
      </c>
      <c r="E2720" s="328" t="s">
        <v>2060</v>
      </c>
      <c r="F2720" s="328">
        <v>212.29933799999998</v>
      </c>
      <c r="G2720" s="328">
        <v>8036.0178399999995</v>
      </c>
      <c r="H2720" s="328">
        <v>8621.5028499999989</v>
      </c>
      <c r="I2720" s="329">
        <v>0.22125877119194565</v>
      </c>
      <c r="J2720" s="329">
        <v>0.83925918768496599</v>
      </c>
      <c r="K2720" s="329">
        <v>0.90869363859476582</v>
      </c>
    </row>
    <row r="2721" spans="1:11" ht="11.25" x14ac:dyDescent="0.15">
      <c r="A2721" s="326">
        <v>1.1499999999999999</v>
      </c>
      <c r="B2721" s="327">
        <v>85</v>
      </c>
      <c r="C2721" s="327" t="s">
        <v>109</v>
      </c>
      <c r="D2721" s="327" t="s">
        <v>114</v>
      </c>
      <c r="E2721" s="328" t="s">
        <v>2061</v>
      </c>
      <c r="F2721" s="328">
        <v>57.881622899999996</v>
      </c>
      <c r="G2721" s="328">
        <v>7499.1251599999996</v>
      </c>
      <c r="H2721" s="328">
        <v>8468.1172299999998</v>
      </c>
      <c r="I2721" s="329">
        <v>6.0324336750638294E-2</v>
      </c>
      <c r="J2721" s="329">
        <v>0.78318762046569712</v>
      </c>
      <c r="K2721" s="329">
        <v>0.89252702129255002</v>
      </c>
    </row>
    <row r="2722" spans="1:11" ht="11.25" x14ac:dyDescent="0.15">
      <c r="A2722" s="326">
        <v>1.1499999999999999</v>
      </c>
      <c r="B2722" s="327">
        <v>85</v>
      </c>
      <c r="C2722" s="327" t="s">
        <v>109</v>
      </c>
      <c r="D2722" s="327" t="s">
        <v>113</v>
      </c>
      <c r="E2722" s="328" t="s">
        <v>2062</v>
      </c>
      <c r="F2722" s="328">
        <v>29.308943699999997</v>
      </c>
      <c r="G2722" s="328">
        <v>7197.468429999999</v>
      </c>
      <c r="H2722" s="328">
        <v>8320.0779599999987</v>
      </c>
      <c r="I2722" s="329">
        <v>3.0545836501835517E-2</v>
      </c>
      <c r="J2722" s="329">
        <v>0.75168343677420046</v>
      </c>
      <c r="K2722" s="329">
        <v>0.87692390136651366</v>
      </c>
    </row>
    <row r="2723" spans="1:11" ht="11.25" x14ac:dyDescent="0.15">
      <c r="A2723" s="326">
        <v>1.175</v>
      </c>
      <c r="B2723" s="327">
        <v>85</v>
      </c>
      <c r="C2723" s="327" t="s">
        <v>109</v>
      </c>
      <c r="D2723" s="327" t="s">
        <v>79</v>
      </c>
      <c r="E2723" s="328" t="s">
        <v>2063</v>
      </c>
      <c r="F2723" s="328">
        <v>226.827358</v>
      </c>
      <c r="G2723" s="328">
        <v>8494.1889750000009</v>
      </c>
      <c r="H2723" s="328">
        <v>9018.9517300000007</v>
      </c>
      <c r="I2723" s="329">
        <v>0.23639990108586936</v>
      </c>
      <c r="J2723" s="329">
        <v>0.88710929730851562</v>
      </c>
      <c r="K2723" s="329">
        <v>0.95058416223156039</v>
      </c>
    </row>
    <row r="2724" spans="1:11" ht="11.25" x14ac:dyDescent="0.15">
      <c r="A2724" s="326">
        <v>1.175</v>
      </c>
      <c r="B2724" s="327">
        <v>85</v>
      </c>
      <c r="C2724" s="327" t="s">
        <v>109</v>
      </c>
      <c r="D2724" s="327" t="s">
        <v>114</v>
      </c>
      <c r="E2724" s="328" t="s">
        <v>2064</v>
      </c>
      <c r="F2724" s="328">
        <v>62.008836650000006</v>
      </c>
      <c r="G2724" s="328">
        <v>7894.3540600000006</v>
      </c>
      <c r="H2724" s="328">
        <v>8859.8325250000016</v>
      </c>
      <c r="I2724" s="329">
        <v>6.4625726719039919E-2</v>
      </c>
      <c r="J2724" s="329">
        <v>0.82446421941904435</v>
      </c>
      <c r="K2724" s="329">
        <v>0.93381323355736112</v>
      </c>
    </row>
    <row r="2725" spans="1:11" ht="11.25" x14ac:dyDescent="0.15">
      <c r="A2725" s="326">
        <v>1.175</v>
      </c>
      <c r="B2725" s="327">
        <v>85</v>
      </c>
      <c r="C2725" s="327" t="s">
        <v>109</v>
      </c>
      <c r="D2725" s="327" t="s">
        <v>113</v>
      </c>
      <c r="E2725" s="328" t="s">
        <v>2065</v>
      </c>
      <c r="F2725" s="328">
        <v>31.659040200000003</v>
      </c>
      <c r="G2725" s="328">
        <v>7548.6262900000002</v>
      </c>
      <c r="H2725" s="328">
        <v>8706.2419300000001</v>
      </c>
      <c r="I2725" s="329">
        <v>3.299511151451829E-2</v>
      </c>
      <c r="J2725" s="329">
        <v>0.78835737978933851</v>
      </c>
      <c r="K2725" s="329">
        <v>0.91762501219355486</v>
      </c>
    </row>
    <row r="2726" spans="1:11" ht="11.25" x14ac:dyDescent="0.15">
      <c r="A2726" s="326">
        <v>1.2</v>
      </c>
      <c r="B2726" s="327">
        <v>85</v>
      </c>
      <c r="C2726" s="327" t="s">
        <v>109</v>
      </c>
      <c r="D2726" s="327" t="s">
        <v>79</v>
      </c>
      <c r="E2726" s="328" t="s">
        <v>2066</v>
      </c>
      <c r="F2726" s="328">
        <v>242.39750400000003</v>
      </c>
      <c r="G2726" s="328">
        <v>8975.64264</v>
      </c>
      <c r="H2726" s="328">
        <v>9425.5895999999993</v>
      </c>
      <c r="I2726" s="329">
        <v>0.25262713666603492</v>
      </c>
      <c r="J2726" s="329">
        <v>0.93739096913166442</v>
      </c>
      <c r="K2726" s="329">
        <v>0.99344319181254859</v>
      </c>
    </row>
    <row r="2727" spans="1:11" ht="11.25" x14ac:dyDescent="0.15">
      <c r="A2727" s="326">
        <v>1.2</v>
      </c>
      <c r="B2727" s="327">
        <v>85</v>
      </c>
      <c r="C2727" s="327" t="s">
        <v>109</v>
      </c>
      <c r="D2727" s="327" t="s">
        <v>114</v>
      </c>
      <c r="E2727" s="328" t="s">
        <v>2067</v>
      </c>
      <c r="F2727" s="328">
        <v>66.465055199999995</v>
      </c>
      <c r="G2727" s="328">
        <v>8310.2791199999992</v>
      </c>
      <c r="H2727" s="328">
        <v>9260.4472799999985</v>
      </c>
      <c r="I2727" s="329">
        <v>6.9270006111638638E-2</v>
      </c>
      <c r="J2727" s="329">
        <v>0.86790226733574971</v>
      </c>
      <c r="K2727" s="329">
        <v>0.97603743573293633</v>
      </c>
    </row>
    <row r="2728" spans="1:11" ht="11.25" x14ac:dyDescent="0.15">
      <c r="A2728" s="326">
        <v>1.2</v>
      </c>
      <c r="B2728" s="327">
        <v>85</v>
      </c>
      <c r="C2728" s="327" t="s">
        <v>109</v>
      </c>
      <c r="D2728" s="327" t="s">
        <v>113</v>
      </c>
      <c r="E2728" s="328" t="s">
        <v>2068</v>
      </c>
      <c r="F2728" s="328">
        <v>34.226829599999995</v>
      </c>
      <c r="G2728" s="328">
        <v>7917.0537599999989</v>
      </c>
      <c r="H2728" s="328">
        <v>9101.3503199999996</v>
      </c>
      <c r="I2728" s="329">
        <v>3.5671266478900239E-2</v>
      </c>
      <c r="J2728" s="329">
        <v>0.82683491248643193</v>
      </c>
      <c r="K2728" s="329">
        <v>0.95926885164880937</v>
      </c>
    </row>
    <row r="2729" spans="1:11" ht="11.25" x14ac:dyDescent="0.15">
      <c r="A2729" s="326">
        <v>1.2250000000000001</v>
      </c>
      <c r="B2729" s="327">
        <v>85</v>
      </c>
      <c r="C2729" s="327" t="s">
        <v>109</v>
      </c>
      <c r="D2729" s="327" t="s">
        <v>79</v>
      </c>
      <c r="E2729" s="328" t="s">
        <v>2069</v>
      </c>
      <c r="F2729" s="328">
        <v>259.10190599999999</v>
      </c>
      <c r="G2729" s="328">
        <v>9481.0227400000003</v>
      </c>
      <c r="H2729" s="328">
        <v>9841.2807850000008</v>
      </c>
      <c r="I2729" s="329">
        <v>0.270036495992517</v>
      </c>
      <c r="J2729" s="329">
        <v>0.99017145078850288</v>
      </c>
      <c r="K2729" s="329">
        <v>1.0372564273935612</v>
      </c>
    </row>
    <row r="2730" spans="1:11" ht="11.25" x14ac:dyDescent="0.15">
      <c r="A2730" s="326">
        <v>1.2250000000000001</v>
      </c>
      <c r="B2730" s="327">
        <v>85</v>
      </c>
      <c r="C2730" s="327" t="s">
        <v>109</v>
      </c>
      <c r="D2730" s="327" t="s">
        <v>114</v>
      </c>
      <c r="E2730" s="328" t="s">
        <v>2070</v>
      </c>
      <c r="F2730" s="328">
        <v>71.284139150000016</v>
      </c>
      <c r="G2730" s="328">
        <v>8747.7521950000009</v>
      </c>
      <c r="H2730" s="328">
        <v>9670.0025100000003</v>
      </c>
      <c r="I2730" s="329">
        <v>7.4292464509732328E-2</v>
      </c>
      <c r="J2730" s="329">
        <v>0.91359072956526433</v>
      </c>
      <c r="K2730" s="329">
        <v>1.0192039507395652</v>
      </c>
    </row>
    <row r="2731" spans="1:11" ht="11.25" x14ac:dyDescent="0.15">
      <c r="A2731" s="326">
        <v>1.2250000000000001</v>
      </c>
      <c r="B2731" s="327">
        <v>85</v>
      </c>
      <c r="C2731" s="327" t="s">
        <v>109</v>
      </c>
      <c r="D2731" s="327" t="s">
        <v>113</v>
      </c>
      <c r="E2731" s="328" t="s">
        <v>2071</v>
      </c>
      <c r="F2731" s="328">
        <v>37.036652450000005</v>
      </c>
      <c r="G2731" s="328">
        <v>8304.1302050000013</v>
      </c>
      <c r="H2731" s="328">
        <v>9505.5315600000013</v>
      </c>
      <c r="I2731" s="329">
        <v>3.8599669162181584E-2</v>
      </c>
      <c r="J2731" s="329">
        <v>0.86726009188134057</v>
      </c>
      <c r="K2731" s="329">
        <v>1.0018689560641718</v>
      </c>
    </row>
    <row r="2732" spans="1:11" ht="11.25" x14ac:dyDescent="0.15">
      <c r="A2732" s="326">
        <v>1.25</v>
      </c>
      <c r="B2732" s="327">
        <v>85</v>
      </c>
      <c r="C2732" s="327" t="s">
        <v>109</v>
      </c>
      <c r="D2732" s="327" t="s">
        <v>79</v>
      </c>
      <c r="E2732" s="328" t="s">
        <v>2072</v>
      </c>
      <c r="F2732" s="328">
        <v>277.041225</v>
      </c>
      <c r="G2732" s="328">
        <v>10010.658000000001</v>
      </c>
      <c r="H2732" s="328">
        <v>10266.137750000002</v>
      </c>
      <c r="I2732" s="329">
        <v>0.28873288814970932</v>
      </c>
      <c r="J2732" s="329">
        <v>1.0454850733970009</v>
      </c>
      <c r="K2732" s="329">
        <v>1.0820357226191237</v>
      </c>
    </row>
    <row r="2733" spans="1:11" ht="11.25" x14ac:dyDescent="0.15">
      <c r="A2733" s="326">
        <v>1.25</v>
      </c>
      <c r="B2733" s="327">
        <v>85</v>
      </c>
      <c r="C2733" s="327" t="s">
        <v>109</v>
      </c>
      <c r="D2733" s="327" t="s">
        <v>114</v>
      </c>
      <c r="E2733" s="328" t="s">
        <v>2073</v>
      </c>
      <c r="F2733" s="328">
        <v>76.503392500000004</v>
      </c>
      <c r="G2733" s="328">
        <v>9207.2474999999995</v>
      </c>
      <c r="H2733" s="328">
        <v>10088.521499999999</v>
      </c>
      <c r="I2733" s="329">
        <v>7.9731980212604872E-2</v>
      </c>
      <c r="J2733" s="329">
        <v>0.9615791317935195</v>
      </c>
      <c r="K2733" s="329">
        <v>1.0633152327817794</v>
      </c>
    </row>
    <row r="2734" spans="1:11" ht="11.25" x14ac:dyDescent="0.15">
      <c r="A2734" s="326">
        <v>1.25</v>
      </c>
      <c r="B2734" s="327">
        <v>85</v>
      </c>
      <c r="C2734" s="327" t="s">
        <v>109</v>
      </c>
      <c r="D2734" s="327" t="s">
        <v>113</v>
      </c>
      <c r="E2734" s="328" t="s">
        <v>2074</v>
      </c>
      <c r="F2734" s="328">
        <v>40.115830000000003</v>
      </c>
      <c r="G2734" s="328">
        <v>8709.32</v>
      </c>
      <c r="H2734" s="328">
        <v>9918.4415000000008</v>
      </c>
      <c r="I2734" s="329">
        <v>4.1808793822734343E-2</v>
      </c>
      <c r="J2734" s="329">
        <v>0.90957697879979182</v>
      </c>
      <c r="K2734" s="329">
        <v>1.0453890525390628</v>
      </c>
    </row>
    <row r="2735" spans="1:11" ht="11.25" x14ac:dyDescent="0.15">
      <c r="A2735" s="326">
        <v>1.2749999999999999</v>
      </c>
      <c r="B2735" s="327">
        <v>85</v>
      </c>
      <c r="C2735" s="327" t="s">
        <v>109</v>
      </c>
      <c r="D2735" s="327" t="s">
        <v>79</v>
      </c>
      <c r="E2735" s="328" t="s">
        <v>2075</v>
      </c>
      <c r="F2735" s="328">
        <v>296.32777349999998</v>
      </c>
      <c r="G2735" s="328">
        <v>10565.559074999999</v>
      </c>
      <c r="H2735" s="328">
        <v>10700.166689999998</v>
      </c>
      <c r="I2735" s="329">
        <v>0.30883336543732037</v>
      </c>
      <c r="J2735" s="329">
        <v>1.1034373869336782</v>
      </c>
      <c r="K2735" s="329">
        <v>1.1277817304330662</v>
      </c>
    </row>
    <row r="2736" spans="1:11" ht="11.25" x14ac:dyDescent="0.15">
      <c r="A2736" s="326">
        <v>1.2749999999999999</v>
      </c>
      <c r="B2736" s="327">
        <v>85</v>
      </c>
      <c r="C2736" s="327" t="s">
        <v>109</v>
      </c>
      <c r="D2736" s="327" t="s">
        <v>114</v>
      </c>
      <c r="E2736" s="328" t="s">
        <v>2076</v>
      </c>
      <c r="F2736" s="328">
        <v>82.165745549999997</v>
      </c>
      <c r="G2736" s="328">
        <v>9690.2738699999991</v>
      </c>
      <c r="H2736" s="328">
        <v>10515.61095</v>
      </c>
      <c r="I2736" s="329">
        <v>8.5633295260030801E-2</v>
      </c>
      <c r="J2736" s="329">
        <v>1.0120250525204224</v>
      </c>
      <c r="K2736" s="329">
        <v>1.108329828621754</v>
      </c>
    </row>
    <row r="2737" spans="1:11" ht="11.25" x14ac:dyDescent="0.15">
      <c r="A2737" s="326">
        <v>1.2749999999999999</v>
      </c>
      <c r="B2737" s="327">
        <v>85</v>
      </c>
      <c r="C2737" s="327" t="s">
        <v>109</v>
      </c>
      <c r="D2737" s="327" t="s">
        <v>113</v>
      </c>
      <c r="E2737" s="328" t="s">
        <v>2077</v>
      </c>
      <c r="F2737" s="328">
        <v>43.494992999999994</v>
      </c>
      <c r="G2737" s="328">
        <v>9135.2143500000002</v>
      </c>
      <c r="H2737" s="328">
        <v>10340.450939999999</v>
      </c>
      <c r="I2737" s="329">
        <v>4.5330563886083697E-2</v>
      </c>
      <c r="J2737" s="329">
        <v>0.95405619143188036</v>
      </c>
      <c r="K2737" s="329">
        <v>1.089868222844613</v>
      </c>
    </row>
    <row r="2738" spans="1:11" ht="11.25" x14ac:dyDescent="0.15">
      <c r="A2738" s="326">
        <v>1.3</v>
      </c>
      <c r="B2738" s="327">
        <v>85</v>
      </c>
      <c r="C2738" s="327" t="s">
        <v>109</v>
      </c>
      <c r="D2738" s="327" t="s">
        <v>79</v>
      </c>
      <c r="E2738" s="328" t="s">
        <v>2078</v>
      </c>
      <c r="F2738" s="328">
        <v>317.08450799999997</v>
      </c>
      <c r="G2738" s="328">
        <v>11145.57548</v>
      </c>
      <c r="H2738" s="328">
        <v>11142.934140000001</v>
      </c>
      <c r="I2738" s="329">
        <v>0.33046607335196992</v>
      </c>
      <c r="J2738" s="329">
        <v>1.1640126751667683</v>
      </c>
      <c r="K2738" s="329">
        <v>1.1744487642660166</v>
      </c>
    </row>
    <row r="2739" spans="1:11" ht="11.25" x14ac:dyDescent="0.15">
      <c r="A2739" s="326">
        <v>1.3</v>
      </c>
      <c r="B2739" s="327">
        <v>85</v>
      </c>
      <c r="C2739" s="327" t="s">
        <v>109</v>
      </c>
      <c r="D2739" s="327" t="s">
        <v>114</v>
      </c>
      <c r="E2739" s="328" t="s">
        <v>2079</v>
      </c>
      <c r="F2739" s="328">
        <v>88.318492600000013</v>
      </c>
      <c r="G2739" s="328">
        <v>10197.162559999999</v>
      </c>
      <c r="H2739" s="328">
        <v>10951.811000000002</v>
      </c>
      <c r="I2739" s="329">
        <v>9.2045699860830221E-2</v>
      </c>
      <c r="J2739" s="329">
        <v>1.0649630870900542</v>
      </c>
      <c r="K2739" s="329">
        <v>1.1543046682159577</v>
      </c>
    </row>
    <row r="2740" spans="1:11" ht="11.25" x14ac:dyDescent="0.15">
      <c r="A2740" s="326">
        <v>1.3</v>
      </c>
      <c r="B2740" s="327">
        <v>85</v>
      </c>
      <c r="C2740" s="327" t="s">
        <v>109</v>
      </c>
      <c r="D2740" s="327" t="s">
        <v>113</v>
      </c>
      <c r="E2740" s="328" t="s">
        <v>2080</v>
      </c>
      <c r="F2740" s="328">
        <v>47.208501599999998</v>
      </c>
      <c r="G2740" s="328">
        <v>9581.3559400000013</v>
      </c>
      <c r="H2740" s="328">
        <v>10770.133919999998</v>
      </c>
      <c r="I2740" s="329">
        <v>4.9200789565481358E-2</v>
      </c>
      <c r="J2740" s="329">
        <v>1.0006499690803232</v>
      </c>
      <c r="K2740" s="329">
        <v>1.1351561729075701</v>
      </c>
    </row>
    <row r="2741" spans="1:11" ht="11.25" x14ac:dyDescent="0.15">
      <c r="A2741" s="326">
        <v>1.325</v>
      </c>
      <c r="B2741" s="327">
        <v>85</v>
      </c>
      <c r="C2741" s="327" t="s">
        <v>109</v>
      </c>
      <c r="D2741" s="327" t="s">
        <v>79</v>
      </c>
      <c r="E2741" s="328" t="s">
        <v>2081</v>
      </c>
      <c r="F2741" s="328">
        <v>339.45021299999996</v>
      </c>
      <c r="G2741" s="328">
        <v>11752.739134999998</v>
      </c>
      <c r="H2741" s="328">
        <v>11595.455805</v>
      </c>
      <c r="I2741" s="329">
        <v>0.35377565336178396</v>
      </c>
      <c r="J2741" s="329">
        <v>1.2274231461279843</v>
      </c>
      <c r="K2741" s="329">
        <v>1.2221438779214984</v>
      </c>
    </row>
    <row r="2742" spans="1:11" ht="11.25" x14ac:dyDescent="0.15">
      <c r="A2742" s="326">
        <v>1.325</v>
      </c>
      <c r="B2742" s="327">
        <v>85</v>
      </c>
      <c r="C2742" s="327" t="s">
        <v>109</v>
      </c>
      <c r="D2742" s="327" t="s">
        <v>114</v>
      </c>
      <c r="E2742" s="328" t="s">
        <v>2082</v>
      </c>
      <c r="F2742" s="328">
        <v>95.014051350000003</v>
      </c>
      <c r="G2742" s="328">
        <v>10727.200264999998</v>
      </c>
      <c r="H2742" s="328">
        <v>11397.229974999998</v>
      </c>
      <c r="I2742" s="329">
        <v>9.9023823840983557E-2</v>
      </c>
      <c r="J2742" s="329">
        <v>1.1203187399267709</v>
      </c>
      <c r="K2742" s="329">
        <v>1.2012511688590444</v>
      </c>
    </row>
    <row r="2743" spans="1:11" ht="11.25" x14ac:dyDescent="0.15">
      <c r="A2743" s="326">
        <v>1.325</v>
      </c>
      <c r="B2743" s="327">
        <v>85</v>
      </c>
      <c r="C2743" s="327" t="s">
        <v>109</v>
      </c>
      <c r="D2743" s="327" t="s">
        <v>113</v>
      </c>
      <c r="E2743" s="328" t="s">
        <v>2083</v>
      </c>
      <c r="F2743" s="328">
        <v>51.295056250000002</v>
      </c>
      <c r="G2743" s="328">
        <v>10049.703915</v>
      </c>
      <c r="H2743" s="328">
        <v>11209.541605</v>
      </c>
      <c r="I2743" s="329">
        <v>5.3459804543039752E-2</v>
      </c>
      <c r="J2743" s="329">
        <v>1.0495629193597364</v>
      </c>
      <c r="K2743" s="329">
        <v>1.1814690924827407</v>
      </c>
    </row>
    <row r="2744" spans="1:11" ht="11.25" x14ac:dyDescent="0.15">
      <c r="A2744" s="326">
        <v>1.35</v>
      </c>
      <c r="B2744" s="327">
        <v>85</v>
      </c>
      <c r="C2744" s="327" t="s">
        <v>109</v>
      </c>
      <c r="D2744" s="327" t="s">
        <v>79</v>
      </c>
      <c r="E2744" s="328" t="s">
        <v>2084</v>
      </c>
      <c r="F2744" s="328">
        <v>363.57800400000002</v>
      </c>
      <c r="G2744" s="328">
        <v>12385.38924</v>
      </c>
      <c r="H2744" s="328">
        <v>12057.118110000003</v>
      </c>
      <c r="I2744" s="329">
        <v>0.37892168273016613</v>
      </c>
      <c r="J2744" s="329">
        <v>1.2934953505185995</v>
      </c>
      <c r="K2744" s="329">
        <v>1.2708024015027439</v>
      </c>
    </row>
    <row r="2745" spans="1:11" ht="11.25" x14ac:dyDescent="0.15">
      <c r="A2745" s="326">
        <v>1.35</v>
      </c>
      <c r="B2745" s="327">
        <v>85</v>
      </c>
      <c r="C2745" s="327" t="s">
        <v>109</v>
      </c>
      <c r="D2745" s="327" t="s">
        <v>114</v>
      </c>
      <c r="E2745" s="328" t="s">
        <v>2085</v>
      </c>
      <c r="F2745" s="328">
        <v>102.3126417</v>
      </c>
      <c r="G2745" s="328">
        <v>11282.437620000001</v>
      </c>
      <c r="H2745" s="328">
        <v>11851.441560000003</v>
      </c>
      <c r="I2745" s="329">
        <v>0.10663042849405313</v>
      </c>
      <c r="J2745" s="329">
        <v>1.1783061736044507</v>
      </c>
      <c r="K2745" s="329">
        <v>1.2491243975810589</v>
      </c>
    </row>
    <row r="2746" spans="1:11" ht="11.25" x14ac:dyDescent="0.15">
      <c r="A2746" s="326">
        <v>1.35</v>
      </c>
      <c r="B2746" s="327">
        <v>85</v>
      </c>
      <c r="C2746" s="327" t="s">
        <v>109</v>
      </c>
      <c r="D2746" s="327" t="s">
        <v>113</v>
      </c>
      <c r="E2746" s="328" t="s">
        <v>2086</v>
      </c>
      <c r="F2746" s="328">
        <v>55.798019099999998</v>
      </c>
      <c r="G2746" s="328">
        <v>10540.89423</v>
      </c>
      <c r="H2746" s="328">
        <v>11657.782710000001</v>
      </c>
      <c r="I2746" s="329">
        <v>5.8152800933419367E-2</v>
      </c>
      <c r="J2746" s="329">
        <v>1.1008614596284851</v>
      </c>
      <c r="K2746" s="329">
        <v>1.2287130414504301</v>
      </c>
    </row>
    <row r="2747" spans="1:11" ht="11.25" x14ac:dyDescent="0.15">
      <c r="A2747" s="326">
        <v>1.375</v>
      </c>
      <c r="B2747" s="327">
        <v>85</v>
      </c>
      <c r="C2747" s="327" t="s">
        <v>109</v>
      </c>
      <c r="D2747" s="327" t="s">
        <v>79</v>
      </c>
      <c r="E2747" s="328" t="s">
        <v>2087</v>
      </c>
      <c r="F2747" s="328">
        <v>389.63787500000001</v>
      </c>
      <c r="G2747" s="328">
        <v>13044.816674999998</v>
      </c>
      <c r="H2747" s="328">
        <v>12527.916500000001</v>
      </c>
      <c r="I2747" s="329">
        <v>0.406081329525111</v>
      </c>
      <c r="J2747" s="329">
        <v>1.362364104228992</v>
      </c>
      <c r="K2747" s="329">
        <v>1.3204238549194942</v>
      </c>
    </row>
    <row r="2748" spans="1:11" ht="11.25" x14ac:dyDescent="0.15">
      <c r="A2748" s="326">
        <v>1.375</v>
      </c>
      <c r="B2748" s="327">
        <v>85</v>
      </c>
      <c r="C2748" s="327" t="s">
        <v>109</v>
      </c>
      <c r="D2748" s="327" t="s">
        <v>114</v>
      </c>
      <c r="E2748" s="328" t="s">
        <v>2088</v>
      </c>
      <c r="F2748" s="328">
        <v>110.280995</v>
      </c>
      <c r="G2748" s="328">
        <v>11862.443449999999</v>
      </c>
      <c r="H2748" s="328">
        <v>12314.480475</v>
      </c>
      <c r="I2748" s="329">
        <v>0.11493506135909431</v>
      </c>
      <c r="J2748" s="329">
        <v>1.2388803574141698</v>
      </c>
      <c r="K2748" s="329">
        <v>1.2979280138186062</v>
      </c>
    </row>
    <row r="2749" spans="1:11" ht="11.25" x14ac:dyDescent="0.15">
      <c r="A2749" s="326">
        <v>1.375</v>
      </c>
      <c r="B2749" s="327">
        <v>85</v>
      </c>
      <c r="C2749" s="327" t="s">
        <v>109</v>
      </c>
      <c r="D2749" s="327" t="s">
        <v>113</v>
      </c>
      <c r="E2749" s="328" t="s">
        <v>2089</v>
      </c>
      <c r="F2749" s="328">
        <v>60.766519000000002</v>
      </c>
      <c r="G2749" s="328">
        <v>11054.938674999999</v>
      </c>
      <c r="H2749" s="328">
        <v>12114.901975000001</v>
      </c>
      <c r="I2749" s="329">
        <v>6.3330980916916566E-2</v>
      </c>
      <c r="J2749" s="329">
        <v>1.1545468212011354</v>
      </c>
      <c r="K2749" s="329">
        <v>1.2768927353404131</v>
      </c>
    </row>
    <row r="2750" spans="1:11" ht="11.25" x14ac:dyDescent="0.15">
      <c r="A2750" s="326">
        <v>1.4</v>
      </c>
      <c r="B2750" s="327">
        <v>85</v>
      </c>
      <c r="C2750" s="327" t="s">
        <v>109</v>
      </c>
      <c r="D2750" s="327" t="s">
        <v>79</v>
      </c>
      <c r="E2750" s="328" t="s">
        <v>2090</v>
      </c>
      <c r="F2750" s="328">
        <v>417.82092799999998</v>
      </c>
      <c r="G2750" s="328">
        <v>13731.021079999999</v>
      </c>
      <c r="H2750" s="328">
        <v>13008.145079999998</v>
      </c>
      <c r="I2750" s="329">
        <v>0.43545376061209573</v>
      </c>
      <c r="J2750" s="329">
        <v>1.4340293696617707</v>
      </c>
      <c r="K2750" s="329">
        <v>1.3710392364034074</v>
      </c>
    </row>
    <row r="2751" spans="1:11" ht="11.25" x14ac:dyDescent="0.15">
      <c r="A2751" s="326">
        <v>1.4</v>
      </c>
      <c r="B2751" s="327">
        <v>85</v>
      </c>
      <c r="C2751" s="327" t="s">
        <v>109</v>
      </c>
      <c r="D2751" s="327" t="s">
        <v>114</v>
      </c>
      <c r="E2751" s="328" t="s">
        <v>2091</v>
      </c>
      <c r="F2751" s="328">
        <v>118.9941508</v>
      </c>
      <c r="G2751" s="328">
        <v>12468.595719999999</v>
      </c>
      <c r="H2751" s="328">
        <v>12786.773439999999</v>
      </c>
      <c r="I2751" s="329">
        <v>0.12401592879690033</v>
      </c>
      <c r="J2751" s="329">
        <v>1.3021852021597109</v>
      </c>
      <c r="K2751" s="329">
        <v>1.3477069932280439</v>
      </c>
    </row>
    <row r="2752" spans="1:11" ht="11.25" x14ac:dyDescent="0.15">
      <c r="A2752" s="326">
        <v>1.4</v>
      </c>
      <c r="B2752" s="327">
        <v>85</v>
      </c>
      <c r="C2752" s="327" t="s">
        <v>109</v>
      </c>
      <c r="D2752" s="327" t="s">
        <v>113</v>
      </c>
      <c r="E2752" s="328" t="s">
        <v>2092</v>
      </c>
      <c r="F2752" s="328">
        <v>66.254960799999992</v>
      </c>
      <c r="G2752" s="328">
        <v>11592.072799999998</v>
      </c>
      <c r="H2752" s="328">
        <v>12580.371439999999</v>
      </c>
      <c r="I2752" s="329">
        <v>6.9051045330996402E-2</v>
      </c>
      <c r="J2752" s="329">
        <v>1.2106436042597173</v>
      </c>
      <c r="K2752" s="329">
        <v>1.3259525279501907</v>
      </c>
    </row>
    <row r="2753" spans="1:11" ht="11.25" x14ac:dyDescent="0.15">
      <c r="A2753" s="326">
        <v>0.9</v>
      </c>
      <c r="B2753" s="327">
        <v>100</v>
      </c>
      <c r="C2753" s="327" t="s">
        <v>109</v>
      </c>
      <c r="D2753" s="327" t="s">
        <v>79</v>
      </c>
      <c r="E2753" s="328" t="s">
        <v>2093</v>
      </c>
      <c r="F2753" s="328">
        <v>157.35168000000002</v>
      </c>
      <c r="G2753" s="328">
        <v>4593.6018000000004</v>
      </c>
      <c r="H2753" s="328">
        <v>5153.4873000000007</v>
      </c>
      <c r="I2753" s="329">
        <v>0.16399221820365853</v>
      </c>
      <c r="J2753" s="329">
        <v>0.47974290151852106</v>
      </c>
      <c r="K2753" s="329">
        <v>0.54316993308062489</v>
      </c>
    </row>
    <row r="2754" spans="1:11" ht="11.25" x14ac:dyDescent="0.15">
      <c r="A2754" s="326">
        <v>0.9</v>
      </c>
      <c r="B2754" s="327">
        <v>100</v>
      </c>
      <c r="C2754" s="327" t="s">
        <v>109</v>
      </c>
      <c r="D2754" s="327" t="s">
        <v>114</v>
      </c>
      <c r="E2754" s="328" t="s">
        <v>2094</v>
      </c>
      <c r="F2754" s="328">
        <v>43.455905999999999</v>
      </c>
      <c r="G2754" s="328">
        <v>4462.0353000000005</v>
      </c>
      <c r="H2754" s="328">
        <v>5051.0169000000005</v>
      </c>
      <c r="I2754" s="329">
        <v>4.5289827340830889E-2</v>
      </c>
      <c r="J2754" s="329">
        <v>0.46600246488497643</v>
      </c>
      <c r="K2754" s="329">
        <v>0.53236970460024324</v>
      </c>
    </row>
    <row r="2755" spans="1:11" ht="11.25" x14ac:dyDescent="0.15">
      <c r="A2755" s="326">
        <v>0.9</v>
      </c>
      <c r="B2755" s="327">
        <v>100</v>
      </c>
      <c r="C2755" s="327" t="s">
        <v>109</v>
      </c>
      <c r="D2755" s="327" t="s">
        <v>113</v>
      </c>
      <c r="E2755" s="328" t="s">
        <v>2095</v>
      </c>
      <c r="F2755" s="328">
        <v>20.396538</v>
      </c>
      <c r="G2755" s="328">
        <v>4401.9189000000006</v>
      </c>
      <c r="H2755" s="328">
        <v>4951.143</v>
      </c>
      <c r="I2755" s="329">
        <v>2.1257310441777377E-2</v>
      </c>
      <c r="J2755" s="329">
        <v>0.45972407650467584</v>
      </c>
      <c r="K2755" s="329">
        <v>0.52184314337644799</v>
      </c>
    </row>
    <row r="2756" spans="1:11" ht="11.25" x14ac:dyDescent="0.15">
      <c r="A2756" s="326">
        <v>0.92500000000000004</v>
      </c>
      <c r="B2756" s="327">
        <v>100</v>
      </c>
      <c r="C2756" s="327" t="s">
        <v>109</v>
      </c>
      <c r="D2756" s="327" t="s">
        <v>79</v>
      </c>
      <c r="E2756" s="328" t="s">
        <v>2096</v>
      </c>
      <c r="F2756" s="328">
        <v>167.78510249999999</v>
      </c>
      <c r="G2756" s="328">
        <v>4871.4385000000002</v>
      </c>
      <c r="H2756" s="328">
        <v>5461.4423500000003</v>
      </c>
      <c r="I2756" s="329">
        <v>0.17486595084655726</v>
      </c>
      <c r="J2756" s="329">
        <v>0.50875938801639964</v>
      </c>
      <c r="K2756" s="329">
        <v>0.57562793950674729</v>
      </c>
    </row>
    <row r="2757" spans="1:11" ht="11.25" x14ac:dyDescent="0.15">
      <c r="A2757" s="326">
        <v>0.92500000000000004</v>
      </c>
      <c r="B2757" s="327">
        <v>100</v>
      </c>
      <c r="C2757" s="327" t="s">
        <v>109</v>
      </c>
      <c r="D2757" s="327" t="s">
        <v>114</v>
      </c>
      <c r="E2757" s="328" t="s">
        <v>2097</v>
      </c>
      <c r="F2757" s="328">
        <v>46.347939000000004</v>
      </c>
      <c r="G2757" s="328">
        <v>4712.6086000000005</v>
      </c>
      <c r="H2757" s="328">
        <v>5354.840725</v>
      </c>
      <c r="I2757" s="329">
        <v>4.8303909597773947E-2</v>
      </c>
      <c r="J2757" s="329">
        <v>0.49217163827416111</v>
      </c>
      <c r="K2757" s="329">
        <v>0.56439228602652314</v>
      </c>
    </row>
    <row r="2758" spans="1:11" ht="11.25" x14ac:dyDescent="0.15">
      <c r="A2758" s="326">
        <v>0.92500000000000004</v>
      </c>
      <c r="B2758" s="327">
        <v>100</v>
      </c>
      <c r="C2758" s="327" t="s">
        <v>109</v>
      </c>
      <c r="D2758" s="327" t="s">
        <v>113</v>
      </c>
      <c r="E2758" s="328" t="s">
        <v>2098</v>
      </c>
      <c r="F2758" s="328">
        <v>21.818252500000003</v>
      </c>
      <c r="G2758" s="328">
        <v>4638.9647249999998</v>
      </c>
      <c r="H2758" s="328">
        <v>5250.0613499999999</v>
      </c>
      <c r="I2758" s="329">
        <v>2.2739023979931567E-2</v>
      </c>
      <c r="J2758" s="329">
        <v>0.48448047830649316</v>
      </c>
      <c r="K2758" s="329">
        <v>0.55334869499895245</v>
      </c>
    </row>
    <row r="2759" spans="1:11" ht="11.25" x14ac:dyDescent="0.15">
      <c r="A2759" s="326">
        <v>0.95</v>
      </c>
      <c r="B2759" s="327">
        <v>100</v>
      </c>
      <c r="C2759" s="327" t="s">
        <v>109</v>
      </c>
      <c r="D2759" s="327" t="s">
        <v>79</v>
      </c>
      <c r="E2759" s="328" t="s">
        <v>2099</v>
      </c>
      <c r="F2759" s="328">
        <v>178.80909499999999</v>
      </c>
      <c r="G2759" s="328">
        <v>5164.5220499999996</v>
      </c>
      <c r="H2759" s="328">
        <v>5778.546949999999</v>
      </c>
      <c r="I2759" s="329">
        <v>0.18635517665930673</v>
      </c>
      <c r="J2759" s="329">
        <v>0.53936821280925573</v>
      </c>
      <c r="K2759" s="329">
        <v>0.60905029495944385</v>
      </c>
    </row>
    <row r="2760" spans="1:11" ht="11.25" x14ac:dyDescent="0.15">
      <c r="A2760" s="326">
        <v>0.95</v>
      </c>
      <c r="B2760" s="327">
        <v>100</v>
      </c>
      <c r="C2760" s="327" t="s">
        <v>109</v>
      </c>
      <c r="D2760" s="327" t="s">
        <v>114</v>
      </c>
      <c r="E2760" s="328" t="s">
        <v>2100</v>
      </c>
      <c r="F2760" s="328">
        <v>49.406953999999999</v>
      </c>
      <c r="G2760" s="328">
        <v>4974.3966499999997</v>
      </c>
      <c r="H2760" s="328">
        <v>5667.2686999999996</v>
      </c>
      <c r="I2760" s="329">
        <v>5.1492020810620633E-2</v>
      </c>
      <c r="J2760" s="329">
        <v>0.51951204873156631</v>
      </c>
      <c r="K2760" s="329">
        <v>0.59732173212669404</v>
      </c>
    </row>
    <row r="2761" spans="1:11" ht="11.25" x14ac:dyDescent="0.15">
      <c r="A2761" s="326">
        <v>0.95</v>
      </c>
      <c r="B2761" s="327">
        <v>100</v>
      </c>
      <c r="C2761" s="327" t="s">
        <v>109</v>
      </c>
      <c r="D2761" s="327" t="s">
        <v>113</v>
      </c>
      <c r="E2761" s="328" t="s">
        <v>2101</v>
      </c>
      <c r="F2761" s="328">
        <v>23.333444</v>
      </c>
      <c r="G2761" s="328">
        <v>4884.7441999999992</v>
      </c>
      <c r="H2761" s="328">
        <v>5558.2134500000002</v>
      </c>
      <c r="I2761" s="329">
        <v>2.4318159424105586E-2</v>
      </c>
      <c r="J2761" s="329">
        <v>0.51014899804414182</v>
      </c>
      <c r="K2761" s="329">
        <v>0.58582747020339587</v>
      </c>
    </row>
    <row r="2762" spans="1:11" ht="11.25" x14ac:dyDescent="0.15">
      <c r="A2762" s="326">
        <v>0.97499999999999998</v>
      </c>
      <c r="B2762" s="327">
        <v>100</v>
      </c>
      <c r="C2762" s="327" t="s">
        <v>109</v>
      </c>
      <c r="D2762" s="327" t="s">
        <v>79</v>
      </c>
      <c r="E2762" s="328" t="s">
        <v>2102</v>
      </c>
      <c r="F2762" s="328">
        <v>190.47385499999999</v>
      </c>
      <c r="G2762" s="328">
        <v>5473.3906499999994</v>
      </c>
      <c r="H2762" s="328">
        <v>6104.4184500000001</v>
      </c>
      <c r="I2762" s="329">
        <v>0.19851221157125243</v>
      </c>
      <c r="J2762" s="329">
        <v>0.57162558399714647</v>
      </c>
      <c r="K2762" s="329">
        <v>0.64339666869512446</v>
      </c>
    </row>
    <row r="2763" spans="1:11" ht="11.25" x14ac:dyDescent="0.15">
      <c r="A2763" s="326">
        <v>0.97499999999999998</v>
      </c>
      <c r="B2763" s="327">
        <v>100</v>
      </c>
      <c r="C2763" s="327" t="s">
        <v>109</v>
      </c>
      <c r="D2763" s="327" t="s">
        <v>114</v>
      </c>
      <c r="E2763" s="328" t="s">
        <v>2103</v>
      </c>
      <c r="F2763" s="328">
        <v>52.64936625</v>
      </c>
      <c r="G2763" s="328">
        <v>5247.233549999999</v>
      </c>
      <c r="H2763" s="328">
        <v>5988.4782749999995</v>
      </c>
      <c r="I2763" s="329">
        <v>5.4871268983936711E-2</v>
      </c>
      <c r="J2763" s="329">
        <v>0.54800637012601505</v>
      </c>
      <c r="K2763" s="329">
        <v>0.63117674586808925</v>
      </c>
    </row>
    <row r="2764" spans="1:11" ht="11.25" x14ac:dyDescent="0.15">
      <c r="A2764" s="326">
        <v>0.97499999999999998</v>
      </c>
      <c r="B2764" s="327">
        <v>100</v>
      </c>
      <c r="C2764" s="327" t="s">
        <v>109</v>
      </c>
      <c r="D2764" s="327" t="s">
        <v>113</v>
      </c>
      <c r="E2764" s="328" t="s">
        <v>2104</v>
      </c>
      <c r="F2764" s="328">
        <v>24.953506499999996</v>
      </c>
      <c r="G2764" s="328">
        <v>5140.567575</v>
      </c>
      <c r="H2764" s="328">
        <v>5874.7181999999993</v>
      </c>
      <c r="I2764" s="329">
        <v>2.6006591622627799E-2</v>
      </c>
      <c r="J2764" s="329">
        <v>0.53686647455652936</v>
      </c>
      <c r="K2764" s="329">
        <v>0.61918660235400758</v>
      </c>
    </row>
    <row r="2765" spans="1:11" ht="11.25" x14ac:dyDescent="0.15">
      <c r="A2765" s="326">
        <v>1</v>
      </c>
      <c r="B2765" s="327">
        <v>100</v>
      </c>
      <c r="C2765" s="327" t="s">
        <v>109</v>
      </c>
      <c r="D2765" s="327" t="s">
        <v>79</v>
      </c>
      <c r="E2765" s="328" t="s">
        <v>2105</v>
      </c>
      <c r="F2765" s="328">
        <v>202.8235</v>
      </c>
      <c r="G2765" s="328">
        <v>5798.87</v>
      </c>
      <c r="H2765" s="328">
        <v>6439.4450000000006</v>
      </c>
      <c r="I2765" s="329">
        <v>0.21138303492425203</v>
      </c>
      <c r="J2765" s="329">
        <v>0.60561773537460428</v>
      </c>
      <c r="K2765" s="329">
        <v>0.67870797114923798</v>
      </c>
    </row>
    <row r="2766" spans="1:11" ht="11.25" x14ac:dyDescent="0.15">
      <c r="A2766" s="326">
        <v>1</v>
      </c>
      <c r="B2766" s="327">
        <v>100</v>
      </c>
      <c r="C2766" s="327" t="s">
        <v>109</v>
      </c>
      <c r="D2766" s="327" t="s">
        <v>114</v>
      </c>
      <c r="E2766" s="328" t="s">
        <v>2106</v>
      </c>
      <c r="F2766" s="328">
        <v>56.089570000000002</v>
      </c>
      <c r="G2766" s="328">
        <v>5534.0630000000001</v>
      </c>
      <c r="H2766" s="328">
        <v>6318.5720000000001</v>
      </c>
      <c r="I2766" s="329">
        <v>5.845665583226934E-2</v>
      </c>
      <c r="J2766" s="329">
        <v>0.57796203423777204</v>
      </c>
      <c r="K2766" s="329">
        <v>0.66596813586891146</v>
      </c>
    </row>
    <row r="2767" spans="1:11" ht="11.25" x14ac:dyDescent="0.15">
      <c r="A2767" s="326">
        <v>1</v>
      </c>
      <c r="B2767" s="327">
        <v>100</v>
      </c>
      <c r="C2767" s="327" t="s">
        <v>109</v>
      </c>
      <c r="D2767" s="327" t="s">
        <v>113</v>
      </c>
      <c r="E2767" s="328" t="s">
        <v>2107</v>
      </c>
      <c r="F2767" s="328">
        <v>26.68825</v>
      </c>
      <c r="G2767" s="328">
        <v>5405.317</v>
      </c>
      <c r="H2767" s="328">
        <v>6200.4169999999995</v>
      </c>
      <c r="I2767" s="329">
        <v>2.7814544576033693E-2</v>
      </c>
      <c r="J2767" s="329">
        <v>0.56451616272167682</v>
      </c>
      <c r="K2767" s="329">
        <v>0.65351477376532363</v>
      </c>
    </row>
    <row r="2768" spans="1:11" ht="11.25" x14ac:dyDescent="0.15">
      <c r="A2768" s="326">
        <v>1.0249999999999999</v>
      </c>
      <c r="B2768" s="327">
        <v>100</v>
      </c>
      <c r="C2768" s="327" t="s">
        <v>109</v>
      </c>
      <c r="D2768" s="327" t="s">
        <v>79</v>
      </c>
      <c r="E2768" s="328" t="s">
        <v>2108</v>
      </c>
      <c r="F2768" s="328">
        <v>215.89759499999997</v>
      </c>
      <c r="G2768" s="328">
        <v>6142.9787500000002</v>
      </c>
      <c r="H2768" s="328">
        <v>6783.3280249999998</v>
      </c>
      <c r="I2768" s="329">
        <v>0.22500888143606149</v>
      </c>
      <c r="J2768" s="329">
        <v>0.64155548909172266</v>
      </c>
      <c r="K2768" s="329">
        <v>0.71495273295874362</v>
      </c>
    </row>
    <row r="2769" spans="1:11" ht="11.25" x14ac:dyDescent="0.15">
      <c r="A2769" s="326">
        <v>1.0249999999999999</v>
      </c>
      <c r="B2769" s="327">
        <v>100</v>
      </c>
      <c r="C2769" s="327" t="s">
        <v>109</v>
      </c>
      <c r="D2769" s="327" t="s">
        <v>114</v>
      </c>
      <c r="E2769" s="328" t="s">
        <v>2109</v>
      </c>
      <c r="F2769" s="328">
        <v>59.739634249999995</v>
      </c>
      <c r="G2769" s="328">
        <v>5833.8018499999989</v>
      </c>
      <c r="H2769" s="328">
        <v>6657.5502749999996</v>
      </c>
      <c r="I2769" s="329">
        <v>6.2260759690222253E-2</v>
      </c>
      <c r="J2769" s="329">
        <v>0.60926591991563461</v>
      </c>
      <c r="K2769" s="329">
        <v>0.70169594428856852</v>
      </c>
    </row>
    <row r="2770" spans="1:11" ht="11.25" x14ac:dyDescent="0.15">
      <c r="A2770" s="326">
        <v>1.0249999999999999</v>
      </c>
      <c r="B2770" s="327">
        <v>100</v>
      </c>
      <c r="C2770" s="327" t="s">
        <v>109</v>
      </c>
      <c r="D2770" s="327" t="s">
        <v>113</v>
      </c>
      <c r="E2770" s="328" t="s">
        <v>2110</v>
      </c>
      <c r="F2770" s="328">
        <v>28.545727249999995</v>
      </c>
      <c r="G2770" s="328">
        <v>5679.899124999999</v>
      </c>
      <c r="H2770" s="328">
        <v>6534.7491249999994</v>
      </c>
      <c r="I2770" s="329">
        <v>2.9750410875588492E-2</v>
      </c>
      <c r="J2770" s="329">
        <v>0.59319275052530851</v>
      </c>
      <c r="K2770" s="329">
        <v>0.68875288485234476</v>
      </c>
    </row>
    <row r="2771" spans="1:11" ht="11.25" x14ac:dyDescent="0.15">
      <c r="A2771" s="326">
        <v>1.05</v>
      </c>
      <c r="B2771" s="327">
        <v>100</v>
      </c>
      <c r="C2771" s="327" t="s">
        <v>109</v>
      </c>
      <c r="D2771" s="327" t="s">
        <v>79</v>
      </c>
      <c r="E2771" s="328" t="s">
        <v>2111</v>
      </c>
      <c r="F2771" s="328">
        <v>229.74703500000001</v>
      </c>
      <c r="G2771" s="328">
        <v>6505.8304499999995</v>
      </c>
      <c r="H2771" s="328">
        <v>7136.4930000000004</v>
      </c>
      <c r="I2771" s="329">
        <v>0.23944279397184429</v>
      </c>
      <c r="J2771" s="329">
        <v>0.67945070399235408</v>
      </c>
      <c r="K2771" s="329">
        <v>0.75217579855884142</v>
      </c>
    </row>
    <row r="2772" spans="1:11" ht="11.25" x14ac:dyDescent="0.15">
      <c r="A2772" s="326">
        <v>1.05</v>
      </c>
      <c r="B2772" s="327">
        <v>100</v>
      </c>
      <c r="C2772" s="327" t="s">
        <v>109</v>
      </c>
      <c r="D2772" s="327" t="s">
        <v>114</v>
      </c>
      <c r="E2772" s="328" t="s">
        <v>2112</v>
      </c>
      <c r="F2772" s="328">
        <v>63.616465500000004</v>
      </c>
      <c r="G2772" s="328">
        <v>6148.3758000000007</v>
      </c>
      <c r="H2772" s="328">
        <v>7005.30915</v>
      </c>
      <c r="I2772" s="329">
        <v>6.6301200544039401E-2</v>
      </c>
      <c r="J2772" s="329">
        <v>0.64211914187212704</v>
      </c>
      <c r="K2772" s="329">
        <v>0.7383492149509302</v>
      </c>
    </row>
    <row r="2773" spans="1:11" ht="11.25" x14ac:dyDescent="0.15">
      <c r="A2773" s="326">
        <v>1.05</v>
      </c>
      <c r="B2773" s="327">
        <v>100</v>
      </c>
      <c r="C2773" s="327" t="s">
        <v>109</v>
      </c>
      <c r="D2773" s="327" t="s">
        <v>113</v>
      </c>
      <c r="E2773" s="328" t="s">
        <v>2113</v>
      </c>
      <c r="F2773" s="328">
        <v>30.5375595</v>
      </c>
      <c r="G2773" s="328">
        <v>5965.8364499999998</v>
      </c>
      <c r="H2773" s="328">
        <v>6877.7289000000001</v>
      </c>
      <c r="I2773" s="329">
        <v>3.1826302209999949E-2</v>
      </c>
      <c r="J2773" s="329">
        <v>0.62305524360164455</v>
      </c>
      <c r="K2773" s="329">
        <v>0.72490244544886706</v>
      </c>
    </row>
    <row r="2774" spans="1:11" ht="11.25" x14ac:dyDescent="0.15">
      <c r="A2774" s="326">
        <v>1.075</v>
      </c>
      <c r="B2774" s="327">
        <v>100</v>
      </c>
      <c r="C2774" s="327" t="s">
        <v>109</v>
      </c>
      <c r="D2774" s="327" t="s">
        <v>79</v>
      </c>
      <c r="E2774" s="328" t="s">
        <v>2114</v>
      </c>
      <c r="F2774" s="328">
        <v>244.42833999999999</v>
      </c>
      <c r="G2774" s="328">
        <v>6888.2215999999999</v>
      </c>
      <c r="H2774" s="328">
        <v>7498.2239</v>
      </c>
      <c r="I2774" s="329">
        <v>0.25474367778239182</v>
      </c>
      <c r="J2774" s="329">
        <v>0.71938656430484449</v>
      </c>
      <c r="K2774" s="329">
        <v>0.7903016999744118</v>
      </c>
    </row>
    <row r="2775" spans="1:11" ht="11.25" x14ac:dyDescent="0.15">
      <c r="A2775" s="326">
        <v>1.075</v>
      </c>
      <c r="B2775" s="327">
        <v>100</v>
      </c>
      <c r="C2775" s="327" t="s">
        <v>109</v>
      </c>
      <c r="D2775" s="327" t="s">
        <v>114</v>
      </c>
      <c r="E2775" s="328" t="s">
        <v>2115</v>
      </c>
      <c r="F2775" s="328">
        <v>67.738931999999991</v>
      </c>
      <c r="G2775" s="328">
        <v>6479.3238499999989</v>
      </c>
      <c r="H2775" s="328">
        <v>7361.8171499999999</v>
      </c>
      <c r="I2775" s="329">
        <v>7.0597642919521322E-2</v>
      </c>
      <c r="J2775" s="329">
        <v>0.67668242895523811</v>
      </c>
      <c r="K2775" s="329">
        <v>0.77592463043758664</v>
      </c>
    </row>
    <row r="2776" spans="1:11" ht="11.25" x14ac:dyDescent="0.15">
      <c r="A2776" s="326">
        <v>1.075</v>
      </c>
      <c r="B2776" s="327">
        <v>100</v>
      </c>
      <c r="C2776" s="327" t="s">
        <v>109</v>
      </c>
      <c r="D2776" s="327" t="s">
        <v>113</v>
      </c>
      <c r="E2776" s="328" t="s">
        <v>2116</v>
      </c>
      <c r="F2776" s="328">
        <v>32.676861000000002</v>
      </c>
      <c r="G2776" s="328">
        <v>6264.875325</v>
      </c>
      <c r="H2776" s="328">
        <v>7229.3610250000002</v>
      </c>
      <c r="I2776" s="329">
        <v>3.4055886275396741E-2</v>
      </c>
      <c r="J2776" s="329">
        <v>0.65428602585171558</v>
      </c>
      <c r="K2776" s="329">
        <v>0.76196395092793323</v>
      </c>
    </row>
    <row r="2777" spans="1:11" ht="11.25" x14ac:dyDescent="0.15">
      <c r="A2777" s="326">
        <v>1.1000000000000001</v>
      </c>
      <c r="B2777" s="327">
        <v>100</v>
      </c>
      <c r="C2777" s="327" t="s">
        <v>109</v>
      </c>
      <c r="D2777" s="327" t="s">
        <v>79</v>
      </c>
      <c r="E2777" s="328" t="s">
        <v>2117</v>
      </c>
      <c r="F2777" s="328">
        <v>260.00292999999999</v>
      </c>
      <c r="G2777" s="328">
        <v>7291.9077000000016</v>
      </c>
      <c r="H2777" s="328">
        <v>7869.1690000000008</v>
      </c>
      <c r="I2777" s="329">
        <v>0.27097554490775405</v>
      </c>
      <c r="J2777" s="329">
        <v>0.76154640953058794</v>
      </c>
      <c r="K2777" s="329">
        <v>0.8293987644308598</v>
      </c>
    </row>
    <row r="2778" spans="1:11" ht="11.25" x14ac:dyDescent="0.15">
      <c r="A2778" s="326">
        <v>1.1000000000000001</v>
      </c>
      <c r="B2778" s="327">
        <v>100</v>
      </c>
      <c r="C2778" s="327" t="s">
        <v>109</v>
      </c>
      <c r="D2778" s="327" t="s">
        <v>114</v>
      </c>
      <c r="E2778" s="328" t="s">
        <v>2118</v>
      </c>
      <c r="F2778" s="328">
        <v>72.128441000000009</v>
      </c>
      <c r="G2778" s="328">
        <v>6827.4096000000018</v>
      </c>
      <c r="H2778" s="328">
        <v>7727.0105000000012</v>
      </c>
      <c r="I2778" s="329">
        <v>7.5172397493065923E-2</v>
      </c>
      <c r="J2778" s="329">
        <v>0.71303552940949422</v>
      </c>
      <c r="K2778" s="329">
        <v>0.81441546895793959</v>
      </c>
    </row>
    <row r="2779" spans="1:11" ht="11.25" x14ac:dyDescent="0.15">
      <c r="A2779" s="326">
        <v>1.1000000000000001</v>
      </c>
      <c r="B2779" s="327">
        <v>100</v>
      </c>
      <c r="C2779" s="327" t="s">
        <v>109</v>
      </c>
      <c r="D2779" s="327" t="s">
        <v>113</v>
      </c>
      <c r="E2779" s="328" t="s">
        <v>2119</v>
      </c>
      <c r="F2779" s="328">
        <v>34.978262000000001</v>
      </c>
      <c r="G2779" s="328">
        <v>6578.1166000000012</v>
      </c>
      <c r="H2779" s="328">
        <v>7589.7778000000008</v>
      </c>
      <c r="I2779" s="329">
        <v>3.6454410745971937E-2</v>
      </c>
      <c r="J2779" s="329">
        <v>0.68700006696513161</v>
      </c>
      <c r="K2779" s="329">
        <v>0.79995134551370917</v>
      </c>
    </row>
    <row r="2780" spans="1:11" ht="11.25" x14ac:dyDescent="0.15">
      <c r="A2780" s="326">
        <v>1.125</v>
      </c>
      <c r="B2780" s="327">
        <v>100</v>
      </c>
      <c r="C2780" s="327" t="s">
        <v>109</v>
      </c>
      <c r="D2780" s="327" t="s">
        <v>79</v>
      </c>
      <c r="E2780" s="328" t="s">
        <v>2120</v>
      </c>
      <c r="F2780" s="328">
        <v>276.53804999999994</v>
      </c>
      <c r="G2780" s="328">
        <v>7717.073625</v>
      </c>
      <c r="H2780" s="328">
        <v>8249.1108750000003</v>
      </c>
      <c r="I2780" s="329">
        <v>0.28820847821398676</v>
      </c>
      <c r="J2780" s="329">
        <v>0.80594954749659642</v>
      </c>
      <c r="K2780" s="329">
        <v>0.86944407565502391</v>
      </c>
    </row>
    <row r="2781" spans="1:11" ht="11.25" x14ac:dyDescent="0.15">
      <c r="A2781" s="326">
        <v>1.125</v>
      </c>
      <c r="B2781" s="327">
        <v>100</v>
      </c>
      <c r="C2781" s="327" t="s">
        <v>109</v>
      </c>
      <c r="D2781" s="327" t="s">
        <v>114</v>
      </c>
      <c r="E2781" s="328" t="s">
        <v>2121</v>
      </c>
      <c r="F2781" s="328">
        <v>76.807428750000014</v>
      </c>
      <c r="G2781" s="328">
        <v>7194.3052500000003</v>
      </c>
      <c r="H2781" s="328">
        <v>8101.5333749999991</v>
      </c>
      <c r="I2781" s="329">
        <v>8.0048847366815251E-2</v>
      </c>
      <c r="J2781" s="329">
        <v>0.75135308311768101</v>
      </c>
      <c r="K2781" s="329">
        <v>0.85388962560346238</v>
      </c>
    </row>
    <row r="2782" spans="1:11" ht="11.25" x14ac:dyDescent="0.15">
      <c r="A2782" s="326">
        <v>1.125</v>
      </c>
      <c r="B2782" s="327">
        <v>100</v>
      </c>
      <c r="C2782" s="327" t="s">
        <v>109</v>
      </c>
      <c r="D2782" s="327" t="s">
        <v>113</v>
      </c>
      <c r="E2782" s="328" t="s">
        <v>2122</v>
      </c>
      <c r="F2782" s="328">
        <v>37.457988749999998</v>
      </c>
      <c r="G2782" s="328">
        <v>6905.9238750000004</v>
      </c>
      <c r="H2782" s="328">
        <v>7958.9609999999993</v>
      </c>
      <c r="I2782" s="329">
        <v>3.9038786650134182E-2</v>
      </c>
      <c r="J2782" s="329">
        <v>0.72123534030714809</v>
      </c>
      <c r="K2782" s="329">
        <v>0.83886270831817178</v>
      </c>
    </row>
    <row r="2783" spans="1:11" ht="11.25" x14ac:dyDescent="0.15">
      <c r="A2783" s="326">
        <v>1.1499999999999999</v>
      </c>
      <c r="B2783" s="327">
        <v>100</v>
      </c>
      <c r="C2783" s="327" t="s">
        <v>109</v>
      </c>
      <c r="D2783" s="327" t="s">
        <v>79</v>
      </c>
      <c r="E2783" s="328" t="s">
        <v>2123</v>
      </c>
      <c r="F2783" s="328">
        <v>294.10732499999995</v>
      </c>
      <c r="G2783" s="328">
        <v>8164.1121999999996</v>
      </c>
      <c r="H2783" s="328">
        <v>8637.8213499999983</v>
      </c>
      <c r="I2783" s="329">
        <v>0.30651920981520059</v>
      </c>
      <c r="J2783" s="329">
        <v>0.8526370037452432</v>
      </c>
      <c r="K2783" s="329">
        <v>0.91041358433965514</v>
      </c>
    </row>
    <row r="2784" spans="1:11" ht="11.25" x14ac:dyDescent="0.15">
      <c r="A2784" s="326">
        <v>1.1499999999999999</v>
      </c>
      <c r="B2784" s="327">
        <v>100</v>
      </c>
      <c r="C2784" s="327" t="s">
        <v>109</v>
      </c>
      <c r="D2784" s="327" t="s">
        <v>114</v>
      </c>
      <c r="E2784" s="328" t="s">
        <v>2124</v>
      </c>
      <c r="F2784" s="328">
        <v>81.801776999999987</v>
      </c>
      <c r="G2784" s="328">
        <v>7580.5768999999991</v>
      </c>
      <c r="H2784" s="328">
        <v>8484.8863000000001</v>
      </c>
      <c r="I2784" s="329">
        <v>8.5253966549521512E-2</v>
      </c>
      <c r="J2784" s="329">
        <v>0.79169421197768486</v>
      </c>
      <c r="K2784" s="329">
        <v>0.8942944564484927</v>
      </c>
    </row>
    <row r="2785" spans="1:11" ht="11.25" x14ac:dyDescent="0.15">
      <c r="A2785" s="326">
        <v>1.1499999999999999</v>
      </c>
      <c r="B2785" s="327">
        <v>100</v>
      </c>
      <c r="C2785" s="327" t="s">
        <v>109</v>
      </c>
      <c r="D2785" s="327" t="s">
        <v>113</v>
      </c>
      <c r="E2785" s="328" t="s">
        <v>2125</v>
      </c>
      <c r="F2785" s="328">
        <v>40.134332999999998</v>
      </c>
      <c r="G2785" s="328">
        <v>7248.3786999999993</v>
      </c>
      <c r="H2785" s="328">
        <v>8336.9629499999992</v>
      </c>
      <c r="I2785" s="329">
        <v>4.1828077684294772E-2</v>
      </c>
      <c r="J2785" s="329">
        <v>0.75700036273127658</v>
      </c>
      <c r="K2785" s="329">
        <v>0.87870355431886837</v>
      </c>
    </row>
    <row r="2786" spans="1:11" ht="11.25" x14ac:dyDescent="0.15">
      <c r="A2786" s="326">
        <v>1.175</v>
      </c>
      <c r="B2786" s="327">
        <v>100</v>
      </c>
      <c r="C2786" s="327" t="s">
        <v>109</v>
      </c>
      <c r="D2786" s="327" t="s">
        <v>79</v>
      </c>
      <c r="E2786" s="328" t="s">
        <v>2126</v>
      </c>
      <c r="F2786" s="328">
        <v>312.79216750000001</v>
      </c>
      <c r="G2786" s="328">
        <v>8634.9986250000002</v>
      </c>
      <c r="H2786" s="328">
        <v>9035.8498749999999</v>
      </c>
      <c r="I2786" s="329">
        <v>0.32599258797272013</v>
      </c>
      <c r="J2786" s="329">
        <v>0.90181506263036115</v>
      </c>
      <c r="K2786" s="329">
        <v>0.95236520170144245</v>
      </c>
    </row>
    <row r="2787" spans="1:11" ht="11.25" x14ac:dyDescent="0.15">
      <c r="A2787" s="326">
        <v>1.175</v>
      </c>
      <c r="B2787" s="327">
        <v>100</v>
      </c>
      <c r="C2787" s="327" t="s">
        <v>109</v>
      </c>
      <c r="D2787" s="327" t="s">
        <v>114</v>
      </c>
      <c r="E2787" s="328" t="s">
        <v>2127</v>
      </c>
      <c r="F2787" s="328">
        <v>87.141149000000013</v>
      </c>
      <c r="G2787" s="328">
        <v>7986.14365</v>
      </c>
      <c r="H2787" s="328">
        <v>8876.9076250000016</v>
      </c>
      <c r="I2787" s="329">
        <v>9.0818670136381896E-2</v>
      </c>
      <c r="J2787" s="329">
        <v>0.83405046702017405</v>
      </c>
      <c r="K2787" s="329">
        <v>0.93561292382230943</v>
      </c>
    </row>
    <row r="2788" spans="1:11" ht="11.25" x14ac:dyDescent="0.15">
      <c r="A2788" s="326">
        <v>1.175</v>
      </c>
      <c r="B2788" s="327">
        <v>100</v>
      </c>
      <c r="C2788" s="327" t="s">
        <v>109</v>
      </c>
      <c r="D2788" s="327" t="s">
        <v>113</v>
      </c>
      <c r="E2788" s="328" t="s">
        <v>2128</v>
      </c>
      <c r="F2788" s="328">
        <v>43.027595250000005</v>
      </c>
      <c r="G2788" s="328">
        <v>7608.6619750000009</v>
      </c>
      <c r="H2788" s="328">
        <v>8723.3621500000008</v>
      </c>
      <c r="I2788" s="329">
        <v>4.4843441067910439E-2</v>
      </c>
      <c r="J2788" s="329">
        <v>0.7946273385211885</v>
      </c>
      <c r="K2788" s="329">
        <v>0.91942945803971532</v>
      </c>
    </row>
    <row r="2789" spans="1:11" ht="11.25" x14ac:dyDescent="0.15">
      <c r="A2789" s="326">
        <v>1.2</v>
      </c>
      <c r="B2789" s="327">
        <v>100</v>
      </c>
      <c r="C2789" s="327" t="s">
        <v>109</v>
      </c>
      <c r="D2789" s="327" t="s">
        <v>79</v>
      </c>
      <c r="E2789" s="328" t="s">
        <v>2129</v>
      </c>
      <c r="F2789" s="328">
        <v>332.67923999999999</v>
      </c>
      <c r="G2789" s="328">
        <v>9129.7067999999999</v>
      </c>
      <c r="H2789" s="328">
        <v>9442.8335999999999</v>
      </c>
      <c r="I2789" s="329">
        <v>0.3467189325077894</v>
      </c>
      <c r="J2789" s="329">
        <v>0.95348099834107769</v>
      </c>
      <c r="K2789" s="329">
        <v>0.99526068388748634</v>
      </c>
    </row>
    <row r="2790" spans="1:11" ht="11.25" x14ac:dyDescent="0.15">
      <c r="A2790" s="326">
        <v>1.2</v>
      </c>
      <c r="B2790" s="327">
        <v>100</v>
      </c>
      <c r="C2790" s="327" t="s">
        <v>109</v>
      </c>
      <c r="D2790" s="327" t="s">
        <v>114</v>
      </c>
      <c r="E2790" s="328" t="s">
        <v>2130</v>
      </c>
      <c r="F2790" s="328">
        <v>92.856467999999992</v>
      </c>
      <c r="G2790" s="328">
        <v>8413.4435999999987</v>
      </c>
      <c r="H2790" s="328">
        <v>9278.0195999999978</v>
      </c>
      <c r="I2790" s="329">
        <v>9.6775186396974175E-2</v>
      </c>
      <c r="J2790" s="329">
        <v>0.87867647657801562</v>
      </c>
      <c r="K2790" s="329">
        <v>0.97788953224988528</v>
      </c>
    </row>
    <row r="2791" spans="1:11" ht="11.25" x14ac:dyDescent="0.15">
      <c r="A2791" s="326">
        <v>1.2</v>
      </c>
      <c r="B2791" s="327">
        <v>100</v>
      </c>
      <c r="C2791" s="327" t="s">
        <v>109</v>
      </c>
      <c r="D2791" s="327" t="s">
        <v>113</v>
      </c>
      <c r="E2791" s="328" t="s">
        <v>2131</v>
      </c>
      <c r="F2791" s="328">
        <v>46.160519999999998</v>
      </c>
      <c r="G2791" s="328">
        <v>7985.9447999999993</v>
      </c>
      <c r="H2791" s="328">
        <v>9118.9535999999989</v>
      </c>
      <c r="I2791" s="329">
        <v>4.8108581161855679E-2</v>
      </c>
      <c r="J2791" s="329">
        <v>0.83402969968331708</v>
      </c>
      <c r="K2791" s="329">
        <v>0.96112421130393044</v>
      </c>
    </row>
    <row r="2792" spans="1:11" ht="11.25" x14ac:dyDescent="0.15">
      <c r="A2792" s="326">
        <v>1.2250000000000001</v>
      </c>
      <c r="B2792" s="327">
        <v>100</v>
      </c>
      <c r="C2792" s="327" t="s">
        <v>109</v>
      </c>
      <c r="D2792" s="327" t="s">
        <v>79</v>
      </c>
      <c r="E2792" s="328" t="s">
        <v>2132</v>
      </c>
      <c r="F2792" s="328">
        <v>353.86832250000003</v>
      </c>
      <c r="G2792" s="328">
        <v>9648.5410000000011</v>
      </c>
      <c r="H2792" s="328">
        <v>9858.9384250000003</v>
      </c>
      <c r="I2792" s="329">
        <v>0.36880223432493764</v>
      </c>
      <c r="J2792" s="329">
        <v>1.0076665885058675</v>
      </c>
      <c r="K2792" s="329">
        <v>1.0391175165122171</v>
      </c>
    </row>
    <row r="2793" spans="1:11" ht="11.25" x14ac:dyDescent="0.15">
      <c r="A2793" s="326">
        <v>1.2250000000000001</v>
      </c>
      <c r="B2793" s="327">
        <v>100</v>
      </c>
      <c r="C2793" s="327" t="s">
        <v>109</v>
      </c>
      <c r="D2793" s="327" t="s">
        <v>114</v>
      </c>
      <c r="E2793" s="328" t="s">
        <v>2133</v>
      </c>
      <c r="F2793" s="328">
        <v>98.985010250000016</v>
      </c>
      <c r="G2793" s="328">
        <v>8862.2416750000011</v>
      </c>
      <c r="H2793" s="328">
        <v>9687.7189500000004</v>
      </c>
      <c r="I2793" s="329">
        <v>0.10316236470947993</v>
      </c>
      <c r="J2793" s="329">
        <v>0.92554769007684956</v>
      </c>
      <c r="K2793" s="329">
        <v>1.0210712372911837</v>
      </c>
    </row>
    <row r="2794" spans="1:11" ht="11.25" x14ac:dyDescent="0.15">
      <c r="A2794" s="326">
        <v>1.2250000000000001</v>
      </c>
      <c r="B2794" s="327">
        <v>100</v>
      </c>
      <c r="C2794" s="327" t="s">
        <v>109</v>
      </c>
      <c r="D2794" s="327" t="s">
        <v>113</v>
      </c>
      <c r="E2794" s="328" t="s">
        <v>2134</v>
      </c>
      <c r="F2794" s="328">
        <v>49.558538750000004</v>
      </c>
      <c r="G2794" s="328">
        <v>8382.6884750000008</v>
      </c>
      <c r="H2794" s="328">
        <v>9523.6375500000013</v>
      </c>
      <c r="I2794" s="329">
        <v>5.165000272348199E-2</v>
      </c>
      <c r="J2794" s="329">
        <v>0.87546449749352817</v>
      </c>
      <c r="K2794" s="329">
        <v>1.0037773006091675</v>
      </c>
    </row>
    <row r="2795" spans="1:11" ht="11.25" x14ac:dyDescent="0.15">
      <c r="A2795" s="326">
        <v>1.25</v>
      </c>
      <c r="B2795" s="327">
        <v>100</v>
      </c>
      <c r="C2795" s="327" t="s">
        <v>109</v>
      </c>
      <c r="D2795" s="327" t="s">
        <v>79</v>
      </c>
      <c r="E2795" s="328" t="s">
        <v>2135</v>
      </c>
      <c r="F2795" s="328">
        <v>376.46625</v>
      </c>
      <c r="G2795" s="328">
        <v>10192.091250000001</v>
      </c>
      <c r="H2795" s="328">
        <v>10284.169999999998</v>
      </c>
      <c r="I2795" s="329">
        <v>0.39235383706302379</v>
      </c>
      <c r="J2795" s="329">
        <v>1.064433453682583</v>
      </c>
      <c r="K2795" s="329">
        <v>1.0839362950772711</v>
      </c>
    </row>
    <row r="2796" spans="1:11" ht="11.25" x14ac:dyDescent="0.15">
      <c r="A2796" s="326">
        <v>1.25</v>
      </c>
      <c r="B2796" s="327">
        <v>100</v>
      </c>
      <c r="C2796" s="327" t="s">
        <v>109</v>
      </c>
      <c r="D2796" s="327" t="s">
        <v>114</v>
      </c>
      <c r="E2796" s="328" t="s">
        <v>2136</v>
      </c>
      <c r="F2796" s="328">
        <v>105.56417500000001</v>
      </c>
      <c r="G2796" s="328">
        <v>9333.8062499999996</v>
      </c>
      <c r="H2796" s="328">
        <v>10106.407499999999</v>
      </c>
      <c r="I2796" s="329">
        <v>0.11001918264291295</v>
      </c>
      <c r="J2796" s="329">
        <v>0.9747965730479089</v>
      </c>
      <c r="K2796" s="329">
        <v>1.0652003907064105</v>
      </c>
    </row>
    <row r="2797" spans="1:11" ht="11.25" x14ac:dyDescent="0.15">
      <c r="A2797" s="326">
        <v>1.25</v>
      </c>
      <c r="B2797" s="327">
        <v>100</v>
      </c>
      <c r="C2797" s="327" t="s">
        <v>109</v>
      </c>
      <c r="D2797" s="327" t="s">
        <v>113</v>
      </c>
      <c r="E2797" s="328" t="s">
        <v>2137</v>
      </c>
      <c r="F2797" s="328">
        <v>53.250137500000001</v>
      </c>
      <c r="G2797" s="328">
        <v>8798.375</v>
      </c>
      <c r="H2797" s="328">
        <v>9936.9762500000015</v>
      </c>
      <c r="I2797" s="329">
        <v>5.549739391581214E-2</v>
      </c>
      <c r="J2797" s="329">
        <v>0.9188776334831672</v>
      </c>
      <c r="K2797" s="329">
        <v>1.0473425877533955</v>
      </c>
    </row>
    <row r="2798" spans="1:11" ht="11.25" x14ac:dyDescent="0.15">
      <c r="A2798" s="326">
        <v>1.2749999999999999</v>
      </c>
      <c r="B2798" s="327">
        <v>100</v>
      </c>
      <c r="C2798" s="327" t="s">
        <v>109</v>
      </c>
      <c r="D2798" s="327" t="s">
        <v>79</v>
      </c>
      <c r="E2798" s="328" t="s">
        <v>2138</v>
      </c>
      <c r="F2798" s="328">
        <v>400.59276</v>
      </c>
      <c r="G2798" s="328">
        <v>10760.875049999999</v>
      </c>
      <c r="H2798" s="328">
        <v>10718.273474999998</v>
      </c>
      <c r="I2798" s="329">
        <v>0.41749853137078552</v>
      </c>
      <c r="J2798" s="329">
        <v>1.123835640121279</v>
      </c>
      <c r="K2798" s="329">
        <v>1.1296901587698849</v>
      </c>
    </row>
    <row r="2799" spans="1:11" ht="11.25" x14ac:dyDescent="0.15">
      <c r="A2799" s="326">
        <v>1.2749999999999999</v>
      </c>
      <c r="B2799" s="327">
        <v>100</v>
      </c>
      <c r="C2799" s="327" t="s">
        <v>109</v>
      </c>
      <c r="D2799" s="327" t="s">
        <v>114</v>
      </c>
      <c r="E2799" s="328" t="s">
        <v>2139</v>
      </c>
      <c r="F2799" s="328">
        <v>112.64053799999998</v>
      </c>
      <c r="G2799" s="328">
        <v>9829.5015749999984</v>
      </c>
      <c r="H2799" s="328">
        <v>10534.166025</v>
      </c>
      <c r="I2799" s="329">
        <v>0.11739418153192571</v>
      </c>
      <c r="J2799" s="329">
        <v>1.0265656039388027</v>
      </c>
      <c r="K2799" s="329">
        <v>1.1102855060610011</v>
      </c>
    </row>
    <row r="2800" spans="1:11" ht="11.25" x14ac:dyDescent="0.15">
      <c r="A2800" s="326">
        <v>1.2749999999999999</v>
      </c>
      <c r="B2800" s="327">
        <v>100</v>
      </c>
      <c r="C2800" s="327" t="s">
        <v>109</v>
      </c>
      <c r="D2800" s="327" t="s">
        <v>113</v>
      </c>
      <c r="E2800" s="328" t="s">
        <v>2140</v>
      </c>
      <c r="F2800" s="328">
        <v>57.267249749999991</v>
      </c>
      <c r="G2800" s="328">
        <v>9234.8364750000001</v>
      </c>
      <c r="H2800" s="328">
        <v>10359.261524999998</v>
      </c>
      <c r="I2800" s="329">
        <v>5.9684035892882792E-2</v>
      </c>
      <c r="J2800" s="329">
        <v>0.96446044704300904</v>
      </c>
      <c r="K2800" s="329">
        <v>1.0918508306596468</v>
      </c>
    </row>
    <row r="2801" spans="1:11" ht="11.25" x14ac:dyDescent="0.15">
      <c r="A2801" s="326">
        <v>1.3</v>
      </c>
      <c r="B2801" s="327">
        <v>100</v>
      </c>
      <c r="C2801" s="327" t="s">
        <v>109</v>
      </c>
      <c r="D2801" s="327" t="s">
        <v>79</v>
      </c>
      <c r="E2801" s="328" t="s">
        <v>2141</v>
      </c>
      <c r="F2801" s="328">
        <v>426.37685999999997</v>
      </c>
      <c r="G2801" s="328">
        <v>11355.609200000001</v>
      </c>
      <c r="H2801" s="328">
        <v>11161.706400000001</v>
      </c>
      <c r="I2801" s="329">
        <v>0.44437076910847567</v>
      </c>
      <c r="J2801" s="329">
        <v>1.1859480084056071</v>
      </c>
      <c r="K2801" s="329">
        <v>1.1764273326827801</v>
      </c>
    </row>
    <row r="2802" spans="1:11" ht="11.25" x14ac:dyDescent="0.15">
      <c r="A2802" s="326">
        <v>1.3</v>
      </c>
      <c r="B2802" s="327">
        <v>100</v>
      </c>
      <c r="C2802" s="327" t="s">
        <v>109</v>
      </c>
      <c r="D2802" s="327" t="s">
        <v>114</v>
      </c>
      <c r="E2802" s="328" t="s">
        <v>2142</v>
      </c>
      <c r="F2802" s="328">
        <v>120.26318200000001</v>
      </c>
      <c r="G2802" s="328">
        <v>10349.026999999998</v>
      </c>
      <c r="H2802" s="328">
        <v>10970.741599999999</v>
      </c>
      <c r="I2802" s="329">
        <v>0.12533851551130754</v>
      </c>
      <c r="J2802" s="329">
        <v>1.0808233837059003</v>
      </c>
      <c r="K2802" s="329">
        <v>1.1562999254343416</v>
      </c>
    </row>
    <row r="2803" spans="1:11" ht="11.25" x14ac:dyDescent="0.15">
      <c r="A2803" s="326">
        <v>1.3</v>
      </c>
      <c r="B2803" s="327">
        <v>100</v>
      </c>
      <c r="C2803" s="327" t="s">
        <v>109</v>
      </c>
      <c r="D2803" s="327" t="s">
        <v>113</v>
      </c>
      <c r="E2803" s="328" t="s">
        <v>2143</v>
      </c>
      <c r="F2803" s="328">
        <v>61.645701000000003</v>
      </c>
      <c r="G2803" s="328">
        <v>9692.2969000000012</v>
      </c>
      <c r="H2803" s="328">
        <v>10789.190099999998</v>
      </c>
      <c r="I2803" s="329">
        <v>6.4247266058484354E-2</v>
      </c>
      <c r="J2803" s="329">
        <v>1.0122363321054444</v>
      </c>
      <c r="K2803" s="329">
        <v>1.1371646660720671</v>
      </c>
    </row>
    <row r="2804" spans="1:11" ht="11.25" x14ac:dyDescent="0.15">
      <c r="A2804" s="326">
        <v>1.325</v>
      </c>
      <c r="B2804" s="327">
        <v>100</v>
      </c>
      <c r="C2804" s="327" t="s">
        <v>109</v>
      </c>
      <c r="D2804" s="327" t="s">
        <v>79</v>
      </c>
      <c r="E2804" s="328" t="s">
        <v>2144</v>
      </c>
      <c r="F2804" s="328">
        <v>453.96686249999993</v>
      </c>
      <c r="G2804" s="328">
        <v>11976.962524999997</v>
      </c>
      <c r="H2804" s="328">
        <v>11614.52865</v>
      </c>
      <c r="I2804" s="329">
        <v>0.47312512184382288</v>
      </c>
      <c r="J2804" s="329">
        <v>1.250840408744635</v>
      </c>
      <c r="K2804" s="329">
        <v>1.2241541275523276</v>
      </c>
    </row>
    <row r="2805" spans="1:11" ht="11.25" x14ac:dyDescent="0.15">
      <c r="A2805" s="326">
        <v>1.325</v>
      </c>
      <c r="B2805" s="327">
        <v>100</v>
      </c>
      <c r="C2805" s="327" t="s">
        <v>109</v>
      </c>
      <c r="D2805" s="327" t="s">
        <v>114</v>
      </c>
      <c r="E2805" s="328" t="s">
        <v>2145</v>
      </c>
      <c r="F2805" s="328">
        <v>128.48778074999998</v>
      </c>
      <c r="G2805" s="328">
        <v>10892.936299999998</v>
      </c>
      <c r="H2805" s="328">
        <v>11416.635924999999</v>
      </c>
      <c r="I2805" s="329">
        <v>0.13391020786850089</v>
      </c>
      <c r="J2805" s="329">
        <v>1.13762774705862</v>
      </c>
      <c r="K2805" s="329">
        <v>1.2032965272638019</v>
      </c>
    </row>
    <row r="2806" spans="1:11" ht="11.25" x14ac:dyDescent="0.15">
      <c r="A2806" s="326">
        <v>1.325</v>
      </c>
      <c r="B2806" s="327">
        <v>100</v>
      </c>
      <c r="C2806" s="327" t="s">
        <v>109</v>
      </c>
      <c r="D2806" s="327" t="s">
        <v>113</v>
      </c>
      <c r="E2806" s="328" t="s">
        <v>2146</v>
      </c>
      <c r="F2806" s="328">
        <v>66.425695000000005</v>
      </c>
      <c r="G2806" s="328">
        <v>10173.197625000001</v>
      </c>
      <c r="H2806" s="328">
        <v>11228.93245</v>
      </c>
      <c r="I2806" s="329">
        <v>6.9228984836829641E-2</v>
      </c>
      <c r="J2806" s="329">
        <v>1.0624602564242349</v>
      </c>
      <c r="K2806" s="329">
        <v>1.1835128588428572</v>
      </c>
    </row>
    <row r="2807" spans="1:11" ht="11.25" x14ac:dyDescent="0.15">
      <c r="A2807" s="326">
        <v>1.35</v>
      </c>
      <c r="B2807" s="327">
        <v>100</v>
      </c>
      <c r="C2807" s="327" t="s">
        <v>109</v>
      </c>
      <c r="D2807" s="327" t="s">
        <v>79</v>
      </c>
      <c r="E2807" s="328" t="s">
        <v>2147</v>
      </c>
      <c r="F2807" s="328">
        <v>483.52369500000003</v>
      </c>
      <c r="G2807" s="328">
        <v>12624.765300000001</v>
      </c>
      <c r="H2807" s="328">
        <v>12076.929900000003</v>
      </c>
      <c r="I2807" s="329">
        <v>0.50392930852139128</v>
      </c>
      <c r="J2807" s="329">
        <v>1.3184951155349038</v>
      </c>
      <c r="K2807" s="329">
        <v>1.2728905348427653</v>
      </c>
    </row>
    <row r="2808" spans="1:11" ht="11.25" x14ac:dyDescent="0.15">
      <c r="A2808" s="326">
        <v>1.35</v>
      </c>
      <c r="B2808" s="327">
        <v>100</v>
      </c>
      <c r="C2808" s="327" t="s">
        <v>109</v>
      </c>
      <c r="D2808" s="327" t="s">
        <v>114</v>
      </c>
      <c r="E2808" s="328" t="s">
        <v>2148</v>
      </c>
      <c r="F2808" s="328">
        <v>137.37667500000001</v>
      </c>
      <c r="G2808" s="328">
        <v>11461.4136</v>
      </c>
      <c r="H2808" s="328">
        <v>11871.2736</v>
      </c>
      <c r="I2808" s="329">
        <v>0.14317423025094539</v>
      </c>
      <c r="J2808" s="329">
        <v>1.1969979234960761</v>
      </c>
      <c r="K2808" s="329">
        <v>1.2512146652411054</v>
      </c>
    </row>
    <row r="2809" spans="1:11" ht="11.25" x14ac:dyDescent="0.15">
      <c r="A2809" s="326">
        <v>1.35</v>
      </c>
      <c r="B2809" s="327">
        <v>100</v>
      </c>
      <c r="C2809" s="327" t="s">
        <v>109</v>
      </c>
      <c r="D2809" s="327" t="s">
        <v>113</v>
      </c>
      <c r="E2809" s="328" t="s">
        <v>2149</v>
      </c>
      <c r="F2809" s="328">
        <v>71.652383999999998</v>
      </c>
      <c r="G2809" s="328">
        <v>10676.287350000002</v>
      </c>
      <c r="H2809" s="328">
        <v>11677.582350000001</v>
      </c>
      <c r="I2809" s="329">
        <v>7.467624998818144E-2</v>
      </c>
      <c r="J2809" s="329">
        <v>1.115001537733306</v>
      </c>
      <c r="K2809" s="329">
        <v>1.2307998941984364</v>
      </c>
    </row>
    <row r="2810" spans="1:11" ht="11.25" x14ac:dyDescent="0.15">
      <c r="A2810" s="326">
        <v>1.375</v>
      </c>
      <c r="B2810" s="327">
        <v>100</v>
      </c>
      <c r="C2810" s="327" t="s">
        <v>109</v>
      </c>
      <c r="D2810" s="327" t="s">
        <v>79</v>
      </c>
      <c r="E2810" s="328" t="s">
        <v>2150</v>
      </c>
      <c r="F2810" s="328">
        <v>515.22762499999999</v>
      </c>
      <c r="G2810" s="328">
        <v>13299.164999999999</v>
      </c>
      <c r="H2810" s="328">
        <v>12548.108375000002</v>
      </c>
      <c r="I2810" s="329">
        <v>0.53697120427028644</v>
      </c>
      <c r="J2810" s="329">
        <v>1.3889275306522131</v>
      </c>
      <c r="K2810" s="329">
        <v>1.322552048655903</v>
      </c>
    </row>
    <row r="2811" spans="1:11" ht="11.25" x14ac:dyDescent="0.15">
      <c r="A2811" s="326">
        <v>1.375</v>
      </c>
      <c r="B2811" s="327">
        <v>100</v>
      </c>
      <c r="C2811" s="327" t="s">
        <v>109</v>
      </c>
      <c r="D2811" s="327" t="s">
        <v>114</v>
      </c>
      <c r="E2811" s="328" t="s">
        <v>2151</v>
      </c>
      <c r="F2811" s="328">
        <v>147.0000125</v>
      </c>
      <c r="G2811" s="328">
        <v>12055.3235</v>
      </c>
      <c r="H2811" s="328">
        <v>12334.517250000001</v>
      </c>
      <c r="I2811" s="329">
        <v>0.1532036907762315</v>
      </c>
      <c r="J2811" s="329">
        <v>1.2590242094198092</v>
      </c>
      <c r="K2811" s="329">
        <v>1.3000398602445984</v>
      </c>
    </row>
    <row r="2812" spans="1:11" ht="11.25" x14ac:dyDescent="0.15">
      <c r="A2812" s="326">
        <v>1.375</v>
      </c>
      <c r="B2812" s="327">
        <v>100</v>
      </c>
      <c r="C2812" s="327" t="s">
        <v>109</v>
      </c>
      <c r="D2812" s="327" t="s">
        <v>113</v>
      </c>
      <c r="E2812" s="328" t="s">
        <v>2152</v>
      </c>
      <c r="F2812" s="328">
        <v>77.377052500000005</v>
      </c>
      <c r="G2812" s="328">
        <v>11202.55675</v>
      </c>
      <c r="H2812" s="328">
        <v>12135.116125</v>
      </c>
      <c r="I2812" s="329">
        <v>8.064251031533913E-2</v>
      </c>
      <c r="J2812" s="329">
        <v>1.1699636393539581</v>
      </c>
      <c r="K2812" s="329">
        <v>1.2790232768288499</v>
      </c>
    </row>
    <row r="2813" spans="1:11" ht="11.25" x14ac:dyDescent="0.15">
      <c r="A2813" s="326">
        <v>1.4</v>
      </c>
      <c r="B2813" s="327">
        <v>100</v>
      </c>
      <c r="C2813" s="327" t="s">
        <v>109</v>
      </c>
      <c r="D2813" s="327" t="s">
        <v>79</v>
      </c>
      <c r="E2813" s="328" t="s">
        <v>2153</v>
      </c>
      <c r="F2813" s="328">
        <v>549.27907999999991</v>
      </c>
      <c r="G2813" s="328">
        <v>14000.462</v>
      </c>
      <c r="H2813" s="328">
        <v>13028.593199999998</v>
      </c>
      <c r="I2813" s="329">
        <v>0.5724596950097055</v>
      </c>
      <c r="J2813" s="329">
        <v>1.462169024419965</v>
      </c>
      <c r="K2813" s="329">
        <v>1.373194437983515</v>
      </c>
    </row>
    <row r="2814" spans="1:11" ht="11.25" x14ac:dyDescent="0.15">
      <c r="A2814" s="326">
        <v>1.4</v>
      </c>
      <c r="B2814" s="327">
        <v>100</v>
      </c>
      <c r="C2814" s="327" t="s">
        <v>109</v>
      </c>
      <c r="D2814" s="327" t="s">
        <v>114</v>
      </c>
      <c r="E2814" s="328" t="s">
        <v>2154</v>
      </c>
      <c r="F2814" s="328">
        <v>157.43601999999998</v>
      </c>
      <c r="G2814" s="328">
        <v>12675.7498</v>
      </c>
      <c r="H2814" s="328">
        <v>12807.642400000001</v>
      </c>
      <c r="I2814" s="329">
        <v>0.16408011751101445</v>
      </c>
      <c r="J2814" s="329">
        <v>1.3238197938652001</v>
      </c>
      <c r="K2814" s="329">
        <v>1.3499065507212122</v>
      </c>
    </row>
    <row r="2815" spans="1:11" ht="11.25" x14ac:dyDescent="0.15">
      <c r="A2815" s="326">
        <v>1.4</v>
      </c>
      <c r="B2815" s="327">
        <v>100</v>
      </c>
      <c r="C2815" s="327" t="s">
        <v>109</v>
      </c>
      <c r="D2815" s="327" t="s">
        <v>113</v>
      </c>
      <c r="E2815" s="328" t="s">
        <v>2155</v>
      </c>
      <c r="F2815" s="328">
        <v>83.65537599999999</v>
      </c>
      <c r="G2815" s="328">
        <v>11753.344399999998</v>
      </c>
      <c r="H2815" s="328">
        <v>12601.0178</v>
      </c>
      <c r="I2815" s="329">
        <v>8.7185790929598564E-2</v>
      </c>
      <c r="J2815" s="329">
        <v>1.227486358308737</v>
      </c>
      <c r="K2815" s="329">
        <v>1.328128623732858</v>
      </c>
    </row>
    <row r="2816" spans="1:11" ht="11.25" x14ac:dyDescent="0.15">
      <c r="A2816" s="326">
        <v>0.9</v>
      </c>
      <c r="B2816" s="327">
        <v>105</v>
      </c>
      <c r="C2816" s="327" t="s">
        <v>109</v>
      </c>
      <c r="D2816" s="327" t="s">
        <v>79</v>
      </c>
      <c r="E2816" s="328" t="s">
        <v>2156</v>
      </c>
      <c r="F2816" s="328">
        <v>188.25242400000002</v>
      </c>
      <c r="G2816" s="328">
        <v>4606.9545600000001</v>
      </c>
      <c r="H2816" s="328">
        <v>5157.7680600000003</v>
      </c>
      <c r="I2816" s="329">
        <v>0.19619703198577634</v>
      </c>
      <c r="J2816" s="329">
        <v>0.48113742636080936</v>
      </c>
      <c r="K2816" s="329">
        <v>0.54362111884812137</v>
      </c>
    </row>
    <row r="2817" spans="1:11" ht="11.25" x14ac:dyDescent="0.15">
      <c r="A2817" s="326">
        <v>0.9</v>
      </c>
      <c r="B2817" s="327">
        <v>105</v>
      </c>
      <c r="C2817" s="327" t="s">
        <v>109</v>
      </c>
      <c r="D2817" s="327" t="s">
        <v>114</v>
      </c>
      <c r="E2817" s="328" t="s">
        <v>2157</v>
      </c>
      <c r="F2817" s="328">
        <v>52.949260799999998</v>
      </c>
      <c r="G2817" s="328">
        <v>4468.1598000000004</v>
      </c>
      <c r="H2817" s="328">
        <v>5055.4085400000004</v>
      </c>
      <c r="I2817" s="329">
        <v>5.5183819650581563E-2</v>
      </c>
      <c r="J2817" s="329">
        <v>0.4666420905051924</v>
      </c>
      <c r="K2817" s="329">
        <v>0.53283257695561204</v>
      </c>
    </row>
    <row r="2818" spans="1:11" ht="11.25" x14ac:dyDescent="0.15">
      <c r="A2818" s="326">
        <v>0.9</v>
      </c>
      <c r="B2818" s="327">
        <v>105</v>
      </c>
      <c r="C2818" s="327" t="s">
        <v>109</v>
      </c>
      <c r="D2818" s="327" t="s">
        <v>113</v>
      </c>
      <c r="E2818" s="328" t="s">
        <v>2158</v>
      </c>
      <c r="F2818" s="328">
        <v>24.9281802</v>
      </c>
      <c r="G2818" s="328">
        <v>4404.0843000000004</v>
      </c>
      <c r="H2818" s="328">
        <v>4955.5153799999998</v>
      </c>
      <c r="I2818" s="329">
        <v>2.5980196504915103E-2</v>
      </c>
      <c r="J2818" s="329">
        <v>0.45995022481360154</v>
      </c>
      <c r="K2818" s="329">
        <v>0.52230398575632597</v>
      </c>
    </row>
    <row r="2819" spans="1:11" ht="11.25" x14ac:dyDescent="0.15">
      <c r="A2819" s="326">
        <v>0.92500000000000004</v>
      </c>
      <c r="B2819" s="327">
        <v>105</v>
      </c>
      <c r="C2819" s="327" t="s">
        <v>109</v>
      </c>
      <c r="D2819" s="327" t="s">
        <v>79</v>
      </c>
      <c r="E2819" s="328" t="s">
        <v>2159</v>
      </c>
      <c r="F2819" s="328">
        <v>200.397772</v>
      </c>
      <c r="G2819" s="328">
        <v>4887.3015100000002</v>
      </c>
      <c r="H2819" s="328">
        <v>5465.8246300000001</v>
      </c>
      <c r="I2819" s="329">
        <v>0.20885493661936758</v>
      </c>
      <c r="J2819" s="329">
        <v>0.51041607633540398</v>
      </c>
      <c r="K2819" s="329">
        <v>0.57608982533197106</v>
      </c>
    </row>
    <row r="2820" spans="1:11" ht="11.25" x14ac:dyDescent="0.15">
      <c r="A2820" s="326">
        <v>0.92500000000000004</v>
      </c>
      <c r="B2820" s="327">
        <v>105</v>
      </c>
      <c r="C2820" s="327" t="s">
        <v>109</v>
      </c>
      <c r="D2820" s="327" t="s">
        <v>114</v>
      </c>
      <c r="E2820" s="328" t="s">
        <v>2160</v>
      </c>
      <c r="F2820" s="328">
        <v>56.376903700000007</v>
      </c>
      <c r="G2820" s="328">
        <v>4720.2115450000001</v>
      </c>
      <c r="H2820" s="328">
        <v>5359.2886800000006</v>
      </c>
      <c r="I2820" s="329">
        <v>5.8756115557311139E-2</v>
      </c>
      <c r="J2820" s="329">
        <v>0.49296566854783125</v>
      </c>
      <c r="K2820" s="329">
        <v>0.56486109389953298</v>
      </c>
    </row>
    <row r="2821" spans="1:11" ht="11.25" x14ac:dyDescent="0.15">
      <c r="A2821" s="326">
        <v>0.92500000000000004</v>
      </c>
      <c r="B2821" s="327">
        <v>105</v>
      </c>
      <c r="C2821" s="327" t="s">
        <v>109</v>
      </c>
      <c r="D2821" s="327" t="s">
        <v>113</v>
      </c>
      <c r="E2821" s="328" t="s">
        <v>2161</v>
      </c>
      <c r="F2821" s="328">
        <v>26.600426650000003</v>
      </c>
      <c r="G2821" s="328">
        <v>4642.1741050000001</v>
      </c>
      <c r="H2821" s="328">
        <v>5254.6373249999997</v>
      </c>
      <c r="I2821" s="329">
        <v>2.7723014914726132E-2</v>
      </c>
      <c r="J2821" s="329">
        <v>0.48481565696156848</v>
      </c>
      <c r="K2821" s="329">
        <v>0.55383099599046326</v>
      </c>
    </row>
    <row r="2822" spans="1:11" ht="11.25" x14ac:dyDescent="0.15">
      <c r="A2822" s="326">
        <v>0.95</v>
      </c>
      <c r="B2822" s="327">
        <v>105</v>
      </c>
      <c r="C2822" s="327" t="s">
        <v>109</v>
      </c>
      <c r="D2822" s="327" t="s">
        <v>79</v>
      </c>
      <c r="E2822" s="328" t="s">
        <v>2162</v>
      </c>
      <c r="F2822" s="328">
        <v>213.19751799999997</v>
      </c>
      <c r="G2822" s="328">
        <v>5182.9121499999992</v>
      </c>
      <c r="H2822" s="328">
        <v>5783.0482399999992</v>
      </c>
      <c r="I2822" s="329">
        <v>0.22219485608500913</v>
      </c>
      <c r="J2822" s="329">
        <v>0.54128882332739325</v>
      </c>
      <c r="K2822" s="329">
        <v>0.6095247242625057</v>
      </c>
    </row>
    <row r="2823" spans="1:11" ht="11.25" x14ac:dyDescent="0.15">
      <c r="A2823" s="326">
        <v>0.95</v>
      </c>
      <c r="B2823" s="327">
        <v>105</v>
      </c>
      <c r="C2823" s="327" t="s">
        <v>109</v>
      </c>
      <c r="D2823" s="327" t="s">
        <v>114</v>
      </c>
      <c r="E2823" s="328" t="s">
        <v>2163</v>
      </c>
      <c r="F2823" s="328">
        <v>59.991774200000002</v>
      </c>
      <c r="G2823" s="328">
        <v>4983.5075299999999</v>
      </c>
      <c r="H2823" s="328">
        <v>5671.8435199999994</v>
      </c>
      <c r="I2823" s="329">
        <v>6.2523540422517329E-2</v>
      </c>
      <c r="J2823" s="329">
        <v>0.52046356351166478</v>
      </c>
      <c r="K2823" s="329">
        <v>0.59780391138291444</v>
      </c>
    </row>
    <row r="2824" spans="1:11" ht="11.25" x14ac:dyDescent="0.15">
      <c r="A2824" s="326">
        <v>0.95</v>
      </c>
      <c r="B2824" s="327">
        <v>105</v>
      </c>
      <c r="C2824" s="327" t="s">
        <v>109</v>
      </c>
      <c r="D2824" s="327" t="s">
        <v>113</v>
      </c>
      <c r="E2824" s="328" t="s">
        <v>2164</v>
      </c>
      <c r="F2824" s="328">
        <v>28.3753657</v>
      </c>
      <c r="G2824" s="328">
        <v>4889.2285799999991</v>
      </c>
      <c r="H2824" s="328">
        <v>5562.8143</v>
      </c>
      <c r="I2824" s="329">
        <v>2.9572859746289377E-2</v>
      </c>
      <c r="J2824" s="329">
        <v>0.51061733412688881</v>
      </c>
      <c r="K2824" s="329">
        <v>0.58631239298308602</v>
      </c>
    </row>
    <row r="2825" spans="1:11" ht="11.25" x14ac:dyDescent="0.15">
      <c r="A2825" s="326">
        <v>0.97499999999999998</v>
      </c>
      <c r="B2825" s="327">
        <v>105</v>
      </c>
      <c r="C2825" s="327" t="s">
        <v>109</v>
      </c>
      <c r="D2825" s="327" t="s">
        <v>79</v>
      </c>
      <c r="E2825" s="328" t="s">
        <v>2165</v>
      </c>
      <c r="F2825" s="328">
        <v>226.70358749999997</v>
      </c>
      <c r="G2825" s="328">
        <v>5494.6048949999995</v>
      </c>
      <c r="H2825" s="328">
        <v>6109.056525</v>
      </c>
      <c r="I2825" s="329">
        <v>0.23627090723691152</v>
      </c>
      <c r="J2825" s="329">
        <v>0.57384114030632094</v>
      </c>
      <c r="K2825" s="329">
        <v>0.64388551493471313</v>
      </c>
    </row>
    <row r="2826" spans="1:11" ht="11.25" x14ac:dyDescent="0.15">
      <c r="A2826" s="326">
        <v>0.97499999999999998</v>
      </c>
      <c r="B2826" s="327">
        <v>105</v>
      </c>
      <c r="C2826" s="327" t="s">
        <v>109</v>
      </c>
      <c r="D2826" s="327" t="s">
        <v>114</v>
      </c>
      <c r="E2826" s="328" t="s">
        <v>2166</v>
      </c>
      <c r="F2826" s="328">
        <v>63.810922500000004</v>
      </c>
      <c r="G2826" s="328">
        <v>5258.456189999999</v>
      </c>
      <c r="H2826" s="328">
        <v>5993.1658799999996</v>
      </c>
      <c r="I2826" s="329">
        <v>6.6503863996855594E-2</v>
      </c>
      <c r="J2826" s="329">
        <v>0.54917843120372922</v>
      </c>
      <c r="K2826" s="329">
        <v>0.63167081249636214</v>
      </c>
    </row>
    <row r="2827" spans="1:11" ht="11.25" x14ac:dyDescent="0.15">
      <c r="A2827" s="326">
        <v>0.97499999999999998</v>
      </c>
      <c r="B2827" s="327">
        <v>105</v>
      </c>
      <c r="C2827" s="327" t="s">
        <v>109</v>
      </c>
      <c r="D2827" s="327" t="s">
        <v>113</v>
      </c>
      <c r="E2827" s="328" t="s">
        <v>2167</v>
      </c>
      <c r="F2827" s="328">
        <v>30.264631799999997</v>
      </c>
      <c r="G2827" s="328">
        <v>5146.0538999999999</v>
      </c>
      <c r="H2827" s="328">
        <v>5879.5183199999992</v>
      </c>
      <c r="I2827" s="329">
        <v>3.1541856445377527E-2</v>
      </c>
      <c r="J2827" s="329">
        <v>0.53743945096780066</v>
      </c>
      <c r="K2827" s="329">
        <v>0.61969252789673257</v>
      </c>
    </row>
    <row r="2828" spans="1:11" ht="11.25" x14ac:dyDescent="0.15">
      <c r="A2828" s="326">
        <v>1</v>
      </c>
      <c r="B2828" s="327">
        <v>105</v>
      </c>
      <c r="C2828" s="327" t="s">
        <v>109</v>
      </c>
      <c r="D2828" s="327" t="s">
        <v>79</v>
      </c>
      <c r="E2828" s="328" t="s">
        <v>2168</v>
      </c>
      <c r="F2828" s="328">
        <v>240.96209999999999</v>
      </c>
      <c r="G2828" s="328">
        <v>5823.1153999999997</v>
      </c>
      <c r="H2828" s="328">
        <v>6444.1516000000001</v>
      </c>
      <c r="I2828" s="329">
        <v>0.25113115590511509</v>
      </c>
      <c r="J2828" s="329">
        <v>0.60814985701920943</v>
      </c>
      <c r="K2828" s="329">
        <v>0.67920403982239397</v>
      </c>
    </row>
    <row r="2829" spans="1:11" ht="11.25" x14ac:dyDescent="0.15">
      <c r="A2829" s="326">
        <v>1</v>
      </c>
      <c r="B2829" s="327">
        <v>105</v>
      </c>
      <c r="C2829" s="327" t="s">
        <v>109</v>
      </c>
      <c r="D2829" s="327" t="s">
        <v>114</v>
      </c>
      <c r="E2829" s="328" t="s">
        <v>2169</v>
      </c>
      <c r="F2829" s="328">
        <v>67.849196000000006</v>
      </c>
      <c r="G2829" s="328">
        <v>5547.2424000000001</v>
      </c>
      <c r="H2829" s="328">
        <v>6323.3370000000004</v>
      </c>
      <c r="I2829" s="329">
        <v>7.0712560268659325E-2</v>
      </c>
      <c r="J2829" s="329">
        <v>0.57933845384738492</v>
      </c>
      <c r="K2829" s="329">
        <v>0.66647035981562219</v>
      </c>
    </row>
    <row r="2830" spans="1:11" ht="11.25" x14ac:dyDescent="0.15">
      <c r="A2830" s="326">
        <v>1</v>
      </c>
      <c r="B2830" s="327">
        <v>105</v>
      </c>
      <c r="C2830" s="327" t="s">
        <v>109</v>
      </c>
      <c r="D2830" s="327" t="s">
        <v>113</v>
      </c>
      <c r="E2830" s="328" t="s">
        <v>2170</v>
      </c>
      <c r="F2830" s="328">
        <v>32.278337999999998</v>
      </c>
      <c r="G2830" s="328">
        <v>5412.2308000000003</v>
      </c>
      <c r="H2830" s="328">
        <v>6205.2297999999992</v>
      </c>
      <c r="I2830" s="329">
        <v>3.3640544851808653E-2</v>
      </c>
      <c r="J2830" s="329">
        <v>0.56523822062241147</v>
      </c>
      <c r="K2830" s="329">
        <v>0.65402203576127926</v>
      </c>
    </row>
    <row r="2831" spans="1:11" ht="11.25" x14ac:dyDescent="0.15">
      <c r="A2831" s="326">
        <v>1.0249999999999999</v>
      </c>
      <c r="B2831" s="327">
        <v>105</v>
      </c>
      <c r="C2831" s="327" t="s">
        <v>109</v>
      </c>
      <c r="D2831" s="327" t="s">
        <v>79</v>
      </c>
      <c r="E2831" s="328" t="s">
        <v>2171</v>
      </c>
      <c r="F2831" s="328">
        <v>256.0144755</v>
      </c>
      <c r="G2831" s="328">
        <v>6170.455105</v>
      </c>
      <c r="H2831" s="328">
        <v>6788.1881649999996</v>
      </c>
      <c r="I2831" s="329">
        <v>0.26681877009188071</v>
      </c>
      <c r="J2831" s="329">
        <v>0.64442504262395361</v>
      </c>
      <c r="K2831" s="329">
        <v>0.71546498452062535</v>
      </c>
    </row>
    <row r="2832" spans="1:11" ht="11.25" x14ac:dyDescent="0.15">
      <c r="A2832" s="326">
        <v>1.0249999999999999</v>
      </c>
      <c r="B2832" s="327">
        <v>105</v>
      </c>
      <c r="C2832" s="327" t="s">
        <v>109</v>
      </c>
      <c r="D2832" s="327" t="s">
        <v>114</v>
      </c>
      <c r="E2832" s="328" t="s">
        <v>2172</v>
      </c>
      <c r="F2832" s="328">
        <v>72.119364899999994</v>
      </c>
      <c r="G2832" s="328">
        <v>5849.4029649999993</v>
      </c>
      <c r="H2832" s="328">
        <v>6662.4489549999998</v>
      </c>
      <c r="I2832" s="329">
        <v>7.5162938364497098E-2</v>
      </c>
      <c r="J2832" s="329">
        <v>0.6108952566546233</v>
      </c>
      <c r="K2832" s="329">
        <v>0.70221225790940223</v>
      </c>
    </row>
    <row r="2833" spans="1:11" ht="11.25" x14ac:dyDescent="0.15">
      <c r="A2833" s="326">
        <v>1.0249999999999999</v>
      </c>
      <c r="B2833" s="327">
        <v>105</v>
      </c>
      <c r="C2833" s="327" t="s">
        <v>109</v>
      </c>
      <c r="D2833" s="327" t="s">
        <v>113</v>
      </c>
      <c r="E2833" s="328" t="s">
        <v>2173</v>
      </c>
      <c r="F2833" s="328">
        <v>34.424807449999996</v>
      </c>
      <c r="G2833" s="328">
        <v>5688.5144549999995</v>
      </c>
      <c r="H2833" s="328">
        <v>6539.6988499999998</v>
      </c>
      <c r="I2833" s="329">
        <v>3.5877599368238894E-2</v>
      </c>
      <c r="J2833" s="329">
        <v>0.59409251145185205</v>
      </c>
      <c r="K2833" s="329">
        <v>0.68927457854062024</v>
      </c>
    </row>
    <row r="2834" spans="1:11" ht="11.25" x14ac:dyDescent="0.15">
      <c r="A2834" s="326">
        <v>1.05</v>
      </c>
      <c r="B2834" s="327">
        <v>105</v>
      </c>
      <c r="C2834" s="327" t="s">
        <v>109</v>
      </c>
      <c r="D2834" s="327" t="s">
        <v>79</v>
      </c>
      <c r="E2834" s="328" t="s">
        <v>2174</v>
      </c>
      <c r="F2834" s="328">
        <v>271.91371200000003</v>
      </c>
      <c r="G2834" s="328">
        <v>6536.6479499999996</v>
      </c>
      <c r="H2834" s="328">
        <v>7141.4378700000007</v>
      </c>
      <c r="I2834" s="329">
        <v>0.28338898441294536</v>
      </c>
      <c r="J2834" s="329">
        <v>0.68266919734707787</v>
      </c>
      <c r="K2834" s="329">
        <v>0.75269698053730338</v>
      </c>
    </row>
    <row r="2835" spans="1:11" ht="11.25" x14ac:dyDescent="0.15">
      <c r="A2835" s="326">
        <v>1.05</v>
      </c>
      <c r="B2835" s="327">
        <v>105</v>
      </c>
      <c r="C2835" s="327" t="s">
        <v>109</v>
      </c>
      <c r="D2835" s="327" t="s">
        <v>114</v>
      </c>
      <c r="E2835" s="328" t="s">
        <v>2175</v>
      </c>
      <c r="F2835" s="328">
        <v>76.638983400000001</v>
      </c>
      <c r="G2835" s="328">
        <v>6166.6949400000003</v>
      </c>
      <c r="H2835" s="328">
        <v>7010.2876200000001</v>
      </c>
      <c r="I2835" s="329">
        <v>7.9873293304776674E-2</v>
      </c>
      <c r="J2835" s="329">
        <v>0.64403234152668221</v>
      </c>
      <c r="K2835" s="329">
        <v>0.73887393831965642</v>
      </c>
    </row>
    <row r="2836" spans="1:11" ht="11.25" x14ac:dyDescent="0.15">
      <c r="A2836" s="326">
        <v>1.05</v>
      </c>
      <c r="B2836" s="327">
        <v>105</v>
      </c>
      <c r="C2836" s="327" t="s">
        <v>109</v>
      </c>
      <c r="D2836" s="327" t="s">
        <v>113</v>
      </c>
      <c r="E2836" s="328" t="s">
        <v>2176</v>
      </c>
      <c r="F2836" s="328">
        <v>36.715954800000006</v>
      </c>
      <c r="G2836" s="328">
        <v>5976.5477099999998</v>
      </c>
      <c r="H2836" s="328">
        <v>6882.7829700000002</v>
      </c>
      <c r="I2836" s="329">
        <v>3.8265437465410376E-2</v>
      </c>
      <c r="J2836" s="329">
        <v>0.62417389758495656</v>
      </c>
      <c r="K2836" s="329">
        <v>0.72543513694568806</v>
      </c>
    </row>
    <row r="2837" spans="1:11" ht="11.25" x14ac:dyDescent="0.15">
      <c r="A2837" s="326">
        <v>1.075</v>
      </c>
      <c r="B2837" s="327">
        <v>105</v>
      </c>
      <c r="C2837" s="327" t="s">
        <v>109</v>
      </c>
      <c r="D2837" s="327" t="s">
        <v>79</v>
      </c>
      <c r="E2837" s="328" t="s">
        <v>2177</v>
      </c>
      <c r="F2837" s="328">
        <v>288.71838300000002</v>
      </c>
      <c r="G2837" s="328">
        <v>6922.6811550000002</v>
      </c>
      <c r="H2837" s="328">
        <v>7503.29403</v>
      </c>
      <c r="I2837" s="329">
        <v>0.30090284428068043</v>
      </c>
      <c r="J2837" s="329">
        <v>0.72298542367936347</v>
      </c>
      <c r="K2837" s="329">
        <v>0.79083608417146034</v>
      </c>
    </row>
    <row r="2838" spans="1:11" ht="11.25" x14ac:dyDescent="0.15">
      <c r="A2838" s="326">
        <v>1.075</v>
      </c>
      <c r="B2838" s="327">
        <v>105</v>
      </c>
      <c r="C2838" s="327" t="s">
        <v>109</v>
      </c>
      <c r="D2838" s="327" t="s">
        <v>114</v>
      </c>
      <c r="E2838" s="328" t="s">
        <v>2178</v>
      </c>
      <c r="F2838" s="328">
        <v>81.427582099999995</v>
      </c>
      <c r="G2838" s="328">
        <v>6500.4151349999993</v>
      </c>
      <c r="H2838" s="328">
        <v>7366.9360849999994</v>
      </c>
      <c r="I2838" s="329">
        <v>8.4863979917720087E-2</v>
      </c>
      <c r="J2838" s="329">
        <v>0.67888514366652508</v>
      </c>
      <c r="K2838" s="329">
        <v>0.77646415860939255</v>
      </c>
    </row>
    <row r="2839" spans="1:11" ht="11.25" x14ac:dyDescent="0.15">
      <c r="A2839" s="326">
        <v>1.075</v>
      </c>
      <c r="B2839" s="327">
        <v>105</v>
      </c>
      <c r="C2839" s="327" t="s">
        <v>109</v>
      </c>
      <c r="D2839" s="327" t="s">
        <v>113</v>
      </c>
      <c r="E2839" s="328" t="s">
        <v>2179</v>
      </c>
      <c r="F2839" s="328">
        <v>39.16528795</v>
      </c>
      <c r="G2839" s="328">
        <v>6277.6097749999999</v>
      </c>
      <c r="H2839" s="328">
        <v>7234.5498349999998</v>
      </c>
      <c r="I2839" s="329">
        <v>4.0818137102225517E-2</v>
      </c>
      <c r="J2839" s="329">
        <v>0.655615976130001</v>
      </c>
      <c r="K2839" s="329">
        <v>0.76251084382130818</v>
      </c>
    </row>
    <row r="2840" spans="1:11" ht="11.25" x14ac:dyDescent="0.15">
      <c r="A2840" s="326">
        <v>1.1000000000000001</v>
      </c>
      <c r="B2840" s="327">
        <v>105</v>
      </c>
      <c r="C2840" s="327" t="s">
        <v>109</v>
      </c>
      <c r="D2840" s="327" t="s">
        <v>79</v>
      </c>
      <c r="E2840" s="328" t="s">
        <v>2180</v>
      </c>
      <c r="F2840" s="328">
        <v>306.492076</v>
      </c>
      <c r="G2840" s="328">
        <v>7330.0543800000014</v>
      </c>
      <c r="H2840" s="328">
        <v>7874.3376800000005</v>
      </c>
      <c r="I2840" s="329">
        <v>0.31942662070773115</v>
      </c>
      <c r="J2840" s="329">
        <v>0.76553034190942371</v>
      </c>
      <c r="K2840" s="329">
        <v>0.82994353565203172</v>
      </c>
    </row>
    <row r="2841" spans="1:11" ht="11.25" x14ac:dyDescent="0.15">
      <c r="A2841" s="326">
        <v>1.1000000000000001</v>
      </c>
      <c r="B2841" s="327">
        <v>105</v>
      </c>
      <c r="C2841" s="327" t="s">
        <v>109</v>
      </c>
      <c r="D2841" s="327" t="s">
        <v>114</v>
      </c>
      <c r="E2841" s="328" t="s">
        <v>2181</v>
      </c>
      <c r="F2841" s="328">
        <v>86.507220799999999</v>
      </c>
      <c r="G2841" s="328">
        <v>6851.4965200000015</v>
      </c>
      <c r="H2841" s="328">
        <v>7732.3334000000013</v>
      </c>
      <c r="I2841" s="329">
        <v>9.0157988968568151E-2</v>
      </c>
      <c r="J2841" s="329">
        <v>0.71555109984693277</v>
      </c>
      <c r="K2841" s="329">
        <v>0.81497649473883071</v>
      </c>
    </row>
    <row r="2842" spans="1:11" ht="11.25" x14ac:dyDescent="0.15">
      <c r="A2842" s="326">
        <v>1.1000000000000001</v>
      </c>
      <c r="B2842" s="327">
        <v>105</v>
      </c>
      <c r="C2842" s="327" t="s">
        <v>109</v>
      </c>
      <c r="D2842" s="327" t="s">
        <v>113</v>
      </c>
      <c r="E2842" s="328" t="s">
        <v>2182</v>
      </c>
      <c r="F2842" s="328">
        <v>41.787741600000004</v>
      </c>
      <c r="G2842" s="328">
        <v>6593.0365600000014</v>
      </c>
      <c r="H2842" s="328">
        <v>7595.1306200000008</v>
      </c>
      <c r="I2842" s="329">
        <v>4.3551263251242686E-2</v>
      </c>
      <c r="J2842" s="329">
        <v>0.68855826578439805</v>
      </c>
      <c r="K2842" s="329">
        <v>0.8005155248183119</v>
      </c>
    </row>
    <row r="2843" spans="1:11" ht="11.25" x14ac:dyDescent="0.15">
      <c r="A2843" s="326">
        <v>1.125</v>
      </c>
      <c r="B2843" s="327">
        <v>105</v>
      </c>
      <c r="C2843" s="327" t="s">
        <v>109</v>
      </c>
      <c r="D2843" s="327" t="s">
        <v>79</v>
      </c>
      <c r="E2843" s="328" t="s">
        <v>2183</v>
      </c>
      <c r="F2843" s="328">
        <v>325.30436999999995</v>
      </c>
      <c r="G2843" s="328">
        <v>7759.0700999999999</v>
      </c>
      <c r="H2843" s="328">
        <v>8254.3619249999992</v>
      </c>
      <c r="I2843" s="329">
        <v>0.33903282905936344</v>
      </c>
      <c r="J2843" s="329">
        <v>0.81033554167877608</v>
      </c>
      <c r="K2843" s="329">
        <v>0.86999752855226931</v>
      </c>
    </row>
    <row r="2844" spans="1:11" ht="11.25" x14ac:dyDescent="0.15">
      <c r="A2844" s="326">
        <v>1.125</v>
      </c>
      <c r="B2844" s="327">
        <v>105</v>
      </c>
      <c r="C2844" s="327" t="s">
        <v>109</v>
      </c>
      <c r="D2844" s="327" t="s">
        <v>114</v>
      </c>
      <c r="E2844" s="328" t="s">
        <v>2184</v>
      </c>
      <c r="F2844" s="328">
        <v>91.901200500000016</v>
      </c>
      <c r="G2844" s="328">
        <v>7221.5678250000001</v>
      </c>
      <c r="H2844" s="328">
        <v>8106.960149999999</v>
      </c>
      <c r="I2844" s="329">
        <v>9.5779604803546886E-2</v>
      </c>
      <c r="J2844" s="329">
        <v>0.75420031006568633</v>
      </c>
      <c r="K2844" s="329">
        <v>0.85446159965559465</v>
      </c>
    </row>
    <row r="2845" spans="1:11" ht="11.25" x14ac:dyDescent="0.15">
      <c r="A2845" s="326">
        <v>1.125</v>
      </c>
      <c r="B2845" s="327">
        <v>105</v>
      </c>
      <c r="C2845" s="327" t="s">
        <v>109</v>
      </c>
      <c r="D2845" s="327" t="s">
        <v>113</v>
      </c>
      <c r="E2845" s="328" t="s">
        <v>2185</v>
      </c>
      <c r="F2845" s="328">
        <v>44.599925249999998</v>
      </c>
      <c r="G2845" s="328">
        <v>6923.3670000000002</v>
      </c>
      <c r="H2845" s="328">
        <v>7964.386199999999</v>
      </c>
      <c r="I2845" s="329">
        <v>4.6482126364744622E-2</v>
      </c>
      <c r="J2845" s="329">
        <v>0.72305705140954502</v>
      </c>
      <c r="K2845" s="329">
        <v>0.83943451636763544</v>
      </c>
    </row>
    <row r="2846" spans="1:11" ht="11.25" x14ac:dyDescent="0.15">
      <c r="A2846" s="326">
        <v>1.1499999999999999</v>
      </c>
      <c r="B2846" s="327">
        <v>105</v>
      </c>
      <c r="C2846" s="327" t="s">
        <v>109</v>
      </c>
      <c r="D2846" s="327" t="s">
        <v>79</v>
      </c>
      <c r="E2846" s="328" t="s">
        <v>2186</v>
      </c>
      <c r="F2846" s="328">
        <v>345.23124199999995</v>
      </c>
      <c r="G2846" s="328">
        <v>8210.2814799999996</v>
      </c>
      <c r="H2846" s="328">
        <v>8643.2479699999985</v>
      </c>
      <c r="I2846" s="329">
        <v>0.35980065270853179</v>
      </c>
      <c r="J2846" s="329">
        <v>0.85745879399014879</v>
      </c>
      <c r="K2846" s="329">
        <v>0.91098554205501692</v>
      </c>
    </row>
    <row r="2847" spans="1:11" ht="11.25" x14ac:dyDescent="0.15">
      <c r="A2847" s="326">
        <v>1.1499999999999999</v>
      </c>
      <c r="B2847" s="327">
        <v>105</v>
      </c>
      <c r="C2847" s="327" t="s">
        <v>109</v>
      </c>
      <c r="D2847" s="327" t="s">
        <v>114</v>
      </c>
      <c r="E2847" s="328" t="s">
        <v>2187</v>
      </c>
      <c r="F2847" s="328">
        <v>97.636177599999982</v>
      </c>
      <c r="G2847" s="328">
        <v>7611.1535599999988</v>
      </c>
      <c r="H2847" s="328">
        <v>8490.4302200000002</v>
      </c>
      <c r="I2847" s="329">
        <v>0.10175660877310209</v>
      </c>
      <c r="J2847" s="329">
        <v>0.79488755267760036</v>
      </c>
      <c r="K2847" s="329">
        <v>0.8948787774102237</v>
      </c>
    </row>
    <row r="2848" spans="1:11" ht="11.25" x14ac:dyDescent="0.15">
      <c r="A2848" s="326">
        <v>1.1499999999999999</v>
      </c>
      <c r="B2848" s="327">
        <v>105</v>
      </c>
      <c r="C2848" s="327" t="s">
        <v>109</v>
      </c>
      <c r="D2848" s="327" t="s">
        <v>113</v>
      </c>
      <c r="E2848" s="328" t="s">
        <v>2188</v>
      </c>
      <c r="F2848" s="328">
        <v>47.620499500000001</v>
      </c>
      <c r="G2848" s="328">
        <v>7268.6226099999994</v>
      </c>
      <c r="H2848" s="328">
        <v>8342.4822599999989</v>
      </c>
      <c r="I2848" s="329">
        <v>4.9630174555309554E-2</v>
      </c>
      <c r="J2848" s="329">
        <v>0.75911457997176091</v>
      </c>
      <c r="K2848" s="329">
        <v>0.87928528142302764</v>
      </c>
    </row>
    <row r="2849" spans="1:11" ht="11.25" x14ac:dyDescent="0.15">
      <c r="A2849" s="326">
        <v>1.175</v>
      </c>
      <c r="B2849" s="327">
        <v>105</v>
      </c>
      <c r="C2849" s="327" t="s">
        <v>109</v>
      </c>
      <c r="D2849" s="327" t="s">
        <v>79</v>
      </c>
      <c r="E2849" s="328" t="s">
        <v>2189</v>
      </c>
      <c r="F2849" s="328">
        <v>366.35644600000001</v>
      </c>
      <c r="G2849" s="328">
        <v>8685.2505550000005</v>
      </c>
      <c r="H2849" s="328">
        <v>9041.3806000000004</v>
      </c>
      <c r="I2849" s="329">
        <v>0.38181738023228501</v>
      </c>
      <c r="J2849" s="329">
        <v>0.90706323340239137</v>
      </c>
      <c r="K2849" s="329">
        <v>0.95294813192970507</v>
      </c>
    </row>
    <row r="2850" spans="1:11" ht="11.25" x14ac:dyDescent="0.15">
      <c r="A2850" s="326">
        <v>1.175</v>
      </c>
      <c r="B2850" s="327">
        <v>105</v>
      </c>
      <c r="C2850" s="327" t="s">
        <v>109</v>
      </c>
      <c r="D2850" s="327" t="s">
        <v>114</v>
      </c>
      <c r="E2850" s="328" t="s">
        <v>2190</v>
      </c>
      <c r="F2850" s="328">
        <v>103.74242320000002</v>
      </c>
      <c r="G2850" s="328">
        <v>8020.2903249999999</v>
      </c>
      <c r="H2850" s="328">
        <v>8882.5323500000013</v>
      </c>
      <c r="I2850" s="329">
        <v>0.10812054947484952</v>
      </c>
      <c r="J2850" s="329">
        <v>0.83761665008412833</v>
      </c>
      <c r="K2850" s="329">
        <v>0.93620576151143053</v>
      </c>
    </row>
    <row r="2851" spans="1:11" ht="11.25" x14ac:dyDescent="0.15">
      <c r="A2851" s="326">
        <v>1.175</v>
      </c>
      <c r="B2851" s="327">
        <v>105</v>
      </c>
      <c r="C2851" s="327" t="s">
        <v>109</v>
      </c>
      <c r="D2851" s="327" t="s">
        <v>113</v>
      </c>
      <c r="E2851" s="328" t="s">
        <v>2191</v>
      </c>
      <c r="F2851" s="328">
        <v>50.870186799999999</v>
      </c>
      <c r="G2851" s="328">
        <v>7631.8017200000004</v>
      </c>
      <c r="H2851" s="328">
        <v>8729.1290500000014</v>
      </c>
      <c r="I2851" s="329">
        <v>5.3017004799481446E-2</v>
      </c>
      <c r="J2851" s="329">
        <v>0.79704398865544668</v>
      </c>
      <c r="K2851" s="329">
        <v>0.92003728076338498</v>
      </c>
    </row>
    <row r="2852" spans="1:11" ht="11.25" x14ac:dyDescent="0.15">
      <c r="A2852" s="326">
        <v>1.2</v>
      </c>
      <c r="B2852" s="327">
        <v>105</v>
      </c>
      <c r="C2852" s="327" t="s">
        <v>109</v>
      </c>
      <c r="D2852" s="327" t="s">
        <v>79</v>
      </c>
      <c r="E2852" s="328" t="s">
        <v>2192</v>
      </c>
      <c r="F2852" s="328">
        <v>388.76968799999997</v>
      </c>
      <c r="G2852" s="328">
        <v>9184.3068000000003</v>
      </c>
      <c r="H2852" s="328">
        <v>9448.5400800000007</v>
      </c>
      <c r="I2852" s="329">
        <v>0.40517650339331768</v>
      </c>
      <c r="J2852" s="329">
        <v>0.95918326936137199</v>
      </c>
      <c r="K2852" s="329">
        <v>0.99586213843259141</v>
      </c>
    </row>
    <row r="2853" spans="1:11" ht="11.25" x14ac:dyDescent="0.15">
      <c r="A2853" s="326">
        <v>1.2</v>
      </c>
      <c r="B2853" s="327">
        <v>105</v>
      </c>
      <c r="C2853" s="327" t="s">
        <v>109</v>
      </c>
      <c r="D2853" s="327" t="s">
        <v>114</v>
      </c>
      <c r="E2853" s="328" t="s">
        <v>2193</v>
      </c>
      <c r="F2853" s="328">
        <v>110.2519344</v>
      </c>
      <c r="G2853" s="328">
        <v>8451.2234399999979</v>
      </c>
      <c r="H2853" s="328">
        <v>9283.741439999998</v>
      </c>
      <c r="I2853" s="329">
        <v>0.11490477434686584</v>
      </c>
      <c r="J2853" s="329">
        <v>0.88262209721507323</v>
      </c>
      <c r="K2853" s="329">
        <v>0.97849260571625396</v>
      </c>
    </row>
    <row r="2854" spans="1:11" ht="11.25" x14ac:dyDescent="0.15">
      <c r="A2854" s="326">
        <v>1.2</v>
      </c>
      <c r="B2854" s="327">
        <v>105</v>
      </c>
      <c r="C2854" s="327" t="s">
        <v>109</v>
      </c>
      <c r="D2854" s="327" t="s">
        <v>113</v>
      </c>
      <c r="E2854" s="328" t="s">
        <v>2194</v>
      </c>
      <c r="F2854" s="328">
        <v>54.372167999999995</v>
      </c>
      <c r="G2854" s="328">
        <v>8012.2300799999994</v>
      </c>
      <c r="H2854" s="328">
        <v>9124.7923199999987</v>
      </c>
      <c r="I2854" s="329">
        <v>5.6666776222929288E-2</v>
      </c>
      <c r="J2854" s="329">
        <v>0.83677486067973317</v>
      </c>
      <c r="K2854" s="329">
        <v>0.96173960374929002</v>
      </c>
    </row>
    <row r="2855" spans="1:11" ht="11.25" x14ac:dyDescent="0.15">
      <c r="A2855" s="326">
        <v>1.2250000000000001</v>
      </c>
      <c r="B2855" s="327">
        <v>105</v>
      </c>
      <c r="C2855" s="327" t="s">
        <v>109</v>
      </c>
      <c r="D2855" s="327" t="s">
        <v>79</v>
      </c>
      <c r="E2855" s="328" t="s">
        <v>2195</v>
      </c>
      <c r="F2855" s="328">
        <v>412.572993</v>
      </c>
      <c r="G2855" s="328">
        <v>9707.5708100000011</v>
      </c>
      <c r="H2855" s="328">
        <v>9864.7510500000008</v>
      </c>
      <c r="I2855" s="329">
        <v>0.42998435283940073</v>
      </c>
      <c r="J2855" s="329">
        <v>1.0138314964710045</v>
      </c>
      <c r="K2855" s="329">
        <v>1.0397301585832033</v>
      </c>
    </row>
    <row r="2856" spans="1:11" ht="11.25" x14ac:dyDescent="0.15">
      <c r="A2856" s="326">
        <v>1.2250000000000001</v>
      </c>
      <c r="B2856" s="327">
        <v>105</v>
      </c>
      <c r="C2856" s="327" t="s">
        <v>109</v>
      </c>
      <c r="D2856" s="327" t="s">
        <v>114</v>
      </c>
      <c r="E2856" s="328" t="s">
        <v>2196</v>
      </c>
      <c r="F2856" s="328">
        <v>117.20257570000003</v>
      </c>
      <c r="G2856" s="328">
        <v>8903.9524350000011</v>
      </c>
      <c r="H2856" s="328">
        <v>9693.6129149999997</v>
      </c>
      <c r="I2856" s="329">
        <v>0.12214874584259418</v>
      </c>
      <c r="J2856" s="329">
        <v>0.92990384498495293</v>
      </c>
      <c r="K2856" s="329">
        <v>1.021692452477768</v>
      </c>
    </row>
    <row r="2857" spans="1:11" ht="11.25" x14ac:dyDescent="0.15">
      <c r="A2857" s="326">
        <v>1.2250000000000001</v>
      </c>
      <c r="B2857" s="327">
        <v>105</v>
      </c>
      <c r="C2857" s="327" t="s">
        <v>109</v>
      </c>
      <c r="D2857" s="327" t="s">
        <v>113</v>
      </c>
      <c r="E2857" s="328" t="s">
        <v>2197</v>
      </c>
      <c r="F2857" s="328">
        <v>58.152349850000007</v>
      </c>
      <c r="G2857" s="328">
        <v>8412.1889250000004</v>
      </c>
      <c r="H2857" s="328">
        <v>9529.5979100000004</v>
      </c>
      <c r="I2857" s="329">
        <v>6.0606488889452526E-2</v>
      </c>
      <c r="J2857" s="329">
        <v>0.87854544183639693</v>
      </c>
      <c r="K2857" s="329">
        <v>1.0044055137304719</v>
      </c>
    </row>
    <row r="2858" spans="1:11" ht="11.25" x14ac:dyDescent="0.15">
      <c r="A2858" s="326">
        <v>1.25</v>
      </c>
      <c r="B2858" s="327">
        <v>105</v>
      </c>
      <c r="C2858" s="327" t="s">
        <v>109</v>
      </c>
      <c r="D2858" s="327" t="s">
        <v>79</v>
      </c>
      <c r="E2858" s="328" t="s">
        <v>2198</v>
      </c>
      <c r="F2858" s="328">
        <v>437.87627499999996</v>
      </c>
      <c r="G2858" s="328">
        <v>10255.61375</v>
      </c>
      <c r="H2858" s="328">
        <v>10290.055499999999</v>
      </c>
      <c r="I2858" s="329">
        <v>0.45635548114901076</v>
      </c>
      <c r="J2858" s="329">
        <v>1.0710675656035837</v>
      </c>
      <c r="K2858" s="329">
        <v>1.0845566180653854</v>
      </c>
    </row>
    <row r="2859" spans="1:11" ht="11.25" x14ac:dyDescent="0.15">
      <c r="A2859" s="326">
        <v>1.25</v>
      </c>
      <c r="B2859" s="327">
        <v>105</v>
      </c>
      <c r="C2859" s="327" t="s">
        <v>109</v>
      </c>
      <c r="D2859" s="327" t="s">
        <v>114</v>
      </c>
      <c r="E2859" s="328" t="s">
        <v>2199</v>
      </c>
      <c r="F2859" s="328">
        <v>124.63314</v>
      </c>
      <c r="G2859" s="328">
        <v>9379.5497500000001</v>
      </c>
      <c r="H2859" s="328">
        <v>10112.365749999999</v>
      </c>
      <c r="I2859" s="329">
        <v>0.12989289399571152</v>
      </c>
      <c r="J2859" s="329">
        <v>0.97957389602257616</v>
      </c>
      <c r="K2859" s="329">
        <v>1.0658283814368383</v>
      </c>
    </row>
    <row r="2860" spans="1:11" ht="11.25" x14ac:dyDescent="0.15">
      <c r="A2860" s="326">
        <v>1.25</v>
      </c>
      <c r="B2860" s="327">
        <v>105</v>
      </c>
      <c r="C2860" s="327" t="s">
        <v>109</v>
      </c>
      <c r="D2860" s="327" t="s">
        <v>113</v>
      </c>
      <c r="E2860" s="328" t="s">
        <v>2200</v>
      </c>
      <c r="F2860" s="328">
        <v>62.239734999999996</v>
      </c>
      <c r="G2860" s="328">
        <v>8831.4757499999996</v>
      </c>
      <c r="H2860" s="328">
        <v>9942.9500000000007</v>
      </c>
      <c r="I2860" s="329">
        <v>6.4866369415680095E-2</v>
      </c>
      <c r="J2860" s="329">
        <v>0.92233458307062144</v>
      </c>
      <c r="K2860" s="329">
        <v>1.0479722121608797</v>
      </c>
    </row>
    <row r="2861" spans="1:11" ht="11.25" x14ac:dyDescent="0.15">
      <c r="A2861" s="326">
        <v>1.2749999999999999</v>
      </c>
      <c r="B2861" s="327">
        <v>105</v>
      </c>
      <c r="C2861" s="327" t="s">
        <v>109</v>
      </c>
      <c r="D2861" s="327" t="s">
        <v>79</v>
      </c>
      <c r="E2861" s="328" t="s">
        <v>2201</v>
      </c>
      <c r="F2861" s="328">
        <v>464.80209150000002</v>
      </c>
      <c r="G2861" s="328">
        <v>10828.980959999999</v>
      </c>
      <c r="H2861" s="328">
        <v>10724.316464999998</v>
      </c>
      <c r="I2861" s="329">
        <v>0.48441761798021382</v>
      </c>
      <c r="J2861" s="329">
        <v>1.1309484305407618</v>
      </c>
      <c r="K2861" s="329">
        <v>1.1303270809708781</v>
      </c>
    </row>
    <row r="2862" spans="1:11" ht="11.25" x14ac:dyDescent="0.15">
      <c r="A2862" s="326">
        <v>1.2749999999999999</v>
      </c>
      <c r="B2862" s="327">
        <v>105</v>
      </c>
      <c r="C2862" s="327" t="s">
        <v>109</v>
      </c>
      <c r="D2862" s="327" t="s">
        <v>114</v>
      </c>
      <c r="E2862" s="328" t="s">
        <v>2202</v>
      </c>
      <c r="F2862" s="328">
        <v>132.59084039999999</v>
      </c>
      <c r="G2862" s="328">
        <v>9879.3186299999979</v>
      </c>
      <c r="H2862" s="328">
        <v>10540.28628</v>
      </c>
      <c r="I2862" s="329">
        <v>0.13818642438824461</v>
      </c>
      <c r="J2862" s="329">
        <v>1.0317683575842771</v>
      </c>
      <c r="K2862" s="329">
        <v>1.1109305718786244</v>
      </c>
    </row>
    <row r="2863" spans="1:11" ht="11.25" x14ac:dyDescent="0.15">
      <c r="A2863" s="326">
        <v>1.2749999999999999</v>
      </c>
      <c r="B2863" s="327">
        <v>105</v>
      </c>
      <c r="C2863" s="327" t="s">
        <v>109</v>
      </c>
      <c r="D2863" s="327" t="s">
        <v>113</v>
      </c>
      <c r="E2863" s="328" t="s">
        <v>2203</v>
      </c>
      <c r="F2863" s="328">
        <v>66.666791999999987</v>
      </c>
      <c r="G2863" s="328">
        <v>9271.7186550000006</v>
      </c>
      <c r="H2863" s="328">
        <v>10365.287684999998</v>
      </c>
      <c r="I2863" s="329">
        <v>6.9480256585769617E-2</v>
      </c>
      <c r="J2863" s="329">
        <v>0.96831231858475397</v>
      </c>
      <c r="K2863" s="329">
        <v>1.0924859790035524</v>
      </c>
    </row>
    <row r="2864" spans="1:11" ht="11.25" x14ac:dyDescent="0.15">
      <c r="A2864" s="326">
        <v>1.3</v>
      </c>
      <c r="B2864" s="327">
        <v>105</v>
      </c>
      <c r="C2864" s="327" t="s">
        <v>109</v>
      </c>
      <c r="D2864" s="327" t="s">
        <v>79</v>
      </c>
      <c r="E2864" s="328" t="s">
        <v>2204</v>
      </c>
      <c r="F2864" s="328">
        <v>493.48322400000001</v>
      </c>
      <c r="G2864" s="328">
        <v>11428.581840000001</v>
      </c>
      <c r="H2864" s="328">
        <v>11167.982020000001</v>
      </c>
      <c r="I2864" s="329">
        <v>0.51430914846319331</v>
      </c>
      <c r="J2864" s="329">
        <v>1.1935690664705587</v>
      </c>
      <c r="K2864" s="329">
        <v>1.177088773741428</v>
      </c>
    </row>
    <row r="2865" spans="1:11" ht="11.25" x14ac:dyDescent="0.15">
      <c r="A2865" s="326">
        <v>1.3</v>
      </c>
      <c r="B2865" s="327">
        <v>105</v>
      </c>
      <c r="C2865" s="327" t="s">
        <v>109</v>
      </c>
      <c r="D2865" s="327" t="s">
        <v>114</v>
      </c>
      <c r="E2865" s="328" t="s">
        <v>2205</v>
      </c>
      <c r="F2865" s="328">
        <v>141.12593560000002</v>
      </c>
      <c r="G2865" s="328">
        <v>10403.051359999998</v>
      </c>
      <c r="H2865" s="328">
        <v>10977.043739999999</v>
      </c>
      <c r="I2865" s="329">
        <v>0.14708171673229459</v>
      </c>
      <c r="J2865" s="329">
        <v>1.0864655364974376</v>
      </c>
      <c r="K2865" s="329">
        <v>1.1569641616617337</v>
      </c>
    </row>
    <row r="2866" spans="1:11" ht="11.25" x14ac:dyDescent="0.15">
      <c r="A2866" s="326">
        <v>1.3</v>
      </c>
      <c r="B2866" s="327">
        <v>105</v>
      </c>
      <c r="C2866" s="327" t="s">
        <v>109</v>
      </c>
      <c r="D2866" s="327" t="s">
        <v>113</v>
      </c>
      <c r="E2866" s="328" t="s">
        <v>2206</v>
      </c>
      <c r="F2866" s="328">
        <v>71.469949200000002</v>
      </c>
      <c r="G2866" s="328">
        <v>9733.0630800000017</v>
      </c>
      <c r="H2866" s="328">
        <v>10795.529419999999</v>
      </c>
      <c r="I2866" s="329">
        <v>7.4486116094920563E-2</v>
      </c>
      <c r="J2866" s="329">
        <v>1.0164938377248967</v>
      </c>
      <c r="K2866" s="329">
        <v>1.1378328210164244</v>
      </c>
    </row>
    <row r="2867" spans="1:11" ht="11.25" x14ac:dyDescent="0.15">
      <c r="A2867" s="326">
        <v>1.325</v>
      </c>
      <c r="B2867" s="327">
        <v>105</v>
      </c>
      <c r="C2867" s="327" t="s">
        <v>109</v>
      </c>
      <c r="D2867" s="327" t="s">
        <v>79</v>
      </c>
      <c r="E2867" s="328" t="s">
        <v>2207</v>
      </c>
      <c r="F2867" s="328">
        <v>524.07088999999996</v>
      </c>
      <c r="G2867" s="328">
        <v>12054.608054999999</v>
      </c>
      <c r="H2867" s="328">
        <v>11620.89978</v>
      </c>
      <c r="I2867" s="329">
        <v>0.54618767176216687</v>
      </c>
      <c r="J2867" s="329">
        <v>1.2589494903485614</v>
      </c>
      <c r="K2867" s="329">
        <v>1.2248256352235984</v>
      </c>
    </row>
    <row r="2868" spans="1:11" ht="11.25" x14ac:dyDescent="0.15">
      <c r="A2868" s="326">
        <v>1.325</v>
      </c>
      <c r="B2868" s="327">
        <v>105</v>
      </c>
      <c r="C2868" s="327" t="s">
        <v>109</v>
      </c>
      <c r="D2868" s="327" t="s">
        <v>114</v>
      </c>
      <c r="E2868" s="328" t="s">
        <v>2208</v>
      </c>
      <c r="F2868" s="328">
        <v>150.29531709999998</v>
      </c>
      <c r="G2868" s="328">
        <v>10951.235504999997</v>
      </c>
      <c r="H2868" s="328">
        <v>11422.977904999998</v>
      </c>
      <c r="I2868" s="329">
        <v>0.15663806345665482</v>
      </c>
      <c r="J2868" s="329">
        <v>1.143716352684585</v>
      </c>
      <c r="K2868" s="329">
        <v>1.2039649625682214</v>
      </c>
    </row>
    <row r="2869" spans="1:11" ht="11.25" x14ac:dyDescent="0.15">
      <c r="A2869" s="326">
        <v>1.325</v>
      </c>
      <c r="B2869" s="327">
        <v>105</v>
      </c>
      <c r="C2869" s="327" t="s">
        <v>109</v>
      </c>
      <c r="D2869" s="327" t="s">
        <v>113</v>
      </c>
      <c r="E2869" s="328" t="s">
        <v>2209</v>
      </c>
      <c r="F2869" s="328">
        <v>76.690051300000007</v>
      </c>
      <c r="G2869" s="328">
        <v>10217.68079</v>
      </c>
      <c r="H2869" s="328">
        <v>11235.309675</v>
      </c>
      <c r="I2869" s="329">
        <v>7.9926516366646772E-2</v>
      </c>
      <c r="J2869" s="329">
        <v>1.0671059535427416</v>
      </c>
      <c r="K2869" s="329">
        <v>1.1841850089181061</v>
      </c>
    </row>
    <row r="2870" spans="1:11" ht="11.25" x14ac:dyDescent="0.15">
      <c r="A2870" s="326">
        <v>1.35</v>
      </c>
      <c r="B2870" s="327">
        <v>105</v>
      </c>
      <c r="C2870" s="327" t="s">
        <v>109</v>
      </c>
      <c r="D2870" s="327" t="s">
        <v>79</v>
      </c>
      <c r="E2870" s="328" t="s">
        <v>2210</v>
      </c>
      <c r="F2870" s="328">
        <v>556.72979400000008</v>
      </c>
      <c r="G2870" s="328">
        <v>12707.19657</v>
      </c>
      <c r="H2870" s="328">
        <v>12083.260590000002</v>
      </c>
      <c r="I2870" s="329">
        <v>0.58022484321823486</v>
      </c>
      <c r="J2870" s="329">
        <v>1.3271040064156188</v>
      </c>
      <c r="K2870" s="329">
        <v>1.2735577801978968</v>
      </c>
    </row>
    <row r="2871" spans="1:11" ht="11.25" x14ac:dyDescent="0.15">
      <c r="A2871" s="326">
        <v>1.35</v>
      </c>
      <c r="B2871" s="327">
        <v>105</v>
      </c>
      <c r="C2871" s="327" t="s">
        <v>109</v>
      </c>
      <c r="D2871" s="327" t="s">
        <v>114</v>
      </c>
      <c r="E2871" s="328" t="s">
        <v>2211</v>
      </c>
      <c r="F2871" s="328">
        <v>160.16232600000001</v>
      </c>
      <c r="G2871" s="328">
        <v>11524.25988</v>
      </c>
      <c r="H2871" s="328">
        <v>11877.74631</v>
      </c>
      <c r="I2871" s="329">
        <v>0.16692147877542515</v>
      </c>
      <c r="J2871" s="329">
        <v>1.2035614128949277</v>
      </c>
      <c r="K2871" s="329">
        <v>1.2518968792940148</v>
      </c>
    </row>
    <row r="2872" spans="1:11" ht="11.25" x14ac:dyDescent="0.15">
      <c r="A2872" s="326">
        <v>1.35</v>
      </c>
      <c r="B2872" s="327">
        <v>105</v>
      </c>
      <c r="C2872" s="327" t="s">
        <v>109</v>
      </c>
      <c r="D2872" s="327" t="s">
        <v>113</v>
      </c>
      <c r="E2872" s="328" t="s">
        <v>2212</v>
      </c>
      <c r="F2872" s="328">
        <v>82.373128199999996</v>
      </c>
      <c r="G2872" s="328">
        <v>10724.836050000002</v>
      </c>
      <c r="H2872" s="328">
        <v>11684.082600000002</v>
      </c>
      <c r="I2872" s="329">
        <v>8.5849429849699316E-2</v>
      </c>
      <c r="J2872" s="329">
        <v>1.1200718279362907</v>
      </c>
      <c r="K2872" s="329">
        <v>1.2314850109265805</v>
      </c>
    </row>
    <row r="2873" spans="1:11" ht="11.25" x14ac:dyDescent="0.15">
      <c r="A2873" s="326">
        <v>1.375</v>
      </c>
      <c r="B2873" s="327">
        <v>105</v>
      </c>
      <c r="C2873" s="327" t="s">
        <v>109</v>
      </c>
      <c r="D2873" s="327" t="s">
        <v>79</v>
      </c>
      <c r="E2873" s="328" t="s">
        <v>2213</v>
      </c>
      <c r="F2873" s="328">
        <v>591.64407500000004</v>
      </c>
      <c r="G2873" s="328">
        <v>13386.672199999999</v>
      </c>
      <c r="H2873" s="328">
        <v>12554.723775</v>
      </c>
      <c r="I2873" s="329">
        <v>0.61661257284511806</v>
      </c>
      <c r="J2873" s="329">
        <v>1.398066537440255</v>
      </c>
      <c r="K2873" s="329">
        <v>1.3232493020235987</v>
      </c>
    </row>
    <row r="2874" spans="1:11" ht="11.25" x14ac:dyDescent="0.15">
      <c r="A2874" s="326">
        <v>1.375</v>
      </c>
      <c r="B2874" s="327">
        <v>105</v>
      </c>
      <c r="C2874" s="327" t="s">
        <v>109</v>
      </c>
      <c r="D2874" s="327" t="s">
        <v>114</v>
      </c>
      <c r="E2874" s="328" t="s">
        <v>2214</v>
      </c>
      <c r="F2874" s="328">
        <v>170.79865000000001</v>
      </c>
      <c r="G2874" s="328">
        <v>12122.7029</v>
      </c>
      <c r="H2874" s="328">
        <v>12341.191225</v>
      </c>
      <c r="I2874" s="329">
        <v>0.17800667574499554</v>
      </c>
      <c r="J2874" s="329">
        <v>1.2660611251704468</v>
      </c>
      <c r="K2874" s="329">
        <v>1.3007432873305895</v>
      </c>
    </row>
    <row r="2875" spans="1:11" ht="11.25" x14ac:dyDescent="0.15">
      <c r="A2875" s="326">
        <v>1.375</v>
      </c>
      <c r="B2875" s="327">
        <v>105</v>
      </c>
      <c r="C2875" s="327" t="s">
        <v>109</v>
      </c>
      <c r="D2875" s="327" t="s">
        <v>113</v>
      </c>
      <c r="E2875" s="328" t="s">
        <v>2215</v>
      </c>
      <c r="F2875" s="328">
        <v>88.570611249999999</v>
      </c>
      <c r="G2875" s="328">
        <v>11255.338874999999</v>
      </c>
      <c r="H2875" s="328">
        <v>12141.694675000001</v>
      </c>
      <c r="I2875" s="329">
        <v>9.2308458394225038E-2</v>
      </c>
      <c r="J2875" s="329">
        <v>1.1754760566026219</v>
      </c>
      <c r="K2875" s="329">
        <v>1.2797166462610918</v>
      </c>
    </row>
    <row r="2876" spans="1:11" ht="11.25" x14ac:dyDescent="0.15">
      <c r="A2876" s="326">
        <v>1.4</v>
      </c>
      <c r="B2876" s="327">
        <v>105</v>
      </c>
      <c r="C2876" s="327" t="s">
        <v>109</v>
      </c>
      <c r="D2876" s="327" t="s">
        <v>79</v>
      </c>
      <c r="E2876" s="328" t="s">
        <v>2216</v>
      </c>
      <c r="F2876" s="328">
        <v>629.0183199999999</v>
      </c>
      <c r="G2876" s="328">
        <v>14092.814399999999</v>
      </c>
      <c r="H2876" s="328">
        <v>13035.322999999999</v>
      </c>
      <c r="I2876" s="329">
        <v>0.65556408160077273</v>
      </c>
      <c r="J2876" s="329">
        <v>1.471814050320599</v>
      </c>
      <c r="K2876" s="329">
        <v>1.3739037489418726</v>
      </c>
    </row>
    <row r="2877" spans="1:11" ht="11.25" x14ac:dyDescent="0.15">
      <c r="A2877" s="326">
        <v>1.4</v>
      </c>
      <c r="B2877" s="327">
        <v>105</v>
      </c>
      <c r="C2877" s="327" t="s">
        <v>109</v>
      </c>
      <c r="D2877" s="327" t="s">
        <v>114</v>
      </c>
      <c r="E2877" s="328" t="s">
        <v>2217</v>
      </c>
      <c r="F2877" s="328">
        <v>182.28377999999998</v>
      </c>
      <c r="G2877" s="328">
        <v>12747.584080000001</v>
      </c>
      <c r="H2877" s="328">
        <v>12814.30248</v>
      </c>
      <c r="I2877" s="329">
        <v>0.18997649993153984</v>
      </c>
      <c r="J2877" s="329">
        <v>1.3313219648012387</v>
      </c>
      <c r="K2877" s="329">
        <v>1.3506085132947712</v>
      </c>
    </row>
    <row r="2878" spans="1:11" ht="11.25" x14ac:dyDescent="0.15">
      <c r="A2878" s="326">
        <v>1.4</v>
      </c>
      <c r="B2878" s="327">
        <v>105</v>
      </c>
      <c r="C2878" s="327" t="s">
        <v>109</v>
      </c>
      <c r="D2878" s="327" t="s">
        <v>113</v>
      </c>
      <c r="E2878" s="328" t="s">
        <v>2218</v>
      </c>
      <c r="F2878" s="328">
        <v>95.339820799999984</v>
      </c>
      <c r="G2878" s="328">
        <v>11810.185239999999</v>
      </c>
      <c r="H2878" s="328">
        <v>12607.769719999998</v>
      </c>
      <c r="I2878" s="329">
        <v>9.9363341377297645E-2</v>
      </c>
      <c r="J2878" s="329">
        <v>1.2334226563801873</v>
      </c>
      <c r="K2878" s="329">
        <v>1.3288402661064727</v>
      </c>
    </row>
    <row r="2879" spans="1:11" ht="11.25" x14ac:dyDescent="0.15">
      <c r="A2879" s="326">
        <v>0.9</v>
      </c>
      <c r="B2879" s="327">
        <v>125</v>
      </c>
      <c r="C2879" s="327" t="s">
        <v>109</v>
      </c>
      <c r="D2879" s="327" t="s">
        <v>79</v>
      </c>
      <c r="E2879" s="328" t="s">
        <v>2219</v>
      </c>
      <c r="F2879" s="328">
        <v>311.85539999999997</v>
      </c>
      <c r="G2879" s="328">
        <v>4660.3656000000001</v>
      </c>
      <c r="H2879" s="328">
        <v>5174.8910999999998</v>
      </c>
      <c r="I2879" s="329">
        <v>0.32501628711424757</v>
      </c>
      <c r="J2879" s="329">
        <v>0.48671552572996274</v>
      </c>
      <c r="K2879" s="329">
        <v>0.5454258619181076</v>
      </c>
    </row>
    <row r="2880" spans="1:11" ht="11.25" x14ac:dyDescent="0.15">
      <c r="A2880" s="326">
        <v>0.9</v>
      </c>
      <c r="B2880" s="327">
        <v>125</v>
      </c>
      <c r="C2880" s="327" t="s">
        <v>109</v>
      </c>
      <c r="D2880" s="327" t="s">
        <v>114</v>
      </c>
      <c r="E2880" s="328" t="s">
        <v>2220</v>
      </c>
      <c r="F2880" s="328">
        <v>90.92268</v>
      </c>
      <c r="G2880" s="328">
        <v>4492.6578000000009</v>
      </c>
      <c r="H2880" s="328">
        <v>5072.9751000000006</v>
      </c>
      <c r="I2880" s="329">
        <v>9.4759788889584265E-2</v>
      </c>
      <c r="J2880" s="329">
        <v>0.46920059298605632</v>
      </c>
      <c r="K2880" s="329">
        <v>0.53468406637708732</v>
      </c>
    </row>
    <row r="2881" spans="1:11" ht="11.25" x14ac:dyDescent="0.15">
      <c r="A2881" s="326">
        <v>0.9</v>
      </c>
      <c r="B2881" s="327">
        <v>125</v>
      </c>
      <c r="C2881" s="327" t="s">
        <v>109</v>
      </c>
      <c r="D2881" s="327" t="s">
        <v>113</v>
      </c>
      <c r="E2881" s="328" t="s">
        <v>2221</v>
      </c>
      <c r="F2881" s="328">
        <v>43.054748999999994</v>
      </c>
      <c r="G2881" s="328">
        <v>4412.7458999999999</v>
      </c>
      <c r="H2881" s="328">
        <v>4973.0048999999999</v>
      </c>
      <c r="I2881" s="329">
        <v>4.4871740757466E-2</v>
      </c>
      <c r="J2881" s="329">
        <v>0.46085481804930445</v>
      </c>
      <c r="K2881" s="329">
        <v>0.524147355275838</v>
      </c>
    </row>
    <row r="2882" spans="1:11" ht="11.25" x14ac:dyDescent="0.15">
      <c r="A2882" s="326">
        <v>0.92500000000000004</v>
      </c>
      <c r="B2882" s="327">
        <v>125</v>
      </c>
      <c r="C2882" s="327" t="s">
        <v>109</v>
      </c>
      <c r="D2882" s="327" t="s">
        <v>79</v>
      </c>
      <c r="E2882" s="328" t="s">
        <v>2222</v>
      </c>
      <c r="F2882" s="328">
        <v>330.84845000000001</v>
      </c>
      <c r="G2882" s="328">
        <v>4950.7535499999994</v>
      </c>
      <c r="H2882" s="328">
        <v>5483.3537500000002</v>
      </c>
      <c r="I2882" s="329">
        <v>0.34481087971060881</v>
      </c>
      <c r="J2882" s="329">
        <v>0.51704282961142123</v>
      </c>
      <c r="K2882" s="329">
        <v>0.57793736863286604</v>
      </c>
    </row>
    <row r="2883" spans="1:11" ht="11.25" x14ac:dyDescent="0.15">
      <c r="A2883" s="326">
        <v>0.92500000000000004</v>
      </c>
      <c r="B2883" s="327">
        <v>125</v>
      </c>
      <c r="C2883" s="327" t="s">
        <v>109</v>
      </c>
      <c r="D2883" s="327" t="s">
        <v>114</v>
      </c>
      <c r="E2883" s="328" t="s">
        <v>2223</v>
      </c>
      <c r="F2883" s="328">
        <v>96.492762500000012</v>
      </c>
      <c r="G2883" s="328">
        <v>4750.6233249999996</v>
      </c>
      <c r="H2883" s="328">
        <v>5377.0805000000009</v>
      </c>
      <c r="I2883" s="329">
        <v>0.10056493939545989</v>
      </c>
      <c r="J2883" s="329">
        <v>0.49614178964251182</v>
      </c>
      <c r="K2883" s="329">
        <v>0.56673632539157193</v>
      </c>
    </row>
    <row r="2884" spans="1:11" ht="11.25" x14ac:dyDescent="0.15">
      <c r="A2884" s="326">
        <v>0.92500000000000004</v>
      </c>
      <c r="B2884" s="327">
        <v>125</v>
      </c>
      <c r="C2884" s="327" t="s">
        <v>109</v>
      </c>
      <c r="D2884" s="327" t="s">
        <v>113</v>
      </c>
      <c r="E2884" s="328" t="s">
        <v>2224</v>
      </c>
      <c r="F2884" s="328">
        <v>45.729123250000001</v>
      </c>
      <c r="G2884" s="328">
        <v>4655.0116250000001</v>
      </c>
      <c r="H2884" s="328">
        <v>5272.9412250000005</v>
      </c>
      <c r="I2884" s="329">
        <v>4.7658978653904387E-2</v>
      </c>
      <c r="J2884" s="329">
        <v>0.4861563715818697</v>
      </c>
      <c r="K2884" s="329">
        <v>0.55576019995650672</v>
      </c>
    </row>
    <row r="2885" spans="1:11" ht="11.25" x14ac:dyDescent="0.15">
      <c r="A2885" s="326">
        <v>0.95</v>
      </c>
      <c r="B2885" s="327">
        <v>125</v>
      </c>
      <c r="C2885" s="327" t="s">
        <v>109</v>
      </c>
      <c r="D2885" s="327" t="s">
        <v>79</v>
      </c>
      <c r="E2885" s="328" t="s">
        <v>2225</v>
      </c>
      <c r="F2885" s="328">
        <v>350.75120999999996</v>
      </c>
      <c r="G2885" s="328">
        <v>5256.4725499999995</v>
      </c>
      <c r="H2885" s="328">
        <v>5801.0533999999989</v>
      </c>
      <c r="I2885" s="329">
        <v>0.36555357378781872</v>
      </c>
      <c r="J2885" s="329">
        <v>0.54897126539994368</v>
      </c>
      <c r="K2885" s="329">
        <v>0.61142244147475255</v>
      </c>
    </row>
    <row r="2886" spans="1:11" ht="11.25" x14ac:dyDescent="0.15">
      <c r="A2886" s="326">
        <v>0.95</v>
      </c>
      <c r="B2886" s="327">
        <v>125</v>
      </c>
      <c r="C2886" s="327" t="s">
        <v>109</v>
      </c>
      <c r="D2886" s="327" t="s">
        <v>114</v>
      </c>
      <c r="E2886" s="328" t="s">
        <v>2226</v>
      </c>
      <c r="F2886" s="328">
        <v>102.33105500000001</v>
      </c>
      <c r="G2886" s="328">
        <v>5019.9510499999997</v>
      </c>
      <c r="H2886" s="328">
        <v>5690.1427999999996</v>
      </c>
      <c r="I2886" s="329">
        <v>0.1066496188701041</v>
      </c>
      <c r="J2886" s="329">
        <v>0.52426962263205878</v>
      </c>
      <c r="K2886" s="329">
        <v>0.59973262840779662</v>
      </c>
    </row>
    <row r="2887" spans="1:11" ht="11.25" x14ac:dyDescent="0.15">
      <c r="A2887" s="326">
        <v>0.95</v>
      </c>
      <c r="B2887" s="327">
        <v>125</v>
      </c>
      <c r="C2887" s="327" t="s">
        <v>109</v>
      </c>
      <c r="D2887" s="327" t="s">
        <v>113</v>
      </c>
      <c r="E2887" s="328" t="s">
        <v>2227</v>
      </c>
      <c r="F2887" s="328">
        <v>48.543052500000002</v>
      </c>
      <c r="G2887" s="328">
        <v>4907.1660999999995</v>
      </c>
      <c r="H2887" s="328">
        <v>5581.2177000000001</v>
      </c>
      <c r="I2887" s="329">
        <v>5.0591661035024549E-2</v>
      </c>
      <c r="J2887" s="329">
        <v>0.51249067845787688</v>
      </c>
      <c r="K2887" s="329">
        <v>0.58825208410184671</v>
      </c>
    </row>
    <row r="2888" spans="1:11" ht="11.25" x14ac:dyDescent="0.15">
      <c r="A2888" s="326">
        <v>0.97499999999999998</v>
      </c>
      <c r="B2888" s="327">
        <v>125</v>
      </c>
      <c r="C2888" s="327" t="s">
        <v>109</v>
      </c>
      <c r="D2888" s="327" t="s">
        <v>79</v>
      </c>
      <c r="E2888" s="328" t="s">
        <v>2228</v>
      </c>
      <c r="F2888" s="328">
        <v>371.62251749999996</v>
      </c>
      <c r="G2888" s="328">
        <v>5579.461875</v>
      </c>
      <c r="H2888" s="328">
        <v>6127.6088249999993</v>
      </c>
      <c r="I2888" s="329">
        <v>0.38730568989954794</v>
      </c>
      <c r="J2888" s="329">
        <v>0.58270336554301849</v>
      </c>
      <c r="K2888" s="329">
        <v>0.6458408998930677</v>
      </c>
    </row>
    <row r="2889" spans="1:11" ht="11.25" x14ac:dyDescent="0.15">
      <c r="A2889" s="326">
        <v>0.97499999999999998</v>
      </c>
      <c r="B2889" s="327">
        <v>125</v>
      </c>
      <c r="C2889" s="327" t="s">
        <v>109</v>
      </c>
      <c r="D2889" s="327" t="s">
        <v>114</v>
      </c>
      <c r="E2889" s="328" t="s">
        <v>2229</v>
      </c>
      <c r="F2889" s="328">
        <v>108.4571475</v>
      </c>
      <c r="G2889" s="328">
        <v>5303.3467499999997</v>
      </c>
      <c r="H2889" s="328">
        <v>6011.9162999999999</v>
      </c>
      <c r="I2889" s="329">
        <v>0.11303424404853114</v>
      </c>
      <c r="J2889" s="329">
        <v>0.55386667551458602</v>
      </c>
      <c r="K2889" s="329">
        <v>0.63364707900945394</v>
      </c>
    </row>
    <row r="2890" spans="1:11" ht="11.25" x14ac:dyDescent="0.15">
      <c r="A2890" s="326">
        <v>0.97499999999999998</v>
      </c>
      <c r="B2890" s="327">
        <v>125</v>
      </c>
      <c r="C2890" s="327" t="s">
        <v>109</v>
      </c>
      <c r="D2890" s="327" t="s">
        <v>113</v>
      </c>
      <c r="E2890" s="328" t="s">
        <v>2230</v>
      </c>
      <c r="F2890" s="328">
        <v>51.509132999999991</v>
      </c>
      <c r="G2890" s="328">
        <v>5167.9991999999993</v>
      </c>
      <c r="H2890" s="328">
        <v>5898.7187999999996</v>
      </c>
      <c r="I2890" s="329">
        <v>5.3682915736376416E-2</v>
      </c>
      <c r="J2890" s="329">
        <v>0.53973135661288596</v>
      </c>
      <c r="K2890" s="329">
        <v>0.62171623006763277</v>
      </c>
    </row>
    <row r="2891" spans="1:11" ht="11.25" x14ac:dyDescent="0.15">
      <c r="A2891" s="326">
        <v>1</v>
      </c>
      <c r="B2891" s="327">
        <v>125</v>
      </c>
      <c r="C2891" s="327" t="s">
        <v>109</v>
      </c>
      <c r="D2891" s="327" t="s">
        <v>79</v>
      </c>
      <c r="E2891" s="328" t="s">
        <v>2231</v>
      </c>
      <c r="F2891" s="328">
        <v>393.51650000000001</v>
      </c>
      <c r="G2891" s="328">
        <v>5920.0970000000007</v>
      </c>
      <c r="H2891" s="328">
        <v>6462.9779999999992</v>
      </c>
      <c r="I2891" s="329">
        <v>0.41012363982856737</v>
      </c>
      <c r="J2891" s="329">
        <v>0.61827834359763012</v>
      </c>
      <c r="K2891" s="329">
        <v>0.68118831451501782</v>
      </c>
    </row>
    <row r="2892" spans="1:11" ht="11.25" x14ac:dyDescent="0.15">
      <c r="A2892" s="326">
        <v>1</v>
      </c>
      <c r="B2892" s="327">
        <v>125</v>
      </c>
      <c r="C2892" s="327" t="s">
        <v>109</v>
      </c>
      <c r="D2892" s="327" t="s">
        <v>114</v>
      </c>
      <c r="E2892" s="328" t="s">
        <v>2232</v>
      </c>
      <c r="F2892" s="328">
        <v>114.8877</v>
      </c>
      <c r="G2892" s="328">
        <v>5599.96</v>
      </c>
      <c r="H2892" s="328">
        <v>6342.3969999999999</v>
      </c>
      <c r="I2892" s="329">
        <v>0.11973617801421922</v>
      </c>
      <c r="J2892" s="329">
        <v>0.58484413228583654</v>
      </c>
      <c r="K2892" s="329">
        <v>0.66847925560246468</v>
      </c>
    </row>
    <row r="2893" spans="1:11" ht="11.25" x14ac:dyDescent="0.15">
      <c r="A2893" s="326">
        <v>1</v>
      </c>
      <c r="B2893" s="327">
        <v>125</v>
      </c>
      <c r="C2893" s="327" t="s">
        <v>109</v>
      </c>
      <c r="D2893" s="327" t="s">
        <v>113</v>
      </c>
      <c r="E2893" s="328" t="s">
        <v>2233</v>
      </c>
      <c r="F2893" s="328">
        <v>54.638689999999997</v>
      </c>
      <c r="G2893" s="328">
        <v>5439.8860000000004</v>
      </c>
      <c r="H2893" s="328">
        <v>6224.4809999999998</v>
      </c>
      <c r="I2893" s="329">
        <v>5.6944545954908485E-2</v>
      </c>
      <c r="J2893" s="329">
        <v>0.56812645222534996</v>
      </c>
      <c r="K2893" s="329">
        <v>0.65605108374510224</v>
      </c>
    </row>
    <row r="2894" spans="1:11" ht="11.25" x14ac:dyDescent="0.15">
      <c r="A2894" s="326">
        <v>1.0249999999999999</v>
      </c>
      <c r="B2894" s="327">
        <v>125</v>
      </c>
      <c r="C2894" s="327" t="s">
        <v>109</v>
      </c>
      <c r="D2894" s="327" t="s">
        <v>79</v>
      </c>
      <c r="E2894" s="328" t="s">
        <v>2234</v>
      </c>
      <c r="F2894" s="328">
        <v>416.48199749999998</v>
      </c>
      <c r="G2894" s="328">
        <v>6280.3605250000001</v>
      </c>
      <c r="H2894" s="328">
        <v>6807.6287249999996</v>
      </c>
      <c r="I2894" s="329">
        <v>0.43405832471515748</v>
      </c>
      <c r="J2894" s="329">
        <v>0.65590325675287786</v>
      </c>
      <c r="K2894" s="329">
        <v>0.71751399076815214</v>
      </c>
    </row>
    <row r="2895" spans="1:11" ht="11.25" x14ac:dyDescent="0.15">
      <c r="A2895" s="326">
        <v>1.0249999999999999</v>
      </c>
      <c r="B2895" s="327">
        <v>125</v>
      </c>
      <c r="C2895" s="327" t="s">
        <v>109</v>
      </c>
      <c r="D2895" s="327" t="s">
        <v>114</v>
      </c>
      <c r="E2895" s="328" t="s">
        <v>2235</v>
      </c>
      <c r="F2895" s="328">
        <v>121.6382875</v>
      </c>
      <c r="G2895" s="328">
        <v>5911.807425</v>
      </c>
      <c r="H2895" s="328">
        <v>6682.043674999999</v>
      </c>
      <c r="I2895" s="329">
        <v>0.12677165306159646</v>
      </c>
      <c r="J2895" s="329">
        <v>0.6174126036105777</v>
      </c>
      <c r="K2895" s="329">
        <v>0.70427751239273684</v>
      </c>
    </row>
    <row r="2896" spans="1:11" ht="11.25" x14ac:dyDescent="0.15">
      <c r="A2896" s="326">
        <v>1.0249999999999999</v>
      </c>
      <c r="B2896" s="327">
        <v>125</v>
      </c>
      <c r="C2896" s="327" t="s">
        <v>109</v>
      </c>
      <c r="D2896" s="327" t="s">
        <v>113</v>
      </c>
      <c r="E2896" s="328" t="s">
        <v>2236</v>
      </c>
      <c r="F2896" s="328">
        <v>57.941128249999991</v>
      </c>
      <c r="G2896" s="328">
        <v>5722.9757749999999</v>
      </c>
      <c r="H2896" s="328">
        <v>6559.4977499999995</v>
      </c>
      <c r="I2896" s="329">
        <v>6.0386353338840494E-2</v>
      </c>
      <c r="J2896" s="329">
        <v>0.59769155515802574</v>
      </c>
      <c r="K2896" s="329">
        <v>0.69136135329372184</v>
      </c>
    </row>
    <row r="2897" spans="1:11" ht="11.25" x14ac:dyDescent="0.15">
      <c r="A2897" s="326">
        <v>1.05</v>
      </c>
      <c r="B2897" s="327">
        <v>125</v>
      </c>
      <c r="C2897" s="327" t="s">
        <v>109</v>
      </c>
      <c r="D2897" s="327" t="s">
        <v>79</v>
      </c>
      <c r="E2897" s="328" t="s">
        <v>2237</v>
      </c>
      <c r="F2897" s="328">
        <v>440.58042</v>
      </c>
      <c r="G2897" s="328">
        <v>6659.91795</v>
      </c>
      <c r="H2897" s="328">
        <v>7161.2173500000008</v>
      </c>
      <c r="I2897" s="329">
        <v>0.45917374617734946</v>
      </c>
      <c r="J2897" s="329">
        <v>0.69554317076597283</v>
      </c>
      <c r="K2897" s="329">
        <v>0.75478170845115111</v>
      </c>
    </row>
    <row r="2898" spans="1:11" ht="11.25" x14ac:dyDescent="0.15">
      <c r="A2898" s="326">
        <v>1.05</v>
      </c>
      <c r="B2898" s="327">
        <v>125</v>
      </c>
      <c r="C2898" s="327" t="s">
        <v>109</v>
      </c>
      <c r="D2898" s="327" t="s">
        <v>114</v>
      </c>
      <c r="E2898" s="328" t="s">
        <v>2238</v>
      </c>
      <c r="F2898" s="328">
        <v>128.72905499999999</v>
      </c>
      <c r="G2898" s="328">
        <v>6239.9715000000006</v>
      </c>
      <c r="H2898" s="328">
        <v>7030.201500000001</v>
      </c>
      <c r="I2898" s="329">
        <v>0.13416166434772578</v>
      </c>
      <c r="J2898" s="329">
        <v>0.65168514014490286</v>
      </c>
      <c r="K2898" s="329">
        <v>0.74097283179456153</v>
      </c>
    </row>
    <row r="2899" spans="1:11" ht="11.25" x14ac:dyDescent="0.15">
      <c r="A2899" s="326">
        <v>1.05</v>
      </c>
      <c r="B2899" s="327">
        <v>125</v>
      </c>
      <c r="C2899" s="327" t="s">
        <v>109</v>
      </c>
      <c r="D2899" s="327" t="s">
        <v>113</v>
      </c>
      <c r="E2899" s="328" t="s">
        <v>2239</v>
      </c>
      <c r="F2899" s="328">
        <v>61.429536000000006</v>
      </c>
      <c r="G2899" s="328">
        <v>6019.39275</v>
      </c>
      <c r="H2899" s="328">
        <v>6902.9992499999998</v>
      </c>
      <c r="I2899" s="329">
        <v>6.4021978487052045E-2</v>
      </c>
      <c r="J2899" s="329">
        <v>0.62864851351820472</v>
      </c>
      <c r="K2899" s="329">
        <v>0.72756590293297185</v>
      </c>
    </row>
    <row r="2900" spans="1:11" ht="11.25" x14ac:dyDescent="0.15">
      <c r="A2900" s="326">
        <v>1.075</v>
      </c>
      <c r="B2900" s="327">
        <v>125</v>
      </c>
      <c r="C2900" s="327" t="s">
        <v>109</v>
      </c>
      <c r="D2900" s="327" t="s">
        <v>79</v>
      </c>
      <c r="E2900" s="328" t="s">
        <v>2240</v>
      </c>
      <c r="F2900" s="328">
        <v>465.87855500000001</v>
      </c>
      <c r="G2900" s="328">
        <v>7060.5193749999999</v>
      </c>
      <c r="H2900" s="328">
        <v>7523.5745499999994</v>
      </c>
      <c r="I2900" s="329">
        <v>0.48553951027383452</v>
      </c>
      <c r="J2900" s="329">
        <v>0.73738086117743917</v>
      </c>
      <c r="K2900" s="329">
        <v>0.79297362095965418</v>
      </c>
    </row>
    <row r="2901" spans="1:11" ht="11.25" x14ac:dyDescent="0.15">
      <c r="A2901" s="326">
        <v>1.075</v>
      </c>
      <c r="B2901" s="327">
        <v>125</v>
      </c>
      <c r="C2901" s="327" t="s">
        <v>109</v>
      </c>
      <c r="D2901" s="327" t="s">
        <v>114</v>
      </c>
      <c r="E2901" s="328" t="s">
        <v>2241</v>
      </c>
      <c r="F2901" s="328">
        <v>136.18218249999998</v>
      </c>
      <c r="G2901" s="328">
        <v>6584.7802750000001</v>
      </c>
      <c r="H2901" s="328">
        <v>7387.4118249999992</v>
      </c>
      <c r="I2901" s="329">
        <v>0.1419293279105151</v>
      </c>
      <c r="J2901" s="329">
        <v>0.68769600251167284</v>
      </c>
      <c r="K2901" s="329">
        <v>0.77862227129661621</v>
      </c>
    </row>
    <row r="2902" spans="1:11" ht="11.25" x14ac:dyDescent="0.15">
      <c r="A2902" s="326">
        <v>1.075</v>
      </c>
      <c r="B2902" s="327">
        <v>125</v>
      </c>
      <c r="C2902" s="327" t="s">
        <v>109</v>
      </c>
      <c r="D2902" s="327" t="s">
        <v>113</v>
      </c>
      <c r="E2902" s="328" t="s">
        <v>2242</v>
      </c>
      <c r="F2902" s="328">
        <v>65.118995749999996</v>
      </c>
      <c r="G2902" s="328">
        <v>6328.5475749999996</v>
      </c>
      <c r="H2902" s="328">
        <v>7255.3050750000002</v>
      </c>
      <c r="I2902" s="329">
        <v>6.7867140409540658E-2</v>
      </c>
      <c r="J2902" s="329">
        <v>0.66093577724314279</v>
      </c>
      <c r="K2902" s="329">
        <v>0.7646984153948081</v>
      </c>
    </row>
    <row r="2903" spans="1:11" ht="11.25" x14ac:dyDescent="0.15">
      <c r="A2903" s="326">
        <v>1.1000000000000001</v>
      </c>
      <c r="B2903" s="327">
        <v>125</v>
      </c>
      <c r="C2903" s="327" t="s">
        <v>109</v>
      </c>
      <c r="D2903" s="327" t="s">
        <v>79</v>
      </c>
      <c r="E2903" s="328" t="s">
        <v>2243</v>
      </c>
      <c r="F2903" s="328">
        <v>492.44866000000007</v>
      </c>
      <c r="G2903" s="328">
        <v>7482.6411000000007</v>
      </c>
      <c r="H2903" s="328">
        <v>7895.0124000000014</v>
      </c>
      <c r="I2903" s="329">
        <v>0.51323092390763958</v>
      </c>
      <c r="J2903" s="329">
        <v>0.78146607142476698</v>
      </c>
      <c r="K2903" s="329">
        <v>0.8321226205367197</v>
      </c>
    </row>
    <row r="2904" spans="1:11" ht="11.25" x14ac:dyDescent="0.15">
      <c r="A2904" s="326">
        <v>1.1000000000000001</v>
      </c>
      <c r="B2904" s="327">
        <v>125</v>
      </c>
      <c r="C2904" s="327" t="s">
        <v>109</v>
      </c>
      <c r="D2904" s="327" t="s">
        <v>114</v>
      </c>
      <c r="E2904" s="328" t="s">
        <v>2244</v>
      </c>
      <c r="F2904" s="328">
        <v>144.02233999999999</v>
      </c>
      <c r="G2904" s="328">
        <v>6947.8442000000005</v>
      </c>
      <c r="H2904" s="328">
        <v>7753.6250000000009</v>
      </c>
      <c r="I2904" s="329">
        <v>0.15010035487057713</v>
      </c>
      <c r="J2904" s="329">
        <v>0.72561338159668687</v>
      </c>
      <c r="K2904" s="329">
        <v>0.81722059786239509</v>
      </c>
    </row>
    <row r="2905" spans="1:11" ht="11.25" x14ac:dyDescent="0.15">
      <c r="A2905" s="326">
        <v>1.1000000000000001</v>
      </c>
      <c r="B2905" s="327">
        <v>125</v>
      </c>
      <c r="C2905" s="327" t="s">
        <v>109</v>
      </c>
      <c r="D2905" s="327" t="s">
        <v>113</v>
      </c>
      <c r="E2905" s="328" t="s">
        <v>2245</v>
      </c>
      <c r="F2905" s="328">
        <v>69.025660000000002</v>
      </c>
      <c r="G2905" s="328">
        <v>6652.7164000000002</v>
      </c>
      <c r="H2905" s="328">
        <v>7616.5419000000002</v>
      </c>
      <c r="I2905" s="329">
        <v>7.1938673272325684E-2</v>
      </c>
      <c r="J2905" s="329">
        <v>0.69479106106146371</v>
      </c>
      <c r="K2905" s="329">
        <v>0.80277224203672237</v>
      </c>
    </row>
    <row r="2906" spans="1:11" ht="11.25" x14ac:dyDescent="0.15">
      <c r="A2906" s="326">
        <v>1.125</v>
      </c>
      <c r="B2906" s="327">
        <v>125</v>
      </c>
      <c r="C2906" s="327" t="s">
        <v>109</v>
      </c>
      <c r="D2906" s="327" t="s">
        <v>79</v>
      </c>
      <c r="E2906" s="328" t="s">
        <v>2246</v>
      </c>
      <c r="F2906" s="328">
        <v>520.36965000000009</v>
      </c>
      <c r="G2906" s="328">
        <v>7927.0559999999996</v>
      </c>
      <c r="H2906" s="328">
        <v>8275.3661249999986</v>
      </c>
      <c r="I2906" s="329">
        <v>0.5423302324408702</v>
      </c>
      <c r="J2906" s="329">
        <v>0.82787951840749474</v>
      </c>
      <c r="K2906" s="329">
        <v>0.87221134014125135</v>
      </c>
    </row>
    <row r="2907" spans="1:11" ht="11.25" x14ac:dyDescent="0.15">
      <c r="A2907" s="326">
        <v>1.125</v>
      </c>
      <c r="B2907" s="327">
        <v>125</v>
      </c>
      <c r="C2907" s="327" t="s">
        <v>109</v>
      </c>
      <c r="D2907" s="327" t="s">
        <v>114</v>
      </c>
      <c r="E2907" s="328" t="s">
        <v>2247</v>
      </c>
      <c r="F2907" s="328">
        <v>152.27628750000002</v>
      </c>
      <c r="G2907" s="328">
        <v>7330.6181249999991</v>
      </c>
      <c r="H2907" s="328">
        <v>8128.6672500000004</v>
      </c>
      <c r="I2907" s="329">
        <v>0.15870263455047345</v>
      </c>
      <c r="J2907" s="329">
        <v>0.76558921785770806</v>
      </c>
      <c r="K2907" s="329">
        <v>0.8567494958641243</v>
      </c>
    </row>
    <row r="2908" spans="1:11" ht="11.25" x14ac:dyDescent="0.15">
      <c r="A2908" s="326">
        <v>1.125</v>
      </c>
      <c r="B2908" s="327">
        <v>125</v>
      </c>
      <c r="C2908" s="327" t="s">
        <v>109</v>
      </c>
      <c r="D2908" s="327" t="s">
        <v>113</v>
      </c>
      <c r="E2908" s="328" t="s">
        <v>2248</v>
      </c>
      <c r="F2908" s="328">
        <v>73.167671249999998</v>
      </c>
      <c r="G2908" s="328">
        <v>6993.1395000000011</v>
      </c>
      <c r="H2908" s="328">
        <v>7986.0869999999995</v>
      </c>
      <c r="I2908" s="329">
        <v>7.625548522318637E-2</v>
      </c>
      <c r="J2908" s="329">
        <v>0.73034389581913262</v>
      </c>
      <c r="K2908" s="329">
        <v>0.84172174856549031</v>
      </c>
    </row>
    <row r="2909" spans="1:11" ht="11.25" x14ac:dyDescent="0.15">
      <c r="A2909" s="326">
        <v>1.1499999999999999</v>
      </c>
      <c r="B2909" s="327">
        <v>125</v>
      </c>
      <c r="C2909" s="327" t="s">
        <v>109</v>
      </c>
      <c r="D2909" s="327" t="s">
        <v>79</v>
      </c>
      <c r="E2909" s="328" t="s">
        <v>2249</v>
      </c>
      <c r="F2909" s="328">
        <v>549.72690999999998</v>
      </c>
      <c r="G2909" s="328">
        <v>8394.9585999999999</v>
      </c>
      <c r="H2909" s="328">
        <v>8664.9544499999993</v>
      </c>
      <c r="I2909" s="329">
        <v>0.57292642428185669</v>
      </c>
      <c r="J2909" s="329">
        <v>0.87674595496977148</v>
      </c>
      <c r="K2909" s="329">
        <v>0.91327337291646415</v>
      </c>
    </row>
    <row r="2910" spans="1:11" ht="11.25" x14ac:dyDescent="0.15">
      <c r="A2910" s="326">
        <v>1.1499999999999999</v>
      </c>
      <c r="B2910" s="327">
        <v>125</v>
      </c>
      <c r="C2910" s="327" t="s">
        <v>109</v>
      </c>
      <c r="D2910" s="327" t="s">
        <v>114</v>
      </c>
      <c r="E2910" s="328" t="s">
        <v>2250</v>
      </c>
      <c r="F2910" s="328">
        <v>160.97377999999998</v>
      </c>
      <c r="G2910" s="328">
        <v>7733.4601999999986</v>
      </c>
      <c r="H2910" s="328">
        <v>8512.6058999999987</v>
      </c>
      <c r="I2910" s="329">
        <v>0.16776717766742444</v>
      </c>
      <c r="J2910" s="329">
        <v>0.8076609154772626</v>
      </c>
      <c r="K2910" s="329">
        <v>0.89721606125714748</v>
      </c>
    </row>
    <row r="2911" spans="1:11" ht="11.25" x14ac:dyDescent="0.15">
      <c r="A2911" s="326">
        <v>1.1499999999999999</v>
      </c>
      <c r="B2911" s="327">
        <v>125</v>
      </c>
      <c r="C2911" s="327" t="s">
        <v>109</v>
      </c>
      <c r="D2911" s="327" t="s">
        <v>113</v>
      </c>
      <c r="E2911" s="328" t="s">
        <v>2251</v>
      </c>
      <c r="F2911" s="328">
        <v>77.565165500000006</v>
      </c>
      <c r="G2911" s="328">
        <v>7349.5982499999991</v>
      </c>
      <c r="H2911" s="328">
        <v>8364.5594999999994</v>
      </c>
      <c r="I2911" s="329">
        <v>8.0838562039368664E-2</v>
      </c>
      <c r="J2911" s="329">
        <v>0.76757144893369822</v>
      </c>
      <c r="K2911" s="329">
        <v>0.88161218983966538</v>
      </c>
    </row>
    <row r="2912" spans="1:11" ht="11.25" x14ac:dyDescent="0.15">
      <c r="A2912" s="326">
        <v>1.175</v>
      </c>
      <c r="B2912" s="327">
        <v>125</v>
      </c>
      <c r="C2912" s="327" t="s">
        <v>109</v>
      </c>
      <c r="D2912" s="327" t="s">
        <v>79</v>
      </c>
      <c r="E2912" s="328" t="s">
        <v>2252</v>
      </c>
      <c r="F2912" s="328">
        <v>580.61356000000001</v>
      </c>
      <c r="G2912" s="328">
        <v>8886.2582750000001</v>
      </c>
      <c r="H2912" s="328">
        <v>9063.5035000000007</v>
      </c>
      <c r="I2912" s="329">
        <v>0.6051165492705447</v>
      </c>
      <c r="J2912" s="329">
        <v>0.92805591649051244</v>
      </c>
      <c r="K2912" s="329">
        <v>0.95527985284275552</v>
      </c>
    </row>
    <row r="2913" spans="1:11" ht="11.25" x14ac:dyDescent="0.15">
      <c r="A2913" s="326">
        <v>1.175</v>
      </c>
      <c r="B2913" s="327">
        <v>125</v>
      </c>
      <c r="C2913" s="327" t="s">
        <v>109</v>
      </c>
      <c r="D2913" s="327" t="s">
        <v>114</v>
      </c>
      <c r="E2913" s="328" t="s">
        <v>2253</v>
      </c>
      <c r="F2913" s="328">
        <v>170.14752000000001</v>
      </c>
      <c r="G2913" s="328">
        <v>8156.8770250000007</v>
      </c>
      <c r="H2913" s="328">
        <v>8905.03125</v>
      </c>
      <c r="I2913" s="329">
        <v>0.17732806682871993</v>
      </c>
      <c r="J2913" s="329">
        <v>0.85188138233994559</v>
      </c>
      <c r="K2913" s="329">
        <v>0.93857711226791474</v>
      </c>
    </row>
    <row r="2914" spans="1:11" ht="11.25" x14ac:dyDescent="0.15">
      <c r="A2914" s="326">
        <v>1.175</v>
      </c>
      <c r="B2914" s="327">
        <v>125</v>
      </c>
      <c r="C2914" s="327" t="s">
        <v>109</v>
      </c>
      <c r="D2914" s="327" t="s">
        <v>113</v>
      </c>
      <c r="E2914" s="328" t="s">
        <v>2254</v>
      </c>
      <c r="F2914" s="328">
        <v>82.240552999999991</v>
      </c>
      <c r="G2914" s="328">
        <v>7724.3607000000002</v>
      </c>
      <c r="H2914" s="328">
        <v>8752.1966499999999</v>
      </c>
      <c r="I2914" s="329">
        <v>8.5711259725765501E-2</v>
      </c>
      <c r="J2914" s="329">
        <v>0.8067105891924794</v>
      </c>
      <c r="K2914" s="329">
        <v>0.92246857165806317</v>
      </c>
    </row>
    <row r="2915" spans="1:11" ht="11.25" x14ac:dyDescent="0.15">
      <c r="A2915" s="326">
        <v>1.2</v>
      </c>
      <c r="B2915" s="327">
        <v>125</v>
      </c>
      <c r="C2915" s="327" t="s">
        <v>109</v>
      </c>
      <c r="D2915" s="327" t="s">
        <v>79</v>
      </c>
      <c r="E2915" s="328" t="s">
        <v>2255</v>
      </c>
      <c r="F2915" s="328">
        <v>613.13148000000001</v>
      </c>
      <c r="G2915" s="328">
        <v>9402.7067999999999</v>
      </c>
      <c r="H2915" s="328">
        <v>9471.366</v>
      </c>
      <c r="I2915" s="329">
        <v>0.63900678693543078</v>
      </c>
      <c r="J2915" s="329">
        <v>0.98199235344254865</v>
      </c>
      <c r="K2915" s="329">
        <v>0.99826795661301138</v>
      </c>
    </row>
    <row r="2916" spans="1:11" ht="11.25" x14ac:dyDescent="0.15">
      <c r="A2916" s="326">
        <v>1.2</v>
      </c>
      <c r="B2916" s="327">
        <v>125</v>
      </c>
      <c r="C2916" s="327" t="s">
        <v>109</v>
      </c>
      <c r="D2916" s="327" t="s">
        <v>114</v>
      </c>
      <c r="E2916" s="328" t="s">
        <v>2256</v>
      </c>
      <c r="F2916" s="328">
        <v>179.8338</v>
      </c>
      <c r="G2916" s="328">
        <v>8602.3427999999985</v>
      </c>
      <c r="H2916" s="328">
        <v>9306.6287999999986</v>
      </c>
      <c r="I2916" s="329">
        <v>0.18742312614643253</v>
      </c>
      <c r="J2916" s="329">
        <v>0.89840457976330412</v>
      </c>
      <c r="K2916" s="329">
        <v>0.98090489958172888</v>
      </c>
    </row>
    <row r="2917" spans="1:11" ht="11.25" x14ac:dyDescent="0.15">
      <c r="A2917" s="326">
        <v>1.2</v>
      </c>
      <c r="B2917" s="327">
        <v>125</v>
      </c>
      <c r="C2917" s="327" t="s">
        <v>109</v>
      </c>
      <c r="D2917" s="327" t="s">
        <v>113</v>
      </c>
      <c r="E2917" s="328" t="s">
        <v>2257</v>
      </c>
      <c r="F2917" s="328">
        <v>87.218759999999989</v>
      </c>
      <c r="G2917" s="328">
        <v>8117.3712000000005</v>
      </c>
      <c r="H2917" s="328">
        <v>9148.1471999999994</v>
      </c>
      <c r="I2917" s="329">
        <v>9.0899556467223738E-2</v>
      </c>
      <c r="J2917" s="329">
        <v>0.84775550466539762</v>
      </c>
      <c r="K2917" s="329">
        <v>0.96420117353072843</v>
      </c>
    </row>
    <row r="2918" spans="1:11" ht="11.25" x14ac:dyDescent="0.15">
      <c r="A2918" s="326">
        <v>1.2250000000000001</v>
      </c>
      <c r="B2918" s="327">
        <v>125</v>
      </c>
      <c r="C2918" s="327" t="s">
        <v>109</v>
      </c>
      <c r="D2918" s="327" t="s">
        <v>79</v>
      </c>
      <c r="E2918" s="328" t="s">
        <v>2258</v>
      </c>
      <c r="F2918" s="328">
        <v>647.39167499999996</v>
      </c>
      <c r="G2918" s="328">
        <v>9943.6900500000011</v>
      </c>
      <c r="H2918" s="328">
        <v>9888.0015500000009</v>
      </c>
      <c r="I2918" s="329">
        <v>0.6747128268972532</v>
      </c>
      <c r="J2918" s="329">
        <v>1.0384911283315519</v>
      </c>
      <c r="K2918" s="329">
        <v>1.0421807268671479</v>
      </c>
    </row>
    <row r="2919" spans="1:11" ht="11.25" x14ac:dyDescent="0.15">
      <c r="A2919" s="326">
        <v>1.2250000000000001</v>
      </c>
      <c r="B2919" s="327">
        <v>125</v>
      </c>
      <c r="C2919" s="327" t="s">
        <v>109</v>
      </c>
      <c r="D2919" s="327" t="s">
        <v>114</v>
      </c>
      <c r="E2919" s="328" t="s">
        <v>2259</v>
      </c>
      <c r="F2919" s="328">
        <v>190.07283750000005</v>
      </c>
      <c r="G2919" s="328">
        <v>9070.7954750000008</v>
      </c>
      <c r="H2919" s="328">
        <v>9717.1887750000005</v>
      </c>
      <c r="I2919" s="329">
        <v>0.1980942703750512</v>
      </c>
      <c r="J2919" s="329">
        <v>0.94732846461736664</v>
      </c>
      <c r="K2919" s="329">
        <v>1.0241773132241054</v>
      </c>
    </row>
    <row r="2920" spans="1:11" ht="11.25" x14ac:dyDescent="0.15">
      <c r="A2920" s="326">
        <v>1.2250000000000001</v>
      </c>
      <c r="B2920" s="327">
        <v>125</v>
      </c>
      <c r="C2920" s="327" t="s">
        <v>109</v>
      </c>
      <c r="D2920" s="327" t="s">
        <v>113</v>
      </c>
      <c r="E2920" s="328" t="s">
        <v>2260</v>
      </c>
      <c r="F2920" s="328">
        <v>92.527594250000007</v>
      </c>
      <c r="G2920" s="328">
        <v>8530.1907250000004</v>
      </c>
      <c r="H2920" s="328">
        <v>9553.4393500000006</v>
      </c>
      <c r="I2920" s="329">
        <v>9.6432433553334668E-2</v>
      </c>
      <c r="J2920" s="329">
        <v>0.89086921920787221</v>
      </c>
      <c r="K2920" s="329">
        <v>1.0069183662156902</v>
      </c>
    </row>
    <row r="2921" spans="1:11" ht="11.25" x14ac:dyDescent="0.15">
      <c r="A2921" s="326">
        <v>1.25</v>
      </c>
      <c r="B2921" s="327">
        <v>125</v>
      </c>
      <c r="C2921" s="327" t="s">
        <v>109</v>
      </c>
      <c r="D2921" s="327" t="s">
        <v>79</v>
      </c>
      <c r="E2921" s="328" t="s">
        <v>2261</v>
      </c>
      <c r="F2921" s="328">
        <v>683.51637499999993</v>
      </c>
      <c r="G2921" s="328">
        <v>10509.703749999999</v>
      </c>
      <c r="H2921" s="328">
        <v>10313.5975</v>
      </c>
      <c r="I2921" s="329">
        <v>0.71236205749295889</v>
      </c>
      <c r="J2921" s="329">
        <v>1.0976040132875864</v>
      </c>
      <c r="K2921" s="329">
        <v>1.0870379100178436</v>
      </c>
    </row>
    <row r="2922" spans="1:11" ht="11.25" x14ac:dyDescent="0.15">
      <c r="A2922" s="326">
        <v>1.25</v>
      </c>
      <c r="B2922" s="327">
        <v>125</v>
      </c>
      <c r="C2922" s="327" t="s">
        <v>109</v>
      </c>
      <c r="D2922" s="327" t="s">
        <v>114</v>
      </c>
      <c r="E2922" s="328" t="s">
        <v>2262</v>
      </c>
      <c r="F2922" s="328">
        <v>200.90899999999999</v>
      </c>
      <c r="G2922" s="328">
        <v>9562.5237500000003</v>
      </c>
      <c r="H2922" s="328">
        <v>10136.19875</v>
      </c>
      <c r="I2922" s="329">
        <v>0.20938773940690578</v>
      </c>
      <c r="J2922" s="329">
        <v>0.99868318792124477</v>
      </c>
      <c r="K2922" s="329">
        <v>1.0683403443585497</v>
      </c>
    </row>
    <row r="2923" spans="1:11" ht="11.25" x14ac:dyDescent="0.15">
      <c r="A2923" s="326">
        <v>1.25</v>
      </c>
      <c r="B2923" s="327">
        <v>125</v>
      </c>
      <c r="C2923" s="327" t="s">
        <v>109</v>
      </c>
      <c r="D2923" s="327" t="s">
        <v>113</v>
      </c>
      <c r="E2923" s="328" t="s">
        <v>2263</v>
      </c>
      <c r="F2923" s="328">
        <v>98.19812499999999</v>
      </c>
      <c r="G2923" s="328">
        <v>8963.8787499999999</v>
      </c>
      <c r="H2923" s="328">
        <v>9966.8450000000012</v>
      </c>
      <c r="I2923" s="329">
        <v>0.10234227141515193</v>
      </c>
      <c r="J2923" s="329">
        <v>0.93616238142043862</v>
      </c>
      <c r="K2923" s="329">
        <v>1.0504907097908169</v>
      </c>
    </row>
    <row r="2924" spans="1:11" ht="11.25" x14ac:dyDescent="0.15">
      <c r="A2924" s="326">
        <v>1.2749999999999999</v>
      </c>
      <c r="B2924" s="327">
        <v>125</v>
      </c>
      <c r="C2924" s="327" t="s">
        <v>109</v>
      </c>
      <c r="D2924" s="327" t="s">
        <v>79</v>
      </c>
      <c r="E2924" s="328" t="s">
        <v>2264</v>
      </c>
      <c r="F2924" s="328">
        <v>721.63941750000004</v>
      </c>
      <c r="G2924" s="328">
        <v>11101.404599999998</v>
      </c>
      <c r="H2924" s="328">
        <v>10748.488425</v>
      </c>
      <c r="I2924" s="329">
        <v>0.75209396441792697</v>
      </c>
      <c r="J2924" s="329">
        <v>1.1593995922186933</v>
      </c>
      <c r="K2924" s="329">
        <v>1.1328747697748514</v>
      </c>
    </row>
    <row r="2925" spans="1:11" ht="11.25" x14ac:dyDescent="0.15">
      <c r="A2925" s="326">
        <v>1.2749999999999999</v>
      </c>
      <c r="B2925" s="327">
        <v>125</v>
      </c>
      <c r="C2925" s="327" t="s">
        <v>109</v>
      </c>
      <c r="D2925" s="327" t="s">
        <v>114</v>
      </c>
      <c r="E2925" s="328" t="s">
        <v>2265</v>
      </c>
      <c r="F2925" s="328">
        <v>212.39204999999998</v>
      </c>
      <c r="G2925" s="328">
        <v>10078.586849999998</v>
      </c>
      <c r="H2925" s="328">
        <v>10564.7673</v>
      </c>
      <c r="I2925" s="329">
        <v>0.22135539581352004</v>
      </c>
      <c r="J2925" s="329">
        <v>1.0525793721661747</v>
      </c>
      <c r="K2925" s="329">
        <v>1.1135108351491181</v>
      </c>
    </row>
    <row r="2926" spans="1:11" ht="11.25" x14ac:dyDescent="0.15">
      <c r="A2926" s="326">
        <v>1.2749999999999999</v>
      </c>
      <c r="B2926" s="327">
        <v>125</v>
      </c>
      <c r="C2926" s="327" t="s">
        <v>109</v>
      </c>
      <c r="D2926" s="327" t="s">
        <v>113</v>
      </c>
      <c r="E2926" s="328" t="s">
        <v>2266</v>
      </c>
      <c r="F2926" s="328">
        <v>104.26496099999999</v>
      </c>
      <c r="G2926" s="328">
        <v>9419.247374999999</v>
      </c>
      <c r="H2926" s="328">
        <v>10389.392324999999</v>
      </c>
      <c r="I2926" s="329">
        <v>0.10866513935731695</v>
      </c>
      <c r="J2926" s="329">
        <v>0.9837198047517336</v>
      </c>
      <c r="K2926" s="329">
        <v>1.0950265723791746</v>
      </c>
    </row>
    <row r="2927" spans="1:11" ht="11.25" x14ac:dyDescent="0.15">
      <c r="A2927" s="326">
        <v>1.3</v>
      </c>
      <c r="B2927" s="327">
        <v>125</v>
      </c>
      <c r="C2927" s="327" t="s">
        <v>109</v>
      </c>
      <c r="D2927" s="327" t="s">
        <v>79</v>
      </c>
      <c r="E2927" s="328" t="s">
        <v>2267</v>
      </c>
      <c r="F2927" s="328">
        <v>761.90868000000012</v>
      </c>
      <c r="G2927" s="328">
        <v>11720.472400000001</v>
      </c>
      <c r="H2927" s="328">
        <v>11193.084500000001</v>
      </c>
      <c r="I2927" s="329">
        <v>0.79406266588206398</v>
      </c>
      <c r="J2927" s="329">
        <v>1.2240532987303654</v>
      </c>
      <c r="K2927" s="329">
        <v>1.1797345379760187</v>
      </c>
    </row>
    <row r="2928" spans="1:11" ht="11.25" x14ac:dyDescent="0.15">
      <c r="A2928" s="326">
        <v>1.3</v>
      </c>
      <c r="B2928" s="327">
        <v>125</v>
      </c>
      <c r="C2928" s="327" t="s">
        <v>109</v>
      </c>
      <c r="D2928" s="327" t="s">
        <v>114</v>
      </c>
      <c r="E2928" s="328" t="s">
        <v>2268</v>
      </c>
      <c r="F2928" s="328">
        <v>224.57695000000001</v>
      </c>
      <c r="G2928" s="328">
        <v>10619.148799999999</v>
      </c>
      <c r="H2928" s="328">
        <v>11002.252300000002</v>
      </c>
      <c r="I2928" s="329">
        <v>0.23405452161624274</v>
      </c>
      <c r="J2928" s="329">
        <v>1.1090341476635872</v>
      </c>
      <c r="K2928" s="329">
        <v>1.159621106571302</v>
      </c>
    </row>
    <row r="2929" spans="1:11" ht="11.25" x14ac:dyDescent="0.15">
      <c r="A2929" s="326">
        <v>1.3</v>
      </c>
      <c r="B2929" s="327">
        <v>125</v>
      </c>
      <c r="C2929" s="327" t="s">
        <v>109</v>
      </c>
      <c r="D2929" s="327" t="s">
        <v>113</v>
      </c>
      <c r="E2929" s="328" t="s">
        <v>2269</v>
      </c>
      <c r="F2929" s="328">
        <v>110.76694200000001</v>
      </c>
      <c r="G2929" s="328">
        <v>9896.1278000000002</v>
      </c>
      <c r="H2929" s="328">
        <v>10820.886700000001</v>
      </c>
      <c r="I2929" s="329">
        <v>0.11544151624066543</v>
      </c>
      <c r="J2929" s="329">
        <v>1.0335238602027059</v>
      </c>
      <c r="K2929" s="329">
        <v>1.1405054407938531</v>
      </c>
    </row>
    <row r="2930" spans="1:11" ht="11.25" x14ac:dyDescent="0.15">
      <c r="A2930" s="326">
        <v>1.325</v>
      </c>
      <c r="B2930" s="327">
        <v>125</v>
      </c>
      <c r="C2930" s="327" t="s">
        <v>109</v>
      </c>
      <c r="D2930" s="327" t="s">
        <v>79</v>
      </c>
      <c r="E2930" s="328" t="s">
        <v>2270</v>
      </c>
      <c r="F2930" s="328">
        <v>804.48700000000008</v>
      </c>
      <c r="G2930" s="328">
        <v>12365.190175000002</v>
      </c>
      <c r="H2930" s="328">
        <v>11646.3843</v>
      </c>
      <c r="I2930" s="329">
        <v>0.8384378714355426</v>
      </c>
      <c r="J2930" s="329">
        <v>1.2913858167642676</v>
      </c>
      <c r="K2930" s="329">
        <v>1.2275116659086827</v>
      </c>
    </row>
    <row r="2931" spans="1:11" ht="11.25" x14ac:dyDescent="0.15">
      <c r="A2931" s="326">
        <v>1.325</v>
      </c>
      <c r="B2931" s="327">
        <v>125</v>
      </c>
      <c r="C2931" s="327" t="s">
        <v>109</v>
      </c>
      <c r="D2931" s="327" t="s">
        <v>114</v>
      </c>
      <c r="E2931" s="328" t="s">
        <v>2271</v>
      </c>
      <c r="F2931" s="328">
        <v>237.5254625</v>
      </c>
      <c r="G2931" s="328">
        <v>11184.432324999998</v>
      </c>
      <c r="H2931" s="328">
        <v>11448.345824999999</v>
      </c>
      <c r="I2931" s="329">
        <v>0.24754948580927072</v>
      </c>
      <c r="J2931" s="329">
        <v>1.1680707751884452</v>
      </c>
      <c r="K2931" s="329">
        <v>1.2066387037859003</v>
      </c>
    </row>
    <row r="2932" spans="1:11" ht="11.25" x14ac:dyDescent="0.15">
      <c r="A2932" s="326">
        <v>1.325</v>
      </c>
      <c r="B2932" s="327">
        <v>125</v>
      </c>
      <c r="C2932" s="327" t="s">
        <v>109</v>
      </c>
      <c r="D2932" s="327" t="s">
        <v>113</v>
      </c>
      <c r="E2932" s="328" t="s">
        <v>2272</v>
      </c>
      <c r="F2932" s="328">
        <v>117.7474765</v>
      </c>
      <c r="G2932" s="328">
        <v>10395.613449999999</v>
      </c>
      <c r="H2932" s="328">
        <v>11260.818574999999</v>
      </c>
      <c r="I2932" s="329">
        <v>0.12271664248591534</v>
      </c>
      <c r="J2932" s="329">
        <v>1.0856887420167682</v>
      </c>
      <c r="K2932" s="329">
        <v>1.1868736092191023</v>
      </c>
    </row>
    <row r="2933" spans="1:11" ht="11.25" x14ac:dyDescent="0.15">
      <c r="A2933" s="326">
        <v>1.35</v>
      </c>
      <c r="B2933" s="327">
        <v>125</v>
      </c>
      <c r="C2933" s="327" t="s">
        <v>109</v>
      </c>
      <c r="D2933" s="327" t="s">
        <v>79</v>
      </c>
      <c r="E2933" s="328" t="s">
        <v>2273</v>
      </c>
      <c r="F2933" s="328">
        <v>849.55419000000006</v>
      </c>
      <c r="G2933" s="328">
        <v>13036.92165</v>
      </c>
      <c r="H2933" s="328">
        <v>12108.583350000001</v>
      </c>
      <c r="I2933" s="329">
        <v>0.88540698200560919</v>
      </c>
      <c r="J2933" s="329">
        <v>1.3615395699384794</v>
      </c>
      <c r="K2933" s="329">
        <v>1.2762267616184226</v>
      </c>
    </row>
    <row r="2934" spans="1:11" ht="11.25" x14ac:dyDescent="0.15">
      <c r="A2934" s="326">
        <v>1.35</v>
      </c>
      <c r="B2934" s="327">
        <v>125</v>
      </c>
      <c r="C2934" s="327" t="s">
        <v>109</v>
      </c>
      <c r="D2934" s="327" t="s">
        <v>114</v>
      </c>
      <c r="E2934" s="328" t="s">
        <v>2274</v>
      </c>
      <c r="F2934" s="328">
        <v>251.30493000000004</v>
      </c>
      <c r="G2934" s="328">
        <v>11775.645000000002</v>
      </c>
      <c r="H2934" s="328">
        <v>11903.63715</v>
      </c>
      <c r="I2934" s="329">
        <v>0.26191047287334418</v>
      </c>
      <c r="J2934" s="329">
        <v>1.2298153704903341</v>
      </c>
      <c r="K2934" s="329">
        <v>1.2546257355056527</v>
      </c>
    </row>
    <row r="2935" spans="1:11" ht="11.25" x14ac:dyDescent="0.15">
      <c r="A2935" s="326">
        <v>1.35</v>
      </c>
      <c r="B2935" s="327">
        <v>125</v>
      </c>
      <c r="C2935" s="327" t="s">
        <v>109</v>
      </c>
      <c r="D2935" s="327" t="s">
        <v>113</v>
      </c>
      <c r="E2935" s="328" t="s">
        <v>2275</v>
      </c>
      <c r="F2935" s="328">
        <v>125.25610500000002</v>
      </c>
      <c r="G2935" s="328">
        <v>10919.030850000001</v>
      </c>
      <c r="H2935" s="328">
        <v>11710.083600000002</v>
      </c>
      <c r="I2935" s="329">
        <v>0.13054214929577088</v>
      </c>
      <c r="J2935" s="329">
        <v>1.1403529887482287</v>
      </c>
      <c r="K2935" s="329">
        <v>1.2342254778391561</v>
      </c>
    </row>
    <row r="2936" spans="1:11" ht="11.25" x14ac:dyDescent="0.15">
      <c r="A2936" s="326">
        <v>1.375</v>
      </c>
      <c r="B2936" s="327">
        <v>125</v>
      </c>
      <c r="C2936" s="327" t="s">
        <v>109</v>
      </c>
      <c r="D2936" s="327" t="s">
        <v>79</v>
      </c>
      <c r="E2936" s="328" t="s">
        <v>2276</v>
      </c>
      <c r="F2936" s="328">
        <v>897.30987500000003</v>
      </c>
      <c r="G2936" s="328">
        <v>13736.700999999999</v>
      </c>
      <c r="H2936" s="328">
        <v>12581.185374999999</v>
      </c>
      <c r="I2936" s="329">
        <v>0.93517804714444452</v>
      </c>
      <c r="J2936" s="329">
        <v>1.4346225645924227</v>
      </c>
      <c r="K2936" s="329">
        <v>1.3260383154943809</v>
      </c>
    </row>
    <row r="2937" spans="1:11" ht="11.25" x14ac:dyDescent="0.15">
      <c r="A2937" s="326">
        <v>1.375</v>
      </c>
      <c r="B2937" s="327">
        <v>125</v>
      </c>
      <c r="C2937" s="327" t="s">
        <v>109</v>
      </c>
      <c r="D2937" s="327" t="s">
        <v>114</v>
      </c>
      <c r="E2937" s="328" t="s">
        <v>2277</v>
      </c>
      <c r="F2937" s="328">
        <v>265.9932</v>
      </c>
      <c r="G2937" s="328">
        <v>12392.220499999999</v>
      </c>
      <c r="H2937" s="328">
        <v>12367.887124999999</v>
      </c>
      <c r="I2937" s="329">
        <v>0.27721861562005173</v>
      </c>
      <c r="J2937" s="329">
        <v>1.2942087881729969</v>
      </c>
      <c r="K2937" s="329">
        <v>1.3035569956745543</v>
      </c>
    </row>
    <row r="2938" spans="1:11" ht="11.25" x14ac:dyDescent="0.15">
      <c r="A2938" s="326">
        <v>1.375</v>
      </c>
      <c r="B2938" s="327">
        <v>125</v>
      </c>
      <c r="C2938" s="327" t="s">
        <v>109</v>
      </c>
      <c r="D2938" s="327" t="s">
        <v>113</v>
      </c>
      <c r="E2938" s="328" t="s">
        <v>2278</v>
      </c>
      <c r="F2938" s="328">
        <v>133.34484624999999</v>
      </c>
      <c r="G2938" s="328">
        <v>11466.467375</v>
      </c>
      <c r="H2938" s="328">
        <v>12168.008875000001</v>
      </c>
      <c r="I2938" s="329">
        <v>0.13897225070976868</v>
      </c>
      <c r="J2938" s="329">
        <v>1.1975257255972773</v>
      </c>
      <c r="K2938" s="329">
        <v>1.2824901239900601</v>
      </c>
    </row>
    <row r="2939" spans="1:11" ht="11.25" x14ac:dyDescent="0.15">
      <c r="A2939" s="326">
        <v>1.4</v>
      </c>
      <c r="B2939" s="327">
        <v>125</v>
      </c>
      <c r="C2939" s="327" t="s">
        <v>109</v>
      </c>
      <c r="D2939" s="327" t="s">
        <v>79</v>
      </c>
      <c r="E2939" s="328" t="s">
        <v>2279</v>
      </c>
      <c r="F2939" s="328">
        <v>947.97527999999988</v>
      </c>
      <c r="G2939" s="328">
        <v>14462.223999999998</v>
      </c>
      <c r="H2939" s="328">
        <v>13062.242200000001</v>
      </c>
      <c r="I2939" s="329">
        <v>0.98798162796504152</v>
      </c>
      <c r="J2939" s="329">
        <v>1.5103941539231351</v>
      </c>
      <c r="K2939" s="329">
        <v>1.3767409927753027</v>
      </c>
    </row>
    <row r="2940" spans="1:11" ht="11.25" x14ac:dyDescent="0.15">
      <c r="A2940" s="326">
        <v>1.4</v>
      </c>
      <c r="B2940" s="327">
        <v>125</v>
      </c>
      <c r="C2940" s="327" t="s">
        <v>109</v>
      </c>
      <c r="D2940" s="327" t="s">
        <v>114</v>
      </c>
      <c r="E2940" s="328" t="s">
        <v>2280</v>
      </c>
      <c r="F2940" s="328">
        <v>281.67482000000001</v>
      </c>
      <c r="G2940" s="328">
        <v>13034.921200000001</v>
      </c>
      <c r="H2940" s="328">
        <v>12840.942800000001</v>
      </c>
      <c r="I2940" s="329">
        <v>0.29356202961364147</v>
      </c>
      <c r="J2940" s="329">
        <v>1.3613306485453924</v>
      </c>
      <c r="K2940" s="329">
        <v>1.3534163635890073</v>
      </c>
    </row>
    <row r="2941" spans="1:11" ht="11.25" x14ac:dyDescent="0.15">
      <c r="A2941" s="326">
        <v>1.4</v>
      </c>
      <c r="B2941" s="327">
        <v>125</v>
      </c>
      <c r="C2941" s="327" t="s">
        <v>109</v>
      </c>
      <c r="D2941" s="327" t="s">
        <v>113</v>
      </c>
      <c r="E2941" s="328" t="s">
        <v>2281</v>
      </c>
      <c r="F2941" s="328">
        <v>142.07759999999999</v>
      </c>
      <c r="G2941" s="328">
        <v>12037.548600000002</v>
      </c>
      <c r="H2941" s="328">
        <v>12634.777399999997</v>
      </c>
      <c r="I2941" s="329">
        <v>0.14807354316809399</v>
      </c>
      <c r="J2941" s="329">
        <v>1.2571678486659883</v>
      </c>
      <c r="K2941" s="329">
        <v>1.3316868356009317</v>
      </c>
    </row>
    <row r="2942" spans="1:11" ht="11.25" x14ac:dyDescent="0.15">
      <c r="A2942" s="326">
        <v>0.9</v>
      </c>
      <c r="B2942" s="327">
        <v>140</v>
      </c>
      <c r="C2942" s="327" t="s">
        <v>109</v>
      </c>
      <c r="D2942" s="327" t="s">
        <v>79</v>
      </c>
      <c r="E2942" s="328" t="s">
        <v>2282</v>
      </c>
      <c r="F2942" s="328">
        <v>518.46749999999997</v>
      </c>
      <c r="G2942" s="328">
        <v>4709.6783999999998</v>
      </c>
      <c r="H2942" s="328">
        <v>5187.2711399999998</v>
      </c>
      <c r="I2942" s="329">
        <v>0.54034780811685845</v>
      </c>
      <c r="J2942" s="329">
        <v>0.49186561639607196</v>
      </c>
      <c r="K2942" s="329">
        <v>0.54673069980881805</v>
      </c>
    </row>
    <row r="2943" spans="1:11" ht="11.25" x14ac:dyDescent="0.15">
      <c r="A2943" s="326">
        <v>0.9</v>
      </c>
      <c r="B2943" s="327">
        <v>140</v>
      </c>
      <c r="C2943" s="327" t="s">
        <v>109</v>
      </c>
      <c r="D2943" s="327" t="s">
        <v>114</v>
      </c>
      <c r="E2943" s="328" t="s">
        <v>2283</v>
      </c>
      <c r="F2943" s="328">
        <v>144.64695600000002</v>
      </c>
      <c r="G2943" s="328">
        <v>4517.8293600000006</v>
      </c>
      <c r="H2943" s="328">
        <v>5085.8206200000004</v>
      </c>
      <c r="I2943" s="329">
        <v>0.15075133084595599</v>
      </c>
      <c r="J2943" s="329">
        <v>0.47182944018612216</v>
      </c>
      <c r="K2943" s="329">
        <v>0.53603796517078095</v>
      </c>
    </row>
    <row r="2944" spans="1:11" ht="11.25" x14ac:dyDescent="0.15">
      <c r="A2944" s="326">
        <v>0.9</v>
      </c>
      <c r="B2944" s="327">
        <v>140</v>
      </c>
      <c r="C2944" s="327" t="s">
        <v>109</v>
      </c>
      <c r="D2944" s="327" t="s">
        <v>113</v>
      </c>
      <c r="E2944" s="328" t="s">
        <v>2284</v>
      </c>
      <c r="F2944" s="328">
        <v>69.418332000000007</v>
      </c>
      <c r="G2944" s="328">
        <v>4425.0330599999998</v>
      </c>
      <c r="H2944" s="328">
        <v>4986.1576800000003</v>
      </c>
      <c r="I2944" s="329">
        <v>7.2347916772658616E-2</v>
      </c>
      <c r="J2944" s="329">
        <v>0.46213805461321866</v>
      </c>
      <c r="K2944" s="329">
        <v>0.52553363881871673</v>
      </c>
    </row>
    <row r="2945" spans="1:11" ht="11.25" x14ac:dyDescent="0.15">
      <c r="A2945" s="326">
        <v>0.92500000000000004</v>
      </c>
      <c r="B2945" s="327">
        <v>140</v>
      </c>
      <c r="C2945" s="327" t="s">
        <v>109</v>
      </c>
      <c r="D2945" s="327" t="s">
        <v>79</v>
      </c>
      <c r="E2945" s="328" t="s">
        <v>2285</v>
      </c>
      <c r="F2945" s="328">
        <v>547.31299100000001</v>
      </c>
      <c r="G2945" s="328">
        <v>5007.5111800000004</v>
      </c>
      <c r="H2945" s="328">
        <v>5496.2458450000004</v>
      </c>
      <c r="I2945" s="329">
        <v>0.57041063333908471</v>
      </c>
      <c r="J2945" s="329">
        <v>0.52297043746361149</v>
      </c>
      <c r="K2945" s="329">
        <v>0.5792961763626181</v>
      </c>
    </row>
    <row r="2946" spans="1:11" ht="11.25" x14ac:dyDescent="0.15">
      <c r="A2946" s="326">
        <v>0.92500000000000004</v>
      </c>
      <c r="B2946" s="327">
        <v>140</v>
      </c>
      <c r="C2946" s="327" t="s">
        <v>109</v>
      </c>
      <c r="D2946" s="327" t="s">
        <v>114</v>
      </c>
      <c r="E2946" s="328" t="s">
        <v>2286</v>
      </c>
      <c r="F2946" s="328">
        <v>153.132677</v>
      </c>
      <c r="G2946" s="328">
        <v>4780.9512999999997</v>
      </c>
      <c r="H2946" s="328">
        <v>5390.1862700000001</v>
      </c>
      <c r="I2946" s="329">
        <v>0.15959516530547599</v>
      </c>
      <c r="J2946" s="329">
        <v>0.49930915837779949</v>
      </c>
      <c r="K2946" s="329">
        <v>0.56811765415003601</v>
      </c>
    </row>
    <row r="2947" spans="1:11" ht="11.25" x14ac:dyDescent="0.15">
      <c r="A2947" s="326">
        <v>0.92500000000000004</v>
      </c>
      <c r="B2947" s="327">
        <v>140</v>
      </c>
      <c r="C2947" s="327" t="s">
        <v>109</v>
      </c>
      <c r="D2947" s="327" t="s">
        <v>113</v>
      </c>
      <c r="E2947" s="328" t="s">
        <v>2287</v>
      </c>
      <c r="F2947" s="328">
        <v>73.505347</v>
      </c>
      <c r="G2947" s="328">
        <v>4670.6287700000003</v>
      </c>
      <c r="H2947" s="328">
        <v>5286.3378150000008</v>
      </c>
      <c r="I2947" s="329">
        <v>7.6607411527856814E-2</v>
      </c>
      <c r="J2947" s="329">
        <v>0.48778738244914505</v>
      </c>
      <c r="K2947" s="329">
        <v>0.55717218071249086</v>
      </c>
    </row>
    <row r="2948" spans="1:11" ht="11.25" x14ac:dyDescent="0.15">
      <c r="A2948" s="326">
        <v>0.95</v>
      </c>
      <c r="B2948" s="327">
        <v>140</v>
      </c>
      <c r="C2948" s="327" t="s">
        <v>109</v>
      </c>
      <c r="D2948" s="327" t="s">
        <v>79</v>
      </c>
      <c r="E2948" s="328" t="s">
        <v>2288</v>
      </c>
      <c r="F2948" s="328">
        <v>577.36713599999996</v>
      </c>
      <c r="G2948" s="328">
        <v>5320.9743199999994</v>
      </c>
      <c r="H2948" s="328">
        <v>5814.1126699999995</v>
      </c>
      <c r="I2948" s="329">
        <v>0.60173312004379853</v>
      </c>
      <c r="J2948" s="329">
        <v>0.55570764953600005</v>
      </c>
      <c r="K2948" s="329">
        <v>0.6127988692020474</v>
      </c>
    </row>
    <row r="2949" spans="1:11" ht="11.25" x14ac:dyDescent="0.15">
      <c r="A2949" s="326">
        <v>0.95</v>
      </c>
      <c r="B2949" s="327">
        <v>140</v>
      </c>
      <c r="C2949" s="327" t="s">
        <v>109</v>
      </c>
      <c r="D2949" s="327" t="s">
        <v>114</v>
      </c>
      <c r="E2949" s="328" t="s">
        <v>2289</v>
      </c>
      <c r="F2949" s="328">
        <v>161.98942099999999</v>
      </c>
      <c r="G2949" s="328">
        <v>5056.2668899999999</v>
      </c>
      <c r="H2949" s="328">
        <v>5703.5383700000002</v>
      </c>
      <c r="I2949" s="329">
        <v>0.16882568063662429</v>
      </c>
      <c r="J2949" s="329">
        <v>0.52806234721098999</v>
      </c>
      <c r="K2949" s="329">
        <v>0.60114450165729061</v>
      </c>
    </row>
    <row r="2950" spans="1:11" ht="11.25" x14ac:dyDescent="0.15">
      <c r="A2950" s="326">
        <v>0.95</v>
      </c>
      <c r="B2950" s="327">
        <v>140</v>
      </c>
      <c r="C2950" s="327" t="s">
        <v>109</v>
      </c>
      <c r="D2950" s="327" t="s">
        <v>113</v>
      </c>
      <c r="E2950" s="328" t="s">
        <v>2290</v>
      </c>
      <c r="F2950" s="328">
        <v>77.780376000000004</v>
      </c>
      <c r="G2950" s="328">
        <v>4925.9190999999992</v>
      </c>
      <c r="H2950" s="328">
        <v>5594.9410199999993</v>
      </c>
      <c r="I2950" s="329">
        <v>8.1062854829097503E-2</v>
      </c>
      <c r="J2950" s="329">
        <v>0.51444918923523175</v>
      </c>
      <c r="K2950" s="329">
        <v>0.58969850171619564</v>
      </c>
    </row>
    <row r="2951" spans="1:11" ht="11.25" x14ac:dyDescent="0.15">
      <c r="A2951" s="326">
        <v>0.97499999999999998</v>
      </c>
      <c r="B2951" s="327">
        <v>140</v>
      </c>
      <c r="C2951" s="327" t="s">
        <v>109</v>
      </c>
      <c r="D2951" s="327" t="s">
        <v>79</v>
      </c>
      <c r="E2951" s="328" t="s">
        <v>2291</v>
      </c>
      <c r="F2951" s="328">
        <v>608.69628299999988</v>
      </c>
      <c r="G2951" s="328">
        <v>5652.7500900000005</v>
      </c>
      <c r="H2951" s="328">
        <v>6141.0532949999997</v>
      </c>
      <c r="I2951" s="329">
        <v>0.63438441624196107</v>
      </c>
      <c r="J2951" s="329">
        <v>0.59035738137678395</v>
      </c>
      <c r="K2951" s="329">
        <v>0.64725792713017849</v>
      </c>
    </row>
    <row r="2952" spans="1:11" ht="11.25" x14ac:dyDescent="0.15">
      <c r="A2952" s="326">
        <v>0.97499999999999998</v>
      </c>
      <c r="B2952" s="327">
        <v>140</v>
      </c>
      <c r="C2952" s="327" t="s">
        <v>109</v>
      </c>
      <c r="D2952" s="327" t="s">
        <v>114</v>
      </c>
      <c r="E2952" s="328" t="s">
        <v>2292</v>
      </c>
      <c r="F2952" s="328">
        <v>171.23899649999998</v>
      </c>
      <c r="G2952" s="328">
        <v>5345.5351949999995</v>
      </c>
      <c r="H2952" s="328">
        <v>6025.6006200000002</v>
      </c>
      <c r="I2952" s="329">
        <v>0.17846560569930689</v>
      </c>
      <c r="J2952" s="329">
        <v>0.55827271850569915</v>
      </c>
      <c r="K2952" s="329">
        <v>0.63508938608153187</v>
      </c>
    </row>
    <row r="2953" spans="1:11" ht="11.25" x14ac:dyDescent="0.15">
      <c r="A2953" s="326">
        <v>0.97499999999999998</v>
      </c>
      <c r="B2953" s="327">
        <v>140</v>
      </c>
      <c r="C2953" s="327" t="s">
        <v>109</v>
      </c>
      <c r="D2953" s="327" t="s">
        <v>113</v>
      </c>
      <c r="E2953" s="328" t="s">
        <v>2293</v>
      </c>
      <c r="F2953" s="328">
        <v>82.257388199999994</v>
      </c>
      <c r="G2953" s="328">
        <v>5191.2552899999991</v>
      </c>
      <c r="H2953" s="328">
        <v>5912.7079050000002</v>
      </c>
      <c r="I2953" s="329">
        <v>8.5728805403014724E-2</v>
      </c>
      <c r="J2953" s="329">
        <v>0.54216015749296576</v>
      </c>
      <c r="K2953" s="329">
        <v>0.62319066102755927</v>
      </c>
    </row>
    <row r="2954" spans="1:11" ht="11.25" x14ac:dyDescent="0.15">
      <c r="A2954" s="326">
        <v>1</v>
      </c>
      <c r="B2954" s="327">
        <v>140</v>
      </c>
      <c r="C2954" s="327" t="s">
        <v>109</v>
      </c>
      <c r="D2954" s="327" t="s">
        <v>79</v>
      </c>
      <c r="E2954" s="328" t="s">
        <v>2294</v>
      </c>
      <c r="F2954" s="328">
        <v>641.36257999999998</v>
      </c>
      <c r="G2954" s="328">
        <v>6002.6966000000002</v>
      </c>
      <c r="H2954" s="328">
        <v>6476.7762000000002</v>
      </c>
      <c r="I2954" s="329">
        <v>0.66842929269659779</v>
      </c>
      <c r="J2954" s="329">
        <v>0.62690481439191381</v>
      </c>
      <c r="K2954" s="329">
        <v>0.68264262437052747</v>
      </c>
    </row>
    <row r="2955" spans="1:11" ht="11.25" x14ac:dyDescent="0.15">
      <c r="A2955" s="326">
        <v>1</v>
      </c>
      <c r="B2955" s="327">
        <v>140</v>
      </c>
      <c r="C2955" s="327" t="s">
        <v>109</v>
      </c>
      <c r="D2955" s="327" t="s">
        <v>114</v>
      </c>
      <c r="E2955" s="328" t="s">
        <v>2295</v>
      </c>
      <c r="F2955" s="328">
        <v>180.90143999999998</v>
      </c>
      <c r="G2955" s="328">
        <v>5648.8977999999997</v>
      </c>
      <c r="H2955" s="328">
        <v>6356.5726000000004</v>
      </c>
      <c r="I2955" s="329">
        <v>0.18853582257168169</v>
      </c>
      <c r="J2955" s="329">
        <v>0.58995505900263057</v>
      </c>
      <c r="K2955" s="329">
        <v>0.66997334285933596</v>
      </c>
    </row>
    <row r="2956" spans="1:11" ht="11.25" x14ac:dyDescent="0.15">
      <c r="A2956" s="326">
        <v>1</v>
      </c>
      <c r="B2956" s="327">
        <v>140</v>
      </c>
      <c r="C2956" s="327" t="s">
        <v>109</v>
      </c>
      <c r="D2956" s="327" t="s">
        <v>113</v>
      </c>
      <c r="E2956" s="328" t="s">
        <v>2296</v>
      </c>
      <c r="F2956" s="328">
        <v>86.948815999999994</v>
      </c>
      <c r="G2956" s="328">
        <v>5467.9395999999997</v>
      </c>
      <c r="H2956" s="328">
        <v>6239.0165999999999</v>
      </c>
      <c r="I2956" s="329">
        <v>9.0618220320378876E-2</v>
      </c>
      <c r="J2956" s="329">
        <v>0.57105629160804083</v>
      </c>
      <c r="K2956" s="329">
        <v>0.65758311446909112</v>
      </c>
    </row>
    <row r="2957" spans="1:11" ht="11.25" x14ac:dyDescent="0.15">
      <c r="A2957" s="326">
        <v>1.0249999999999999</v>
      </c>
      <c r="B2957" s="327">
        <v>140</v>
      </c>
      <c r="C2957" s="327" t="s">
        <v>109</v>
      </c>
      <c r="D2957" s="327" t="s">
        <v>79</v>
      </c>
      <c r="E2957" s="328" t="s">
        <v>2297</v>
      </c>
      <c r="F2957" s="328">
        <v>675.42344249999996</v>
      </c>
      <c r="G2957" s="328">
        <v>6372.6092949999993</v>
      </c>
      <c r="H2957" s="328">
        <v>6821.7146849999999</v>
      </c>
      <c r="I2957" s="329">
        <v>0.70392758795029198</v>
      </c>
      <c r="J2957" s="329">
        <v>0.66553745982666501</v>
      </c>
      <c r="K2957" s="329">
        <v>0.71899863010171106</v>
      </c>
    </row>
    <row r="2958" spans="1:11" ht="11.25" x14ac:dyDescent="0.15">
      <c r="A2958" s="326">
        <v>1.0249999999999999</v>
      </c>
      <c r="B2958" s="327">
        <v>140</v>
      </c>
      <c r="C2958" s="327" t="s">
        <v>109</v>
      </c>
      <c r="D2958" s="327" t="s">
        <v>114</v>
      </c>
      <c r="E2958" s="328" t="s">
        <v>2298</v>
      </c>
      <c r="F2958" s="328">
        <v>190.99478949999997</v>
      </c>
      <c r="G2958" s="328">
        <v>5968.1032949999999</v>
      </c>
      <c r="H2958" s="328">
        <v>6696.4592749999993</v>
      </c>
      <c r="I2958" s="329">
        <v>0.19905513049143053</v>
      </c>
      <c r="J2958" s="329">
        <v>0.62329198654213902</v>
      </c>
      <c r="K2958" s="329">
        <v>0.70579689529435319</v>
      </c>
    </row>
    <row r="2959" spans="1:11" ht="11.25" x14ac:dyDescent="0.15">
      <c r="A2959" s="326">
        <v>1.0249999999999999</v>
      </c>
      <c r="B2959" s="327">
        <v>140</v>
      </c>
      <c r="C2959" s="327" t="s">
        <v>109</v>
      </c>
      <c r="D2959" s="327" t="s">
        <v>113</v>
      </c>
      <c r="E2959" s="328" t="s">
        <v>2299</v>
      </c>
      <c r="F2959" s="328">
        <v>91.865432299999981</v>
      </c>
      <c r="G2959" s="328">
        <v>5756.5375549999999</v>
      </c>
      <c r="H2959" s="328">
        <v>6574.2620549999992</v>
      </c>
      <c r="I2959" s="329">
        <v>9.5742327117924741E-2</v>
      </c>
      <c r="J2959" s="329">
        <v>0.60119665342695416</v>
      </c>
      <c r="K2959" s="329">
        <v>0.69291748918617513</v>
      </c>
    </row>
    <row r="2960" spans="1:11" ht="11.25" x14ac:dyDescent="0.15">
      <c r="A2960" s="326">
        <v>1.05</v>
      </c>
      <c r="B2960" s="327">
        <v>140</v>
      </c>
      <c r="C2960" s="327" t="s">
        <v>109</v>
      </c>
      <c r="D2960" s="327" t="s">
        <v>79</v>
      </c>
      <c r="E2960" s="328" t="s">
        <v>2300</v>
      </c>
      <c r="F2960" s="328">
        <v>710.94725100000005</v>
      </c>
      <c r="G2960" s="328">
        <v>6762.3244500000001</v>
      </c>
      <c r="H2960" s="328">
        <v>7175.6090700000004</v>
      </c>
      <c r="I2960" s="329">
        <v>0.74095056828934514</v>
      </c>
      <c r="J2960" s="329">
        <v>0.70623821870076697</v>
      </c>
      <c r="K2960" s="329">
        <v>0.75629857443611526</v>
      </c>
    </row>
    <row r="2961" spans="1:11" ht="11.25" x14ac:dyDescent="0.15">
      <c r="A2961" s="326">
        <v>1.05</v>
      </c>
      <c r="B2961" s="327">
        <v>140</v>
      </c>
      <c r="C2961" s="327" t="s">
        <v>109</v>
      </c>
      <c r="D2961" s="327" t="s">
        <v>114</v>
      </c>
      <c r="E2961" s="328" t="s">
        <v>2301</v>
      </c>
      <c r="F2961" s="328">
        <v>201.541935</v>
      </c>
      <c r="G2961" s="328">
        <v>6304.3228500000005</v>
      </c>
      <c r="H2961" s="328">
        <v>7045.1633700000002</v>
      </c>
      <c r="I2961" s="329">
        <v>0.21004738545980292</v>
      </c>
      <c r="J2961" s="329">
        <v>0.65840581483760996</v>
      </c>
      <c r="K2961" s="329">
        <v>0.74254979074557326</v>
      </c>
    </row>
    <row r="2962" spans="1:11" ht="11.25" x14ac:dyDescent="0.15">
      <c r="A2962" s="326">
        <v>1.05</v>
      </c>
      <c r="B2962" s="327">
        <v>140</v>
      </c>
      <c r="C2962" s="327" t="s">
        <v>109</v>
      </c>
      <c r="D2962" s="327" t="s">
        <v>113</v>
      </c>
      <c r="E2962" s="328" t="s">
        <v>2302</v>
      </c>
      <c r="F2962" s="328">
        <v>97.021814400000011</v>
      </c>
      <c r="G2962" s="328">
        <v>6059.0191200000008</v>
      </c>
      <c r="H2962" s="328">
        <v>6918.1261800000002</v>
      </c>
      <c r="I2962" s="329">
        <v>0.10111631828525541</v>
      </c>
      <c r="J2962" s="329">
        <v>0.63278698057480653</v>
      </c>
      <c r="K2962" s="329">
        <v>0.72916025896365722</v>
      </c>
    </row>
    <row r="2963" spans="1:11" ht="11.25" x14ac:dyDescent="0.15">
      <c r="A2963" s="326">
        <v>1.075</v>
      </c>
      <c r="B2963" s="327">
        <v>140</v>
      </c>
      <c r="C2963" s="327" t="s">
        <v>109</v>
      </c>
      <c r="D2963" s="327" t="s">
        <v>79</v>
      </c>
      <c r="E2963" s="328" t="s">
        <v>2303</v>
      </c>
      <c r="F2963" s="328">
        <v>748.01077850000001</v>
      </c>
      <c r="G2963" s="328">
        <v>7173.4046949999993</v>
      </c>
      <c r="H2963" s="328">
        <v>7538.4282549999989</v>
      </c>
      <c r="I2963" s="329">
        <v>0.77957824667941567</v>
      </c>
      <c r="J2963" s="329">
        <v>0.7491702877132016</v>
      </c>
      <c r="K2963" s="329">
        <v>0.79453917947977493</v>
      </c>
    </row>
    <row r="2964" spans="1:11" ht="11.25" x14ac:dyDescent="0.15">
      <c r="A2964" s="326">
        <v>1.075</v>
      </c>
      <c r="B2964" s="327">
        <v>140</v>
      </c>
      <c r="C2964" s="327" t="s">
        <v>109</v>
      </c>
      <c r="D2964" s="327" t="s">
        <v>114</v>
      </c>
      <c r="E2964" s="328" t="s">
        <v>2304</v>
      </c>
      <c r="F2964" s="328">
        <v>212.56811349999998</v>
      </c>
      <c r="G2964" s="328">
        <v>6657.7188100000003</v>
      </c>
      <c r="H2964" s="328">
        <v>7402.6783299999997</v>
      </c>
      <c r="I2964" s="329">
        <v>0.22153888952588269</v>
      </c>
      <c r="J2964" s="329">
        <v>0.69531349874598081</v>
      </c>
      <c r="K2964" s="329">
        <v>0.78023133832569869</v>
      </c>
    </row>
    <row r="2965" spans="1:11" ht="11.25" x14ac:dyDescent="0.15">
      <c r="A2965" s="326">
        <v>1.075</v>
      </c>
      <c r="B2965" s="327">
        <v>140</v>
      </c>
      <c r="C2965" s="327" t="s">
        <v>109</v>
      </c>
      <c r="D2965" s="327" t="s">
        <v>113</v>
      </c>
      <c r="E2965" s="328" t="s">
        <v>2305</v>
      </c>
      <c r="F2965" s="328">
        <v>102.4341743</v>
      </c>
      <c r="G2965" s="328">
        <v>6375.292015</v>
      </c>
      <c r="H2965" s="328">
        <v>7270.7670149999994</v>
      </c>
      <c r="I2965" s="329">
        <v>0.10675708999940253</v>
      </c>
      <c r="J2965" s="329">
        <v>0.66581763558695017</v>
      </c>
      <c r="K2965" s="329">
        <v>0.76632808098360194</v>
      </c>
    </row>
    <row r="2966" spans="1:11" ht="11.25" x14ac:dyDescent="0.15">
      <c r="A2966" s="326">
        <v>1.1000000000000001</v>
      </c>
      <c r="B2966" s="327">
        <v>140</v>
      </c>
      <c r="C2966" s="327" t="s">
        <v>109</v>
      </c>
      <c r="D2966" s="327" t="s">
        <v>79</v>
      </c>
      <c r="E2966" s="328" t="s">
        <v>2306</v>
      </c>
      <c r="F2966" s="328">
        <v>786.69480999999996</v>
      </c>
      <c r="G2966" s="328">
        <v>7606.6696200000006</v>
      </c>
      <c r="H2966" s="328">
        <v>7910.1244200000001</v>
      </c>
      <c r="I2966" s="329">
        <v>0.81989481740014258</v>
      </c>
      <c r="J2966" s="329">
        <v>0.79441926254722073</v>
      </c>
      <c r="K2966" s="329">
        <v>0.83371540507547504</v>
      </c>
    </row>
    <row r="2967" spans="1:11" ht="11.25" x14ac:dyDescent="0.15">
      <c r="A2967" s="326">
        <v>1.1000000000000001</v>
      </c>
      <c r="B2967" s="327">
        <v>140</v>
      </c>
      <c r="C2967" s="327" t="s">
        <v>109</v>
      </c>
      <c r="D2967" s="327" t="s">
        <v>114</v>
      </c>
      <c r="E2967" s="328" t="s">
        <v>2307</v>
      </c>
      <c r="F2967" s="328">
        <v>224.10086600000005</v>
      </c>
      <c r="G2967" s="328">
        <v>7030.1415800000004</v>
      </c>
      <c r="H2967" s="328">
        <v>7769.1092600000011</v>
      </c>
      <c r="I2967" s="329">
        <v>0.23355834597190731</v>
      </c>
      <c r="J2967" s="329">
        <v>0.73420828938093852</v>
      </c>
      <c r="K2967" s="329">
        <v>0.81885261594615033</v>
      </c>
    </row>
    <row r="2968" spans="1:11" ht="11.25" x14ac:dyDescent="0.15">
      <c r="A2968" s="326">
        <v>1.1000000000000001</v>
      </c>
      <c r="B2968" s="327">
        <v>140</v>
      </c>
      <c r="C2968" s="327" t="s">
        <v>109</v>
      </c>
      <c r="D2968" s="327" t="s">
        <v>113</v>
      </c>
      <c r="E2968" s="328" t="s">
        <v>2308</v>
      </c>
      <c r="F2968" s="328">
        <v>108.12029800000001</v>
      </c>
      <c r="G2968" s="328">
        <v>6706.7987800000001</v>
      </c>
      <c r="H2968" s="328">
        <v>7632.2762999999995</v>
      </c>
      <c r="I2968" s="329">
        <v>0.11268317886317188</v>
      </c>
      <c r="J2968" s="329">
        <v>0.70043927329923916</v>
      </c>
      <c r="K2968" s="329">
        <v>0.80443062450621317</v>
      </c>
    </row>
    <row r="2969" spans="1:11" ht="11.25" x14ac:dyDescent="0.15">
      <c r="A2969" s="326">
        <v>1.125</v>
      </c>
      <c r="B2969" s="327">
        <v>140</v>
      </c>
      <c r="C2969" s="327" t="s">
        <v>109</v>
      </c>
      <c r="D2969" s="327" t="s">
        <v>79</v>
      </c>
      <c r="E2969" s="328" t="s">
        <v>2309</v>
      </c>
      <c r="F2969" s="328">
        <v>827.08735499999989</v>
      </c>
      <c r="G2969" s="328">
        <v>8062.8349499999995</v>
      </c>
      <c r="H2969" s="328">
        <v>8290.9937250000003</v>
      </c>
      <c r="I2969" s="329">
        <v>0.86199200411871513</v>
      </c>
      <c r="J2969" s="329">
        <v>0.84205989151648697</v>
      </c>
      <c r="K2969" s="329">
        <v>0.87385846604883077</v>
      </c>
    </row>
    <row r="2970" spans="1:11" ht="11.25" x14ac:dyDescent="0.15">
      <c r="A2970" s="326">
        <v>1.125</v>
      </c>
      <c r="B2970" s="327">
        <v>140</v>
      </c>
      <c r="C2970" s="327" t="s">
        <v>109</v>
      </c>
      <c r="D2970" s="327" t="s">
        <v>114</v>
      </c>
      <c r="E2970" s="328" t="s">
        <v>2310</v>
      </c>
      <c r="F2970" s="328">
        <v>236.17014749999998</v>
      </c>
      <c r="G2970" s="328">
        <v>7422.597675</v>
      </c>
      <c r="H2970" s="328">
        <v>8144.4953249999999</v>
      </c>
      <c r="I2970" s="329">
        <v>0.24613697395547485</v>
      </c>
      <c r="J2970" s="329">
        <v>0.77519530434900297</v>
      </c>
      <c r="K2970" s="329">
        <v>0.85841775153995459</v>
      </c>
    </row>
    <row r="2971" spans="1:11" ht="11.25" x14ac:dyDescent="0.15">
      <c r="A2971" s="326">
        <v>1.125</v>
      </c>
      <c r="B2971" s="327">
        <v>140</v>
      </c>
      <c r="C2971" s="327" t="s">
        <v>109</v>
      </c>
      <c r="D2971" s="327" t="s">
        <v>113</v>
      </c>
      <c r="E2971" s="328" t="s">
        <v>2311</v>
      </c>
      <c r="F2971" s="328">
        <v>114.09978599999999</v>
      </c>
      <c r="G2971" s="328">
        <v>7055.3711250000006</v>
      </c>
      <c r="H2971" s="328">
        <v>8002.2505499999997</v>
      </c>
      <c r="I2971" s="329">
        <v>0.11891501255469748</v>
      </c>
      <c r="J2971" s="329">
        <v>0.73684319237194051</v>
      </c>
      <c r="K2971" s="329">
        <v>0.84342536280974112</v>
      </c>
    </row>
    <row r="2972" spans="1:11" ht="11.25" x14ac:dyDescent="0.15">
      <c r="A2972" s="326">
        <v>1.1499999999999999</v>
      </c>
      <c r="B2972" s="327">
        <v>140</v>
      </c>
      <c r="C2972" s="327" t="s">
        <v>109</v>
      </c>
      <c r="D2972" s="327" t="s">
        <v>79</v>
      </c>
      <c r="E2972" s="328" t="s">
        <v>2312</v>
      </c>
      <c r="F2972" s="328">
        <v>869.283367</v>
      </c>
      <c r="G2972" s="328">
        <v>8542.4157400000004</v>
      </c>
      <c r="H2972" s="328">
        <v>8680.8499799999991</v>
      </c>
      <c r="I2972" s="329">
        <v>0.9059687675522432</v>
      </c>
      <c r="J2972" s="329">
        <v>0.89214596552210601</v>
      </c>
      <c r="K2972" s="329">
        <v>0.91494873824944578</v>
      </c>
    </row>
    <row r="2973" spans="1:11" ht="11.25" x14ac:dyDescent="0.15">
      <c r="A2973" s="326">
        <v>1.1499999999999999</v>
      </c>
      <c r="B2973" s="327">
        <v>140</v>
      </c>
      <c r="C2973" s="327" t="s">
        <v>109</v>
      </c>
      <c r="D2973" s="327" t="s">
        <v>114</v>
      </c>
      <c r="E2973" s="328" t="s">
        <v>2313</v>
      </c>
      <c r="F2973" s="328">
        <v>248.809055</v>
      </c>
      <c r="G2973" s="328">
        <v>7835.7582199999988</v>
      </c>
      <c r="H2973" s="328">
        <v>8528.786399999999</v>
      </c>
      <c r="I2973" s="329">
        <v>0.25930926723252062</v>
      </c>
      <c r="J2973" s="329">
        <v>0.81834463406479874</v>
      </c>
      <c r="K2973" s="329">
        <v>0.8989214620063084</v>
      </c>
    </row>
    <row r="2974" spans="1:11" ht="11.25" x14ac:dyDescent="0.15">
      <c r="A2974" s="326">
        <v>1.1499999999999999</v>
      </c>
      <c r="B2974" s="327">
        <v>140</v>
      </c>
      <c r="C2974" s="327" t="s">
        <v>109</v>
      </c>
      <c r="D2974" s="327" t="s">
        <v>113</v>
      </c>
      <c r="E2974" s="328" t="s">
        <v>2314</v>
      </c>
      <c r="F2974" s="328">
        <v>120.39445220000002</v>
      </c>
      <c r="G2974" s="328">
        <v>7420.0603599999995</v>
      </c>
      <c r="H2974" s="328">
        <v>8381.1871199999987</v>
      </c>
      <c r="I2974" s="329">
        <v>0.12547532556177562</v>
      </c>
      <c r="J2974" s="329">
        <v>0.77493031427951842</v>
      </c>
      <c r="K2974" s="329">
        <v>0.88336471637498626</v>
      </c>
    </row>
    <row r="2975" spans="1:11" ht="11.25" x14ac:dyDescent="0.15">
      <c r="A2975" s="326">
        <v>1.175</v>
      </c>
      <c r="B2975" s="327">
        <v>140</v>
      </c>
      <c r="C2975" s="327" t="s">
        <v>109</v>
      </c>
      <c r="D2975" s="327" t="s">
        <v>79</v>
      </c>
      <c r="E2975" s="328" t="s">
        <v>2315</v>
      </c>
      <c r="F2975" s="328">
        <v>913.38589750000006</v>
      </c>
      <c r="G2975" s="328">
        <v>9046.5562399999999</v>
      </c>
      <c r="H2975" s="328">
        <v>9079.8094450000008</v>
      </c>
      <c r="I2975" s="329">
        <v>0.95193250816873687</v>
      </c>
      <c r="J2975" s="329">
        <v>0.9447969868280881</v>
      </c>
      <c r="K2975" s="329">
        <v>0.9569984753092291</v>
      </c>
    </row>
    <row r="2976" spans="1:11" ht="11.25" x14ac:dyDescent="0.15">
      <c r="A2976" s="326">
        <v>1.175</v>
      </c>
      <c r="B2976" s="327">
        <v>140</v>
      </c>
      <c r="C2976" s="327" t="s">
        <v>109</v>
      </c>
      <c r="D2976" s="327" t="s">
        <v>114</v>
      </c>
      <c r="E2976" s="328" t="s">
        <v>2316</v>
      </c>
      <c r="F2976" s="328">
        <v>262.05371700000001</v>
      </c>
      <c r="G2976" s="328">
        <v>8269.7891200000013</v>
      </c>
      <c r="H2976" s="328">
        <v>8921.6368199999997</v>
      </c>
      <c r="I2976" s="329">
        <v>0.27311287899400744</v>
      </c>
      <c r="J2976" s="329">
        <v>0.86367360518168923</v>
      </c>
      <c r="K2976" s="329">
        <v>0.94032731476587483</v>
      </c>
    </row>
    <row r="2977" spans="1:11" ht="11.25" x14ac:dyDescent="0.15">
      <c r="A2977" s="326">
        <v>1.175</v>
      </c>
      <c r="B2977" s="327">
        <v>140</v>
      </c>
      <c r="C2977" s="327" t="s">
        <v>109</v>
      </c>
      <c r="D2977" s="327" t="s">
        <v>113</v>
      </c>
      <c r="E2977" s="328" t="s">
        <v>2317</v>
      </c>
      <c r="F2977" s="328">
        <v>127.0283852</v>
      </c>
      <c r="G2977" s="328">
        <v>7803.7112700000007</v>
      </c>
      <c r="H2977" s="328">
        <v>8768.8614399999988</v>
      </c>
      <c r="I2977" s="329">
        <v>0.13238922306884035</v>
      </c>
      <c r="J2977" s="329">
        <v>0.8149977403967803</v>
      </c>
      <c r="K2977" s="329">
        <v>0.92422501585636407</v>
      </c>
    </row>
    <row r="2978" spans="1:11" ht="11.25" x14ac:dyDescent="0.15">
      <c r="A2978" s="330">
        <v>1.2</v>
      </c>
      <c r="B2978" s="331">
        <v>140</v>
      </c>
      <c r="C2978" s="331" t="s">
        <v>109</v>
      </c>
      <c r="D2978" s="331" t="s">
        <v>79</v>
      </c>
      <c r="E2978" s="328" t="s">
        <v>2318</v>
      </c>
      <c r="F2978" s="328">
        <v>959.50699199999985</v>
      </c>
      <c r="G2978" s="328">
        <v>9575.1324000000004</v>
      </c>
      <c r="H2978" s="328">
        <v>9487.7992799999993</v>
      </c>
      <c r="I2978" s="329">
        <v>1</v>
      </c>
      <c r="J2978" s="329">
        <v>1</v>
      </c>
      <c r="K2978" s="329">
        <v>1</v>
      </c>
    </row>
    <row r="2979" spans="1:11" ht="11.25" x14ac:dyDescent="0.15">
      <c r="A2979" s="326">
        <v>1.2</v>
      </c>
      <c r="B2979" s="327">
        <v>140</v>
      </c>
      <c r="C2979" s="327" t="s">
        <v>109</v>
      </c>
      <c r="D2979" s="327" t="s">
        <v>114</v>
      </c>
      <c r="E2979" s="328" t="s">
        <v>2319</v>
      </c>
      <c r="F2979" s="328">
        <v>275.94379199999997</v>
      </c>
      <c r="G2979" s="328">
        <v>8726.2116000000005</v>
      </c>
      <c r="H2979" s="328">
        <v>9323.4818400000004</v>
      </c>
      <c r="I2979" s="329">
        <v>0.28758914140356784</v>
      </c>
      <c r="J2979" s="329">
        <v>0.91134109017646592</v>
      </c>
      <c r="K2979" s="329">
        <v>0.98268118505137692</v>
      </c>
    </row>
    <row r="2980" spans="1:11" ht="11.25" x14ac:dyDescent="0.15">
      <c r="A2980" s="326">
        <v>1.2</v>
      </c>
      <c r="B2980" s="327">
        <v>140</v>
      </c>
      <c r="C2980" s="327" t="s">
        <v>109</v>
      </c>
      <c r="D2980" s="327" t="s">
        <v>113</v>
      </c>
      <c r="E2980" s="328" t="s">
        <v>2320</v>
      </c>
      <c r="F2980" s="328">
        <v>134.028696</v>
      </c>
      <c r="G2980" s="328">
        <v>8206.3113599999997</v>
      </c>
      <c r="H2980" s="328">
        <v>9165.34656</v>
      </c>
      <c r="I2980" s="329">
        <v>0.13968496021131654</v>
      </c>
      <c r="J2980" s="329">
        <v>0.85704416578093467</v>
      </c>
      <c r="K2980" s="329">
        <v>0.96601396061574363</v>
      </c>
    </row>
    <row r="2981" spans="1:11" ht="11.25" x14ac:dyDescent="0.15">
      <c r="A2981" s="326">
        <v>1.2250000000000001</v>
      </c>
      <c r="B2981" s="327">
        <v>140</v>
      </c>
      <c r="C2981" s="327" t="s">
        <v>109</v>
      </c>
      <c r="D2981" s="327" t="s">
        <v>79</v>
      </c>
      <c r="E2981" s="328" t="s">
        <v>2321</v>
      </c>
      <c r="F2981" s="328">
        <v>1007.7687900000001</v>
      </c>
      <c r="G2981" s="328">
        <v>10129.025445000001</v>
      </c>
      <c r="H2981" s="328">
        <v>9904.8470150000012</v>
      </c>
      <c r="I2981" s="329">
        <v>1.0502985370637092</v>
      </c>
      <c r="J2981" s="329">
        <v>1.0578470377078024</v>
      </c>
      <c r="K2981" s="329">
        <v>1.0439562139430085</v>
      </c>
    </row>
    <row r="2982" spans="1:11" ht="11.25" x14ac:dyDescent="0.15">
      <c r="A2982" s="326">
        <v>1.2250000000000001</v>
      </c>
      <c r="B2982" s="327">
        <v>140</v>
      </c>
      <c r="C2982" s="327" t="s">
        <v>109</v>
      </c>
      <c r="D2982" s="327" t="s">
        <v>114</v>
      </c>
      <c r="E2982" s="328" t="s">
        <v>2322</v>
      </c>
      <c r="F2982" s="328">
        <v>290.52352350000001</v>
      </c>
      <c r="G2982" s="328">
        <v>9206.1912950000005</v>
      </c>
      <c r="H2982" s="328">
        <v>9734.3627850000012</v>
      </c>
      <c r="I2982" s="329">
        <v>0.30278416512049766</v>
      </c>
      <c r="J2982" s="329">
        <v>0.9614688247026224</v>
      </c>
      <c r="K2982" s="329">
        <v>1.0259874284566444</v>
      </c>
    </row>
    <row r="2983" spans="1:11" ht="11.25" x14ac:dyDescent="0.15">
      <c r="A2983" s="326">
        <v>1.2250000000000001</v>
      </c>
      <c r="B2983" s="327">
        <v>140</v>
      </c>
      <c r="C2983" s="327" t="s">
        <v>109</v>
      </c>
      <c r="D2983" s="327" t="s">
        <v>113</v>
      </c>
      <c r="E2983" s="328" t="s">
        <v>2323</v>
      </c>
      <c r="F2983" s="328">
        <v>141.42418220000002</v>
      </c>
      <c r="G2983" s="328">
        <v>8629.4752600000011</v>
      </c>
      <c r="H2983" s="328">
        <v>9570.9433750000007</v>
      </c>
      <c r="I2983" s="329">
        <v>0.14739254990233572</v>
      </c>
      <c r="J2983" s="329">
        <v>0.90123821786526948</v>
      </c>
      <c r="K2983" s="329">
        <v>1.0087632645407314</v>
      </c>
    </row>
    <row r="2984" spans="1:11" ht="11.25" x14ac:dyDescent="0.15">
      <c r="A2984" s="326">
        <v>1.25</v>
      </c>
      <c r="B2984" s="327">
        <v>140</v>
      </c>
      <c r="C2984" s="327" t="s">
        <v>109</v>
      </c>
      <c r="D2984" s="327" t="s">
        <v>79</v>
      </c>
      <c r="E2984" s="328" t="s">
        <v>2324</v>
      </c>
      <c r="F2984" s="328">
        <v>1058.30405</v>
      </c>
      <c r="G2984" s="328">
        <v>10708.442499999999</v>
      </c>
      <c r="H2984" s="328">
        <v>10330.912</v>
      </c>
      <c r="I2984" s="329">
        <v>1.1029664805194042</v>
      </c>
      <c r="J2984" s="329">
        <v>1.1183597315061669</v>
      </c>
      <c r="K2984" s="329">
        <v>1.0888628326884251</v>
      </c>
    </row>
    <row r="2985" spans="1:11" ht="11.25" x14ac:dyDescent="0.15">
      <c r="A2985" s="326">
        <v>1.25</v>
      </c>
      <c r="B2985" s="327">
        <v>140</v>
      </c>
      <c r="C2985" s="327" t="s">
        <v>109</v>
      </c>
      <c r="D2985" s="327" t="s">
        <v>114</v>
      </c>
      <c r="E2985" s="328" t="s">
        <v>2325</v>
      </c>
      <c r="F2985" s="328">
        <v>305.84052500000001</v>
      </c>
      <c r="G2985" s="328">
        <v>9709.3445000000011</v>
      </c>
      <c r="H2985" s="328">
        <v>10153.90475</v>
      </c>
      <c r="I2985" s="329">
        <v>0.31874757302446011</v>
      </c>
      <c r="J2985" s="329">
        <v>1.0140167356850336</v>
      </c>
      <c r="K2985" s="329">
        <v>1.0702065305496218</v>
      </c>
    </row>
    <row r="2986" spans="1:11" ht="11.25" x14ac:dyDescent="0.15">
      <c r="A2986" s="326">
        <v>1.25</v>
      </c>
      <c r="B2986" s="327">
        <v>140</v>
      </c>
      <c r="C2986" s="327" t="s">
        <v>109</v>
      </c>
      <c r="D2986" s="327" t="s">
        <v>113</v>
      </c>
      <c r="E2986" s="328" t="s">
        <v>2326</v>
      </c>
      <c r="F2986" s="328">
        <v>149.24845000000002</v>
      </c>
      <c r="G2986" s="328">
        <v>9073.7574999999997</v>
      </c>
      <c r="H2986" s="328">
        <v>9984.8682500000014</v>
      </c>
      <c r="I2986" s="329">
        <v>0.15554701658703499</v>
      </c>
      <c r="J2986" s="329">
        <v>0.9476378102092875</v>
      </c>
      <c r="K2986" s="329">
        <v>1.0523903336622866</v>
      </c>
    </row>
    <row r="2987" spans="1:11" ht="11.25" x14ac:dyDescent="0.15">
      <c r="A2987" s="326">
        <v>1.2749999999999999</v>
      </c>
      <c r="B2987" s="327">
        <v>140</v>
      </c>
      <c r="C2987" s="327" t="s">
        <v>109</v>
      </c>
      <c r="D2987" s="327" t="s">
        <v>79</v>
      </c>
      <c r="E2987" s="328" t="s">
        <v>2327</v>
      </c>
      <c r="F2987" s="328">
        <v>1111.2587370000001</v>
      </c>
      <c r="G2987" s="328">
        <v>11314.033289999999</v>
      </c>
      <c r="H2987" s="328">
        <v>10766.263965</v>
      </c>
      <c r="I2987" s="329">
        <v>1.1581559553658785</v>
      </c>
      <c r="J2987" s="329">
        <v>1.1816059368536773</v>
      </c>
      <c r="K2987" s="329">
        <v>1.1347482853789885</v>
      </c>
    </row>
    <row r="2988" spans="1:11" ht="11.25" x14ac:dyDescent="0.15">
      <c r="A2988" s="326">
        <v>1.2749999999999999</v>
      </c>
      <c r="B2988" s="327">
        <v>140</v>
      </c>
      <c r="C2988" s="327" t="s">
        <v>109</v>
      </c>
      <c r="D2988" s="327" t="s">
        <v>114</v>
      </c>
      <c r="E2988" s="328" t="s">
        <v>2328</v>
      </c>
      <c r="F2988" s="328">
        <v>321.94900050000001</v>
      </c>
      <c r="G2988" s="328">
        <v>10238.096234999999</v>
      </c>
      <c r="H2988" s="328">
        <v>10582.867199999999</v>
      </c>
      <c r="I2988" s="329">
        <v>0.33553585662667068</v>
      </c>
      <c r="J2988" s="329">
        <v>1.0692380854180146</v>
      </c>
      <c r="K2988" s="329">
        <v>1.115418537817128</v>
      </c>
    </row>
    <row r="2989" spans="1:11" ht="11.25" x14ac:dyDescent="0.15">
      <c r="A2989" s="326">
        <v>1.2749999999999999</v>
      </c>
      <c r="B2989" s="327">
        <v>140</v>
      </c>
      <c r="C2989" s="327" t="s">
        <v>109</v>
      </c>
      <c r="D2989" s="327" t="s">
        <v>113</v>
      </c>
      <c r="E2989" s="328" t="s">
        <v>2329</v>
      </c>
      <c r="F2989" s="328">
        <v>157.53845939999999</v>
      </c>
      <c r="G2989" s="328">
        <v>9539.3018849999989</v>
      </c>
      <c r="H2989" s="328">
        <v>10407.746969999998</v>
      </c>
      <c r="I2989" s="329">
        <v>0.1641868800472483</v>
      </c>
      <c r="J2989" s="329">
        <v>0.99625796140427247</v>
      </c>
      <c r="K2989" s="329">
        <v>1.0969611247931037</v>
      </c>
    </row>
    <row r="2990" spans="1:11" ht="11.25" x14ac:dyDescent="0.15">
      <c r="A2990" s="326">
        <v>1.3</v>
      </c>
      <c r="B2990" s="327">
        <v>140</v>
      </c>
      <c r="C2990" s="327" t="s">
        <v>109</v>
      </c>
      <c r="D2990" s="327" t="s">
        <v>79</v>
      </c>
      <c r="E2990" s="328" t="s">
        <v>2330</v>
      </c>
      <c r="F2990" s="328">
        <v>1166.792952</v>
      </c>
      <c r="G2990" s="328">
        <v>11946.386920000001</v>
      </c>
      <c r="H2990" s="328">
        <v>11210.886440000002</v>
      </c>
      <c r="I2990" s="329">
        <v>1.2160338191678339</v>
      </c>
      <c r="J2990" s="329">
        <v>1.2476471782259637</v>
      </c>
      <c r="K2990" s="329">
        <v>1.1816108361010778</v>
      </c>
    </row>
    <row r="2991" spans="1:11" ht="11.25" x14ac:dyDescent="0.15">
      <c r="A2991" s="326">
        <v>1.3</v>
      </c>
      <c r="B2991" s="327">
        <v>140</v>
      </c>
      <c r="C2991" s="327" t="s">
        <v>109</v>
      </c>
      <c r="D2991" s="327" t="s">
        <v>114</v>
      </c>
      <c r="E2991" s="328" t="s">
        <v>2331</v>
      </c>
      <c r="F2991" s="328">
        <v>338.90825799999999</v>
      </c>
      <c r="G2991" s="328">
        <v>10791.064700000001</v>
      </c>
      <c r="H2991" s="328">
        <v>11020.654060000001</v>
      </c>
      <c r="I2991" s="329">
        <v>0.35321082683678873</v>
      </c>
      <c r="J2991" s="329">
        <v>1.1269885625811296</v>
      </c>
      <c r="K2991" s="329">
        <v>1.1615606248364903</v>
      </c>
    </row>
    <row r="2992" spans="1:11" ht="11.25" x14ac:dyDescent="0.15">
      <c r="A2992" s="326">
        <v>1.3</v>
      </c>
      <c r="B2992" s="327">
        <v>140</v>
      </c>
      <c r="C2992" s="327" t="s">
        <v>109</v>
      </c>
      <c r="D2992" s="327" t="s">
        <v>113</v>
      </c>
      <c r="E2992" s="328" t="s">
        <v>2332</v>
      </c>
      <c r="F2992" s="328">
        <v>166.33504680000001</v>
      </c>
      <c r="G2992" s="328">
        <v>10027.6553</v>
      </c>
      <c r="H2992" s="328">
        <v>10839.460060000001</v>
      </c>
      <c r="I2992" s="329">
        <v>0.17335470005621392</v>
      </c>
      <c r="J2992" s="329">
        <v>1.0472602237855217</v>
      </c>
      <c r="K2992" s="329">
        <v>1.1424630454450342</v>
      </c>
    </row>
    <row r="2993" spans="1:11" ht="11.25" x14ac:dyDescent="0.15">
      <c r="A2993" s="326">
        <v>1.325</v>
      </c>
      <c r="B2993" s="327">
        <v>140</v>
      </c>
      <c r="C2993" s="327" t="s">
        <v>109</v>
      </c>
      <c r="D2993" s="327" t="s">
        <v>79</v>
      </c>
      <c r="E2993" s="328" t="s">
        <v>2333</v>
      </c>
      <c r="F2993" s="328">
        <v>1225.0817500000001</v>
      </c>
      <c r="G2993" s="328">
        <v>12605.403399999999</v>
      </c>
      <c r="H2993" s="328">
        <v>11664.632729999999</v>
      </c>
      <c r="I2993" s="329">
        <v>1.276782514577028</v>
      </c>
      <c r="J2993" s="329">
        <v>1.3164730129475806</v>
      </c>
      <c r="K2993" s="329">
        <v>1.2294350234188345</v>
      </c>
    </row>
    <row r="2994" spans="1:11" ht="11.25" x14ac:dyDescent="0.15">
      <c r="A2994" s="326">
        <v>1.325</v>
      </c>
      <c r="B2994" s="327">
        <v>140</v>
      </c>
      <c r="C2994" s="327" t="s">
        <v>109</v>
      </c>
      <c r="D2994" s="327" t="s">
        <v>114</v>
      </c>
      <c r="E2994" s="328" t="s">
        <v>2334</v>
      </c>
      <c r="F2994" s="328">
        <v>356.78428700000001</v>
      </c>
      <c r="G2994" s="328">
        <v>11369.433594999999</v>
      </c>
      <c r="H2994" s="328">
        <v>11467.222304999999</v>
      </c>
      <c r="I2994" s="329">
        <v>0.371841258036398</v>
      </c>
      <c r="J2994" s="329">
        <v>1.1873917894858559</v>
      </c>
      <c r="K2994" s="329">
        <v>1.2086282568363946</v>
      </c>
    </row>
    <row r="2995" spans="1:11" ht="11.25" x14ac:dyDescent="0.15">
      <c r="A2995" s="326">
        <v>1.325</v>
      </c>
      <c r="B2995" s="327">
        <v>140</v>
      </c>
      <c r="C2995" s="327" t="s">
        <v>109</v>
      </c>
      <c r="D2995" s="327" t="s">
        <v>113</v>
      </c>
      <c r="E2995" s="328" t="s">
        <v>2335</v>
      </c>
      <c r="F2995" s="328">
        <v>175.6841191</v>
      </c>
      <c r="G2995" s="328">
        <v>10539.021115</v>
      </c>
      <c r="H2995" s="328">
        <v>11280.019414999999</v>
      </c>
      <c r="I2995" s="329">
        <v>0.18309832087185043</v>
      </c>
      <c r="J2995" s="329">
        <v>1.1006658367460276</v>
      </c>
      <c r="K2995" s="329">
        <v>1.1888973493334694</v>
      </c>
    </row>
    <row r="2996" spans="1:11" ht="11.25" x14ac:dyDescent="0.15">
      <c r="A2996" s="326">
        <v>1.35</v>
      </c>
      <c r="B2996" s="327">
        <v>140</v>
      </c>
      <c r="C2996" s="327" t="s">
        <v>109</v>
      </c>
      <c r="D2996" s="327" t="s">
        <v>79</v>
      </c>
      <c r="E2996" s="328" t="s">
        <v>2336</v>
      </c>
      <c r="F2996" s="328">
        <v>1286.3204460000002</v>
      </c>
      <c r="G2996" s="328">
        <v>13291.370999999999</v>
      </c>
      <c r="H2996" s="328">
        <v>12127.399649999999</v>
      </c>
      <c r="I2996" s="329">
        <v>1.3406055992554979</v>
      </c>
      <c r="J2996" s="329">
        <v>1.3881135471296457</v>
      </c>
      <c r="K2996" s="329">
        <v>1.2782099717859967</v>
      </c>
    </row>
    <row r="2997" spans="1:11" ht="11.25" x14ac:dyDescent="0.15">
      <c r="A2997" s="326">
        <v>1.35</v>
      </c>
      <c r="B2997" s="327">
        <v>140</v>
      </c>
      <c r="C2997" s="327" t="s">
        <v>109</v>
      </c>
      <c r="D2997" s="327" t="s">
        <v>114</v>
      </c>
      <c r="E2997" s="328" t="s">
        <v>2337</v>
      </c>
      <c r="F2997" s="328">
        <v>375.64997400000004</v>
      </c>
      <c r="G2997" s="328">
        <v>11973.319020000001</v>
      </c>
      <c r="H2997" s="328">
        <v>11922.824430000001</v>
      </c>
      <c r="I2997" s="329">
        <v>0.39150311267351356</v>
      </c>
      <c r="J2997" s="329">
        <v>1.2504598912909026</v>
      </c>
      <c r="K2997" s="329">
        <v>1.2566480464160916</v>
      </c>
    </row>
    <row r="2998" spans="1:11" ht="11.25" x14ac:dyDescent="0.15">
      <c r="A2998" s="326">
        <v>1.35</v>
      </c>
      <c r="B2998" s="327">
        <v>140</v>
      </c>
      <c r="C2998" s="327" t="s">
        <v>109</v>
      </c>
      <c r="D2998" s="327" t="s">
        <v>113</v>
      </c>
      <c r="E2998" s="328" t="s">
        <v>2338</v>
      </c>
      <c r="F2998" s="328">
        <v>185.63747400000003</v>
      </c>
      <c r="G2998" s="328">
        <v>11073.98871</v>
      </c>
      <c r="H2998" s="328">
        <v>11729.454750000001</v>
      </c>
      <c r="I2998" s="329">
        <v>0.19347172615496694</v>
      </c>
      <c r="J2998" s="329">
        <v>1.15653635348165</v>
      </c>
      <c r="K2998" s="329">
        <v>1.2362671683754256</v>
      </c>
    </row>
    <row r="2999" spans="1:11" ht="11.25" x14ac:dyDescent="0.15">
      <c r="A2999" s="326">
        <v>1.375</v>
      </c>
      <c r="B2999" s="327">
        <v>140</v>
      </c>
      <c r="C2999" s="327" t="s">
        <v>109</v>
      </c>
      <c r="D2999" s="327" t="s">
        <v>79</v>
      </c>
      <c r="E2999" s="328" t="s">
        <v>2339</v>
      </c>
      <c r="F2999" s="328">
        <v>1350.7208000000001</v>
      </c>
      <c r="G2999" s="328">
        <v>14005.0669</v>
      </c>
      <c r="H2999" s="328">
        <v>12599.922774999999</v>
      </c>
      <c r="I2999" s="329">
        <v>1.4077237698753531</v>
      </c>
      <c r="J2999" s="329">
        <v>1.4626499472738361</v>
      </c>
      <c r="K2999" s="329">
        <v>1.3280132097187451</v>
      </c>
    </row>
    <row r="3000" spans="1:11" ht="11.25" x14ac:dyDescent="0.15">
      <c r="A3000" s="326">
        <v>1.375</v>
      </c>
      <c r="B3000" s="327">
        <v>140</v>
      </c>
      <c r="C3000" s="327" t="s">
        <v>109</v>
      </c>
      <c r="D3000" s="327" t="s">
        <v>114</v>
      </c>
      <c r="E3000" s="328" t="s">
        <v>2340</v>
      </c>
      <c r="F3000" s="328">
        <v>395.58667500000001</v>
      </c>
      <c r="G3000" s="328">
        <v>12603.449374999998</v>
      </c>
      <c r="H3000" s="328">
        <v>12387.326599999999</v>
      </c>
      <c r="I3000" s="329">
        <v>0.41228118012505327</v>
      </c>
      <c r="J3000" s="329">
        <v>1.3162689400514187</v>
      </c>
      <c r="K3000" s="329">
        <v>1.3056058875646872</v>
      </c>
    </row>
    <row r="3001" spans="1:11" ht="11.25" x14ac:dyDescent="0.15">
      <c r="A3001" s="326">
        <v>1.375</v>
      </c>
      <c r="B3001" s="327">
        <v>140</v>
      </c>
      <c r="C3001" s="327" t="s">
        <v>109</v>
      </c>
      <c r="D3001" s="327" t="s">
        <v>113</v>
      </c>
      <c r="E3001" s="328" t="s">
        <v>2341</v>
      </c>
      <c r="F3001" s="328">
        <v>196.2512035</v>
      </c>
      <c r="G3001" s="328">
        <v>11633.663525</v>
      </c>
      <c r="H3001" s="328">
        <v>12187.630675</v>
      </c>
      <c r="I3001" s="329">
        <v>0.2045333750939462</v>
      </c>
      <c r="J3001" s="329">
        <v>1.2149872230487382</v>
      </c>
      <c r="K3001" s="329">
        <v>1.28455823266531</v>
      </c>
    </row>
    <row r="3002" spans="1:11" ht="11.25" x14ac:dyDescent="0.15">
      <c r="A3002" s="326">
        <v>1.4</v>
      </c>
      <c r="B3002" s="327">
        <v>140</v>
      </c>
      <c r="C3002" s="327" t="s">
        <v>109</v>
      </c>
      <c r="D3002" s="327" t="s">
        <v>79</v>
      </c>
      <c r="E3002" s="328" t="s">
        <v>2342</v>
      </c>
      <c r="F3002" s="328">
        <v>1418.5204319999998</v>
      </c>
      <c r="G3002" s="328">
        <v>14745.690399999999</v>
      </c>
      <c r="H3002" s="328">
        <v>13081.552959999999</v>
      </c>
      <c r="I3002" s="329">
        <v>1.4783846744495637</v>
      </c>
      <c r="J3002" s="329">
        <v>1.5399985905155733</v>
      </c>
      <c r="K3002" s="329">
        <v>1.3787763182949628</v>
      </c>
    </row>
    <row r="3003" spans="1:11" ht="11.25" x14ac:dyDescent="0.15">
      <c r="A3003" s="326">
        <v>1.4</v>
      </c>
      <c r="B3003" s="327">
        <v>140</v>
      </c>
      <c r="C3003" s="327" t="s">
        <v>109</v>
      </c>
      <c r="D3003" s="327" t="s">
        <v>114</v>
      </c>
      <c r="E3003" s="328" t="s">
        <v>2343</v>
      </c>
      <c r="F3003" s="328">
        <v>416.68575199999998</v>
      </c>
      <c r="G3003" s="328">
        <v>13259.728719999999</v>
      </c>
      <c r="H3003" s="328">
        <v>12860.949919999999</v>
      </c>
      <c r="I3003" s="329">
        <v>0.43427067804004083</v>
      </c>
      <c r="J3003" s="329">
        <v>1.3848089160626122</v>
      </c>
      <c r="K3003" s="329">
        <v>1.3555250844218956</v>
      </c>
    </row>
    <row r="3004" spans="1:11" ht="11.25" x14ac:dyDescent="0.15">
      <c r="A3004" s="326">
        <v>1.4</v>
      </c>
      <c r="B3004" s="327">
        <v>140</v>
      </c>
      <c r="C3004" s="327" t="s">
        <v>109</v>
      </c>
      <c r="D3004" s="327" t="s">
        <v>113</v>
      </c>
      <c r="E3004" s="328" t="s">
        <v>2344</v>
      </c>
      <c r="F3004" s="328">
        <v>207.59096399999999</v>
      </c>
      <c r="G3004" s="328">
        <v>12217.840320000001</v>
      </c>
      <c r="H3004" s="328">
        <v>12655.059199999998</v>
      </c>
      <c r="I3004" s="329">
        <v>0.21635169491292255</v>
      </c>
      <c r="J3004" s="329">
        <v>1.2759970107567391</v>
      </c>
      <c r="K3004" s="329">
        <v>1.333824507299231</v>
      </c>
    </row>
    <row r="3005" spans="1:11" ht="11.25" x14ac:dyDescent="0.15">
      <c r="A3005" s="326">
        <v>0.9</v>
      </c>
      <c r="B3005" s="327">
        <v>150</v>
      </c>
      <c r="C3005" s="327" t="s">
        <v>109</v>
      </c>
      <c r="D3005" s="327" t="s">
        <v>79</v>
      </c>
      <c r="E3005" s="328" t="s">
        <v>2345</v>
      </c>
      <c r="F3005" s="328">
        <v>656.20889999999997</v>
      </c>
      <c r="G3005" s="328">
        <v>4742.5536000000002</v>
      </c>
      <c r="H3005" s="328">
        <v>5195.5245000000004</v>
      </c>
      <c r="I3005" s="329">
        <v>0.68390215545193245</v>
      </c>
      <c r="J3005" s="329">
        <v>0.4952990101734781</v>
      </c>
      <c r="K3005" s="329">
        <v>0.54760059173595843</v>
      </c>
    </row>
    <row r="3006" spans="1:11" ht="11.25" x14ac:dyDescent="0.15">
      <c r="A3006" s="326">
        <v>0.9</v>
      </c>
      <c r="B3006" s="327">
        <v>150</v>
      </c>
      <c r="C3006" s="327" t="s">
        <v>109</v>
      </c>
      <c r="D3006" s="327" t="s">
        <v>114</v>
      </c>
      <c r="E3006" s="328" t="s">
        <v>2346</v>
      </c>
      <c r="F3006" s="328">
        <v>180.46314000000001</v>
      </c>
      <c r="G3006" s="328">
        <v>4534.6104000000005</v>
      </c>
      <c r="H3006" s="328">
        <v>5094.3842999999997</v>
      </c>
      <c r="I3006" s="329">
        <v>0.18807902548353711</v>
      </c>
      <c r="J3006" s="329">
        <v>0.47358200498616609</v>
      </c>
      <c r="K3006" s="329">
        <v>0.53694056436657667</v>
      </c>
    </row>
    <row r="3007" spans="1:11" ht="11.25" x14ac:dyDescent="0.15">
      <c r="A3007" s="326">
        <v>0.9</v>
      </c>
      <c r="B3007" s="327">
        <v>150</v>
      </c>
      <c r="C3007" s="327" t="s">
        <v>109</v>
      </c>
      <c r="D3007" s="327" t="s">
        <v>113</v>
      </c>
      <c r="E3007" s="328" t="s">
        <v>2347</v>
      </c>
      <c r="F3007" s="328">
        <v>86.994054000000006</v>
      </c>
      <c r="G3007" s="328">
        <v>4433.2245000000003</v>
      </c>
      <c r="H3007" s="328">
        <v>4994.9261999999999</v>
      </c>
      <c r="I3007" s="329">
        <v>9.0665367449453693E-2</v>
      </c>
      <c r="J3007" s="329">
        <v>0.46299354565582823</v>
      </c>
      <c r="K3007" s="329">
        <v>0.52645782784730244</v>
      </c>
    </row>
    <row r="3008" spans="1:11" ht="11.25" x14ac:dyDescent="0.15">
      <c r="A3008" s="326">
        <v>0.92500000000000004</v>
      </c>
      <c r="B3008" s="327">
        <v>150</v>
      </c>
      <c r="C3008" s="327" t="s">
        <v>109</v>
      </c>
      <c r="D3008" s="327" t="s">
        <v>79</v>
      </c>
      <c r="E3008" s="328" t="s">
        <v>2348</v>
      </c>
      <c r="F3008" s="328">
        <v>691.62268500000005</v>
      </c>
      <c r="G3008" s="328">
        <v>5045.3496000000005</v>
      </c>
      <c r="H3008" s="328">
        <v>5504.8405750000002</v>
      </c>
      <c r="I3008" s="329">
        <v>0.72081046909140201</v>
      </c>
      <c r="J3008" s="329">
        <v>0.52692217603173819</v>
      </c>
      <c r="K3008" s="329">
        <v>0.5802020481824528</v>
      </c>
    </row>
    <row r="3009" spans="1:11" ht="11.25" x14ac:dyDescent="0.15">
      <c r="A3009" s="326">
        <v>0.92500000000000004</v>
      </c>
      <c r="B3009" s="327">
        <v>150</v>
      </c>
      <c r="C3009" s="327" t="s">
        <v>109</v>
      </c>
      <c r="D3009" s="327" t="s">
        <v>114</v>
      </c>
      <c r="E3009" s="328" t="s">
        <v>2349</v>
      </c>
      <c r="F3009" s="328">
        <v>190.89262000000002</v>
      </c>
      <c r="G3009" s="328">
        <v>4801.1699500000004</v>
      </c>
      <c r="H3009" s="328">
        <v>5398.9234500000002</v>
      </c>
      <c r="I3009" s="329">
        <v>0.19894864924548675</v>
      </c>
      <c r="J3009" s="329">
        <v>0.50142073753465799</v>
      </c>
      <c r="K3009" s="329">
        <v>0.5690385399890121</v>
      </c>
    </row>
    <row r="3010" spans="1:11" ht="11.25" x14ac:dyDescent="0.15">
      <c r="A3010" s="326">
        <v>0.92500000000000004</v>
      </c>
      <c r="B3010" s="327">
        <v>150</v>
      </c>
      <c r="C3010" s="327" t="s">
        <v>109</v>
      </c>
      <c r="D3010" s="327" t="s">
        <v>113</v>
      </c>
      <c r="E3010" s="328" t="s">
        <v>2350</v>
      </c>
      <c r="F3010" s="328">
        <v>92.0228295</v>
      </c>
      <c r="G3010" s="328">
        <v>4681.0402000000004</v>
      </c>
      <c r="H3010" s="328">
        <v>5295.2688750000007</v>
      </c>
      <c r="I3010" s="329">
        <v>9.5906366777158428E-2</v>
      </c>
      <c r="J3010" s="329">
        <v>0.48887472302732859</v>
      </c>
      <c r="K3010" s="329">
        <v>0.55811350121648029</v>
      </c>
    </row>
    <row r="3011" spans="1:11" ht="11.25" x14ac:dyDescent="0.15">
      <c r="A3011" s="326">
        <v>0.95</v>
      </c>
      <c r="B3011" s="327">
        <v>150</v>
      </c>
      <c r="C3011" s="327" t="s">
        <v>109</v>
      </c>
      <c r="D3011" s="327" t="s">
        <v>79</v>
      </c>
      <c r="E3011" s="328" t="s">
        <v>2351</v>
      </c>
      <c r="F3011" s="328">
        <v>728.44441999999992</v>
      </c>
      <c r="G3011" s="328">
        <v>5363.9754999999996</v>
      </c>
      <c r="H3011" s="328">
        <v>5822.8188499999997</v>
      </c>
      <c r="I3011" s="329">
        <v>0.7591861508811184</v>
      </c>
      <c r="J3011" s="329">
        <v>0.560198572293371</v>
      </c>
      <c r="K3011" s="329">
        <v>0.61371648768691067</v>
      </c>
    </row>
    <row r="3012" spans="1:11" ht="11.25" x14ac:dyDescent="0.15">
      <c r="A3012" s="326">
        <v>0.95</v>
      </c>
      <c r="B3012" s="327">
        <v>150</v>
      </c>
      <c r="C3012" s="327" t="s">
        <v>109</v>
      </c>
      <c r="D3012" s="327" t="s">
        <v>114</v>
      </c>
      <c r="E3012" s="328" t="s">
        <v>2352</v>
      </c>
      <c r="F3012" s="328">
        <v>201.76166499999999</v>
      </c>
      <c r="G3012" s="328">
        <v>5080.4774499999994</v>
      </c>
      <c r="H3012" s="328">
        <v>5712.46875</v>
      </c>
      <c r="I3012" s="329">
        <v>0.2102763884809711</v>
      </c>
      <c r="J3012" s="329">
        <v>0.53059083026361065</v>
      </c>
      <c r="K3012" s="329">
        <v>0.60208575049028656</v>
      </c>
    </row>
    <row r="3013" spans="1:11" ht="11.25" x14ac:dyDescent="0.15">
      <c r="A3013" s="326">
        <v>0.95</v>
      </c>
      <c r="B3013" s="327">
        <v>150</v>
      </c>
      <c r="C3013" s="327" t="s">
        <v>109</v>
      </c>
      <c r="D3013" s="327" t="s">
        <v>113</v>
      </c>
      <c r="E3013" s="328" t="s">
        <v>2353</v>
      </c>
      <c r="F3013" s="328">
        <v>97.271924999999996</v>
      </c>
      <c r="G3013" s="328">
        <v>4938.4210999999996</v>
      </c>
      <c r="H3013" s="328">
        <v>5604.089899999999</v>
      </c>
      <c r="I3013" s="329">
        <v>0.10137698402514612</v>
      </c>
      <c r="J3013" s="329">
        <v>0.51575486308680174</v>
      </c>
      <c r="K3013" s="329">
        <v>0.59066278012576168</v>
      </c>
    </row>
    <row r="3014" spans="1:11" ht="11.25" x14ac:dyDescent="0.15">
      <c r="A3014" s="326">
        <v>0.97499999999999998</v>
      </c>
      <c r="B3014" s="327">
        <v>150</v>
      </c>
      <c r="C3014" s="327" t="s">
        <v>109</v>
      </c>
      <c r="D3014" s="327" t="s">
        <v>79</v>
      </c>
      <c r="E3014" s="328" t="s">
        <v>2354</v>
      </c>
      <c r="F3014" s="328">
        <v>766.74545999999987</v>
      </c>
      <c r="G3014" s="328">
        <v>5701.6089000000002</v>
      </c>
      <c r="H3014" s="328">
        <v>6150.016275</v>
      </c>
      <c r="I3014" s="329">
        <v>0.79910356713690311</v>
      </c>
      <c r="J3014" s="329">
        <v>0.59546005859929418</v>
      </c>
      <c r="K3014" s="329">
        <v>0.64820261195491902</v>
      </c>
    </row>
    <row r="3015" spans="1:11" ht="11.25" x14ac:dyDescent="0.15">
      <c r="A3015" s="326">
        <v>0.97499999999999998</v>
      </c>
      <c r="B3015" s="327">
        <v>150</v>
      </c>
      <c r="C3015" s="327" t="s">
        <v>109</v>
      </c>
      <c r="D3015" s="327" t="s">
        <v>114</v>
      </c>
      <c r="E3015" s="328" t="s">
        <v>2355</v>
      </c>
      <c r="F3015" s="328">
        <v>213.09356249999999</v>
      </c>
      <c r="G3015" s="328">
        <v>5373.6608249999999</v>
      </c>
      <c r="H3015" s="328">
        <v>6034.7235000000001</v>
      </c>
      <c r="I3015" s="329">
        <v>0.22208651346649075</v>
      </c>
      <c r="J3015" s="329">
        <v>0.56121008049977461</v>
      </c>
      <c r="K3015" s="329">
        <v>0.63605092412958386</v>
      </c>
    </row>
    <row r="3016" spans="1:11" ht="11.25" x14ac:dyDescent="0.15">
      <c r="A3016" s="326">
        <v>0.97499999999999998</v>
      </c>
      <c r="B3016" s="327">
        <v>150</v>
      </c>
      <c r="C3016" s="327" t="s">
        <v>109</v>
      </c>
      <c r="D3016" s="327" t="s">
        <v>113</v>
      </c>
      <c r="E3016" s="328" t="s">
        <v>2356</v>
      </c>
      <c r="F3016" s="328">
        <v>102.75622499999999</v>
      </c>
      <c r="G3016" s="328">
        <v>5206.7593499999994</v>
      </c>
      <c r="H3016" s="328">
        <v>5922.0339750000003</v>
      </c>
      <c r="I3016" s="329">
        <v>0.10709273184744025</v>
      </c>
      <c r="J3016" s="329">
        <v>0.54377935807968558</v>
      </c>
      <c r="K3016" s="329">
        <v>0.62417361500084356</v>
      </c>
    </row>
    <row r="3017" spans="1:11" ht="11.25" x14ac:dyDescent="0.15">
      <c r="A3017" s="326">
        <v>1</v>
      </c>
      <c r="B3017" s="327">
        <v>150</v>
      </c>
      <c r="C3017" s="327" t="s">
        <v>109</v>
      </c>
      <c r="D3017" s="327" t="s">
        <v>79</v>
      </c>
      <c r="E3017" s="328" t="s">
        <v>2357</v>
      </c>
      <c r="F3017" s="328">
        <v>806.5933</v>
      </c>
      <c r="G3017" s="328">
        <v>6057.7629999999999</v>
      </c>
      <c r="H3017" s="328">
        <v>6485.9750000000004</v>
      </c>
      <c r="I3017" s="329">
        <v>0.8406330612752847</v>
      </c>
      <c r="J3017" s="329">
        <v>0.6326557949214362</v>
      </c>
      <c r="K3017" s="329">
        <v>0.68361216427420046</v>
      </c>
    </row>
    <row r="3018" spans="1:11" ht="11.25" x14ac:dyDescent="0.15">
      <c r="A3018" s="326">
        <v>1</v>
      </c>
      <c r="B3018" s="327">
        <v>150</v>
      </c>
      <c r="C3018" s="327" t="s">
        <v>109</v>
      </c>
      <c r="D3018" s="327" t="s">
        <v>114</v>
      </c>
      <c r="E3018" s="328" t="s">
        <v>2358</v>
      </c>
      <c r="F3018" s="328">
        <v>224.91059999999999</v>
      </c>
      <c r="G3018" s="328">
        <v>5681.5230000000001</v>
      </c>
      <c r="H3018" s="328">
        <v>6366.0230000000001</v>
      </c>
      <c r="I3018" s="329">
        <v>0.2344022522766567</v>
      </c>
      <c r="J3018" s="329">
        <v>0.59336234348049333</v>
      </c>
      <c r="K3018" s="329">
        <v>0.67096940103058345</v>
      </c>
    </row>
    <row r="3019" spans="1:11" ht="11.25" x14ac:dyDescent="0.15">
      <c r="A3019" s="326">
        <v>1</v>
      </c>
      <c r="B3019" s="327">
        <v>150</v>
      </c>
      <c r="C3019" s="327" t="s">
        <v>109</v>
      </c>
      <c r="D3019" s="327" t="s">
        <v>113</v>
      </c>
      <c r="E3019" s="328" t="s">
        <v>2359</v>
      </c>
      <c r="F3019" s="328">
        <v>108.4889</v>
      </c>
      <c r="G3019" s="328">
        <v>5486.6419999999998</v>
      </c>
      <c r="H3019" s="328">
        <v>6248.7070000000003</v>
      </c>
      <c r="I3019" s="329">
        <v>0.1130673365640258</v>
      </c>
      <c r="J3019" s="329">
        <v>0.57300951786316812</v>
      </c>
      <c r="K3019" s="329">
        <v>0.65860446828508379</v>
      </c>
    </row>
    <row r="3020" spans="1:11" ht="11.25" x14ac:dyDescent="0.15">
      <c r="A3020" s="326">
        <v>1.0249999999999999</v>
      </c>
      <c r="B3020" s="327">
        <v>150</v>
      </c>
      <c r="C3020" s="327" t="s">
        <v>109</v>
      </c>
      <c r="D3020" s="327" t="s">
        <v>79</v>
      </c>
      <c r="E3020" s="328" t="s">
        <v>2360</v>
      </c>
      <c r="F3020" s="328">
        <v>848.05107249999992</v>
      </c>
      <c r="G3020" s="328">
        <v>6434.1084749999991</v>
      </c>
      <c r="H3020" s="328">
        <v>6831.1053249999995</v>
      </c>
      <c r="I3020" s="329">
        <v>0.88384043010704816</v>
      </c>
      <c r="J3020" s="329">
        <v>0.67196026187585656</v>
      </c>
      <c r="K3020" s="329">
        <v>0.71998838965741696</v>
      </c>
    </row>
    <row r="3021" spans="1:11" ht="11.25" x14ac:dyDescent="0.15">
      <c r="A3021" s="326">
        <v>1.0249999999999999</v>
      </c>
      <c r="B3021" s="327">
        <v>150</v>
      </c>
      <c r="C3021" s="327" t="s">
        <v>109</v>
      </c>
      <c r="D3021" s="327" t="s">
        <v>114</v>
      </c>
      <c r="E3021" s="328" t="s">
        <v>2361</v>
      </c>
      <c r="F3021" s="328">
        <v>237.23245749999998</v>
      </c>
      <c r="G3021" s="328">
        <v>6005.6338749999995</v>
      </c>
      <c r="H3021" s="328">
        <v>6706.0696749999988</v>
      </c>
      <c r="I3021" s="329">
        <v>0.24724411544465327</v>
      </c>
      <c r="J3021" s="329">
        <v>0.62721157516317994</v>
      </c>
      <c r="K3021" s="329">
        <v>0.70680981722876401</v>
      </c>
    </row>
    <row r="3022" spans="1:11" ht="11.25" x14ac:dyDescent="0.15">
      <c r="A3022" s="326">
        <v>1.0249999999999999</v>
      </c>
      <c r="B3022" s="327">
        <v>150</v>
      </c>
      <c r="C3022" s="327" t="s">
        <v>109</v>
      </c>
      <c r="D3022" s="327" t="s">
        <v>113</v>
      </c>
      <c r="E3022" s="328" t="s">
        <v>2362</v>
      </c>
      <c r="F3022" s="328">
        <v>114.48163499999998</v>
      </c>
      <c r="G3022" s="328">
        <v>5778.9120749999993</v>
      </c>
      <c r="H3022" s="328">
        <v>6584.1049249999996</v>
      </c>
      <c r="I3022" s="329">
        <v>0.11931297630398091</v>
      </c>
      <c r="J3022" s="329">
        <v>0.6035333856062397</v>
      </c>
      <c r="K3022" s="329">
        <v>0.69395491311447732</v>
      </c>
    </row>
    <row r="3023" spans="1:11" ht="11.25" x14ac:dyDescent="0.15">
      <c r="A3023" s="326">
        <v>1.05</v>
      </c>
      <c r="B3023" s="327">
        <v>150</v>
      </c>
      <c r="C3023" s="327" t="s">
        <v>109</v>
      </c>
      <c r="D3023" s="327" t="s">
        <v>79</v>
      </c>
      <c r="E3023" s="328" t="s">
        <v>2363</v>
      </c>
      <c r="F3023" s="328">
        <v>891.19180500000004</v>
      </c>
      <c r="G3023" s="328">
        <v>6830.5954500000007</v>
      </c>
      <c r="H3023" s="328">
        <v>7185.2035500000002</v>
      </c>
      <c r="I3023" s="329">
        <v>0.92880178303067562</v>
      </c>
      <c r="J3023" s="329">
        <v>0.71336825065729648</v>
      </c>
      <c r="K3023" s="329">
        <v>0.75730981842609135</v>
      </c>
    </row>
    <row r="3024" spans="1:11" ht="11.25" x14ac:dyDescent="0.15">
      <c r="A3024" s="326">
        <v>1.05</v>
      </c>
      <c r="B3024" s="327">
        <v>150</v>
      </c>
      <c r="C3024" s="327" t="s">
        <v>109</v>
      </c>
      <c r="D3024" s="327" t="s">
        <v>114</v>
      </c>
      <c r="E3024" s="328" t="s">
        <v>2364</v>
      </c>
      <c r="F3024" s="328">
        <v>250.083855</v>
      </c>
      <c r="G3024" s="328">
        <v>6347.2237500000001</v>
      </c>
      <c r="H3024" s="328">
        <v>7055.1379500000003</v>
      </c>
      <c r="I3024" s="329">
        <v>0.26063786620118767</v>
      </c>
      <c r="J3024" s="329">
        <v>0.66288626463274802</v>
      </c>
      <c r="K3024" s="329">
        <v>0.74360109671291452</v>
      </c>
    </row>
    <row r="3025" spans="1:11" ht="11.25" x14ac:dyDescent="0.15">
      <c r="A3025" s="326">
        <v>1.05</v>
      </c>
      <c r="B3025" s="327">
        <v>150</v>
      </c>
      <c r="C3025" s="327" t="s">
        <v>109</v>
      </c>
      <c r="D3025" s="327" t="s">
        <v>113</v>
      </c>
      <c r="E3025" s="328" t="s">
        <v>2365</v>
      </c>
      <c r="F3025" s="328">
        <v>120.75</v>
      </c>
      <c r="G3025" s="328">
        <v>6085.4367000000011</v>
      </c>
      <c r="H3025" s="328">
        <v>6928.2108000000007</v>
      </c>
      <c r="I3025" s="329">
        <v>0.12584587815072432</v>
      </c>
      <c r="J3025" s="329">
        <v>0.63554595861254104</v>
      </c>
      <c r="K3025" s="329">
        <v>0.73022316298411416</v>
      </c>
    </row>
    <row r="3026" spans="1:11" ht="11.25" x14ac:dyDescent="0.15">
      <c r="A3026" s="326">
        <v>1.075</v>
      </c>
      <c r="B3026" s="327">
        <v>150</v>
      </c>
      <c r="C3026" s="327" t="s">
        <v>109</v>
      </c>
      <c r="D3026" s="327" t="s">
        <v>79</v>
      </c>
      <c r="E3026" s="328" t="s">
        <v>2366</v>
      </c>
      <c r="F3026" s="328">
        <v>936.09892750000006</v>
      </c>
      <c r="G3026" s="328">
        <v>7248.6615749999992</v>
      </c>
      <c r="H3026" s="328">
        <v>7548.3307249999989</v>
      </c>
      <c r="I3026" s="329">
        <v>0.97560407094980317</v>
      </c>
      <c r="J3026" s="329">
        <v>0.75702990540371007</v>
      </c>
      <c r="K3026" s="329">
        <v>0.79558288515985542</v>
      </c>
    </row>
    <row r="3027" spans="1:11" ht="11.25" x14ac:dyDescent="0.15">
      <c r="A3027" s="326">
        <v>1.075</v>
      </c>
      <c r="B3027" s="327">
        <v>150</v>
      </c>
      <c r="C3027" s="327" t="s">
        <v>109</v>
      </c>
      <c r="D3027" s="327" t="s">
        <v>114</v>
      </c>
      <c r="E3027" s="328" t="s">
        <v>2367</v>
      </c>
      <c r="F3027" s="328">
        <v>263.49206749999996</v>
      </c>
      <c r="G3027" s="328">
        <v>6706.3445000000002</v>
      </c>
      <c r="H3027" s="328">
        <v>7412.8559999999998</v>
      </c>
      <c r="I3027" s="329">
        <v>0.27461193060279437</v>
      </c>
      <c r="J3027" s="329">
        <v>0.70039182956885271</v>
      </c>
      <c r="K3027" s="329">
        <v>0.78130404967842026</v>
      </c>
    </row>
    <row r="3028" spans="1:11" ht="11.25" x14ac:dyDescent="0.15">
      <c r="A3028" s="326">
        <v>1.075</v>
      </c>
      <c r="B3028" s="327">
        <v>150</v>
      </c>
      <c r="C3028" s="327" t="s">
        <v>109</v>
      </c>
      <c r="D3028" s="327" t="s">
        <v>113</v>
      </c>
      <c r="E3028" s="328" t="s">
        <v>2368</v>
      </c>
      <c r="F3028" s="328">
        <v>127.31095999999999</v>
      </c>
      <c r="G3028" s="328">
        <v>6406.4549750000006</v>
      </c>
      <c r="H3028" s="328">
        <v>7281.0749749999995</v>
      </c>
      <c r="I3028" s="329">
        <v>0.13268372305931045</v>
      </c>
      <c r="J3028" s="329">
        <v>0.66907220781615517</v>
      </c>
      <c r="K3028" s="329">
        <v>0.76741452470946458</v>
      </c>
    </row>
    <row r="3029" spans="1:11" ht="11.25" x14ac:dyDescent="0.15">
      <c r="A3029" s="326">
        <v>1.1000000000000001</v>
      </c>
      <c r="B3029" s="327">
        <v>150</v>
      </c>
      <c r="C3029" s="327" t="s">
        <v>109</v>
      </c>
      <c r="D3029" s="327" t="s">
        <v>79</v>
      </c>
      <c r="E3029" s="328" t="s">
        <v>2369</v>
      </c>
      <c r="F3029" s="328">
        <v>982.85890999999992</v>
      </c>
      <c r="G3029" s="328">
        <v>7689.3553000000011</v>
      </c>
      <c r="H3029" s="328">
        <v>7920.1990999999998</v>
      </c>
      <c r="I3029" s="329">
        <v>1.0243374130618113</v>
      </c>
      <c r="J3029" s="329">
        <v>0.80305472329552341</v>
      </c>
      <c r="K3029" s="329">
        <v>0.83477726143464537</v>
      </c>
    </row>
    <row r="3030" spans="1:11" ht="11.25" x14ac:dyDescent="0.15">
      <c r="A3030" s="326">
        <v>1.1000000000000001</v>
      </c>
      <c r="B3030" s="327">
        <v>150</v>
      </c>
      <c r="C3030" s="327" t="s">
        <v>109</v>
      </c>
      <c r="D3030" s="327" t="s">
        <v>114</v>
      </c>
      <c r="E3030" s="328" t="s">
        <v>2370</v>
      </c>
      <c r="F3030" s="328">
        <v>277.48655000000008</v>
      </c>
      <c r="G3030" s="328">
        <v>7085.0065000000004</v>
      </c>
      <c r="H3030" s="328">
        <v>7779.4321000000009</v>
      </c>
      <c r="I3030" s="329">
        <v>0.28919700670612741</v>
      </c>
      <c r="J3030" s="329">
        <v>0.73993822790377295</v>
      </c>
      <c r="K3030" s="329">
        <v>0.81994062800198719</v>
      </c>
    </row>
    <row r="3031" spans="1:11" ht="11.25" x14ac:dyDescent="0.15">
      <c r="A3031" s="326">
        <v>1.1000000000000001</v>
      </c>
      <c r="B3031" s="327">
        <v>150</v>
      </c>
      <c r="C3031" s="327" t="s">
        <v>109</v>
      </c>
      <c r="D3031" s="327" t="s">
        <v>113</v>
      </c>
      <c r="E3031" s="328" t="s">
        <v>2371</v>
      </c>
      <c r="F3031" s="328">
        <v>134.18339</v>
      </c>
      <c r="G3031" s="328">
        <v>6742.8537000000006</v>
      </c>
      <c r="H3031" s="328">
        <v>7642.7658999999994</v>
      </c>
      <c r="I3031" s="329">
        <v>0.13984618259040266</v>
      </c>
      <c r="J3031" s="329">
        <v>0.7042047481244228</v>
      </c>
      <c r="K3031" s="329">
        <v>0.80553621281920706</v>
      </c>
    </row>
    <row r="3032" spans="1:11" ht="11.25" x14ac:dyDescent="0.15">
      <c r="A3032" s="326">
        <v>1.125</v>
      </c>
      <c r="B3032" s="327">
        <v>150</v>
      </c>
      <c r="C3032" s="327" t="s">
        <v>109</v>
      </c>
      <c r="D3032" s="327" t="s">
        <v>79</v>
      </c>
      <c r="E3032" s="328" t="s">
        <v>2372</v>
      </c>
      <c r="F3032" s="328">
        <v>1031.5658249999999</v>
      </c>
      <c r="G3032" s="328">
        <v>8153.3542499999994</v>
      </c>
      <c r="H3032" s="328">
        <v>8301.4121250000007</v>
      </c>
      <c r="I3032" s="329">
        <v>1.0750998519039454</v>
      </c>
      <c r="J3032" s="329">
        <v>0.85151347358914842</v>
      </c>
      <c r="K3032" s="329">
        <v>0.87495654998721695</v>
      </c>
    </row>
    <row r="3033" spans="1:11" ht="11.25" x14ac:dyDescent="0.15">
      <c r="A3033" s="326">
        <v>1.125</v>
      </c>
      <c r="B3033" s="327">
        <v>150</v>
      </c>
      <c r="C3033" s="327" t="s">
        <v>109</v>
      </c>
      <c r="D3033" s="327" t="s">
        <v>114</v>
      </c>
      <c r="E3033" s="328" t="s">
        <v>2373</v>
      </c>
      <c r="F3033" s="328">
        <v>292.09938749999998</v>
      </c>
      <c r="G3033" s="328">
        <v>7483.917375</v>
      </c>
      <c r="H3033" s="328">
        <v>8155.0473749999992</v>
      </c>
      <c r="I3033" s="329">
        <v>0.30442653355880916</v>
      </c>
      <c r="J3033" s="329">
        <v>0.78159936200986624</v>
      </c>
      <c r="K3033" s="329">
        <v>0.85952992199050815</v>
      </c>
    </row>
    <row r="3034" spans="1:11" ht="11.25" x14ac:dyDescent="0.15">
      <c r="A3034" s="326">
        <v>1.125</v>
      </c>
      <c r="B3034" s="327">
        <v>150</v>
      </c>
      <c r="C3034" s="327" t="s">
        <v>109</v>
      </c>
      <c r="D3034" s="327" t="s">
        <v>113</v>
      </c>
      <c r="E3034" s="328" t="s">
        <v>2374</v>
      </c>
      <c r="F3034" s="328">
        <v>141.38786249999998</v>
      </c>
      <c r="G3034" s="328">
        <v>7096.8588749999999</v>
      </c>
      <c r="H3034" s="328">
        <v>8013.0262499999999</v>
      </c>
      <c r="I3034" s="329">
        <v>0.14735469744237153</v>
      </c>
      <c r="J3034" s="329">
        <v>0.74117605674047904</v>
      </c>
      <c r="K3034" s="329">
        <v>0.84456110563924158</v>
      </c>
    </row>
    <row r="3035" spans="1:11" ht="11.25" x14ac:dyDescent="0.15">
      <c r="A3035" s="326">
        <v>1.1499999999999999</v>
      </c>
      <c r="B3035" s="327">
        <v>150</v>
      </c>
      <c r="C3035" s="327" t="s">
        <v>109</v>
      </c>
      <c r="D3035" s="327" t="s">
        <v>79</v>
      </c>
      <c r="E3035" s="328" t="s">
        <v>2375</v>
      </c>
      <c r="F3035" s="328">
        <v>1082.321005</v>
      </c>
      <c r="G3035" s="328">
        <v>8640.7204999999994</v>
      </c>
      <c r="H3035" s="328">
        <v>8691.4469999999983</v>
      </c>
      <c r="I3035" s="329">
        <v>1.1279969963991676</v>
      </c>
      <c r="J3035" s="329">
        <v>0.90241263922366222</v>
      </c>
      <c r="K3035" s="329">
        <v>0.91606564847143346</v>
      </c>
    </row>
    <row r="3036" spans="1:11" ht="11.25" x14ac:dyDescent="0.15">
      <c r="A3036" s="326">
        <v>1.1499999999999999</v>
      </c>
      <c r="B3036" s="327">
        <v>150</v>
      </c>
      <c r="C3036" s="327" t="s">
        <v>109</v>
      </c>
      <c r="D3036" s="327" t="s">
        <v>114</v>
      </c>
      <c r="E3036" s="328" t="s">
        <v>2376</v>
      </c>
      <c r="F3036" s="328">
        <v>307.365905</v>
      </c>
      <c r="G3036" s="328">
        <v>7903.9568999999983</v>
      </c>
      <c r="H3036" s="328">
        <v>8539.5733999999993</v>
      </c>
      <c r="I3036" s="329">
        <v>0.32033732694258477</v>
      </c>
      <c r="J3036" s="329">
        <v>0.82546711312315624</v>
      </c>
      <c r="K3036" s="329">
        <v>0.90005839583908231</v>
      </c>
    </row>
    <row r="3037" spans="1:11" ht="11.25" x14ac:dyDescent="0.15">
      <c r="A3037" s="326">
        <v>1.1499999999999999</v>
      </c>
      <c r="B3037" s="327">
        <v>150</v>
      </c>
      <c r="C3037" s="327" t="s">
        <v>109</v>
      </c>
      <c r="D3037" s="327" t="s">
        <v>113</v>
      </c>
      <c r="E3037" s="328" t="s">
        <v>2377</v>
      </c>
      <c r="F3037" s="328">
        <v>148.94731000000002</v>
      </c>
      <c r="G3037" s="328">
        <v>7467.0351000000001</v>
      </c>
      <c r="H3037" s="328">
        <v>8392.2721999999994</v>
      </c>
      <c r="I3037" s="329">
        <v>0.1552331679100469</v>
      </c>
      <c r="J3037" s="329">
        <v>0.77983622451006518</v>
      </c>
      <c r="K3037" s="329">
        <v>0.88453306739853377</v>
      </c>
    </row>
    <row r="3038" spans="1:11" ht="11.25" x14ac:dyDescent="0.15">
      <c r="A3038" s="326">
        <v>1.175</v>
      </c>
      <c r="B3038" s="327">
        <v>150</v>
      </c>
      <c r="C3038" s="327" t="s">
        <v>109</v>
      </c>
      <c r="D3038" s="327" t="s">
        <v>79</v>
      </c>
      <c r="E3038" s="328" t="s">
        <v>2378</v>
      </c>
      <c r="F3038" s="328">
        <v>1135.2341225</v>
      </c>
      <c r="G3038" s="328">
        <v>9153.4215500000009</v>
      </c>
      <c r="H3038" s="328">
        <v>9090.680075000002</v>
      </c>
      <c r="I3038" s="329">
        <v>1.1831431474341985</v>
      </c>
      <c r="J3038" s="329">
        <v>0.95595770038647199</v>
      </c>
      <c r="K3038" s="329">
        <v>0.95814422362021157</v>
      </c>
    </row>
    <row r="3039" spans="1:11" ht="11.25" x14ac:dyDescent="0.15">
      <c r="A3039" s="326">
        <v>1.175</v>
      </c>
      <c r="B3039" s="327">
        <v>150</v>
      </c>
      <c r="C3039" s="327" t="s">
        <v>109</v>
      </c>
      <c r="D3039" s="327" t="s">
        <v>114</v>
      </c>
      <c r="E3039" s="328" t="s">
        <v>2379</v>
      </c>
      <c r="F3039" s="328">
        <v>323.32451500000002</v>
      </c>
      <c r="G3039" s="328">
        <v>8345.0638500000005</v>
      </c>
      <c r="H3039" s="328">
        <v>8932.7072000000007</v>
      </c>
      <c r="I3039" s="329">
        <v>0.33696942043753242</v>
      </c>
      <c r="J3039" s="329">
        <v>0.87153508707618499</v>
      </c>
      <c r="K3039" s="329">
        <v>0.94149411643118164</v>
      </c>
    </row>
    <row r="3040" spans="1:11" ht="11.25" x14ac:dyDescent="0.15">
      <c r="A3040" s="326">
        <v>1.175</v>
      </c>
      <c r="B3040" s="327">
        <v>150</v>
      </c>
      <c r="C3040" s="327" t="s">
        <v>109</v>
      </c>
      <c r="D3040" s="327" t="s">
        <v>113</v>
      </c>
      <c r="E3040" s="328" t="s">
        <v>2380</v>
      </c>
      <c r="F3040" s="328">
        <v>156.88694000000001</v>
      </c>
      <c r="G3040" s="328">
        <v>7856.6116500000007</v>
      </c>
      <c r="H3040" s="328">
        <v>8779.9712999999992</v>
      </c>
      <c r="I3040" s="329">
        <v>0.16350786529755693</v>
      </c>
      <c r="J3040" s="329">
        <v>0.8205225078663142</v>
      </c>
      <c r="K3040" s="329">
        <v>0.92539597865523138</v>
      </c>
    </row>
    <row r="3041" spans="1:11" ht="11.25" x14ac:dyDescent="0.15">
      <c r="A3041" s="326">
        <v>1.2</v>
      </c>
      <c r="B3041" s="327">
        <v>150</v>
      </c>
      <c r="C3041" s="327" t="s">
        <v>109</v>
      </c>
      <c r="D3041" s="327" t="s">
        <v>79</v>
      </c>
      <c r="E3041" s="328" t="s">
        <v>2381</v>
      </c>
      <c r="F3041" s="328">
        <v>1190.4239999999998</v>
      </c>
      <c r="G3041" s="328">
        <v>9690.0828000000001</v>
      </c>
      <c r="H3041" s="328">
        <v>9498.7547999999988</v>
      </c>
      <c r="I3041" s="329">
        <v>1.2406621420430461</v>
      </c>
      <c r="J3041" s="329">
        <v>1.0120050977049675</v>
      </c>
      <c r="K3041" s="329">
        <v>1.0011546955913257</v>
      </c>
    </row>
    <row r="3042" spans="1:11" ht="11.25" x14ac:dyDescent="0.15">
      <c r="A3042" s="326">
        <v>1.2</v>
      </c>
      <c r="B3042" s="327">
        <v>150</v>
      </c>
      <c r="C3042" s="327" t="s">
        <v>109</v>
      </c>
      <c r="D3042" s="327" t="s">
        <v>114</v>
      </c>
      <c r="E3042" s="328" t="s">
        <v>2382</v>
      </c>
      <c r="F3042" s="328">
        <v>340.01711999999998</v>
      </c>
      <c r="G3042" s="328">
        <v>8808.7908000000007</v>
      </c>
      <c r="H3042" s="328">
        <v>9334.717200000001</v>
      </c>
      <c r="I3042" s="329">
        <v>0.35436648490832467</v>
      </c>
      <c r="J3042" s="329">
        <v>0.91996543045190693</v>
      </c>
      <c r="K3042" s="329">
        <v>0.9838653753644756</v>
      </c>
    </row>
    <row r="3043" spans="1:11" ht="11.25" x14ac:dyDescent="0.15">
      <c r="A3043" s="326">
        <v>1.2</v>
      </c>
      <c r="B3043" s="327">
        <v>150</v>
      </c>
      <c r="C3043" s="327" t="s">
        <v>109</v>
      </c>
      <c r="D3043" s="327" t="s">
        <v>113</v>
      </c>
      <c r="E3043" s="328" t="s">
        <v>2383</v>
      </c>
      <c r="F3043" s="328">
        <v>165.23532</v>
      </c>
      <c r="G3043" s="328">
        <v>8265.6047999999992</v>
      </c>
      <c r="H3043" s="328">
        <v>9176.8128000000015</v>
      </c>
      <c r="I3043" s="329">
        <v>0.17220856270737842</v>
      </c>
      <c r="J3043" s="329">
        <v>0.86323660652462608</v>
      </c>
      <c r="K3043" s="329">
        <v>0.96722248533908717</v>
      </c>
    </row>
    <row r="3044" spans="1:11" ht="11.25" x14ac:dyDescent="0.15">
      <c r="A3044" s="326">
        <v>1.2250000000000001</v>
      </c>
      <c r="B3044" s="327">
        <v>150</v>
      </c>
      <c r="C3044" s="327" t="s">
        <v>109</v>
      </c>
      <c r="D3044" s="327" t="s">
        <v>79</v>
      </c>
      <c r="E3044" s="328" t="s">
        <v>2384</v>
      </c>
      <c r="F3044" s="328">
        <v>1248.0202000000002</v>
      </c>
      <c r="G3044" s="328">
        <v>10252.582375</v>
      </c>
      <c r="H3044" s="328">
        <v>9916.0773250000002</v>
      </c>
      <c r="I3044" s="329">
        <v>1.3006890105080133</v>
      </c>
      <c r="J3044" s="329">
        <v>1.0707509772919692</v>
      </c>
      <c r="K3044" s="329">
        <v>1.045139871993582</v>
      </c>
    </row>
    <row r="3045" spans="1:11" ht="11.25" x14ac:dyDescent="0.15">
      <c r="A3045" s="326">
        <v>1.2250000000000001</v>
      </c>
      <c r="B3045" s="327">
        <v>150</v>
      </c>
      <c r="C3045" s="327" t="s">
        <v>109</v>
      </c>
      <c r="D3045" s="327" t="s">
        <v>114</v>
      </c>
      <c r="E3045" s="328" t="s">
        <v>2385</v>
      </c>
      <c r="F3045" s="328">
        <v>357.49064750000002</v>
      </c>
      <c r="G3045" s="328">
        <v>9296.4551749999991</v>
      </c>
      <c r="H3045" s="328">
        <v>9745.8121250000004</v>
      </c>
      <c r="I3045" s="329">
        <v>0.37257742828412871</v>
      </c>
      <c r="J3045" s="329">
        <v>0.97089573142612617</v>
      </c>
      <c r="K3045" s="329">
        <v>1.0271941719450035</v>
      </c>
    </row>
    <row r="3046" spans="1:11" ht="11.25" x14ac:dyDescent="0.15">
      <c r="A3046" s="326">
        <v>1.2250000000000001</v>
      </c>
      <c r="B3046" s="327">
        <v>150</v>
      </c>
      <c r="C3046" s="327" t="s">
        <v>109</v>
      </c>
      <c r="D3046" s="327" t="s">
        <v>113</v>
      </c>
      <c r="E3046" s="328" t="s">
        <v>2386</v>
      </c>
      <c r="F3046" s="328">
        <v>174.02190750000003</v>
      </c>
      <c r="G3046" s="328">
        <v>8695.6649500000003</v>
      </c>
      <c r="H3046" s="328">
        <v>9582.6127250000009</v>
      </c>
      <c r="I3046" s="329">
        <v>0.18136596080166975</v>
      </c>
      <c r="J3046" s="329">
        <v>0.90815088363686747</v>
      </c>
      <c r="K3046" s="329">
        <v>1.0099931967574256</v>
      </c>
    </row>
    <row r="3047" spans="1:11" ht="11.25" x14ac:dyDescent="0.15">
      <c r="A3047" s="326">
        <v>1.25</v>
      </c>
      <c r="B3047" s="327">
        <v>150</v>
      </c>
      <c r="C3047" s="327" t="s">
        <v>109</v>
      </c>
      <c r="D3047" s="327" t="s">
        <v>79</v>
      </c>
      <c r="E3047" s="328" t="s">
        <v>2387</v>
      </c>
      <c r="F3047" s="328">
        <v>1308.1624999999999</v>
      </c>
      <c r="G3047" s="328">
        <v>10840.934999999999</v>
      </c>
      <c r="H3047" s="328">
        <v>10342.455</v>
      </c>
      <c r="I3047" s="329">
        <v>1.3633694292037011</v>
      </c>
      <c r="J3047" s="329">
        <v>1.1321968769852204</v>
      </c>
      <c r="K3047" s="329">
        <v>1.0900794478021463</v>
      </c>
    </row>
    <row r="3048" spans="1:11" ht="11.25" x14ac:dyDescent="0.15">
      <c r="A3048" s="326">
        <v>1.25</v>
      </c>
      <c r="B3048" s="327">
        <v>150</v>
      </c>
      <c r="C3048" s="327" t="s">
        <v>109</v>
      </c>
      <c r="D3048" s="327" t="s">
        <v>114</v>
      </c>
      <c r="E3048" s="328" t="s">
        <v>2388</v>
      </c>
      <c r="F3048" s="328">
        <v>375.79487499999999</v>
      </c>
      <c r="G3048" s="328">
        <v>9807.2250000000004</v>
      </c>
      <c r="H3048" s="328">
        <v>10165.70875</v>
      </c>
      <c r="I3048" s="329">
        <v>0.39165412876949629</v>
      </c>
      <c r="J3048" s="329">
        <v>1.0242391008608924</v>
      </c>
      <c r="K3048" s="329">
        <v>1.0714506546770033</v>
      </c>
    </row>
    <row r="3049" spans="1:11" ht="11.25" x14ac:dyDescent="0.15">
      <c r="A3049" s="326">
        <v>1.25</v>
      </c>
      <c r="B3049" s="327">
        <v>150</v>
      </c>
      <c r="C3049" s="327" t="s">
        <v>109</v>
      </c>
      <c r="D3049" s="327" t="s">
        <v>113</v>
      </c>
      <c r="E3049" s="328" t="s">
        <v>2389</v>
      </c>
      <c r="F3049" s="328">
        <v>183.28200000000004</v>
      </c>
      <c r="G3049" s="328">
        <v>9147.01</v>
      </c>
      <c r="H3049" s="328">
        <v>9996.8837500000009</v>
      </c>
      <c r="I3049" s="329">
        <v>0.19101684670162369</v>
      </c>
      <c r="J3049" s="329">
        <v>0.95528809606852017</v>
      </c>
      <c r="K3049" s="329">
        <v>1.0536567495765996</v>
      </c>
    </row>
    <row r="3050" spans="1:11" ht="11.25" x14ac:dyDescent="0.15">
      <c r="A3050" s="326">
        <v>1.2749999999999999</v>
      </c>
      <c r="B3050" s="327">
        <v>150</v>
      </c>
      <c r="C3050" s="327" t="s">
        <v>109</v>
      </c>
      <c r="D3050" s="327" t="s">
        <v>79</v>
      </c>
      <c r="E3050" s="328" t="s">
        <v>2390</v>
      </c>
      <c r="F3050" s="328">
        <v>1371.00495</v>
      </c>
      <c r="G3050" s="328">
        <v>11455.785749999999</v>
      </c>
      <c r="H3050" s="328">
        <v>10778.114325</v>
      </c>
      <c r="I3050" s="329">
        <v>1.4288639493311792</v>
      </c>
      <c r="J3050" s="329">
        <v>1.1964101666103331</v>
      </c>
      <c r="K3050" s="329">
        <v>1.1359972957817466</v>
      </c>
    </row>
    <row r="3051" spans="1:11" ht="11.25" x14ac:dyDescent="0.15">
      <c r="A3051" s="326">
        <v>1.2749999999999999</v>
      </c>
      <c r="B3051" s="327">
        <v>150</v>
      </c>
      <c r="C3051" s="327" t="s">
        <v>109</v>
      </c>
      <c r="D3051" s="327" t="s">
        <v>114</v>
      </c>
      <c r="E3051" s="328" t="s">
        <v>2391</v>
      </c>
      <c r="F3051" s="328">
        <v>394.98696749999999</v>
      </c>
      <c r="G3051" s="328">
        <v>10344.435824999999</v>
      </c>
      <c r="H3051" s="328">
        <v>10594.933799999999</v>
      </c>
      <c r="I3051" s="329">
        <v>0.41165616383543774</v>
      </c>
      <c r="J3051" s="329">
        <v>1.0803438942525743</v>
      </c>
      <c r="K3051" s="329">
        <v>1.1166903395958014</v>
      </c>
    </row>
    <row r="3052" spans="1:11" ht="11.25" x14ac:dyDescent="0.15">
      <c r="A3052" s="326">
        <v>1.2749999999999999</v>
      </c>
      <c r="B3052" s="327">
        <v>150</v>
      </c>
      <c r="C3052" s="327" t="s">
        <v>109</v>
      </c>
      <c r="D3052" s="327" t="s">
        <v>113</v>
      </c>
      <c r="E3052" s="328" t="s">
        <v>2392</v>
      </c>
      <c r="F3052" s="328">
        <v>193.054125</v>
      </c>
      <c r="G3052" s="328">
        <v>9619.3382249999995</v>
      </c>
      <c r="H3052" s="328">
        <v>10419.983399999999</v>
      </c>
      <c r="I3052" s="329">
        <v>0.20120137384053582</v>
      </c>
      <c r="J3052" s="329">
        <v>1.0046167325059649</v>
      </c>
      <c r="K3052" s="329">
        <v>1.0982508264023898</v>
      </c>
    </row>
    <row r="3053" spans="1:11" ht="11.25" x14ac:dyDescent="0.15">
      <c r="A3053" s="326">
        <v>1.3</v>
      </c>
      <c r="B3053" s="327">
        <v>150</v>
      </c>
      <c r="C3053" s="327" t="s">
        <v>109</v>
      </c>
      <c r="D3053" s="327" t="s">
        <v>79</v>
      </c>
      <c r="E3053" s="328" t="s">
        <v>2393</v>
      </c>
      <c r="F3053" s="328">
        <v>1436.7157999999999</v>
      </c>
      <c r="G3053" s="328">
        <v>12096.9966</v>
      </c>
      <c r="H3053" s="328">
        <v>11222.754400000002</v>
      </c>
      <c r="I3053" s="329">
        <v>1.4973479213583472</v>
      </c>
      <c r="J3053" s="329">
        <v>1.2633764312230293</v>
      </c>
      <c r="K3053" s="329">
        <v>1.1828617015177836</v>
      </c>
    </row>
    <row r="3054" spans="1:11" ht="11.25" x14ac:dyDescent="0.15">
      <c r="A3054" s="326">
        <v>1.3</v>
      </c>
      <c r="B3054" s="327">
        <v>150</v>
      </c>
      <c r="C3054" s="327" t="s">
        <v>109</v>
      </c>
      <c r="D3054" s="327" t="s">
        <v>114</v>
      </c>
      <c r="E3054" s="328" t="s">
        <v>2394</v>
      </c>
      <c r="F3054" s="328">
        <v>415.12912999999998</v>
      </c>
      <c r="G3054" s="328">
        <v>10905.675300000001</v>
      </c>
      <c r="H3054" s="328">
        <v>11032.921900000001</v>
      </c>
      <c r="I3054" s="329">
        <v>0.43264836365048609</v>
      </c>
      <c r="J3054" s="329">
        <v>1.1389581725261575</v>
      </c>
      <c r="K3054" s="329">
        <v>1.1628536370132825</v>
      </c>
    </row>
    <row r="3055" spans="1:11" ht="11.25" x14ac:dyDescent="0.15">
      <c r="A3055" s="326">
        <v>1.3</v>
      </c>
      <c r="B3055" s="327">
        <v>150</v>
      </c>
      <c r="C3055" s="327" t="s">
        <v>109</v>
      </c>
      <c r="D3055" s="327" t="s">
        <v>113</v>
      </c>
      <c r="E3055" s="328" t="s">
        <v>2395</v>
      </c>
      <c r="F3055" s="328">
        <v>203.38045000000002</v>
      </c>
      <c r="G3055" s="328">
        <v>10115.3403</v>
      </c>
      <c r="H3055" s="328">
        <v>10851.8423</v>
      </c>
      <c r="I3055" s="329">
        <v>0.21196348926657957</v>
      </c>
      <c r="J3055" s="329">
        <v>1.0564177995073989</v>
      </c>
      <c r="K3055" s="329">
        <v>1.1437681152124881</v>
      </c>
    </row>
    <row r="3056" spans="1:11" ht="11.25" x14ac:dyDescent="0.15">
      <c r="A3056" s="326">
        <v>1.325</v>
      </c>
      <c r="B3056" s="327">
        <v>150</v>
      </c>
      <c r="C3056" s="327" t="s">
        <v>109</v>
      </c>
      <c r="D3056" s="327" t="s">
        <v>79</v>
      </c>
      <c r="E3056" s="328" t="s">
        <v>2396</v>
      </c>
      <c r="F3056" s="328">
        <v>1505.4782499999999</v>
      </c>
      <c r="G3056" s="328">
        <v>12765.545549999999</v>
      </c>
      <c r="H3056" s="328">
        <v>11676.798349999999</v>
      </c>
      <c r="I3056" s="329">
        <v>1.5690122766713515</v>
      </c>
      <c r="J3056" s="329">
        <v>1.3331978104031228</v>
      </c>
      <c r="K3056" s="329">
        <v>1.2307172617589355</v>
      </c>
    </row>
    <row r="3057" spans="1:11" ht="11.25" x14ac:dyDescent="0.15">
      <c r="A3057" s="326">
        <v>1.325</v>
      </c>
      <c r="B3057" s="327">
        <v>150</v>
      </c>
      <c r="C3057" s="327" t="s">
        <v>109</v>
      </c>
      <c r="D3057" s="327" t="s">
        <v>114</v>
      </c>
      <c r="E3057" s="328" t="s">
        <v>2397</v>
      </c>
      <c r="F3057" s="328">
        <v>436.29016999999999</v>
      </c>
      <c r="G3057" s="328">
        <v>11492.767774999998</v>
      </c>
      <c r="H3057" s="328">
        <v>11479.806625000001</v>
      </c>
      <c r="I3057" s="329">
        <v>0.45470243952114947</v>
      </c>
      <c r="J3057" s="329">
        <v>1.2002724656841297</v>
      </c>
      <c r="K3057" s="329">
        <v>1.2099546255367242</v>
      </c>
    </row>
    <row r="3058" spans="1:11" ht="11.25" x14ac:dyDescent="0.15">
      <c r="A3058" s="326">
        <v>1.325</v>
      </c>
      <c r="B3058" s="327">
        <v>150</v>
      </c>
      <c r="C3058" s="327" t="s">
        <v>109</v>
      </c>
      <c r="D3058" s="327" t="s">
        <v>113</v>
      </c>
      <c r="E3058" s="328" t="s">
        <v>2398</v>
      </c>
      <c r="F3058" s="328">
        <v>214.3085475</v>
      </c>
      <c r="G3058" s="328">
        <v>10634.626225</v>
      </c>
      <c r="H3058" s="328">
        <v>11292.819974999999</v>
      </c>
      <c r="I3058" s="329">
        <v>0.22335277312914051</v>
      </c>
      <c r="J3058" s="329">
        <v>1.1106505665655337</v>
      </c>
      <c r="K3058" s="329">
        <v>1.1902465094097141</v>
      </c>
    </row>
    <row r="3059" spans="1:11" ht="11.25" x14ac:dyDescent="0.15">
      <c r="A3059" s="326">
        <v>1.35</v>
      </c>
      <c r="B3059" s="327">
        <v>150</v>
      </c>
      <c r="C3059" s="327" t="s">
        <v>109</v>
      </c>
      <c r="D3059" s="327" t="s">
        <v>79</v>
      </c>
      <c r="E3059" s="328" t="s">
        <v>2399</v>
      </c>
      <c r="F3059" s="328">
        <v>1577.4979500000002</v>
      </c>
      <c r="G3059" s="328">
        <v>13461.0039</v>
      </c>
      <c r="H3059" s="328">
        <v>12139.94385</v>
      </c>
      <c r="I3059" s="329">
        <v>1.6440713440887571</v>
      </c>
      <c r="J3059" s="329">
        <v>1.4058295319237568</v>
      </c>
      <c r="K3059" s="329">
        <v>1.279532111897713</v>
      </c>
    </row>
    <row r="3060" spans="1:11" ht="11.25" x14ac:dyDescent="0.15">
      <c r="A3060" s="326">
        <v>1.35</v>
      </c>
      <c r="B3060" s="327">
        <v>150</v>
      </c>
      <c r="C3060" s="327" t="s">
        <v>109</v>
      </c>
      <c r="D3060" s="327" t="s">
        <v>114</v>
      </c>
      <c r="E3060" s="328" t="s">
        <v>2400</v>
      </c>
      <c r="F3060" s="328">
        <v>458.54667000000001</v>
      </c>
      <c r="G3060" s="328">
        <v>12105.101700000001</v>
      </c>
      <c r="H3060" s="328">
        <v>11935.615950000001</v>
      </c>
      <c r="I3060" s="329">
        <v>0.47789820587362647</v>
      </c>
      <c r="J3060" s="329">
        <v>1.2642229051579486</v>
      </c>
      <c r="K3060" s="329">
        <v>1.2579962536897178</v>
      </c>
    </row>
    <row r="3061" spans="1:11" ht="11.25" x14ac:dyDescent="0.15">
      <c r="A3061" s="326">
        <v>1.35</v>
      </c>
      <c r="B3061" s="327">
        <v>150</v>
      </c>
      <c r="C3061" s="327" t="s">
        <v>109</v>
      </c>
      <c r="D3061" s="327" t="s">
        <v>113</v>
      </c>
      <c r="E3061" s="328" t="s">
        <v>2401</v>
      </c>
      <c r="F3061" s="328">
        <v>225.89172000000002</v>
      </c>
      <c r="G3061" s="328">
        <v>11177.293949999999</v>
      </c>
      <c r="H3061" s="328">
        <v>11742.368850000001</v>
      </c>
      <c r="I3061" s="329">
        <v>0.23542477739443096</v>
      </c>
      <c r="J3061" s="329">
        <v>1.1673252633039308</v>
      </c>
      <c r="K3061" s="329">
        <v>1.2376282953996052</v>
      </c>
    </row>
    <row r="3062" spans="1:11" ht="11.25" x14ac:dyDescent="0.15">
      <c r="A3062" s="326">
        <v>1.375</v>
      </c>
      <c r="B3062" s="327">
        <v>150</v>
      </c>
      <c r="C3062" s="327" t="s">
        <v>109</v>
      </c>
      <c r="D3062" s="327" t="s">
        <v>79</v>
      </c>
      <c r="E3062" s="328" t="s">
        <v>2402</v>
      </c>
      <c r="F3062" s="328">
        <v>1652.9947499999998</v>
      </c>
      <c r="G3062" s="328">
        <v>14183.977499999999</v>
      </c>
      <c r="H3062" s="328">
        <v>12612.414375</v>
      </c>
      <c r="I3062" s="329">
        <v>1.7227542516959586</v>
      </c>
      <c r="J3062" s="329">
        <v>1.481334869061445</v>
      </c>
      <c r="K3062" s="329">
        <v>1.3293298058683216</v>
      </c>
    </row>
    <row r="3063" spans="1:11" ht="11.25" x14ac:dyDescent="0.15">
      <c r="A3063" s="326">
        <v>1.375</v>
      </c>
      <c r="B3063" s="327">
        <v>150</v>
      </c>
      <c r="C3063" s="327" t="s">
        <v>109</v>
      </c>
      <c r="D3063" s="327" t="s">
        <v>114</v>
      </c>
      <c r="E3063" s="328" t="s">
        <v>2403</v>
      </c>
      <c r="F3063" s="328">
        <v>481.982325</v>
      </c>
      <c r="G3063" s="328">
        <v>12744.268624999999</v>
      </c>
      <c r="H3063" s="328">
        <v>12400.286249999999</v>
      </c>
      <c r="I3063" s="329">
        <v>0.50232288979505435</v>
      </c>
      <c r="J3063" s="329">
        <v>1.3309757079703668</v>
      </c>
      <c r="K3063" s="329">
        <v>1.3069718154914425</v>
      </c>
    </row>
    <row r="3064" spans="1:11" ht="11.25" x14ac:dyDescent="0.15">
      <c r="A3064" s="326">
        <v>1.375</v>
      </c>
      <c r="B3064" s="327">
        <v>150</v>
      </c>
      <c r="C3064" s="327" t="s">
        <v>109</v>
      </c>
      <c r="D3064" s="327" t="s">
        <v>113</v>
      </c>
      <c r="E3064" s="328" t="s">
        <v>2404</v>
      </c>
      <c r="F3064" s="328">
        <v>238.18877500000002</v>
      </c>
      <c r="G3064" s="328">
        <v>11745.127625000001</v>
      </c>
      <c r="H3064" s="328">
        <v>12200.711874999999</v>
      </c>
      <c r="I3064" s="329">
        <v>0.24824079135006455</v>
      </c>
      <c r="J3064" s="329">
        <v>1.2266282213497122</v>
      </c>
      <c r="K3064" s="329">
        <v>1.2859369717821434</v>
      </c>
    </row>
    <row r="3065" spans="1:11" ht="11.25" x14ac:dyDescent="0.15">
      <c r="A3065" s="326">
        <v>1.4</v>
      </c>
      <c r="B3065" s="327">
        <v>150</v>
      </c>
      <c r="C3065" s="327" t="s">
        <v>109</v>
      </c>
      <c r="D3065" s="327" t="s">
        <v>79</v>
      </c>
      <c r="E3065" s="328" t="s">
        <v>2405</v>
      </c>
      <c r="F3065" s="328">
        <v>1732.2171999999998</v>
      </c>
      <c r="G3065" s="328">
        <v>14934.668</v>
      </c>
      <c r="H3065" s="328">
        <v>13094.426799999999</v>
      </c>
      <c r="I3065" s="329">
        <v>1.8053200387725785</v>
      </c>
      <c r="J3065" s="329">
        <v>1.5597348815771988</v>
      </c>
      <c r="K3065" s="329">
        <v>1.3801332019747365</v>
      </c>
    </row>
    <row r="3066" spans="1:11" ht="11.25" x14ac:dyDescent="0.15">
      <c r="A3066" s="326">
        <v>1.4</v>
      </c>
      <c r="B3066" s="327">
        <v>150</v>
      </c>
      <c r="C3066" s="327" t="s">
        <v>109</v>
      </c>
      <c r="D3066" s="327" t="s">
        <v>114</v>
      </c>
      <c r="E3066" s="328" t="s">
        <v>2406</v>
      </c>
      <c r="F3066" s="328">
        <v>506.69303999999994</v>
      </c>
      <c r="G3066" s="328">
        <v>13409.600399999999</v>
      </c>
      <c r="H3066" s="328">
        <v>12874.287999999999</v>
      </c>
      <c r="I3066" s="329">
        <v>0.52807644365764039</v>
      </c>
      <c r="J3066" s="329">
        <v>1.4004610944074256</v>
      </c>
      <c r="K3066" s="329">
        <v>1.3569308983104877</v>
      </c>
    </row>
    <row r="3067" spans="1:11" ht="11.25" x14ac:dyDescent="0.15">
      <c r="A3067" s="326">
        <v>1.4</v>
      </c>
      <c r="B3067" s="327">
        <v>150</v>
      </c>
      <c r="C3067" s="327" t="s">
        <v>109</v>
      </c>
      <c r="D3067" s="327" t="s">
        <v>113</v>
      </c>
      <c r="E3067" s="328" t="s">
        <v>2407</v>
      </c>
      <c r="F3067" s="328">
        <v>251.26653999999999</v>
      </c>
      <c r="G3067" s="328">
        <v>12338.034800000001</v>
      </c>
      <c r="H3067" s="328">
        <v>12668.580399999997</v>
      </c>
      <c r="I3067" s="329">
        <v>0.26187046274280829</v>
      </c>
      <c r="J3067" s="329">
        <v>1.2885497854839063</v>
      </c>
      <c r="K3067" s="329">
        <v>1.3352496217647638</v>
      </c>
    </row>
    <row r="3068" spans="1:11" ht="11.25" x14ac:dyDescent="0.15">
      <c r="A3068" s="326">
        <v>0.9</v>
      </c>
      <c r="B3068" s="327">
        <v>-40</v>
      </c>
      <c r="C3068" s="327" t="s">
        <v>110</v>
      </c>
      <c r="D3068" s="327" t="s">
        <v>79</v>
      </c>
      <c r="E3068" s="328" t="s">
        <v>2408</v>
      </c>
      <c r="F3068" s="328">
        <v>10.726560000000001</v>
      </c>
      <c r="G3068" s="328">
        <v>4060.1870999999996</v>
      </c>
      <c r="H3068" s="328">
        <v>4339.1223</v>
      </c>
      <c r="I3068" s="329">
        <v>3.2682795024674438E-3</v>
      </c>
      <c r="J3068" s="329">
        <v>0.43623550448698034</v>
      </c>
      <c r="K3068" s="329">
        <v>0.54212449470273716</v>
      </c>
    </row>
    <row r="3069" spans="1:11" ht="11.25" x14ac:dyDescent="0.15">
      <c r="A3069" s="326">
        <v>0.9</v>
      </c>
      <c r="B3069" s="327">
        <v>-40</v>
      </c>
      <c r="C3069" s="327" t="s">
        <v>110</v>
      </c>
      <c r="D3069" s="327" t="s">
        <v>114</v>
      </c>
      <c r="E3069" s="328" t="s">
        <v>2409</v>
      </c>
      <c r="F3069" s="328">
        <v>3.0823280999999998</v>
      </c>
      <c r="G3069" s="328">
        <v>4040.5320000000006</v>
      </c>
      <c r="H3069" s="328">
        <v>4269.2048999999997</v>
      </c>
      <c r="I3069" s="329">
        <v>9.391556798367249E-4</v>
      </c>
      <c r="J3069" s="329">
        <v>0.4341237169626464</v>
      </c>
      <c r="K3069" s="329">
        <v>0.53338910249083082</v>
      </c>
    </row>
    <row r="3070" spans="1:11" ht="11.25" x14ac:dyDescent="0.15">
      <c r="A3070" s="326">
        <v>0.9</v>
      </c>
      <c r="B3070" s="327">
        <v>-40</v>
      </c>
      <c r="C3070" s="327" t="s">
        <v>110</v>
      </c>
      <c r="D3070" s="327" t="s">
        <v>113</v>
      </c>
      <c r="E3070" s="328" t="s">
        <v>2410</v>
      </c>
      <c r="F3070" s="328">
        <v>2.2740110999999996</v>
      </c>
      <c r="G3070" s="328">
        <v>4037.9985000000001</v>
      </c>
      <c r="H3070" s="328">
        <v>4199.659200000001</v>
      </c>
      <c r="I3070" s="329">
        <v>6.9286927649809843E-4</v>
      </c>
      <c r="J3070" s="329">
        <v>0.43385151210523526</v>
      </c>
      <c r="K3070" s="329">
        <v>0.52470015001045311</v>
      </c>
    </row>
    <row r="3071" spans="1:11" ht="11.25" x14ac:dyDescent="0.15">
      <c r="A3071" s="326">
        <v>0.92500000000000004</v>
      </c>
      <c r="B3071" s="327">
        <v>-40</v>
      </c>
      <c r="C3071" s="327" t="s">
        <v>110</v>
      </c>
      <c r="D3071" s="327" t="s">
        <v>79</v>
      </c>
      <c r="E3071" s="328" t="s">
        <v>2411</v>
      </c>
      <c r="F3071" s="328">
        <v>12.215013500000001</v>
      </c>
      <c r="G3071" s="328">
        <v>4277.1037999999999</v>
      </c>
      <c r="H3071" s="328">
        <v>4595.5128500000001</v>
      </c>
      <c r="I3071" s="329">
        <v>3.7217969455643853E-3</v>
      </c>
      <c r="J3071" s="329">
        <v>0.45954151569423507</v>
      </c>
      <c r="K3071" s="329">
        <v>0.57415760825782347</v>
      </c>
    </row>
    <row r="3072" spans="1:11" ht="11.25" x14ac:dyDescent="0.15">
      <c r="A3072" s="326">
        <v>0.92500000000000004</v>
      </c>
      <c r="B3072" s="327">
        <v>-40</v>
      </c>
      <c r="C3072" s="327" t="s">
        <v>110</v>
      </c>
      <c r="D3072" s="327" t="s">
        <v>114</v>
      </c>
      <c r="E3072" s="328" t="s">
        <v>2412</v>
      </c>
      <c r="F3072" s="328">
        <v>3.4793828750000007</v>
      </c>
      <c r="G3072" s="328">
        <v>4248.4241750000001</v>
      </c>
      <c r="H3072" s="328">
        <v>4522.6764999999996</v>
      </c>
      <c r="I3072" s="329">
        <v>1.0601344449291054E-3</v>
      </c>
      <c r="J3072" s="329">
        <v>0.45646011319424379</v>
      </c>
      <c r="K3072" s="329">
        <v>0.5650575260961056</v>
      </c>
    </row>
    <row r="3073" spans="1:11" ht="11.25" x14ac:dyDescent="0.15">
      <c r="A3073" s="326">
        <v>0.92500000000000004</v>
      </c>
      <c r="B3073" s="327">
        <v>-40</v>
      </c>
      <c r="C3073" s="327" t="s">
        <v>110</v>
      </c>
      <c r="D3073" s="327" t="s">
        <v>113</v>
      </c>
      <c r="E3073" s="328" t="s">
        <v>2413</v>
      </c>
      <c r="F3073" s="328">
        <v>2.5662635750000002</v>
      </c>
      <c r="G3073" s="328">
        <v>4243.0971</v>
      </c>
      <c r="H3073" s="328">
        <v>4450.5320500000007</v>
      </c>
      <c r="I3073" s="329">
        <v>7.8191579034670236E-4</v>
      </c>
      <c r="J3073" s="329">
        <v>0.45588776044476947</v>
      </c>
      <c r="K3073" s="329">
        <v>0.55604388905207569</v>
      </c>
    </row>
    <row r="3074" spans="1:11" ht="11.25" x14ac:dyDescent="0.15">
      <c r="A3074" s="326">
        <v>0.95</v>
      </c>
      <c r="B3074" s="327">
        <v>-40</v>
      </c>
      <c r="C3074" s="327" t="s">
        <v>110</v>
      </c>
      <c r="D3074" s="327" t="s">
        <v>79</v>
      </c>
      <c r="E3074" s="328" t="s">
        <v>2414</v>
      </c>
      <c r="F3074" s="328">
        <v>13.890006999999999</v>
      </c>
      <c r="G3074" s="328">
        <v>4504.5988499999994</v>
      </c>
      <c r="H3074" s="328">
        <v>4859.5625499999996</v>
      </c>
      <c r="I3074" s="329">
        <v>4.2321513297114179E-3</v>
      </c>
      <c r="J3074" s="329">
        <v>0.48398408828037048</v>
      </c>
      <c r="K3074" s="329">
        <v>0.60714764640192209</v>
      </c>
    </row>
    <row r="3075" spans="1:11" ht="11.25" x14ac:dyDescent="0.15">
      <c r="A3075" s="326">
        <v>0.95</v>
      </c>
      <c r="B3075" s="327">
        <v>-40</v>
      </c>
      <c r="C3075" s="327" t="s">
        <v>110</v>
      </c>
      <c r="D3075" s="327" t="s">
        <v>114</v>
      </c>
      <c r="E3075" s="328" t="s">
        <v>2415</v>
      </c>
      <c r="F3075" s="328">
        <v>3.9232625000000003</v>
      </c>
      <c r="G3075" s="328">
        <v>4461.8478999999998</v>
      </c>
      <c r="H3075" s="328">
        <v>4783.8370999999997</v>
      </c>
      <c r="I3075" s="329">
        <v>1.1953802907501735E-3</v>
      </c>
      <c r="J3075" s="329">
        <v>0.47939083142268835</v>
      </c>
      <c r="K3075" s="329">
        <v>0.59768660371193216</v>
      </c>
    </row>
    <row r="3076" spans="1:11" ht="11.25" x14ac:dyDescent="0.15">
      <c r="A3076" s="326">
        <v>0.95</v>
      </c>
      <c r="B3076" s="327">
        <v>-40</v>
      </c>
      <c r="C3076" s="327" t="s">
        <v>110</v>
      </c>
      <c r="D3076" s="327" t="s">
        <v>113</v>
      </c>
      <c r="E3076" s="328" t="s">
        <v>2416</v>
      </c>
      <c r="F3076" s="328">
        <v>2.8932097999999997</v>
      </c>
      <c r="G3076" s="328">
        <v>4451.0568499999999</v>
      </c>
      <c r="H3076" s="328">
        <v>4708.7947000000004</v>
      </c>
      <c r="I3076" s="329">
        <v>8.8153315561353605E-4</v>
      </c>
      <c r="J3076" s="329">
        <v>0.47823141708419786</v>
      </c>
      <c r="K3076" s="329">
        <v>0.58831090043173651</v>
      </c>
    </row>
    <row r="3077" spans="1:11" ht="11.25" x14ac:dyDescent="0.15">
      <c r="A3077" s="326">
        <v>0.97499999999999998</v>
      </c>
      <c r="B3077" s="327">
        <v>-40</v>
      </c>
      <c r="C3077" s="327" t="s">
        <v>110</v>
      </c>
      <c r="D3077" s="327" t="s">
        <v>79</v>
      </c>
      <c r="E3077" s="328" t="s">
        <v>2417</v>
      </c>
      <c r="F3077" s="328">
        <v>15.782295750000001</v>
      </c>
      <c r="G3077" s="328">
        <v>4740.1614</v>
      </c>
      <c r="H3077" s="328">
        <v>5130.66255</v>
      </c>
      <c r="I3077" s="329">
        <v>4.8087134833165578E-3</v>
      </c>
      <c r="J3077" s="329">
        <v>0.50929345095419642</v>
      </c>
      <c r="K3077" s="329">
        <v>0.64101854018012061</v>
      </c>
    </row>
    <row r="3078" spans="1:11" ht="11.25" x14ac:dyDescent="0.15">
      <c r="A3078" s="326">
        <v>0.97499999999999998</v>
      </c>
      <c r="B3078" s="327">
        <v>-40</v>
      </c>
      <c r="C3078" s="327" t="s">
        <v>110</v>
      </c>
      <c r="D3078" s="327" t="s">
        <v>114</v>
      </c>
      <c r="E3078" s="328" t="s">
        <v>2418</v>
      </c>
      <c r="F3078" s="328">
        <v>4.4235008999999996</v>
      </c>
      <c r="G3078" s="328">
        <v>4681.43325</v>
      </c>
      <c r="H3078" s="328">
        <v>5052.0570749999997</v>
      </c>
      <c r="I3078" s="329">
        <v>1.3477981124066138E-3</v>
      </c>
      <c r="J3078" s="329">
        <v>0.50298356830301594</v>
      </c>
      <c r="K3078" s="329">
        <v>0.63119767078096956</v>
      </c>
    </row>
    <row r="3079" spans="1:11" ht="11.25" x14ac:dyDescent="0.15">
      <c r="A3079" s="326">
        <v>0.97499999999999998</v>
      </c>
      <c r="B3079" s="327">
        <v>-40</v>
      </c>
      <c r="C3079" s="327" t="s">
        <v>110</v>
      </c>
      <c r="D3079" s="327" t="s">
        <v>113</v>
      </c>
      <c r="E3079" s="328" t="s">
        <v>2419</v>
      </c>
      <c r="F3079" s="328">
        <v>3.2620009499999996</v>
      </c>
      <c r="G3079" s="328">
        <v>4665.4062000000004</v>
      </c>
      <c r="H3079" s="328">
        <v>4974.4548750000004</v>
      </c>
      <c r="I3079" s="329">
        <v>9.9390026643344435E-4</v>
      </c>
      <c r="J3079" s="329">
        <v>0.50126158651498753</v>
      </c>
      <c r="K3079" s="329">
        <v>0.6215021493012407</v>
      </c>
    </row>
    <row r="3080" spans="1:11" ht="11.25" x14ac:dyDescent="0.15">
      <c r="A3080" s="326">
        <v>1</v>
      </c>
      <c r="B3080" s="327">
        <v>-40</v>
      </c>
      <c r="C3080" s="327" t="s">
        <v>110</v>
      </c>
      <c r="D3080" s="327" t="s">
        <v>79</v>
      </c>
      <c r="E3080" s="328" t="s">
        <v>2420</v>
      </c>
      <c r="F3080" s="328">
        <v>17.917010000000001</v>
      </c>
      <c r="G3080" s="328">
        <v>4986.9219999999996</v>
      </c>
      <c r="H3080" s="328">
        <v>5409.3470000000007</v>
      </c>
      <c r="I3080" s="329">
        <v>5.4591403514737454E-3</v>
      </c>
      <c r="J3080" s="329">
        <v>0.53580595694893496</v>
      </c>
      <c r="K3080" s="329">
        <v>0.67583702562307768</v>
      </c>
    </row>
    <row r="3081" spans="1:11" ht="11.25" x14ac:dyDescent="0.15">
      <c r="A3081" s="326">
        <v>1</v>
      </c>
      <c r="B3081" s="327">
        <v>-40</v>
      </c>
      <c r="C3081" s="327" t="s">
        <v>110</v>
      </c>
      <c r="D3081" s="327" t="s">
        <v>114</v>
      </c>
      <c r="E3081" s="328" t="s">
        <v>2421</v>
      </c>
      <c r="F3081" s="328">
        <v>4.987266</v>
      </c>
      <c r="G3081" s="328">
        <v>4907.4009999999998</v>
      </c>
      <c r="H3081" s="328">
        <v>5327.5209999999997</v>
      </c>
      <c r="I3081" s="329">
        <v>1.5195719075969181E-3</v>
      </c>
      <c r="J3081" s="329">
        <v>0.52726204439074054</v>
      </c>
      <c r="K3081" s="329">
        <v>0.66561378787208214</v>
      </c>
    </row>
    <row r="3082" spans="1:11" ht="11.25" x14ac:dyDescent="0.15">
      <c r="A3082" s="326">
        <v>1</v>
      </c>
      <c r="B3082" s="327">
        <v>-40</v>
      </c>
      <c r="C3082" s="327" t="s">
        <v>110</v>
      </c>
      <c r="D3082" s="327" t="s">
        <v>113</v>
      </c>
      <c r="E3082" s="328" t="s">
        <v>2422</v>
      </c>
      <c r="F3082" s="328">
        <v>3.6779980000000001</v>
      </c>
      <c r="G3082" s="328">
        <v>4884.5929999999998</v>
      </c>
      <c r="H3082" s="328">
        <v>5247.1509999999998</v>
      </c>
      <c r="I3082" s="329">
        <v>1.1206505602463653E-3</v>
      </c>
      <c r="J3082" s="329">
        <v>0.5248115022996287</v>
      </c>
      <c r="K3082" s="329">
        <v>0.65557246093385346</v>
      </c>
    </row>
    <row r="3083" spans="1:11" ht="11.25" x14ac:dyDescent="0.15">
      <c r="A3083" s="326">
        <v>1.0249999999999999</v>
      </c>
      <c r="B3083" s="327">
        <v>-40</v>
      </c>
      <c r="C3083" s="327" t="s">
        <v>110</v>
      </c>
      <c r="D3083" s="327" t="s">
        <v>79</v>
      </c>
      <c r="E3083" s="328" t="s">
        <v>2423</v>
      </c>
      <c r="F3083" s="328">
        <v>20.313081</v>
      </c>
      <c r="G3083" s="328">
        <v>5246.8335499999985</v>
      </c>
      <c r="H3083" s="328">
        <v>5695.3858499999997</v>
      </c>
      <c r="I3083" s="329">
        <v>6.1892001036922264E-3</v>
      </c>
      <c r="J3083" s="329">
        <v>0.56373143017065974</v>
      </c>
      <c r="K3083" s="329">
        <v>0.71157436057249857</v>
      </c>
    </row>
    <row r="3084" spans="1:11" ht="11.25" x14ac:dyDescent="0.15">
      <c r="A3084" s="326">
        <v>1.0249999999999999</v>
      </c>
      <c r="B3084" s="327">
        <v>-40</v>
      </c>
      <c r="C3084" s="327" t="s">
        <v>110</v>
      </c>
      <c r="D3084" s="327" t="s">
        <v>114</v>
      </c>
      <c r="E3084" s="328" t="s">
        <v>2424</v>
      </c>
      <c r="F3084" s="328">
        <v>5.6191227750000001</v>
      </c>
      <c r="G3084" s="328">
        <v>5141.512749999999</v>
      </c>
      <c r="H3084" s="328">
        <v>5610.0094999999992</v>
      </c>
      <c r="I3084" s="329">
        <v>1.7120925802289347E-3</v>
      </c>
      <c r="J3084" s="329">
        <v>0.55241552989577536</v>
      </c>
      <c r="K3084" s="329">
        <v>0.70090754654807841</v>
      </c>
    </row>
    <row r="3085" spans="1:11" ht="11.25" x14ac:dyDescent="0.15">
      <c r="A3085" s="326">
        <v>1.0249999999999999</v>
      </c>
      <c r="B3085" s="327">
        <v>-40</v>
      </c>
      <c r="C3085" s="327" t="s">
        <v>110</v>
      </c>
      <c r="D3085" s="327" t="s">
        <v>113</v>
      </c>
      <c r="E3085" s="328" t="s">
        <v>2425</v>
      </c>
      <c r="F3085" s="328">
        <v>4.1445690499999994</v>
      </c>
      <c r="G3085" s="328">
        <v>5109.2057750000004</v>
      </c>
      <c r="H3085" s="328">
        <v>5527.4088499999998</v>
      </c>
      <c r="I3085" s="329">
        <v>1.262810264677209E-3</v>
      </c>
      <c r="J3085" s="329">
        <v>0.54894439686903063</v>
      </c>
      <c r="K3085" s="329">
        <v>0.69058752499824394</v>
      </c>
    </row>
    <row r="3086" spans="1:11" ht="11.25" x14ac:dyDescent="0.15">
      <c r="A3086" s="326">
        <v>1.05</v>
      </c>
      <c r="B3086" s="327">
        <v>-40</v>
      </c>
      <c r="C3086" s="327" t="s">
        <v>110</v>
      </c>
      <c r="D3086" s="327" t="s">
        <v>79</v>
      </c>
      <c r="E3086" s="328" t="s">
        <v>2426</v>
      </c>
      <c r="F3086" s="328">
        <v>22.9992105</v>
      </c>
      <c r="G3086" s="328">
        <v>5518.6824000000006</v>
      </c>
      <c r="H3086" s="328">
        <v>5988.3369000000002</v>
      </c>
      <c r="I3086" s="329">
        <v>7.0076378867114904E-3</v>
      </c>
      <c r="J3086" s="329">
        <v>0.59293947337240194</v>
      </c>
      <c r="K3086" s="329">
        <v>0.74817529711533037</v>
      </c>
    </row>
    <row r="3087" spans="1:11" ht="11.25" x14ac:dyDescent="0.15">
      <c r="A3087" s="326">
        <v>1.05</v>
      </c>
      <c r="B3087" s="327">
        <v>-40</v>
      </c>
      <c r="C3087" s="327" t="s">
        <v>110</v>
      </c>
      <c r="D3087" s="327" t="s">
        <v>114</v>
      </c>
      <c r="E3087" s="328" t="s">
        <v>2427</v>
      </c>
      <c r="F3087" s="328">
        <v>6.3273798000000001</v>
      </c>
      <c r="G3087" s="328">
        <v>5385.5676000000003</v>
      </c>
      <c r="H3087" s="328">
        <v>5900.5579500000003</v>
      </c>
      <c r="I3087" s="329">
        <v>1.9278916730682113E-3</v>
      </c>
      <c r="J3087" s="329">
        <v>0.57863732411118107</v>
      </c>
      <c r="K3087" s="329">
        <v>0.73720830526209624</v>
      </c>
    </row>
    <row r="3088" spans="1:11" ht="11.25" x14ac:dyDescent="0.15">
      <c r="A3088" s="326">
        <v>1.05</v>
      </c>
      <c r="B3088" s="327">
        <v>-40</v>
      </c>
      <c r="C3088" s="327" t="s">
        <v>110</v>
      </c>
      <c r="D3088" s="327" t="s">
        <v>113</v>
      </c>
      <c r="E3088" s="328" t="s">
        <v>2428</v>
      </c>
      <c r="F3088" s="328">
        <v>4.6678989000000009</v>
      </c>
      <c r="G3088" s="328">
        <v>5340.3756000000003</v>
      </c>
      <c r="H3088" s="328">
        <v>5814.45165</v>
      </c>
      <c r="I3088" s="329">
        <v>1.4222638287074635E-3</v>
      </c>
      <c r="J3088" s="329">
        <v>0.57378179542907282</v>
      </c>
      <c r="K3088" s="329">
        <v>0.72645029220073987</v>
      </c>
    </row>
    <row r="3089" spans="1:11" ht="11.25" x14ac:dyDescent="0.15">
      <c r="A3089" s="326">
        <v>1.075</v>
      </c>
      <c r="B3089" s="327">
        <v>-40</v>
      </c>
      <c r="C3089" s="327" t="s">
        <v>110</v>
      </c>
      <c r="D3089" s="327" t="s">
        <v>79</v>
      </c>
      <c r="E3089" s="328" t="s">
        <v>2429</v>
      </c>
      <c r="F3089" s="328">
        <v>26.007345999999998</v>
      </c>
      <c r="G3089" s="328">
        <v>5807.4767999999995</v>
      </c>
      <c r="H3089" s="328">
        <v>6288.9832750000005</v>
      </c>
      <c r="I3089" s="329">
        <v>7.9241877960295436E-3</v>
      </c>
      <c r="J3089" s="329">
        <v>0.62396818403871934</v>
      </c>
      <c r="K3089" s="329">
        <v>0.78573767790627624</v>
      </c>
    </row>
    <row r="3090" spans="1:11" ht="11.25" x14ac:dyDescent="0.15">
      <c r="A3090" s="326">
        <v>1.075</v>
      </c>
      <c r="B3090" s="327">
        <v>-40</v>
      </c>
      <c r="C3090" s="327" t="s">
        <v>110</v>
      </c>
      <c r="D3090" s="327" t="s">
        <v>114</v>
      </c>
      <c r="E3090" s="328" t="s">
        <v>2430</v>
      </c>
      <c r="F3090" s="328">
        <v>7.1215137999999998</v>
      </c>
      <c r="G3090" s="328">
        <v>5639.1038499999995</v>
      </c>
      <c r="H3090" s="328">
        <v>6198.0533249999999</v>
      </c>
      <c r="I3090" s="329">
        <v>2.1698566529324437E-3</v>
      </c>
      <c r="J3090" s="329">
        <v>0.60587782096525133</v>
      </c>
      <c r="K3090" s="329">
        <v>0.77437700406744592</v>
      </c>
    </row>
    <row r="3091" spans="1:11" ht="11.25" x14ac:dyDescent="0.15">
      <c r="A3091" s="326">
        <v>1.075</v>
      </c>
      <c r="B3091" s="327">
        <v>-40</v>
      </c>
      <c r="C3091" s="327" t="s">
        <v>110</v>
      </c>
      <c r="D3091" s="327" t="s">
        <v>113</v>
      </c>
      <c r="E3091" s="328" t="s">
        <v>2431</v>
      </c>
      <c r="F3091" s="328">
        <v>5.2550385999999998</v>
      </c>
      <c r="G3091" s="328">
        <v>5578.4394499999999</v>
      </c>
      <c r="H3091" s="328">
        <v>6108.8820750000004</v>
      </c>
      <c r="I3091" s="329">
        <v>1.6011596393489815E-3</v>
      </c>
      <c r="J3091" s="329">
        <v>0.59935990332091427</v>
      </c>
      <c r="K3091" s="329">
        <v>0.76323605999950361</v>
      </c>
    </row>
    <row r="3092" spans="1:11" ht="11.25" x14ac:dyDescent="0.15">
      <c r="A3092" s="326">
        <v>1.1000000000000001</v>
      </c>
      <c r="B3092" s="327">
        <v>-40</v>
      </c>
      <c r="C3092" s="327" t="s">
        <v>110</v>
      </c>
      <c r="D3092" s="327" t="s">
        <v>79</v>
      </c>
      <c r="E3092" s="328" t="s">
        <v>2432</v>
      </c>
      <c r="F3092" s="328">
        <v>29.372607000000002</v>
      </c>
      <c r="G3092" s="328">
        <v>6112.2853000000005</v>
      </c>
      <c r="H3092" s="328">
        <v>6597.4282000000012</v>
      </c>
      <c r="I3092" s="329">
        <v>8.9495504049883438E-3</v>
      </c>
      <c r="J3092" s="329">
        <v>0.65671748511635197</v>
      </c>
      <c r="K3092" s="329">
        <v>0.82427439974729211</v>
      </c>
    </row>
    <row r="3093" spans="1:11" ht="11.25" x14ac:dyDescent="0.15">
      <c r="A3093" s="326">
        <v>1.1000000000000001</v>
      </c>
      <c r="B3093" s="327">
        <v>-40</v>
      </c>
      <c r="C3093" s="327" t="s">
        <v>110</v>
      </c>
      <c r="D3093" s="327" t="s">
        <v>114</v>
      </c>
      <c r="E3093" s="328" t="s">
        <v>2433</v>
      </c>
      <c r="F3093" s="328">
        <v>8.0121304999999996</v>
      </c>
      <c r="G3093" s="328">
        <v>5903.1049000000003</v>
      </c>
      <c r="H3093" s="328">
        <v>6502.7732000000005</v>
      </c>
      <c r="I3093" s="329">
        <v>2.4412189820636095E-3</v>
      </c>
      <c r="J3093" s="329">
        <v>0.63424267913443344</v>
      </c>
      <c r="K3093" s="329">
        <v>0.81244832283627999</v>
      </c>
    </row>
    <row r="3094" spans="1:11" ht="11.25" x14ac:dyDescent="0.15">
      <c r="A3094" s="326">
        <v>1.1000000000000001</v>
      </c>
      <c r="B3094" s="327">
        <v>-40</v>
      </c>
      <c r="C3094" s="327" t="s">
        <v>110</v>
      </c>
      <c r="D3094" s="327" t="s">
        <v>113</v>
      </c>
      <c r="E3094" s="328" t="s">
        <v>2434</v>
      </c>
      <c r="F3094" s="328">
        <v>5.9138640000000002</v>
      </c>
      <c r="G3094" s="328">
        <v>5822.9204000000009</v>
      </c>
      <c r="H3094" s="328">
        <v>6410.536000000001</v>
      </c>
      <c r="I3094" s="329">
        <v>1.801897392228275E-3</v>
      </c>
      <c r="J3094" s="329">
        <v>0.6256274786650915</v>
      </c>
      <c r="K3094" s="329">
        <v>0.80092432282300652</v>
      </c>
    </row>
    <row r="3095" spans="1:11" ht="11.25" x14ac:dyDescent="0.15">
      <c r="A3095" s="326">
        <v>1.125</v>
      </c>
      <c r="B3095" s="327">
        <v>-40</v>
      </c>
      <c r="C3095" s="327" t="s">
        <v>110</v>
      </c>
      <c r="D3095" s="327" t="s">
        <v>79</v>
      </c>
      <c r="E3095" s="328" t="s">
        <v>2435</v>
      </c>
      <c r="F3095" s="328">
        <v>33.133522499999998</v>
      </c>
      <c r="G3095" s="328">
        <v>6435.5996250000007</v>
      </c>
      <c r="H3095" s="328">
        <v>6912.9191250000003</v>
      </c>
      <c r="I3095" s="329">
        <v>1.0095465128735945E-2</v>
      </c>
      <c r="J3095" s="329">
        <v>0.69145509306408492</v>
      </c>
      <c r="K3095" s="329">
        <v>0.86369143998580389</v>
      </c>
    </row>
    <row r="3096" spans="1:11" ht="11.25" x14ac:dyDescent="0.15">
      <c r="A3096" s="326">
        <v>1.125</v>
      </c>
      <c r="B3096" s="327">
        <v>-40</v>
      </c>
      <c r="C3096" s="327" t="s">
        <v>110</v>
      </c>
      <c r="D3096" s="327" t="s">
        <v>114</v>
      </c>
      <c r="E3096" s="328" t="s">
        <v>2436</v>
      </c>
      <c r="F3096" s="328">
        <v>9.0110812500000002</v>
      </c>
      <c r="G3096" s="328">
        <v>6179.1592499999988</v>
      </c>
      <c r="H3096" s="328">
        <v>6814.95075</v>
      </c>
      <c r="I3096" s="329">
        <v>2.745589652642013E-3</v>
      </c>
      <c r="J3096" s="329">
        <v>0.6639025705808338</v>
      </c>
      <c r="K3096" s="329">
        <v>0.85145139416047111</v>
      </c>
    </row>
    <row r="3097" spans="1:11" ht="11.25" x14ac:dyDescent="0.15">
      <c r="A3097" s="326">
        <v>1.125</v>
      </c>
      <c r="B3097" s="327">
        <v>-40</v>
      </c>
      <c r="C3097" s="327" t="s">
        <v>110</v>
      </c>
      <c r="D3097" s="327" t="s">
        <v>113</v>
      </c>
      <c r="E3097" s="328" t="s">
        <v>2437</v>
      </c>
      <c r="F3097" s="328">
        <v>6.6531723750000005</v>
      </c>
      <c r="G3097" s="328">
        <v>6076.4118749999998</v>
      </c>
      <c r="H3097" s="328">
        <v>6719.3921249999994</v>
      </c>
      <c r="I3097" s="329">
        <v>2.0271575322932181E-3</v>
      </c>
      <c r="J3097" s="329">
        <v>0.65286316479388429</v>
      </c>
      <c r="K3097" s="329">
        <v>0.83951241947597932</v>
      </c>
    </row>
    <row r="3098" spans="1:11" ht="11.25" x14ac:dyDescent="0.15">
      <c r="A3098" s="326">
        <v>1.1499999999999999</v>
      </c>
      <c r="B3098" s="327">
        <v>-40</v>
      </c>
      <c r="C3098" s="327" t="s">
        <v>110</v>
      </c>
      <c r="D3098" s="327" t="s">
        <v>79</v>
      </c>
      <c r="E3098" s="328" t="s">
        <v>2438</v>
      </c>
      <c r="F3098" s="328">
        <v>37.332461500000001</v>
      </c>
      <c r="G3098" s="328">
        <v>6778.4978999999994</v>
      </c>
      <c r="H3098" s="328">
        <v>7235.777</v>
      </c>
      <c r="I3098" s="329">
        <v>1.1374841393429487E-2</v>
      </c>
      <c r="J3098" s="329">
        <v>0.72829684402239414</v>
      </c>
      <c r="K3098" s="329">
        <v>0.90402889771202988</v>
      </c>
    </row>
    <row r="3099" spans="1:11" ht="11.25" x14ac:dyDescent="0.15">
      <c r="A3099" s="326">
        <v>1.1499999999999999</v>
      </c>
      <c r="B3099" s="327">
        <v>-40</v>
      </c>
      <c r="C3099" s="327" t="s">
        <v>110</v>
      </c>
      <c r="D3099" s="327" t="s">
        <v>114</v>
      </c>
      <c r="E3099" s="328" t="s">
        <v>2439</v>
      </c>
      <c r="F3099" s="328">
        <v>10.13160925</v>
      </c>
      <c r="G3099" s="328">
        <v>6469.0259999999989</v>
      </c>
      <c r="H3099" s="328">
        <v>7134.4044999999996</v>
      </c>
      <c r="I3099" s="329">
        <v>3.0870037401351923E-3</v>
      </c>
      <c r="J3099" s="329">
        <v>0.69504649690882281</v>
      </c>
      <c r="K3099" s="329">
        <v>0.89136354478126467</v>
      </c>
    </row>
    <row r="3100" spans="1:11" ht="11.25" x14ac:dyDescent="0.15">
      <c r="A3100" s="326">
        <v>1.1499999999999999</v>
      </c>
      <c r="B3100" s="327">
        <v>-40</v>
      </c>
      <c r="C3100" s="327" t="s">
        <v>110</v>
      </c>
      <c r="D3100" s="327" t="s">
        <v>113</v>
      </c>
      <c r="E3100" s="328" t="s">
        <v>2440</v>
      </c>
      <c r="F3100" s="328">
        <v>7.4827762999999994</v>
      </c>
      <c r="G3100" s="328">
        <v>6338.3675999999996</v>
      </c>
      <c r="H3100" s="328">
        <v>7035.5136999999995</v>
      </c>
      <c r="I3100" s="329">
        <v>2.2799298566212444E-3</v>
      </c>
      <c r="J3100" s="329">
        <v>0.68100826871006281</v>
      </c>
      <c r="K3100" s="329">
        <v>0.87900825233404567</v>
      </c>
    </row>
    <row r="3101" spans="1:11" ht="11.25" x14ac:dyDescent="0.15">
      <c r="A3101" s="326">
        <v>1.175</v>
      </c>
      <c r="B3101" s="327">
        <v>-40</v>
      </c>
      <c r="C3101" s="327" t="s">
        <v>110</v>
      </c>
      <c r="D3101" s="327" t="s">
        <v>79</v>
      </c>
      <c r="E3101" s="328" t="s">
        <v>2441</v>
      </c>
      <c r="F3101" s="328">
        <v>42.015967250000003</v>
      </c>
      <c r="G3101" s="328">
        <v>7141.564225000001</v>
      </c>
      <c r="H3101" s="328">
        <v>7565.9989000000005</v>
      </c>
      <c r="I3101" s="329">
        <v>1.2801860478990321E-2</v>
      </c>
      <c r="J3101" s="329">
        <v>0.76730549499037781</v>
      </c>
      <c r="K3101" s="329">
        <v>0.94528640748014081</v>
      </c>
    </row>
    <row r="3102" spans="1:11" ht="11.25" x14ac:dyDescent="0.15">
      <c r="A3102" s="326">
        <v>1.175</v>
      </c>
      <c r="B3102" s="327">
        <v>-40</v>
      </c>
      <c r="C3102" s="327" t="s">
        <v>110</v>
      </c>
      <c r="D3102" s="327" t="s">
        <v>114</v>
      </c>
      <c r="E3102" s="328" t="s">
        <v>2442</v>
      </c>
      <c r="F3102" s="328">
        <v>11.38852065</v>
      </c>
      <c r="G3102" s="328">
        <v>6774.0630000000001</v>
      </c>
      <c r="H3102" s="328">
        <v>7461.0584750000007</v>
      </c>
      <c r="I3102" s="329">
        <v>3.4699725358197046E-3</v>
      </c>
      <c r="J3102" s="329">
        <v>0.72782034853309785</v>
      </c>
      <c r="K3102" s="329">
        <v>0.93217528247750714</v>
      </c>
    </row>
    <row r="3103" spans="1:11" ht="11.25" x14ac:dyDescent="0.15">
      <c r="A3103" s="326">
        <v>1.175</v>
      </c>
      <c r="B3103" s="327">
        <v>-40</v>
      </c>
      <c r="C3103" s="327" t="s">
        <v>110</v>
      </c>
      <c r="D3103" s="327" t="s">
        <v>113</v>
      </c>
      <c r="E3103" s="328" t="s">
        <v>2443</v>
      </c>
      <c r="F3103" s="328">
        <v>8.4136380250000009</v>
      </c>
      <c r="G3103" s="328">
        <v>6611.921225</v>
      </c>
      <c r="H3103" s="328">
        <v>7359.7570250000008</v>
      </c>
      <c r="I3103" s="329">
        <v>2.5635544571874086E-3</v>
      </c>
      <c r="J3103" s="329">
        <v>0.71039947671772274</v>
      </c>
      <c r="K3103" s="329">
        <v>0.91951880644457662</v>
      </c>
    </row>
    <row r="3104" spans="1:11" ht="11.25" x14ac:dyDescent="0.15">
      <c r="A3104" s="326">
        <v>1.2</v>
      </c>
      <c r="B3104" s="327">
        <v>-40</v>
      </c>
      <c r="C3104" s="327" t="s">
        <v>110</v>
      </c>
      <c r="D3104" s="327" t="s">
        <v>79</v>
      </c>
      <c r="E3104" s="328" t="s">
        <v>2444</v>
      </c>
      <c r="F3104" s="328">
        <v>47.235312</v>
      </c>
      <c r="G3104" s="328">
        <v>7528.5540000000001</v>
      </c>
      <c r="H3104" s="328">
        <v>7903.8072000000002</v>
      </c>
      <c r="I3104" s="329">
        <v>1.4392144546085089E-2</v>
      </c>
      <c r="J3104" s="329">
        <v>0.80888453447070807</v>
      </c>
      <c r="K3104" s="329">
        <v>0.98749175254356314</v>
      </c>
    </row>
    <row r="3105" spans="1:11" ht="11.25" x14ac:dyDescent="0.15">
      <c r="A3105" s="326">
        <v>1.2</v>
      </c>
      <c r="B3105" s="327">
        <v>-40</v>
      </c>
      <c r="C3105" s="327" t="s">
        <v>110</v>
      </c>
      <c r="D3105" s="327" t="s">
        <v>114</v>
      </c>
      <c r="E3105" s="328" t="s">
        <v>2445</v>
      </c>
      <c r="F3105" s="328">
        <v>12.798371999999999</v>
      </c>
      <c r="G3105" s="328">
        <v>7096.0367999999989</v>
      </c>
      <c r="H3105" s="328">
        <v>7795.2803999999996</v>
      </c>
      <c r="I3105" s="329">
        <v>3.8995406609904069E-3</v>
      </c>
      <c r="J3105" s="329">
        <v>0.76241392750254722</v>
      </c>
      <c r="K3105" s="329">
        <v>0.97393255034921489</v>
      </c>
    </row>
    <row r="3106" spans="1:11" ht="11.25" x14ac:dyDescent="0.15">
      <c r="A3106" s="326">
        <v>1.2</v>
      </c>
      <c r="B3106" s="327">
        <v>-40</v>
      </c>
      <c r="C3106" s="327" t="s">
        <v>110</v>
      </c>
      <c r="D3106" s="327" t="s">
        <v>113</v>
      </c>
      <c r="E3106" s="328" t="s">
        <v>2446</v>
      </c>
      <c r="F3106" s="328">
        <v>9.4580051999999988</v>
      </c>
      <c r="G3106" s="328">
        <v>6895.0572000000002</v>
      </c>
      <c r="H3106" s="328">
        <v>7690.4159999999993</v>
      </c>
      <c r="I3106" s="329">
        <v>2.8817630749644334E-3</v>
      </c>
      <c r="J3106" s="329">
        <v>0.74082023365587912</v>
      </c>
      <c r="K3106" s="329">
        <v>0.96083092381467217</v>
      </c>
    </row>
    <row r="3107" spans="1:11" ht="11.25" x14ac:dyDescent="0.15">
      <c r="A3107" s="326">
        <v>1.2250000000000001</v>
      </c>
      <c r="B3107" s="327">
        <v>-40</v>
      </c>
      <c r="C3107" s="327" t="s">
        <v>110</v>
      </c>
      <c r="D3107" s="327" t="s">
        <v>79</v>
      </c>
      <c r="E3107" s="328" t="s">
        <v>2447</v>
      </c>
      <c r="F3107" s="328">
        <v>53.046983500000003</v>
      </c>
      <c r="G3107" s="328">
        <v>7937.2882750000008</v>
      </c>
      <c r="H3107" s="328">
        <v>8248.9429749999999</v>
      </c>
      <c r="I3107" s="329">
        <v>1.6162904867989245E-2</v>
      </c>
      <c r="J3107" s="329">
        <v>0.8527998512441014</v>
      </c>
      <c r="K3107" s="329">
        <v>1.0306125831377393</v>
      </c>
    </row>
    <row r="3108" spans="1:11" ht="11.25" x14ac:dyDescent="0.15">
      <c r="A3108" s="326">
        <v>1.2250000000000001</v>
      </c>
      <c r="B3108" s="327">
        <v>-40</v>
      </c>
      <c r="C3108" s="327" t="s">
        <v>110</v>
      </c>
      <c r="D3108" s="327" t="s">
        <v>114</v>
      </c>
      <c r="E3108" s="328" t="s">
        <v>2448</v>
      </c>
      <c r="F3108" s="328">
        <v>14.379699250000002</v>
      </c>
      <c r="G3108" s="328">
        <v>7435.2281499999999</v>
      </c>
      <c r="H3108" s="328">
        <v>8136.6117000000013</v>
      </c>
      <c r="I3108" s="329">
        <v>4.3813558410544925E-3</v>
      </c>
      <c r="J3108" s="329">
        <v>0.79885739821966528</v>
      </c>
      <c r="K3108" s="329">
        <v>1.0165780546113854</v>
      </c>
    </row>
    <row r="3109" spans="1:11" ht="11.25" x14ac:dyDescent="0.15">
      <c r="A3109" s="326">
        <v>1.2250000000000001</v>
      </c>
      <c r="B3109" s="327">
        <v>-40</v>
      </c>
      <c r="C3109" s="327" t="s">
        <v>110</v>
      </c>
      <c r="D3109" s="327" t="s">
        <v>113</v>
      </c>
      <c r="E3109" s="328" t="s">
        <v>2449</v>
      </c>
      <c r="F3109" s="328">
        <v>10.629569999999999</v>
      </c>
      <c r="G3109" s="328">
        <v>7190.9496749999998</v>
      </c>
      <c r="H3109" s="328">
        <v>8028.0460750000002</v>
      </c>
      <c r="I3109" s="329">
        <v>3.2387275837773583E-3</v>
      </c>
      <c r="J3109" s="329">
        <v>0.77261157723842644</v>
      </c>
      <c r="K3109" s="329">
        <v>1.0030140016702613</v>
      </c>
    </row>
    <row r="3110" spans="1:11" ht="11.25" x14ac:dyDescent="0.15">
      <c r="A3110" s="326">
        <v>1.25</v>
      </c>
      <c r="B3110" s="327">
        <v>-40</v>
      </c>
      <c r="C3110" s="327" t="s">
        <v>110</v>
      </c>
      <c r="D3110" s="327" t="s">
        <v>79</v>
      </c>
      <c r="E3110" s="328" t="s">
        <v>2450</v>
      </c>
      <c r="F3110" s="328">
        <v>59.513325000000002</v>
      </c>
      <c r="G3110" s="328">
        <v>8370.2962499999994</v>
      </c>
      <c r="H3110" s="328">
        <v>8602.28125</v>
      </c>
      <c r="I3110" s="329">
        <v>1.8133136832421883E-2</v>
      </c>
      <c r="J3110" s="329">
        <v>0.89932318816643442</v>
      </c>
      <c r="K3110" s="329">
        <v>1.0747582237880413</v>
      </c>
    </row>
    <row r="3111" spans="1:11" ht="11.25" x14ac:dyDescent="0.15">
      <c r="A3111" s="326">
        <v>1.25</v>
      </c>
      <c r="B3111" s="327">
        <v>-40</v>
      </c>
      <c r="C3111" s="327" t="s">
        <v>110</v>
      </c>
      <c r="D3111" s="327" t="s">
        <v>114</v>
      </c>
      <c r="E3111" s="328" t="s">
        <v>2451</v>
      </c>
      <c r="F3111" s="328">
        <v>16.153237499999999</v>
      </c>
      <c r="G3111" s="328">
        <v>7795.14</v>
      </c>
      <c r="H3111" s="328">
        <v>8485.963749999999</v>
      </c>
      <c r="I3111" s="329">
        <v>4.9217358612396195E-3</v>
      </c>
      <c r="J3111" s="329">
        <v>0.83752712539937879</v>
      </c>
      <c r="K3111" s="329">
        <v>1.0602256613127716</v>
      </c>
    </row>
    <row r="3112" spans="1:11" ht="11.25" x14ac:dyDescent="0.15">
      <c r="A3112" s="326">
        <v>1.25</v>
      </c>
      <c r="B3112" s="327">
        <v>-40</v>
      </c>
      <c r="C3112" s="327" t="s">
        <v>110</v>
      </c>
      <c r="D3112" s="327" t="s">
        <v>113</v>
      </c>
      <c r="E3112" s="328" t="s">
        <v>2452</v>
      </c>
      <c r="F3112" s="328">
        <v>11.9436575</v>
      </c>
      <c r="G3112" s="328">
        <v>7501.8000000000011</v>
      </c>
      <c r="H3112" s="328">
        <v>8373.85</v>
      </c>
      <c r="I3112" s="329">
        <v>3.6391173863514073E-3</v>
      </c>
      <c r="J3112" s="329">
        <v>0.80601002539031508</v>
      </c>
      <c r="K3112" s="329">
        <v>1.0462183100869307</v>
      </c>
    </row>
    <row r="3113" spans="1:11" ht="11.25" x14ac:dyDescent="0.15">
      <c r="A3113" s="326">
        <v>1.2749999999999999</v>
      </c>
      <c r="B3113" s="327">
        <v>-40</v>
      </c>
      <c r="C3113" s="327" t="s">
        <v>110</v>
      </c>
      <c r="D3113" s="327" t="s">
        <v>79</v>
      </c>
      <c r="E3113" s="328" t="s">
        <v>2453</v>
      </c>
      <c r="F3113" s="328">
        <v>66.703244249999983</v>
      </c>
      <c r="G3113" s="328">
        <v>8828.1356999999989</v>
      </c>
      <c r="H3113" s="328">
        <v>8962.1203499999992</v>
      </c>
      <c r="I3113" s="329">
        <v>2.0323835967015924E-2</v>
      </c>
      <c r="J3113" s="329">
        <v>0.94851447382043574</v>
      </c>
      <c r="K3113" s="329">
        <v>1.1197160693555164</v>
      </c>
    </row>
    <row r="3114" spans="1:11" ht="11.25" x14ac:dyDescent="0.15">
      <c r="A3114" s="326">
        <v>1.2749999999999999</v>
      </c>
      <c r="B3114" s="327">
        <v>-40</v>
      </c>
      <c r="C3114" s="327" t="s">
        <v>110</v>
      </c>
      <c r="D3114" s="327" t="s">
        <v>114</v>
      </c>
      <c r="E3114" s="328" t="s">
        <v>2454</v>
      </c>
      <c r="F3114" s="328">
        <v>18.142229999999998</v>
      </c>
      <c r="G3114" s="328">
        <v>8174.3450249999996</v>
      </c>
      <c r="H3114" s="328">
        <v>8841.6494249999996</v>
      </c>
      <c r="I3114" s="329">
        <v>5.5277627159173049E-3</v>
      </c>
      <c r="J3114" s="329">
        <v>0.87826975407894703</v>
      </c>
      <c r="K3114" s="329">
        <v>1.1046645831731619</v>
      </c>
    </row>
    <row r="3115" spans="1:11" ht="11.25" x14ac:dyDescent="0.15">
      <c r="A3115" s="326">
        <v>1.2749999999999999</v>
      </c>
      <c r="B3115" s="327">
        <v>-40</v>
      </c>
      <c r="C3115" s="327" t="s">
        <v>110</v>
      </c>
      <c r="D3115" s="327" t="s">
        <v>113</v>
      </c>
      <c r="E3115" s="328" t="s">
        <v>2455</v>
      </c>
      <c r="F3115" s="328">
        <v>13.417424249999998</v>
      </c>
      <c r="G3115" s="328">
        <v>7826.488049999999</v>
      </c>
      <c r="H3115" s="328">
        <v>8725.9151249999995</v>
      </c>
      <c r="I3115" s="329">
        <v>4.0881599182016051E-3</v>
      </c>
      <c r="J3115" s="329">
        <v>0.84089522939794392</v>
      </c>
      <c r="K3115" s="329">
        <v>1.0902048849739949</v>
      </c>
    </row>
    <row r="3116" spans="1:11" ht="11.25" x14ac:dyDescent="0.15">
      <c r="A3116" s="326">
        <v>1.3</v>
      </c>
      <c r="B3116" s="327">
        <v>-40</v>
      </c>
      <c r="C3116" s="327" t="s">
        <v>110</v>
      </c>
      <c r="D3116" s="327" t="s">
        <v>79</v>
      </c>
      <c r="E3116" s="328" t="s">
        <v>2456</v>
      </c>
      <c r="F3116" s="328">
        <v>74.693021000000002</v>
      </c>
      <c r="G3116" s="328">
        <v>9313.103799999999</v>
      </c>
      <c r="H3116" s="328">
        <v>9329.4616999999998</v>
      </c>
      <c r="I3116" s="329">
        <v>2.2758243976789421E-2</v>
      </c>
      <c r="J3116" s="329">
        <v>1.0006205217815243</v>
      </c>
      <c r="K3116" s="329">
        <v>1.1656112366229086</v>
      </c>
    </row>
    <row r="3117" spans="1:11" ht="11.25" x14ac:dyDescent="0.15">
      <c r="A3117" s="326">
        <v>1.3</v>
      </c>
      <c r="B3117" s="327">
        <v>-40</v>
      </c>
      <c r="C3117" s="327" t="s">
        <v>110</v>
      </c>
      <c r="D3117" s="327" t="s">
        <v>114</v>
      </c>
      <c r="E3117" s="328" t="s">
        <v>2457</v>
      </c>
      <c r="F3117" s="328">
        <v>20.372742000000002</v>
      </c>
      <c r="G3117" s="328">
        <v>8575.7932000000001</v>
      </c>
      <c r="H3117" s="328">
        <v>9205.2505999999994</v>
      </c>
      <c r="I3117" s="329">
        <v>6.207378235674587E-3</v>
      </c>
      <c r="J3117" s="329">
        <v>0.92140223611321159</v>
      </c>
      <c r="K3117" s="329">
        <v>1.1500924576698537</v>
      </c>
    </row>
    <row r="3118" spans="1:11" ht="11.25" x14ac:dyDescent="0.15">
      <c r="A3118" s="326">
        <v>1.3</v>
      </c>
      <c r="B3118" s="327">
        <v>-40</v>
      </c>
      <c r="C3118" s="327" t="s">
        <v>110</v>
      </c>
      <c r="D3118" s="327" t="s">
        <v>113</v>
      </c>
      <c r="E3118" s="328" t="s">
        <v>2458</v>
      </c>
      <c r="F3118" s="328">
        <v>15.070093999999999</v>
      </c>
      <c r="G3118" s="328">
        <v>8168.8841000000002</v>
      </c>
      <c r="H3118" s="328">
        <v>9085.9912000000004</v>
      </c>
      <c r="I3118" s="329">
        <v>4.5917124707695297E-3</v>
      </c>
      <c r="J3118" s="329">
        <v>0.87768302018869349</v>
      </c>
      <c r="K3118" s="329">
        <v>1.1351923379005744</v>
      </c>
    </row>
    <row r="3119" spans="1:11" ht="11.25" x14ac:dyDescent="0.15">
      <c r="A3119" s="326">
        <v>1.325</v>
      </c>
      <c r="B3119" s="327">
        <v>-40</v>
      </c>
      <c r="C3119" s="327" t="s">
        <v>110</v>
      </c>
      <c r="D3119" s="327" t="s">
        <v>79</v>
      </c>
      <c r="E3119" s="328" t="s">
        <v>2459</v>
      </c>
      <c r="F3119" s="328">
        <v>83.567180249999993</v>
      </c>
      <c r="G3119" s="328">
        <v>9821.448550000001</v>
      </c>
      <c r="H3119" s="328">
        <v>9705.5534499999994</v>
      </c>
      <c r="I3119" s="329">
        <v>2.5462114815008461E-2</v>
      </c>
      <c r="J3119" s="329">
        <v>1.0552382088505656</v>
      </c>
      <c r="K3119" s="329">
        <v>1.2125996678848294</v>
      </c>
    </row>
    <row r="3120" spans="1:11" ht="11.25" x14ac:dyDescent="0.15">
      <c r="A3120" s="326">
        <v>1.325</v>
      </c>
      <c r="B3120" s="327">
        <v>-40</v>
      </c>
      <c r="C3120" s="327" t="s">
        <v>110</v>
      </c>
      <c r="D3120" s="327" t="s">
        <v>114</v>
      </c>
      <c r="E3120" s="328" t="s">
        <v>2460</v>
      </c>
      <c r="F3120" s="328">
        <v>22.874004999999997</v>
      </c>
      <c r="G3120" s="328">
        <v>9001.0867249999992</v>
      </c>
      <c r="H3120" s="328">
        <v>9576.5302499999998</v>
      </c>
      <c r="I3120" s="329">
        <v>6.9694889769728423E-3</v>
      </c>
      <c r="J3120" s="329">
        <v>0.96709671542265541</v>
      </c>
      <c r="K3120" s="329">
        <v>1.1964796711968058</v>
      </c>
    </row>
    <row r="3121" spans="1:11" ht="11.25" x14ac:dyDescent="0.15">
      <c r="A3121" s="326">
        <v>1.325</v>
      </c>
      <c r="B3121" s="327">
        <v>-40</v>
      </c>
      <c r="C3121" s="327" t="s">
        <v>110</v>
      </c>
      <c r="D3121" s="327" t="s">
        <v>113</v>
      </c>
      <c r="E3121" s="328" t="s">
        <v>2461</v>
      </c>
      <c r="F3121" s="328">
        <v>16.923244499999999</v>
      </c>
      <c r="G3121" s="328">
        <v>8528.7189249999992</v>
      </c>
      <c r="H3121" s="328">
        <v>9453.08</v>
      </c>
      <c r="I3121" s="329">
        <v>5.1563495766205475E-3</v>
      </c>
      <c r="J3121" s="329">
        <v>0.91634447163162303</v>
      </c>
      <c r="K3121" s="329">
        <v>1.1810559518879085</v>
      </c>
    </row>
    <row r="3122" spans="1:11" ht="11.25" x14ac:dyDescent="0.15">
      <c r="A3122" s="326">
        <v>1.35</v>
      </c>
      <c r="B3122" s="327">
        <v>-40</v>
      </c>
      <c r="C3122" s="327" t="s">
        <v>110</v>
      </c>
      <c r="D3122" s="327" t="s">
        <v>79</v>
      </c>
      <c r="E3122" s="328" t="s">
        <v>2462</v>
      </c>
      <c r="F3122" s="328">
        <v>93.419581500000007</v>
      </c>
      <c r="G3122" s="328">
        <v>10358.784900000001</v>
      </c>
      <c r="H3122" s="328">
        <v>10087.4619</v>
      </c>
      <c r="I3122" s="329">
        <v>2.8464046567169422E-2</v>
      </c>
      <c r="J3122" s="329">
        <v>1.1129708177053257</v>
      </c>
      <c r="K3122" s="329">
        <v>1.2603148303449787</v>
      </c>
    </row>
    <row r="3123" spans="1:11" ht="11.25" x14ac:dyDescent="0.15">
      <c r="A3123" s="326">
        <v>1.35</v>
      </c>
      <c r="B3123" s="327">
        <v>-40</v>
      </c>
      <c r="C3123" s="327" t="s">
        <v>110</v>
      </c>
      <c r="D3123" s="327" t="s">
        <v>114</v>
      </c>
      <c r="E3123" s="328" t="s">
        <v>2463</v>
      </c>
      <c r="F3123" s="328">
        <v>25.678822500000003</v>
      </c>
      <c r="G3123" s="328">
        <v>9448.5325499999999</v>
      </c>
      <c r="H3123" s="328">
        <v>9954.2709000000013</v>
      </c>
      <c r="I3123" s="329">
        <v>7.8240898502641865E-3</v>
      </c>
      <c r="J3123" s="329">
        <v>1.0151712869613583</v>
      </c>
      <c r="K3123" s="329">
        <v>1.2436741139554102</v>
      </c>
    </row>
    <row r="3124" spans="1:11" ht="11.25" x14ac:dyDescent="0.15">
      <c r="A3124" s="326">
        <v>1.35</v>
      </c>
      <c r="B3124" s="327">
        <v>-40</v>
      </c>
      <c r="C3124" s="327" t="s">
        <v>110</v>
      </c>
      <c r="D3124" s="327" t="s">
        <v>113</v>
      </c>
      <c r="E3124" s="328" t="s">
        <v>2464</v>
      </c>
      <c r="F3124" s="328">
        <v>19.001047500000002</v>
      </c>
      <c r="G3124" s="328">
        <v>8907.8332499999997</v>
      </c>
      <c r="H3124" s="328">
        <v>9827.5558500000006</v>
      </c>
      <c r="I3124" s="329">
        <v>5.7894361351318851E-3</v>
      </c>
      <c r="J3124" s="329">
        <v>0.95707735530208637</v>
      </c>
      <c r="K3124" s="329">
        <v>1.2278424946317321</v>
      </c>
    </row>
    <row r="3125" spans="1:11" ht="11.25" x14ac:dyDescent="0.15">
      <c r="A3125" s="326">
        <v>1.375</v>
      </c>
      <c r="B3125" s="327">
        <v>-40</v>
      </c>
      <c r="C3125" s="327" t="s">
        <v>110</v>
      </c>
      <c r="D3125" s="327" t="s">
        <v>79</v>
      </c>
      <c r="E3125" s="328" t="s">
        <v>2465</v>
      </c>
      <c r="F3125" s="328">
        <v>104.354525</v>
      </c>
      <c r="G3125" s="328">
        <v>10920.212875000001</v>
      </c>
      <c r="H3125" s="328">
        <v>10477.937250000001</v>
      </c>
      <c r="I3125" s="329">
        <v>3.1795818514717335E-2</v>
      </c>
      <c r="J3125" s="329">
        <v>1.1732918841673192</v>
      </c>
      <c r="K3125" s="329">
        <v>1.3091003305399431</v>
      </c>
    </row>
    <row r="3126" spans="1:11" ht="11.25" x14ac:dyDescent="0.15">
      <c r="A3126" s="326">
        <v>1.375</v>
      </c>
      <c r="B3126" s="327">
        <v>-40</v>
      </c>
      <c r="C3126" s="327" t="s">
        <v>110</v>
      </c>
      <c r="D3126" s="327" t="s">
        <v>114</v>
      </c>
      <c r="E3126" s="328" t="s">
        <v>2466</v>
      </c>
      <c r="F3126" s="328">
        <v>28.82402875</v>
      </c>
      <c r="G3126" s="328">
        <v>9919.9925000000003</v>
      </c>
      <c r="H3126" s="328">
        <v>10340.418</v>
      </c>
      <c r="I3126" s="329">
        <v>8.7824038966972905E-3</v>
      </c>
      <c r="J3126" s="329">
        <v>1.0658259893354574</v>
      </c>
      <c r="K3126" s="329">
        <v>1.2919188480271893</v>
      </c>
    </row>
    <row r="3127" spans="1:11" ht="11.25" x14ac:dyDescent="0.15">
      <c r="A3127" s="326">
        <v>1.375</v>
      </c>
      <c r="B3127" s="327">
        <v>-40</v>
      </c>
      <c r="C3127" s="327" t="s">
        <v>110</v>
      </c>
      <c r="D3127" s="327" t="s">
        <v>113</v>
      </c>
      <c r="E3127" s="328" t="s">
        <v>2467</v>
      </c>
      <c r="F3127" s="328">
        <v>21.330704999999998</v>
      </c>
      <c r="G3127" s="328">
        <v>9308.6358749999999</v>
      </c>
      <c r="H3127" s="328">
        <v>10209.92225</v>
      </c>
      <c r="I3127" s="329">
        <v>6.499260333665202E-3</v>
      </c>
      <c r="J3127" s="329">
        <v>1.0001404780130032</v>
      </c>
      <c r="K3127" s="329">
        <v>1.2756148727901686</v>
      </c>
    </row>
    <row r="3128" spans="1:11" ht="11.25" x14ac:dyDescent="0.15">
      <c r="A3128" s="326">
        <v>1.4</v>
      </c>
      <c r="B3128" s="327">
        <v>-40</v>
      </c>
      <c r="C3128" s="327" t="s">
        <v>110</v>
      </c>
      <c r="D3128" s="327" t="s">
        <v>79</v>
      </c>
      <c r="E3128" s="328" t="s">
        <v>2468</v>
      </c>
      <c r="F3128" s="328">
        <v>116.488148</v>
      </c>
      <c r="G3128" s="328">
        <v>11510.4262</v>
      </c>
      <c r="H3128" s="328">
        <v>10876.668599999999</v>
      </c>
      <c r="I3128" s="329">
        <v>3.5492816558970811E-2</v>
      </c>
      <c r="J3128" s="329">
        <v>1.236705712457723</v>
      </c>
      <c r="K3128" s="329">
        <v>1.3589173250138922</v>
      </c>
    </row>
    <row r="3129" spans="1:11" ht="11.25" x14ac:dyDescent="0.15">
      <c r="A3129" s="326">
        <v>1.4</v>
      </c>
      <c r="B3129" s="327">
        <v>-40</v>
      </c>
      <c r="C3129" s="327" t="s">
        <v>110</v>
      </c>
      <c r="D3129" s="327" t="s">
        <v>114</v>
      </c>
      <c r="E3129" s="328" t="s">
        <v>2469</v>
      </c>
      <c r="F3129" s="328">
        <v>32.351045999999997</v>
      </c>
      <c r="G3129" s="328">
        <v>10417.654799999998</v>
      </c>
      <c r="H3129" s="328">
        <v>10733.293199999998</v>
      </c>
      <c r="I3129" s="329">
        <v>9.8570520768243852E-3</v>
      </c>
      <c r="J3129" s="329">
        <v>1.1192959302908017</v>
      </c>
      <c r="K3129" s="329">
        <v>1.3410041824694188</v>
      </c>
    </row>
    <row r="3130" spans="1:11" ht="11.25" x14ac:dyDescent="0.15">
      <c r="A3130" s="326">
        <v>1.4</v>
      </c>
      <c r="B3130" s="327">
        <v>-40</v>
      </c>
      <c r="C3130" s="327" t="s">
        <v>110</v>
      </c>
      <c r="D3130" s="327" t="s">
        <v>113</v>
      </c>
      <c r="E3130" s="328" t="s">
        <v>2470</v>
      </c>
      <c r="F3130" s="328">
        <v>23.942730000000001</v>
      </c>
      <c r="G3130" s="328">
        <v>9728.7708000000002</v>
      </c>
      <c r="H3130" s="328">
        <v>10598.804999999998</v>
      </c>
      <c r="I3130" s="329">
        <v>7.2951191893871233E-3</v>
      </c>
      <c r="J3130" s="329">
        <v>1.0452807059005245</v>
      </c>
      <c r="K3130" s="329">
        <v>1.3242013955397947</v>
      </c>
    </row>
    <row r="3131" spans="1:11" ht="11.25" x14ac:dyDescent="0.15">
      <c r="A3131" s="326">
        <v>0.9</v>
      </c>
      <c r="B3131" s="327">
        <v>-20</v>
      </c>
      <c r="C3131" s="327" t="s">
        <v>110</v>
      </c>
      <c r="D3131" s="327" t="s">
        <v>79</v>
      </c>
      <c r="E3131" s="328" t="s">
        <v>2471</v>
      </c>
      <c r="F3131" s="328">
        <v>15.703919999999998</v>
      </c>
      <c r="G3131" s="328">
        <v>4065.2325000000001</v>
      </c>
      <c r="H3131" s="328">
        <v>4348.1142</v>
      </c>
      <c r="I3131" s="329">
        <v>4.7848331472893947E-3</v>
      </c>
      <c r="J3131" s="329">
        <v>0.43677759344990985</v>
      </c>
      <c r="K3131" s="329">
        <v>0.54324793140419125</v>
      </c>
    </row>
    <row r="3132" spans="1:11" ht="11.25" x14ac:dyDescent="0.15">
      <c r="A3132" s="326">
        <v>0.9</v>
      </c>
      <c r="B3132" s="327">
        <v>-20</v>
      </c>
      <c r="C3132" s="327" t="s">
        <v>110</v>
      </c>
      <c r="D3132" s="327" t="s">
        <v>114</v>
      </c>
      <c r="E3132" s="328" t="s">
        <v>2472</v>
      </c>
      <c r="F3132" s="328">
        <v>3.7198953000000001</v>
      </c>
      <c r="G3132" s="328">
        <v>4032.0198</v>
      </c>
      <c r="H3132" s="328">
        <v>4278.7646999999997</v>
      </c>
      <c r="I3132" s="329">
        <v>1.1334162639574088E-3</v>
      </c>
      <c r="J3132" s="329">
        <v>0.43320914732094334</v>
      </c>
      <c r="K3132" s="329">
        <v>0.53458349190558851</v>
      </c>
    </row>
    <row r="3133" spans="1:11" ht="11.25" x14ac:dyDescent="0.15">
      <c r="A3133" s="326">
        <v>0.9</v>
      </c>
      <c r="B3133" s="327">
        <v>-20</v>
      </c>
      <c r="C3133" s="327" t="s">
        <v>110</v>
      </c>
      <c r="D3133" s="327" t="s">
        <v>113</v>
      </c>
      <c r="E3133" s="328" t="s">
        <v>2473</v>
      </c>
      <c r="F3133" s="328">
        <v>2.4509259000000001</v>
      </c>
      <c r="G3133" s="328">
        <v>4023.3555000000006</v>
      </c>
      <c r="H3133" s="328">
        <v>4209.3504000000003</v>
      </c>
      <c r="I3133" s="329">
        <v>7.4677351182826288E-4</v>
      </c>
      <c r="J3133" s="329">
        <v>0.43227823571799623</v>
      </c>
      <c r="K3133" s="329">
        <v>0.52591095637630791</v>
      </c>
    </row>
    <row r="3134" spans="1:11" ht="11.25" x14ac:dyDescent="0.15">
      <c r="A3134" s="326">
        <v>0.92500000000000004</v>
      </c>
      <c r="B3134" s="327">
        <v>-20</v>
      </c>
      <c r="C3134" s="327" t="s">
        <v>110</v>
      </c>
      <c r="D3134" s="327" t="s">
        <v>79</v>
      </c>
      <c r="E3134" s="328" t="s">
        <v>2474</v>
      </c>
      <c r="F3134" s="328">
        <v>17.732074250000004</v>
      </c>
      <c r="G3134" s="328">
        <v>4288.8855249999997</v>
      </c>
      <c r="H3134" s="328">
        <v>4605.1226749999996</v>
      </c>
      <c r="I3134" s="329">
        <v>5.4027922099448272E-3</v>
      </c>
      <c r="J3134" s="329">
        <v>0.46080737035130293</v>
      </c>
      <c r="K3134" s="329">
        <v>0.57535824773330135</v>
      </c>
    </row>
    <row r="3135" spans="1:11" ht="11.25" x14ac:dyDescent="0.15">
      <c r="A3135" s="326">
        <v>0.92500000000000004</v>
      </c>
      <c r="B3135" s="327">
        <v>-20</v>
      </c>
      <c r="C3135" s="327" t="s">
        <v>110</v>
      </c>
      <c r="D3135" s="327" t="s">
        <v>114</v>
      </c>
      <c r="E3135" s="328" t="s">
        <v>2475</v>
      </c>
      <c r="F3135" s="328">
        <v>4.1886173749999998</v>
      </c>
      <c r="G3135" s="328">
        <v>4241.0186249999997</v>
      </c>
      <c r="H3135" s="328">
        <v>4532.6553999999996</v>
      </c>
      <c r="I3135" s="329">
        <v>1.2762313649848124E-3</v>
      </c>
      <c r="J3135" s="329">
        <v>0.45566444448226406</v>
      </c>
      <c r="K3135" s="329">
        <v>0.56630427733890631</v>
      </c>
    </row>
    <row r="3136" spans="1:11" ht="11.25" x14ac:dyDescent="0.15">
      <c r="A3136" s="326">
        <v>0.92500000000000004</v>
      </c>
      <c r="B3136" s="327">
        <v>-20</v>
      </c>
      <c r="C3136" s="327" t="s">
        <v>110</v>
      </c>
      <c r="D3136" s="327" t="s">
        <v>113</v>
      </c>
      <c r="E3136" s="328" t="s">
        <v>2476</v>
      </c>
      <c r="F3136" s="328">
        <v>2.7642579750000005</v>
      </c>
      <c r="G3136" s="328">
        <v>4228.4830249999995</v>
      </c>
      <c r="H3136" s="328">
        <v>4461.0807500000001</v>
      </c>
      <c r="I3136" s="329">
        <v>8.4224277673593999E-4</v>
      </c>
      <c r="J3136" s="329">
        <v>0.45431759182366438</v>
      </c>
      <c r="K3136" s="329">
        <v>0.55736183039179554</v>
      </c>
    </row>
    <row r="3137" spans="1:11" ht="11.25" x14ac:dyDescent="0.15">
      <c r="A3137" s="326">
        <v>0.95</v>
      </c>
      <c r="B3137" s="327">
        <v>-20</v>
      </c>
      <c r="C3137" s="327" t="s">
        <v>110</v>
      </c>
      <c r="D3137" s="327" t="s">
        <v>79</v>
      </c>
      <c r="E3137" s="328" t="s">
        <v>2477</v>
      </c>
      <c r="F3137" s="328">
        <v>19.998592499999997</v>
      </c>
      <c r="G3137" s="328">
        <v>4521.91165</v>
      </c>
      <c r="H3137" s="328">
        <v>4869.0825000000004</v>
      </c>
      <c r="I3137" s="329">
        <v>6.0933784872269523E-3</v>
      </c>
      <c r="J3137" s="329">
        <v>0.48584421389923232</v>
      </c>
      <c r="K3137" s="329">
        <v>0.60833705700769036</v>
      </c>
    </row>
    <row r="3138" spans="1:11" ht="11.25" x14ac:dyDescent="0.15">
      <c r="A3138" s="326">
        <v>0.95</v>
      </c>
      <c r="B3138" s="327">
        <v>-20</v>
      </c>
      <c r="C3138" s="327" t="s">
        <v>110</v>
      </c>
      <c r="D3138" s="327" t="s">
        <v>114</v>
      </c>
      <c r="E3138" s="328" t="s">
        <v>2478</v>
      </c>
      <c r="F3138" s="328">
        <v>4.7114376</v>
      </c>
      <c r="G3138" s="328">
        <v>4457.0333000000001</v>
      </c>
      <c r="H3138" s="328">
        <v>4794.0277500000002</v>
      </c>
      <c r="I3138" s="329">
        <v>1.4355296511868118E-3</v>
      </c>
      <c r="J3138" s="329">
        <v>0.47887354012350097</v>
      </c>
      <c r="K3138" s="329">
        <v>0.5989598107339934</v>
      </c>
    </row>
    <row r="3139" spans="1:11" ht="11.25" x14ac:dyDescent="0.15">
      <c r="A3139" s="326">
        <v>0.95</v>
      </c>
      <c r="B3139" s="327">
        <v>-20</v>
      </c>
      <c r="C3139" s="327" t="s">
        <v>110</v>
      </c>
      <c r="D3139" s="327" t="s">
        <v>113</v>
      </c>
      <c r="E3139" s="328" t="s">
        <v>2479</v>
      </c>
      <c r="F3139" s="328">
        <v>3.1146880499999998</v>
      </c>
      <c r="G3139" s="328">
        <v>4439.1286499999997</v>
      </c>
      <c r="H3139" s="328">
        <v>4719.4897999999994</v>
      </c>
      <c r="I3139" s="329">
        <v>9.4901544487657665E-4</v>
      </c>
      <c r="J3139" s="329">
        <v>0.47694982482835779</v>
      </c>
      <c r="K3139" s="329">
        <v>0.58964713280372894</v>
      </c>
    </row>
    <row r="3140" spans="1:11" ht="11.25" x14ac:dyDescent="0.15">
      <c r="A3140" s="326">
        <v>0.97499999999999998</v>
      </c>
      <c r="B3140" s="327">
        <v>-20</v>
      </c>
      <c r="C3140" s="327" t="s">
        <v>110</v>
      </c>
      <c r="D3140" s="327" t="s">
        <v>79</v>
      </c>
      <c r="E3140" s="328" t="s">
        <v>2480</v>
      </c>
      <c r="F3140" s="328">
        <v>22.538802</v>
      </c>
      <c r="G3140" s="328">
        <v>4765.9053000000004</v>
      </c>
      <c r="H3140" s="328">
        <v>5140.43595</v>
      </c>
      <c r="I3140" s="329">
        <v>6.867355851901469E-3</v>
      </c>
      <c r="J3140" s="329">
        <v>0.512059432650942</v>
      </c>
      <c r="K3140" s="329">
        <v>0.64223961651081718</v>
      </c>
    </row>
    <row r="3141" spans="1:11" ht="11.25" x14ac:dyDescent="0.15">
      <c r="A3141" s="326">
        <v>0.97499999999999998</v>
      </c>
      <c r="B3141" s="327">
        <v>-20</v>
      </c>
      <c r="C3141" s="327" t="s">
        <v>110</v>
      </c>
      <c r="D3141" s="327" t="s">
        <v>114</v>
      </c>
      <c r="E3141" s="328" t="s">
        <v>2481</v>
      </c>
      <c r="F3141" s="328">
        <v>5.2986131250000001</v>
      </c>
      <c r="G3141" s="328">
        <v>4679.9171249999999</v>
      </c>
      <c r="H3141" s="328">
        <v>5062.4456999999993</v>
      </c>
      <c r="I3141" s="329">
        <v>1.6144363773607259E-3</v>
      </c>
      <c r="J3141" s="329">
        <v>0.50282067247138285</v>
      </c>
      <c r="K3141" s="329">
        <v>0.63249561255107845</v>
      </c>
    </row>
    <row r="3142" spans="1:11" ht="11.25" x14ac:dyDescent="0.15">
      <c r="A3142" s="326">
        <v>0.97499999999999998</v>
      </c>
      <c r="B3142" s="327">
        <v>-20</v>
      </c>
      <c r="C3142" s="327" t="s">
        <v>110</v>
      </c>
      <c r="D3142" s="327" t="s">
        <v>113</v>
      </c>
      <c r="E3142" s="328" t="s">
        <v>2482</v>
      </c>
      <c r="F3142" s="328">
        <v>3.5096490000000005</v>
      </c>
      <c r="G3142" s="328">
        <v>4654.728975</v>
      </c>
      <c r="H3142" s="328">
        <v>4985.3992499999995</v>
      </c>
      <c r="I3142" s="329">
        <v>1.0693562416613865E-3</v>
      </c>
      <c r="J3142" s="329">
        <v>0.50011440178687583</v>
      </c>
      <c r="K3142" s="329">
        <v>0.62286952577890109</v>
      </c>
    </row>
    <row r="3143" spans="1:11" ht="11.25" x14ac:dyDescent="0.15">
      <c r="A3143" s="326">
        <v>1</v>
      </c>
      <c r="B3143" s="327">
        <v>-20</v>
      </c>
      <c r="C3143" s="327" t="s">
        <v>110</v>
      </c>
      <c r="D3143" s="327" t="s">
        <v>79</v>
      </c>
      <c r="E3143" s="328" t="s">
        <v>2483</v>
      </c>
      <c r="F3143" s="328">
        <v>25.382819999999999</v>
      </c>
      <c r="G3143" s="328">
        <v>5022.9470000000001</v>
      </c>
      <c r="H3143" s="328">
        <v>5419.5910000000003</v>
      </c>
      <c r="I3143" s="329">
        <v>7.7339007399222746E-3</v>
      </c>
      <c r="J3143" s="329">
        <v>0.53967656282548271</v>
      </c>
      <c r="K3143" s="329">
        <v>0.67711689812718634</v>
      </c>
    </row>
    <row r="3144" spans="1:11" ht="11.25" x14ac:dyDescent="0.15">
      <c r="A3144" s="326">
        <v>1</v>
      </c>
      <c r="B3144" s="327">
        <v>-20</v>
      </c>
      <c r="C3144" s="327" t="s">
        <v>110</v>
      </c>
      <c r="D3144" s="327" t="s">
        <v>114</v>
      </c>
      <c r="E3144" s="328" t="s">
        <v>2484</v>
      </c>
      <c r="F3144" s="328">
        <v>5.9580700000000002</v>
      </c>
      <c r="G3144" s="328">
        <v>4910.9230000000007</v>
      </c>
      <c r="H3144" s="328">
        <v>5338.3850000000002</v>
      </c>
      <c r="I3144" s="329">
        <v>1.8153665345894865E-3</v>
      </c>
      <c r="J3144" s="329">
        <v>0.52764045587990649</v>
      </c>
      <c r="K3144" s="329">
        <v>0.66697112239811074</v>
      </c>
    </row>
    <row r="3145" spans="1:11" ht="11.25" x14ac:dyDescent="0.15">
      <c r="A3145" s="326">
        <v>1</v>
      </c>
      <c r="B3145" s="327">
        <v>-20</v>
      </c>
      <c r="C3145" s="327" t="s">
        <v>110</v>
      </c>
      <c r="D3145" s="327" t="s">
        <v>113</v>
      </c>
      <c r="E3145" s="328" t="s">
        <v>2485</v>
      </c>
      <c r="F3145" s="328">
        <v>3.9548070000000002</v>
      </c>
      <c r="G3145" s="328">
        <v>4875.6840000000002</v>
      </c>
      <c r="H3145" s="328">
        <v>5258.07</v>
      </c>
      <c r="I3145" s="329">
        <v>1.204991596030299E-3</v>
      </c>
      <c r="J3145" s="329">
        <v>0.52385429958611973</v>
      </c>
      <c r="K3145" s="329">
        <v>0.65693666709085874</v>
      </c>
    </row>
    <row r="3146" spans="1:11" ht="11.25" x14ac:dyDescent="0.15">
      <c r="A3146" s="326">
        <v>1.0249999999999999</v>
      </c>
      <c r="B3146" s="327">
        <v>-20</v>
      </c>
      <c r="C3146" s="327" t="s">
        <v>110</v>
      </c>
      <c r="D3146" s="327" t="s">
        <v>79</v>
      </c>
      <c r="E3146" s="328" t="s">
        <v>2486</v>
      </c>
      <c r="F3146" s="328">
        <v>28.554952249999996</v>
      </c>
      <c r="G3146" s="328">
        <v>5292.9862249999996</v>
      </c>
      <c r="H3146" s="328">
        <v>5705.5763999999999</v>
      </c>
      <c r="I3146" s="329">
        <v>8.7004188791757649E-3</v>
      </c>
      <c r="J3146" s="329">
        <v>0.56869017590482784</v>
      </c>
      <c r="K3146" s="329">
        <v>0.71284755510068532</v>
      </c>
    </row>
    <row r="3147" spans="1:11" ht="11.25" x14ac:dyDescent="0.15">
      <c r="A3147" s="326">
        <v>1.0249999999999999</v>
      </c>
      <c r="B3147" s="327">
        <v>-20</v>
      </c>
      <c r="C3147" s="327" t="s">
        <v>110</v>
      </c>
      <c r="D3147" s="327" t="s">
        <v>114</v>
      </c>
      <c r="E3147" s="328" t="s">
        <v>2487</v>
      </c>
      <c r="F3147" s="328">
        <v>6.6952128750000002</v>
      </c>
      <c r="G3147" s="328">
        <v>5150.986825</v>
      </c>
      <c r="H3147" s="328">
        <v>5621.4136499999995</v>
      </c>
      <c r="I3147" s="329">
        <v>2.0399668676648079E-3</v>
      </c>
      <c r="J3147" s="329">
        <v>0.55343344552019891</v>
      </c>
      <c r="K3147" s="329">
        <v>0.70233236673723609</v>
      </c>
    </row>
    <row r="3148" spans="1:11" ht="11.25" x14ac:dyDescent="0.15">
      <c r="A3148" s="326">
        <v>1.0249999999999999</v>
      </c>
      <c r="B3148" s="327">
        <v>-20</v>
      </c>
      <c r="C3148" s="327" t="s">
        <v>110</v>
      </c>
      <c r="D3148" s="327" t="s">
        <v>113</v>
      </c>
      <c r="E3148" s="328" t="s">
        <v>2488</v>
      </c>
      <c r="F3148" s="328">
        <v>4.4538771500000003</v>
      </c>
      <c r="G3148" s="328">
        <v>5102.4705000000004</v>
      </c>
      <c r="H3148" s="328">
        <v>5538.1949249999998</v>
      </c>
      <c r="I3148" s="329">
        <v>1.3570534631655552E-3</v>
      </c>
      <c r="J3148" s="329">
        <v>0.54822074398922038</v>
      </c>
      <c r="K3148" s="329">
        <v>0.69193512367256582</v>
      </c>
    </row>
    <row r="3149" spans="1:11" ht="11.25" x14ac:dyDescent="0.15">
      <c r="A3149" s="326">
        <v>1.05</v>
      </c>
      <c r="B3149" s="327">
        <v>-20</v>
      </c>
      <c r="C3149" s="327" t="s">
        <v>110</v>
      </c>
      <c r="D3149" s="327" t="s">
        <v>79</v>
      </c>
      <c r="E3149" s="328" t="s">
        <v>2489</v>
      </c>
      <c r="F3149" s="328">
        <v>32.089774499999997</v>
      </c>
      <c r="G3149" s="328">
        <v>5578.2593999999999</v>
      </c>
      <c r="H3149" s="328">
        <v>5999.2516500000002</v>
      </c>
      <c r="I3149" s="329">
        <v>9.7774451676168727E-3</v>
      </c>
      <c r="J3149" s="329">
        <v>0.59934055834969779</v>
      </c>
      <c r="K3149" s="329">
        <v>0.74953897228266941</v>
      </c>
    </row>
    <row r="3150" spans="1:11" ht="11.25" x14ac:dyDescent="0.15">
      <c r="A3150" s="326">
        <v>1.05</v>
      </c>
      <c r="B3150" s="327">
        <v>-20</v>
      </c>
      <c r="C3150" s="327" t="s">
        <v>110</v>
      </c>
      <c r="D3150" s="327" t="s">
        <v>114</v>
      </c>
      <c r="E3150" s="328" t="s">
        <v>2490</v>
      </c>
      <c r="F3150" s="328">
        <v>7.51927155</v>
      </c>
      <c r="G3150" s="328">
        <v>5400.8188499999997</v>
      </c>
      <c r="H3150" s="328">
        <v>5911.7152500000002</v>
      </c>
      <c r="I3150" s="329">
        <v>2.291049607735528E-3</v>
      </c>
      <c r="J3150" s="329">
        <v>0.58027595222706441</v>
      </c>
      <c r="K3150" s="329">
        <v>0.73860228432204267</v>
      </c>
    </row>
    <row r="3151" spans="1:11" ht="11.25" x14ac:dyDescent="0.15">
      <c r="A3151" s="326">
        <v>1.05</v>
      </c>
      <c r="B3151" s="327">
        <v>-20</v>
      </c>
      <c r="C3151" s="327" t="s">
        <v>110</v>
      </c>
      <c r="D3151" s="327" t="s">
        <v>113</v>
      </c>
      <c r="E3151" s="328" t="s">
        <v>2491</v>
      </c>
      <c r="F3151" s="328">
        <v>5.0134328999999997</v>
      </c>
      <c r="G3151" s="328">
        <v>5336.7762000000002</v>
      </c>
      <c r="H3151" s="328">
        <v>5825.9113500000003</v>
      </c>
      <c r="I3151" s="329">
        <v>1.5275447099597553E-3</v>
      </c>
      <c r="J3151" s="329">
        <v>0.57339506791229156</v>
      </c>
      <c r="K3151" s="329">
        <v>0.72788205273718409</v>
      </c>
    </row>
    <row r="3152" spans="1:11" ht="11.25" x14ac:dyDescent="0.15">
      <c r="A3152" s="326">
        <v>1.075</v>
      </c>
      <c r="B3152" s="327">
        <v>-20</v>
      </c>
      <c r="C3152" s="327" t="s">
        <v>110</v>
      </c>
      <c r="D3152" s="327" t="s">
        <v>79</v>
      </c>
      <c r="E3152" s="328" t="s">
        <v>2492</v>
      </c>
      <c r="F3152" s="328">
        <v>36.025571999999997</v>
      </c>
      <c r="G3152" s="328">
        <v>5880.1113249999999</v>
      </c>
      <c r="H3152" s="328">
        <v>6300.1535999999987</v>
      </c>
      <c r="I3152" s="329">
        <v>1.0976644752116713E-2</v>
      </c>
      <c r="J3152" s="329">
        <v>0.63177219845385491</v>
      </c>
      <c r="K3152" s="329">
        <v>0.78713328429337659</v>
      </c>
    </row>
    <row r="3153" spans="1:11" ht="11.25" x14ac:dyDescent="0.15">
      <c r="A3153" s="326">
        <v>1.075</v>
      </c>
      <c r="B3153" s="327">
        <v>-20</v>
      </c>
      <c r="C3153" s="327" t="s">
        <v>110</v>
      </c>
      <c r="D3153" s="327" t="s">
        <v>114</v>
      </c>
      <c r="E3153" s="328" t="s">
        <v>2493</v>
      </c>
      <c r="F3153" s="328">
        <v>8.4407312249999986</v>
      </c>
      <c r="G3153" s="328">
        <v>5661.6605749999999</v>
      </c>
      <c r="H3153" s="328">
        <v>6209.53755</v>
      </c>
      <c r="I3153" s="329">
        <v>2.5718094942371469E-3</v>
      </c>
      <c r="J3153" s="329">
        <v>0.60830136551322289</v>
      </c>
      <c r="K3153" s="329">
        <v>0.77581182872661203</v>
      </c>
    </row>
    <row r="3154" spans="1:11" ht="11.25" x14ac:dyDescent="0.15">
      <c r="A3154" s="326">
        <v>1.075</v>
      </c>
      <c r="B3154" s="327">
        <v>-20</v>
      </c>
      <c r="C3154" s="327" t="s">
        <v>110</v>
      </c>
      <c r="D3154" s="327" t="s">
        <v>113</v>
      </c>
      <c r="E3154" s="328" t="s">
        <v>2494</v>
      </c>
      <c r="F3154" s="328">
        <v>5.6409582250000003</v>
      </c>
      <c r="G3154" s="328">
        <v>5578.3609749999996</v>
      </c>
      <c r="H3154" s="328">
        <v>6120.872625</v>
      </c>
      <c r="I3154" s="329">
        <v>1.7187456315018641E-3</v>
      </c>
      <c r="J3154" s="329">
        <v>0.59935147179291526</v>
      </c>
      <c r="K3154" s="329">
        <v>0.76473414426874797</v>
      </c>
    </row>
    <row r="3155" spans="1:11" ht="11.25" x14ac:dyDescent="0.15">
      <c r="A3155" s="326">
        <v>1.1000000000000001</v>
      </c>
      <c r="B3155" s="327">
        <v>-20</v>
      </c>
      <c r="C3155" s="327" t="s">
        <v>110</v>
      </c>
      <c r="D3155" s="327" t="s">
        <v>79</v>
      </c>
      <c r="E3155" s="328" t="s">
        <v>2495</v>
      </c>
      <c r="F3155" s="328">
        <v>40.404353000000008</v>
      </c>
      <c r="G3155" s="328">
        <v>6200.7396000000008</v>
      </c>
      <c r="H3155" s="328">
        <v>6608.6592000000001</v>
      </c>
      <c r="I3155" s="329">
        <v>1.2310817141782546E-2</v>
      </c>
      <c r="J3155" s="329">
        <v>0.66622121123393485</v>
      </c>
      <c r="K3155" s="329">
        <v>0.82567758679274739</v>
      </c>
    </row>
    <row r="3156" spans="1:11" ht="11.25" x14ac:dyDescent="0.15">
      <c r="A3156" s="326">
        <v>1.1000000000000001</v>
      </c>
      <c r="B3156" s="327">
        <v>-20</v>
      </c>
      <c r="C3156" s="327" t="s">
        <v>110</v>
      </c>
      <c r="D3156" s="327" t="s">
        <v>114</v>
      </c>
      <c r="E3156" s="328" t="s">
        <v>2496</v>
      </c>
      <c r="F3156" s="328">
        <v>9.4713057999999997</v>
      </c>
      <c r="G3156" s="328">
        <v>5934.0974000000006</v>
      </c>
      <c r="H3156" s="328">
        <v>6514.4992000000002</v>
      </c>
      <c r="I3156" s="329">
        <v>2.8858156396590344E-3</v>
      </c>
      <c r="J3156" s="329">
        <v>0.63757258205265432</v>
      </c>
      <c r="K3156" s="329">
        <v>0.81391335456052616</v>
      </c>
    </row>
    <row r="3157" spans="1:11" ht="11.25" x14ac:dyDescent="0.15">
      <c r="A3157" s="326">
        <v>1.1000000000000001</v>
      </c>
      <c r="B3157" s="327">
        <v>-20</v>
      </c>
      <c r="C3157" s="327" t="s">
        <v>110</v>
      </c>
      <c r="D3157" s="327" t="s">
        <v>113</v>
      </c>
      <c r="E3157" s="328" t="s">
        <v>2497</v>
      </c>
      <c r="F3157" s="328">
        <v>6.3448154000000008</v>
      </c>
      <c r="G3157" s="328">
        <v>5827.6185000000005</v>
      </c>
      <c r="H3157" s="328">
        <v>6422.2620000000006</v>
      </c>
      <c r="I3157" s="329">
        <v>1.9332041324301339E-3</v>
      </c>
      <c r="J3157" s="329">
        <v>0.62613225294596897</v>
      </c>
      <c r="K3157" s="329">
        <v>0.8023893545472528</v>
      </c>
    </row>
    <row r="3158" spans="1:11" ht="11.25" x14ac:dyDescent="0.15">
      <c r="A3158" s="326">
        <v>1.125</v>
      </c>
      <c r="B3158" s="327">
        <v>-20</v>
      </c>
      <c r="C3158" s="327" t="s">
        <v>110</v>
      </c>
      <c r="D3158" s="327" t="s">
        <v>79</v>
      </c>
      <c r="E3158" s="328" t="s">
        <v>2498</v>
      </c>
      <c r="F3158" s="328">
        <v>45.272171250000007</v>
      </c>
      <c r="G3158" s="328">
        <v>6539.5541249999997</v>
      </c>
      <c r="H3158" s="328">
        <v>6924.4065000000001</v>
      </c>
      <c r="I3158" s="329">
        <v>1.37939944706011E-2</v>
      </c>
      <c r="J3158" s="329">
        <v>0.70262419503753615</v>
      </c>
      <c r="K3158" s="329">
        <v>0.86512665820201684</v>
      </c>
    </row>
    <row r="3159" spans="1:11" ht="11.25" x14ac:dyDescent="0.15">
      <c r="A3159" s="326">
        <v>1.125</v>
      </c>
      <c r="B3159" s="327">
        <v>-20</v>
      </c>
      <c r="C3159" s="327" t="s">
        <v>110</v>
      </c>
      <c r="D3159" s="327" t="s">
        <v>114</v>
      </c>
      <c r="E3159" s="328" t="s">
        <v>2499</v>
      </c>
      <c r="F3159" s="328">
        <v>10.62406125</v>
      </c>
      <c r="G3159" s="328">
        <v>6220.8225000000002</v>
      </c>
      <c r="H3159" s="328">
        <v>6826.9185000000007</v>
      </c>
      <c r="I3159" s="329">
        <v>3.2370491207184453E-3</v>
      </c>
      <c r="J3159" s="329">
        <v>0.6683789625388098</v>
      </c>
      <c r="K3159" s="329">
        <v>0.85294662982632896</v>
      </c>
    </row>
    <row r="3160" spans="1:11" ht="11.25" x14ac:dyDescent="0.15">
      <c r="A3160" s="326">
        <v>1.125</v>
      </c>
      <c r="B3160" s="327">
        <v>-20</v>
      </c>
      <c r="C3160" s="327" t="s">
        <v>110</v>
      </c>
      <c r="D3160" s="327" t="s">
        <v>113</v>
      </c>
      <c r="E3160" s="328" t="s">
        <v>2500</v>
      </c>
      <c r="F3160" s="328">
        <v>7.1343461250000004</v>
      </c>
      <c r="G3160" s="328">
        <v>6087.1466250000003</v>
      </c>
      <c r="H3160" s="328">
        <v>6732.2958749999998</v>
      </c>
      <c r="I3160" s="329">
        <v>2.1737665387454633E-3</v>
      </c>
      <c r="J3160" s="329">
        <v>0.65401653013554351</v>
      </c>
      <c r="K3160" s="329">
        <v>0.84112459780718718</v>
      </c>
    </row>
    <row r="3161" spans="1:11" ht="11.25" x14ac:dyDescent="0.15">
      <c r="A3161" s="326">
        <v>1.1499999999999999</v>
      </c>
      <c r="B3161" s="327">
        <v>-20</v>
      </c>
      <c r="C3161" s="327" t="s">
        <v>110</v>
      </c>
      <c r="D3161" s="327" t="s">
        <v>79</v>
      </c>
      <c r="E3161" s="328" t="s">
        <v>2501</v>
      </c>
      <c r="F3161" s="328">
        <v>50.679499499999991</v>
      </c>
      <c r="G3161" s="328">
        <v>6899.598649999999</v>
      </c>
      <c r="H3161" s="328">
        <v>7247.4598499999993</v>
      </c>
      <c r="I3161" s="329">
        <v>1.5441555299290642E-2</v>
      </c>
      <c r="J3161" s="329">
        <v>0.74130817711342378</v>
      </c>
      <c r="K3161" s="329">
        <v>0.90548853832942788</v>
      </c>
    </row>
    <row r="3162" spans="1:11" ht="11.25" x14ac:dyDescent="0.15">
      <c r="A3162" s="326">
        <v>1.1499999999999999</v>
      </c>
      <c r="B3162" s="327">
        <v>-20</v>
      </c>
      <c r="C3162" s="327" t="s">
        <v>110</v>
      </c>
      <c r="D3162" s="327" t="s">
        <v>114</v>
      </c>
      <c r="E3162" s="328" t="s">
        <v>2502</v>
      </c>
      <c r="F3162" s="328">
        <v>11.913574499999998</v>
      </c>
      <c r="G3162" s="328">
        <v>6521.9294499999996</v>
      </c>
      <c r="H3162" s="328">
        <v>7146.8981000000003</v>
      </c>
      <c r="I3162" s="329">
        <v>3.6299513860425722E-3</v>
      </c>
      <c r="J3162" s="329">
        <v>0.70073056087716856</v>
      </c>
      <c r="K3162" s="329">
        <v>0.89292447948619769</v>
      </c>
    </row>
    <row r="3163" spans="1:11" ht="11.25" x14ac:dyDescent="0.15">
      <c r="A3163" s="326">
        <v>1.1499999999999999</v>
      </c>
      <c r="B3163" s="327">
        <v>-20</v>
      </c>
      <c r="C3163" s="327" t="s">
        <v>110</v>
      </c>
      <c r="D3163" s="327" t="s">
        <v>113</v>
      </c>
      <c r="E3163" s="328" t="s">
        <v>2503</v>
      </c>
      <c r="F3163" s="328">
        <v>8.0199757999999992</v>
      </c>
      <c r="G3163" s="328">
        <v>6356.5088500000002</v>
      </c>
      <c r="H3163" s="328">
        <v>7048.3925499999987</v>
      </c>
      <c r="I3163" s="329">
        <v>2.4436093693994102E-3</v>
      </c>
      <c r="J3163" s="329">
        <v>0.68295740483380818</v>
      </c>
      <c r="K3163" s="329">
        <v>0.88061731969050205</v>
      </c>
    </row>
    <row r="3164" spans="1:11" ht="11.25" x14ac:dyDescent="0.15">
      <c r="A3164" s="326">
        <v>1.175</v>
      </c>
      <c r="B3164" s="327">
        <v>-20</v>
      </c>
      <c r="C3164" s="327" t="s">
        <v>110</v>
      </c>
      <c r="D3164" s="327" t="s">
        <v>79</v>
      </c>
      <c r="E3164" s="328" t="s">
        <v>2504</v>
      </c>
      <c r="F3164" s="328">
        <v>56.68175325</v>
      </c>
      <c r="G3164" s="328">
        <v>7280.7089000000005</v>
      </c>
      <c r="H3164" s="328">
        <v>7577.8675750000002</v>
      </c>
      <c r="I3164" s="329">
        <v>1.7270384196880678E-2</v>
      </c>
      <c r="J3164" s="329">
        <v>0.78225550739135841</v>
      </c>
      <c r="K3164" s="329">
        <v>0.94676926483983448</v>
      </c>
    </row>
    <row r="3165" spans="1:11" ht="11.25" x14ac:dyDescent="0.15">
      <c r="A3165" s="326">
        <v>1.175</v>
      </c>
      <c r="B3165" s="327">
        <v>-20</v>
      </c>
      <c r="C3165" s="327" t="s">
        <v>110</v>
      </c>
      <c r="D3165" s="327" t="s">
        <v>114</v>
      </c>
      <c r="E3165" s="328" t="s">
        <v>2505</v>
      </c>
      <c r="F3165" s="328">
        <v>13.3561075</v>
      </c>
      <c r="G3165" s="328">
        <v>6840.2014000000008</v>
      </c>
      <c r="H3165" s="328">
        <v>7473.5980749999999</v>
      </c>
      <c r="I3165" s="329">
        <v>4.069477295144174E-3</v>
      </c>
      <c r="J3165" s="329">
        <v>0.7349264048746792</v>
      </c>
      <c r="K3165" s="329">
        <v>0.93374196436471135</v>
      </c>
    </row>
    <row r="3166" spans="1:11" ht="11.25" x14ac:dyDescent="0.15">
      <c r="A3166" s="326">
        <v>1.175</v>
      </c>
      <c r="B3166" s="327">
        <v>-20</v>
      </c>
      <c r="C3166" s="327" t="s">
        <v>110</v>
      </c>
      <c r="D3166" s="327" t="s">
        <v>113</v>
      </c>
      <c r="E3166" s="328" t="s">
        <v>2506</v>
      </c>
      <c r="F3166" s="328">
        <v>9.0133509749999998</v>
      </c>
      <c r="G3166" s="328">
        <v>6637.5338750000001</v>
      </c>
      <c r="H3166" s="328">
        <v>7372.1908750000002</v>
      </c>
      <c r="I3166" s="329">
        <v>2.7462812159851292E-3</v>
      </c>
      <c r="J3166" s="329">
        <v>0.71315135662345386</v>
      </c>
      <c r="K3166" s="329">
        <v>0.92107227605949371</v>
      </c>
    </row>
    <row r="3167" spans="1:11" ht="11.25" x14ac:dyDescent="0.15">
      <c r="A3167" s="326">
        <v>1.2</v>
      </c>
      <c r="B3167" s="327">
        <v>-20</v>
      </c>
      <c r="C3167" s="327" t="s">
        <v>110</v>
      </c>
      <c r="D3167" s="327" t="s">
        <v>79</v>
      </c>
      <c r="E3167" s="328" t="s">
        <v>2507</v>
      </c>
      <c r="F3167" s="328">
        <v>63.339792000000003</v>
      </c>
      <c r="G3167" s="328">
        <v>7685.4443999999985</v>
      </c>
      <c r="H3167" s="328">
        <v>7915.9704000000002</v>
      </c>
      <c r="I3167" s="329">
        <v>1.9299024466758342E-2</v>
      </c>
      <c r="J3167" s="329">
        <v>0.82574118691245468</v>
      </c>
      <c r="K3167" s="329">
        <v>0.98901140748713734</v>
      </c>
    </row>
    <row r="3168" spans="1:11" ht="11.25" x14ac:dyDescent="0.15">
      <c r="A3168" s="326">
        <v>1.2</v>
      </c>
      <c r="B3168" s="327">
        <v>-20</v>
      </c>
      <c r="C3168" s="327" t="s">
        <v>110</v>
      </c>
      <c r="D3168" s="327" t="s">
        <v>114</v>
      </c>
      <c r="E3168" s="328" t="s">
        <v>2508</v>
      </c>
      <c r="F3168" s="328">
        <v>14.969831999999998</v>
      </c>
      <c r="G3168" s="328">
        <v>7176.0672000000004</v>
      </c>
      <c r="H3168" s="328">
        <v>7808.01</v>
      </c>
      <c r="I3168" s="329">
        <v>4.5611636051987973E-3</v>
      </c>
      <c r="J3168" s="329">
        <v>0.77101257112621058</v>
      </c>
      <c r="K3168" s="329">
        <v>0.97552297059797533</v>
      </c>
    </row>
    <row r="3169" spans="1:11" ht="11.25" x14ac:dyDescent="0.15">
      <c r="A3169" s="326">
        <v>1.2</v>
      </c>
      <c r="B3169" s="327">
        <v>-20</v>
      </c>
      <c r="C3169" s="327" t="s">
        <v>110</v>
      </c>
      <c r="D3169" s="327" t="s">
        <v>113</v>
      </c>
      <c r="E3169" s="328" t="s">
        <v>2509</v>
      </c>
      <c r="F3169" s="328">
        <v>10.127487599999998</v>
      </c>
      <c r="G3169" s="328">
        <v>6929.8944000000001</v>
      </c>
      <c r="H3169" s="328">
        <v>7703.3507999999993</v>
      </c>
      <c r="I3169" s="329">
        <v>3.0857479130842694E-3</v>
      </c>
      <c r="J3169" s="329">
        <v>0.74456321966677352</v>
      </c>
      <c r="K3169" s="329">
        <v>0.96244698149391317</v>
      </c>
    </row>
    <row r="3170" spans="1:11" ht="11.25" x14ac:dyDescent="0.15">
      <c r="A3170" s="326">
        <v>1.2250000000000001</v>
      </c>
      <c r="B3170" s="327">
        <v>-20</v>
      </c>
      <c r="C3170" s="327" t="s">
        <v>110</v>
      </c>
      <c r="D3170" s="327" t="s">
        <v>79</v>
      </c>
      <c r="E3170" s="328" t="s">
        <v>2510</v>
      </c>
      <c r="F3170" s="328">
        <v>70.720548500000007</v>
      </c>
      <c r="G3170" s="328">
        <v>8113.5694500000009</v>
      </c>
      <c r="H3170" s="328">
        <v>8261.4306250000009</v>
      </c>
      <c r="I3170" s="329">
        <v>2.154786987308184E-2</v>
      </c>
      <c r="J3170" s="329">
        <v>0.87173989154610687</v>
      </c>
      <c r="K3170" s="329">
        <v>1.0321727744571394</v>
      </c>
    </row>
    <row r="3171" spans="1:11" ht="11.25" x14ac:dyDescent="0.15">
      <c r="A3171" s="326">
        <v>1.2250000000000001</v>
      </c>
      <c r="B3171" s="327">
        <v>-20</v>
      </c>
      <c r="C3171" s="327" t="s">
        <v>110</v>
      </c>
      <c r="D3171" s="327" t="s">
        <v>114</v>
      </c>
      <c r="E3171" s="328" t="s">
        <v>2511</v>
      </c>
      <c r="F3171" s="328">
        <v>16.775051999999999</v>
      </c>
      <c r="G3171" s="328">
        <v>7531.1015500000003</v>
      </c>
      <c r="H3171" s="328">
        <v>8149.8196500000013</v>
      </c>
      <c r="I3171" s="329">
        <v>5.1111967494169141E-3</v>
      </c>
      <c r="J3171" s="329">
        <v>0.80915824889127153</v>
      </c>
      <c r="K3171" s="329">
        <v>1.018228239308832</v>
      </c>
    </row>
    <row r="3172" spans="1:11" ht="11.25" x14ac:dyDescent="0.15">
      <c r="A3172" s="326">
        <v>1.2250000000000001</v>
      </c>
      <c r="B3172" s="327">
        <v>-20</v>
      </c>
      <c r="C3172" s="327" t="s">
        <v>110</v>
      </c>
      <c r="D3172" s="327" t="s">
        <v>113</v>
      </c>
      <c r="E3172" s="328" t="s">
        <v>2512</v>
      </c>
      <c r="F3172" s="328">
        <v>11.376941275000002</v>
      </c>
      <c r="G3172" s="328">
        <v>7237.2902000000004</v>
      </c>
      <c r="H3172" s="328">
        <v>8041.7648500000005</v>
      </c>
      <c r="I3172" s="329">
        <v>3.4664444118019506E-3</v>
      </c>
      <c r="J3172" s="329">
        <v>0.77759050599310542</v>
      </c>
      <c r="K3172" s="329">
        <v>1.0047280082021388</v>
      </c>
    </row>
    <row r="3173" spans="1:11" ht="11.25" x14ac:dyDescent="0.15">
      <c r="A3173" s="326">
        <v>1.25</v>
      </c>
      <c r="B3173" s="327">
        <v>-20</v>
      </c>
      <c r="C3173" s="327" t="s">
        <v>110</v>
      </c>
      <c r="D3173" s="327" t="s">
        <v>79</v>
      </c>
      <c r="E3173" s="328" t="s">
        <v>2513</v>
      </c>
      <c r="F3173" s="328">
        <v>78.897762499999999</v>
      </c>
      <c r="G3173" s="328">
        <v>8566.3137499999993</v>
      </c>
      <c r="H3173" s="328">
        <v>8614.5012499999993</v>
      </c>
      <c r="I3173" s="329">
        <v>2.4039388207337163E-2</v>
      </c>
      <c r="J3173" s="329">
        <v>0.92038374298687031</v>
      </c>
      <c r="K3173" s="329">
        <v>1.0762849752523334</v>
      </c>
    </row>
    <row r="3174" spans="1:11" ht="11.25" x14ac:dyDescent="0.15">
      <c r="A3174" s="326">
        <v>1.25</v>
      </c>
      <c r="B3174" s="327">
        <v>-20</v>
      </c>
      <c r="C3174" s="327" t="s">
        <v>110</v>
      </c>
      <c r="D3174" s="327" t="s">
        <v>114</v>
      </c>
      <c r="E3174" s="328" t="s">
        <v>2514</v>
      </c>
      <c r="F3174" s="328">
        <v>18.794475000000002</v>
      </c>
      <c r="G3174" s="328">
        <v>7905.7000000000007</v>
      </c>
      <c r="H3174" s="328">
        <v>8498.5137500000001</v>
      </c>
      <c r="I3174" s="329">
        <v>5.7264954843059485E-3</v>
      </c>
      <c r="J3174" s="329">
        <v>0.84940593693889654</v>
      </c>
      <c r="K3174" s="329">
        <v>1.0617936425629244</v>
      </c>
    </row>
    <row r="3175" spans="1:11" ht="11.25" x14ac:dyDescent="0.15">
      <c r="A3175" s="326">
        <v>1.25</v>
      </c>
      <c r="B3175" s="327">
        <v>-20</v>
      </c>
      <c r="C3175" s="327" t="s">
        <v>110</v>
      </c>
      <c r="D3175" s="327" t="s">
        <v>113</v>
      </c>
      <c r="E3175" s="328" t="s">
        <v>2515</v>
      </c>
      <c r="F3175" s="328">
        <v>12.778</v>
      </c>
      <c r="G3175" s="328">
        <v>7558.5424999999996</v>
      </c>
      <c r="H3175" s="328">
        <v>8387.1924999999992</v>
      </c>
      <c r="I3175" s="329">
        <v>3.8933335088349851E-3</v>
      </c>
      <c r="J3175" s="329">
        <v>0.81210656540280657</v>
      </c>
      <c r="K3175" s="329">
        <v>1.0478853052925212</v>
      </c>
    </row>
    <row r="3176" spans="1:11" ht="11.25" x14ac:dyDescent="0.15">
      <c r="A3176" s="326">
        <v>1.2749999999999999</v>
      </c>
      <c r="B3176" s="327">
        <v>-20</v>
      </c>
      <c r="C3176" s="327" t="s">
        <v>110</v>
      </c>
      <c r="D3176" s="327" t="s">
        <v>79</v>
      </c>
      <c r="E3176" s="328" t="s">
        <v>2516</v>
      </c>
      <c r="F3176" s="328">
        <v>87.952687499999996</v>
      </c>
      <c r="G3176" s="328">
        <v>9043.5711749999991</v>
      </c>
      <c r="H3176" s="328">
        <v>8975.1176999999989</v>
      </c>
      <c r="I3176" s="329">
        <v>2.6798336628254961E-2</v>
      </c>
      <c r="J3176" s="329">
        <v>0.97166133892943962</v>
      </c>
      <c r="K3176" s="329">
        <v>1.1213399419532593</v>
      </c>
    </row>
    <row r="3177" spans="1:11" ht="11.25" x14ac:dyDescent="0.15">
      <c r="A3177" s="326">
        <v>1.2749999999999999</v>
      </c>
      <c r="B3177" s="327">
        <v>-20</v>
      </c>
      <c r="C3177" s="327" t="s">
        <v>110</v>
      </c>
      <c r="D3177" s="327" t="s">
        <v>114</v>
      </c>
      <c r="E3177" s="328" t="s">
        <v>2517</v>
      </c>
      <c r="F3177" s="328">
        <v>21.053360999999999</v>
      </c>
      <c r="G3177" s="328">
        <v>8302.8956249999992</v>
      </c>
      <c r="H3177" s="328">
        <v>8855.2613249999995</v>
      </c>
      <c r="I3177" s="329">
        <v>6.4147562885349526E-3</v>
      </c>
      <c r="J3177" s="329">
        <v>0.89208151557218063</v>
      </c>
      <c r="K3177" s="329">
        <v>1.1063652368766641</v>
      </c>
    </row>
    <row r="3178" spans="1:11" ht="11.25" x14ac:dyDescent="0.15">
      <c r="A3178" s="326">
        <v>1.2749999999999999</v>
      </c>
      <c r="B3178" s="327">
        <v>-20</v>
      </c>
      <c r="C3178" s="327" t="s">
        <v>110</v>
      </c>
      <c r="D3178" s="327" t="s">
        <v>113</v>
      </c>
      <c r="E3178" s="328" t="s">
        <v>2518</v>
      </c>
      <c r="F3178" s="328">
        <v>14.348913750000001</v>
      </c>
      <c r="G3178" s="328">
        <v>7897.2938999999997</v>
      </c>
      <c r="H3178" s="328">
        <v>8740.0523250000006</v>
      </c>
      <c r="I3178" s="329">
        <v>4.3719757957628785E-3</v>
      </c>
      <c r="J3178" s="329">
        <v>0.848502766916444</v>
      </c>
      <c r="K3178" s="329">
        <v>1.0919711690002627</v>
      </c>
    </row>
    <row r="3179" spans="1:11" ht="11.25" x14ac:dyDescent="0.15">
      <c r="A3179" s="326">
        <v>1.3</v>
      </c>
      <c r="B3179" s="327">
        <v>-20</v>
      </c>
      <c r="C3179" s="327" t="s">
        <v>110</v>
      </c>
      <c r="D3179" s="327" t="s">
        <v>79</v>
      </c>
      <c r="E3179" s="328" t="s">
        <v>2519</v>
      </c>
      <c r="F3179" s="328">
        <v>97.975046000000006</v>
      </c>
      <c r="G3179" s="328">
        <v>9546.2860999999994</v>
      </c>
      <c r="H3179" s="328">
        <v>9342.9556999999986</v>
      </c>
      <c r="I3179" s="329">
        <v>2.9852052717283539E-2</v>
      </c>
      <c r="J3179" s="329">
        <v>1.0256741451177331</v>
      </c>
      <c r="K3179" s="329">
        <v>1.1672971600483715</v>
      </c>
    </row>
    <row r="3180" spans="1:11" ht="11.25" x14ac:dyDescent="0.15">
      <c r="A3180" s="326">
        <v>1.3</v>
      </c>
      <c r="B3180" s="327">
        <v>-20</v>
      </c>
      <c r="C3180" s="327" t="s">
        <v>110</v>
      </c>
      <c r="D3180" s="327" t="s">
        <v>114</v>
      </c>
      <c r="E3180" s="328" t="s">
        <v>2520</v>
      </c>
      <c r="F3180" s="328">
        <v>23.580270999999996</v>
      </c>
      <c r="G3180" s="328">
        <v>8721.8235000000004</v>
      </c>
      <c r="H3180" s="328">
        <v>9219.1411000000007</v>
      </c>
      <c r="I3180" s="329">
        <v>7.1846814236742702E-3</v>
      </c>
      <c r="J3180" s="329">
        <v>0.93709205533136664</v>
      </c>
      <c r="K3180" s="329">
        <v>1.1518279193077221</v>
      </c>
    </row>
    <row r="3181" spans="1:11" ht="11.25" x14ac:dyDescent="0.15">
      <c r="A3181" s="326">
        <v>1.3</v>
      </c>
      <c r="B3181" s="327">
        <v>-20</v>
      </c>
      <c r="C3181" s="327" t="s">
        <v>110</v>
      </c>
      <c r="D3181" s="327" t="s">
        <v>113</v>
      </c>
      <c r="E3181" s="328" t="s">
        <v>2521</v>
      </c>
      <c r="F3181" s="328">
        <v>16.110133000000001</v>
      </c>
      <c r="G3181" s="328">
        <v>8253.7142999999996</v>
      </c>
      <c r="H3181" s="328">
        <v>9100.3418999999994</v>
      </c>
      <c r="I3181" s="329">
        <v>4.9086023353175998E-3</v>
      </c>
      <c r="J3181" s="329">
        <v>0.88679736496672867</v>
      </c>
      <c r="K3181" s="329">
        <v>1.1369852963489062</v>
      </c>
    </row>
    <row r="3182" spans="1:11" ht="11.25" x14ac:dyDescent="0.15">
      <c r="A3182" s="326">
        <v>1.325</v>
      </c>
      <c r="B3182" s="327">
        <v>-20</v>
      </c>
      <c r="C3182" s="327" t="s">
        <v>110</v>
      </c>
      <c r="D3182" s="327" t="s">
        <v>79</v>
      </c>
      <c r="E3182" s="328" t="s">
        <v>2522</v>
      </c>
      <c r="F3182" s="328">
        <v>109.06407575</v>
      </c>
      <c r="G3182" s="328">
        <v>10074.479824999999</v>
      </c>
      <c r="H3182" s="328">
        <v>9718.6576999999979</v>
      </c>
      <c r="I3182" s="329">
        <v>3.3230773260885277E-2</v>
      </c>
      <c r="J3182" s="329">
        <v>1.0824244500709783</v>
      </c>
      <c r="K3182" s="329">
        <v>1.2142368964344161</v>
      </c>
    </row>
    <row r="3183" spans="1:11" ht="11.25" x14ac:dyDescent="0.15">
      <c r="A3183" s="326">
        <v>1.325</v>
      </c>
      <c r="B3183" s="327">
        <v>-20</v>
      </c>
      <c r="C3183" s="327" t="s">
        <v>110</v>
      </c>
      <c r="D3183" s="327" t="s">
        <v>114</v>
      </c>
      <c r="E3183" s="328" t="s">
        <v>2523</v>
      </c>
      <c r="F3183" s="328">
        <v>26.40694525</v>
      </c>
      <c r="G3183" s="328">
        <v>9164.3651499999996</v>
      </c>
      <c r="H3183" s="328">
        <v>9590.4268499999998</v>
      </c>
      <c r="I3183" s="329">
        <v>8.0459418381433577E-3</v>
      </c>
      <c r="J3183" s="329">
        <v>0.98463971143427143</v>
      </c>
      <c r="K3183" s="329">
        <v>1.1982158949610187</v>
      </c>
    </row>
    <row r="3184" spans="1:11" ht="11.25" x14ac:dyDescent="0.15">
      <c r="A3184" s="326">
        <v>1.325</v>
      </c>
      <c r="B3184" s="327">
        <v>-20</v>
      </c>
      <c r="C3184" s="327" t="s">
        <v>110</v>
      </c>
      <c r="D3184" s="327" t="s">
        <v>113</v>
      </c>
      <c r="E3184" s="328" t="s">
        <v>2524</v>
      </c>
      <c r="F3184" s="328">
        <v>18.084580500000001</v>
      </c>
      <c r="G3184" s="328">
        <v>8628.557675</v>
      </c>
      <c r="H3184" s="328">
        <v>9467.6576499999992</v>
      </c>
      <c r="I3184" s="329">
        <v>5.5101974686080565E-3</v>
      </c>
      <c r="J3184" s="329">
        <v>0.92707136829941439</v>
      </c>
      <c r="K3184" s="329">
        <v>1.1828772651844255</v>
      </c>
    </row>
    <row r="3185" spans="1:11" ht="11.25" x14ac:dyDescent="0.15">
      <c r="A3185" s="326">
        <v>1.35</v>
      </c>
      <c r="B3185" s="327">
        <v>-20</v>
      </c>
      <c r="C3185" s="327" t="s">
        <v>110</v>
      </c>
      <c r="D3185" s="327" t="s">
        <v>79</v>
      </c>
      <c r="E3185" s="328" t="s">
        <v>2525</v>
      </c>
      <c r="F3185" s="328">
        <v>121.329549</v>
      </c>
      <c r="G3185" s="328">
        <v>10631.39445</v>
      </c>
      <c r="H3185" s="328">
        <v>10101.221100000001</v>
      </c>
      <c r="I3185" s="329">
        <v>3.6967944806193163E-2</v>
      </c>
      <c r="J3185" s="329">
        <v>1.1422605922017322</v>
      </c>
      <c r="K3185" s="329">
        <v>1.2620338875256243</v>
      </c>
    </row>
    <row r="3186" spans="1:11" ht="11.25" x14ac:dyDescent="0.15">
      <c r="A3186" s="326">
        <v>1.35</v>
      </c>
      <c r="B3186" s="327">
        <v>-20</v>
      </c>
      <c r="C3186" s="327" t="s">
        <v>110</v>
      </c>
      <c r="D3186" s="327" t="s">
        <v>114</v>
      </c>
      <c r="E3186" s="328" t="s">
        <v>2526</v>
      </c>
      <c r="F3186" s="328">
        <v>29.569077000000004</v>
      </c>
      <c r="G3186" s="328">
        <v>9630.871650000001</v>
      </c>
      <c r="H3186" s="328">
        <v>9968.9913000000015</v>
      </c>
      <c r="I3186" s="329">
        <v>9.009412921382208E-3</v>
      </c>
      <c r="J3186" s="329">
        <v>1.0347622041573177</v>
      </c>
      <c r="K3186" s="329">
        <v>1.2455132622577807</v>
      </c>
    </row>
    <row r="3187" spans="1:11" ht="11.25" x14ac:dyDescent="0.15">
      <c r="A3187" s="326">
        <v>1.35</v>
      </c>
      <c r="B3187" s="327">
        <v>-20</v>
      </c>
      <c r="C3187" s="327" t="s">
        <v>110</v>
      </c>
      <c r="D3187" s="327" t="s">
        <v>113</v>
      </c>
      <c r="E3187" s="328" t="s">
        <v>2527</v>
      </c>
      <c r="F3187" s="328">
        <v>20.297979000000002</v>
      </c>
      <c r="G3187" s="328">
        <v>9023.1070500000005</v>
      </c>
      <c r="H3187" s="328">
        <v>9842.3545500000018</v>
      </c>
      <c r="I3187" s="329">
        <v>6.1845986697706091E-3</v>
      </c>
      <c r="J3187" s="329">
        <v>0.96946262796529237</v>
      </c>
      <c r="K3187" s="329">
        <v>1.2296914256378386</v>
      </c>
    </row>
    <row r="3188" spans="1:11" ht="11.25" x14ac:dyDescent="0.15">
      <c r="A3188" s="326">
        <v>1.375</v>
      </c>
      <c r="B3188" s="327">
        <v>-20</v>
      </c>
      <c r="C3188" s="327" t="s">
        <v>110</v>
      </c>
      <c r="D3188" s="327" t="s">
        <v>79</v>
      </c>
      <c r="E3188" s="328" t="s">
        <v>2528</v>
      </c>
      <c r="F3188" s="328">
        <v>134.89323375000001</v>
      </c>
      <c r="G3188" s="328">
        <v>11213.681875</v>
      </c>
      <c r="H3188" s="328">
        <v>10491.91</v>
      </c>
      <c r="I3188" s="329">
        <v>4.1100668889809462E-2</v>
      </c>
      <c r="J3188" s="329">
        <v>1.2048228442224087</v>
      </c>
      <c r="K3188" s="329">
        <v>1.3108460683895902</v>
      </c>
    </row>
    <row r="3189" spans="1:11" ht="11.25" x14ac:dyDescent="0.15">
      <c r="A3189" s="326">
        <v>1.375</v>
      </c>
      <c r="B3189" s="327">
        <v>-20</v>
      </c>
      <c r="C3189" s="327" t="s">
        <v>110</v>
      </c>
      <c r="D3189" s="327" t="s">
        <v>114</v>
      </c>
      <c r="E3189" s="328" t="s">
        <v>2529</v>
      </c>
      <c r="F3189" s="328">
        <v>33.106631250000007</v>
      </c>
      <c r="G3189" s="328">
        <v>10120.492249999999</v>
      </c>
      <c r="H3189" s="328">
        <v>10355.0975</v>
      </c>
      <c r="I3189" s="329">
        <v>1.0087271623905814E-2</v>
      </c>
      <c r="J3189" s="329">
        <v>1.0873681270341766</v>
      </c>
      <c r="K3189" s="329">
        <v>1.2937528863348879</v>
      </c>
    </row>
    <row r="3190" spans="1:11" ht="11.25" x14ac:dyDescent="0.15">
      <c r="A3190" s="326">
        <v>1.375</v>
      </c>
      <c r="B3190" s="327">
        <v>-20</v>
      </c>
      <c r="C3190" s="327" t="s">
        <v>110</v>
      </c>
      <c r="D3190" s="327" t="s">
        <v>113</v>
      </c>
      <c r="E3190" s="328" t="s">
        <v>2530</v>
      </c>
      <c r="F3190" s="328">
        <v>22.779253749999999</v>
      </c>
      <c r="G3190" s="328">
        <v>9440.0446250000005</v>
      </c>
      <c r="H3190" s="328">
        <v>10224.565999999999</v>
      </c>
      <c r="I3190" s="329">
        <v>6.9406191838417581E-3</v>
      </c>
      <c r="J3190" s="329">
        <v>1.0142593254794792</v>
      </c>
      <c r="K3190" s="329">
        <v>1.277444444537732</v>
      </c>
    </row>
    <row r="3191" spans="1:11" ht="11.25" x14ac:dyDescent="0.15">
      <c r="A3191" s="326">
        <v>1.4</v>
      </c>
      <c r="B3191" s="327">
        <v>-20</v>
      </c>
      <c r="C3191" s="327" t="s">
        <v>110</v>
      </c>
      <c r="D3191" s="327" t="s">
        <v>79</v>
      </c>
      <c r="E3191" s="328" t="s">
        <v>2531</v>
      </c>
      <c r="F3191" s="328">
        <v>149.89015999999998</v>
      </c>
      <c r="G3191" s="328">
        <v>11822.875399999999</v>
      </c>
      <c r="H3191" s="328">
        <v>10890.5594</v>
      </c>
      <c r="I3191" s="329">
        <v>4.5670087851982878E-2</v>
      </c>
      <c r="J3191" s="329">
        <v>1.2702759472847223</v>
      </c>
      <c r="K3191" s="329">
        <v>1.3606528241333842</v>
      </c>
    </row>
    <row r="3192" spans="1:11" ht="11.25" x14ac:dyDescent="0.15">
      <c r="A3192" s="326">
        <v>1.4</v>
      </c>
      <c r="B3192" s="327">
        <v>-20</v>
      </c>
      <c r="C3192" s="327" t="s">
        <v>110</v>
      </c>
      <c r="D3192" s="327" t="s">
        <v>114</v>
      </c>
      <c r="E3192" s="328" t="s">
        <v>2532</v>
      </c>
      <c r="F3192" s="328">
        <v>37.064495999999998</v>
      </c>
      <c r="G3192" s="328">
        <v>10636.171</v>
      </c>
      <c r="H3192" s="328">
        <v>10748.267599999999</v>
      </c>
      <c r="I3192" s="329">
        <v>1.1293194886905639E-2</v>
      </c>
      <c r="J3192" s="329">
        <v>1.1427737953245531</v>
      </c>
      <c r="K3192" s="329">
        <v>1.3428750652130275</v>
      </c>
    </row>
    <row r="3193" spans="1:11" ht="11.25" x14ac:dyDescent="0.15">
      <c r="A3193" s="326">
        <v>1.4</v>
      </c>
      <c r="B3193" s="327">
        <v>-20</v>
      </c>
      <c r="C3193" s="327" t="s">
        <v>110</v>
      </c>
      <c r="D3193" s="327" t="s">
        <v>113</v>
      </c>
      <c r="E3193" s="328" t="s">
        <v>2533</v>
      </c>
      <c r="F3193" s="328">
        <v>25.560877999999999</v>
      </c>
      <c r="G3193" s="328">
        <v>9878.8073999999997</v>
      </c>
      <c r="H3193" s="328">
        <v>10614.540999999999</v>
      </c>
      <c r="I3193" s="329">
        <v>7.7881532972799315E-3</v>
      </c>
      <c r="J3193" s="329">
        <v>1.0614009708736611</v>
      </c>
      <c r="K3193" s="329">
        <v>1.3261674316316197</v>
      </c>
    </row>
    <row r="3194" spans="1:11" ht="11.25" x14ac:dyDescent="0.15">
      <c r="A3194" s="326">
        <v>0.9</v>
      </c>
      <c r="B3194" s="327">
        <v>0</v>
      </c>
      <c r="C3194" s="327" t="s">
        <v>110</v>
      </c>
      <c r="D3194" s="327" t="s">
        <v>79</v>
      </c>
      <c r="E3194" s="328" t="s">
        <v>2534</v>
      </c>
      <c r="F3194" s="328">
        <v>27.570186</v>
      </c>
      <c r="G3194" s="328">
        <v>4078.6965000000005</v>
      </c>
      <c r="H3194" s="328">
        <v>4357.2590999999993</v>
      </c>
      <c r="I3194" s="329">
        <v>8.4003700891073074E-3</v>
      </c>
      <c r="J3194" s="329">
        <v>0.43822419546300745</v>
      </c>
      <c r="K3194" s="329">
        <v>0.54439048373363508</v>
      </c>
    </row>
    <row r="3195" spans="1:11" ht="11.25" x14ac:dyDescent="0.15">
      <c r="A3195" s="326">
        <v>0.9</v>
      </c>
      <c r="B3195" s="327">
        <v>0</v>
      </c>
      <c r="C3195" s="327" t="s">
        <v>110</v>
      </c>
      <c r="D3195" s="327" t="s">
        <v>114</v>
      </c>
      <c r="E3195" s="328" t="s">
        <v>2535</v>
      </c>
      <c r="F3195" s="328">
        <v>5.4937152000000005</v>
      </c>
      <c r="G3195" s="328">
        <v>4025.9879999999998</v>
      </c>
      <c r="H3195" s="328">
        <v>4287.969000000001</v>
      </c>
      <c r="I3195" s="329">
        <v>1.6738821001843866E-3</v>
      </c>
      <c r="J3195" s="329">
        <v>0.43256107735491528</v>
      </c>
      <c r="K3195" s="329">
        <v>0.53573346559648749</v>
      </c>
    </row>
    <row r="3196" spans="1:11" ht="11.25" x14ac:dyDescent="0.15">
      <c r="A3196" s="326">
        <v>0.9</v>
      </c>
      <c r="B3196" s="327">
        <v>0</v>
      </c>
      <c r="C3196" s="327" t="s">
        <v>110</v>
      </c>
      <c r="D3196" s="327" t="s">
        <v>113</v>
      </c>
      <c r="E3196" s="328" t="s">
        <v>2536</v>
      </c>
      <c r="F3196" s="328">
        <v>2.9431953000000002</v>
      </c>
      <c r="G3196" s="328">
        <v>4011.7257</v>
      </c>
      <c r="H3196" s="328">
        <v>4219.5716999999995</v>
      </c>
      <c r="I3196" s="329">
        <v>8.9676325595051151E-4</v>
      </c>
      <c r="J3196" s="329">
        <v>0.43102870421978445</v>
      </c>
      <c r="K3196" s="329">
        <v>0.52718799277090433</v>
      </c>
    </row>
    <row r="3197" spans="1:11" ht="11.25" x14ac:dyDescent="0.15">
      <c r="A3197" s="326">
        <v>0.92500000000000004</v>
      </c>
      <c r="B3197" s="327">
        <v>0</v>
      </c>
      <c r="C3197" s="327" t="s">
        <v>110</v>
      </c>
      <c r="D3197" s="327" t="s">
        <v>79</v>
      </c>
      <c r="E3197" s="328" t="s">
        <v>2537</v>
      </c>
      <c r="F3197" s="328">
        <v>30.809123000000003</v>
      </c>
      <c r="G3197" s="328">
        <v>4308.3539999999994</v>
      </c>
      <c r="H3197" s="328">
        <v>4614.0905499999999</v>
      </c>
      <c r="I3197" s="329">
        <v>9.3872429921520312E-3</v>
      </c>
      <c r="J3197" s="329">
        <v>0.46289910647184201</v>
      </c>
      <c r="K3197" s="329">
        <v>0.57647868278140602</v>
      </c>
    </row>
    <row r="3198" spans="1:11" ht="11.25" x14ac:dyDescent="0.15">
      <c r="A3198" s="326">
        <v>0.92500000000000004</v>
      </c>
      <c r="B3198" s="327">
        <v>0</v>
      </c>
      <c r="C3198" s="327" t="s">
        <v>110</v>
      </c>
      <c r="D3198" s="327" t="s">
        <v>114</v>
      </c>
      <c r="E3198" s="328" t="s">
        <v>2538</v>
      </c>
      <c r="F3198" s="328">
        <v>6.1460746249999998</v>
      </c>
      <c r="G3198" s="328">
        <v>4238.0937750000003</v>
      </c>
      <c r="H3198" s="328">
        <v>4542.4594749999997</v>
      </c>
      <c r="I3198" s="329">
        <v>1.8726497327682667E-3</v>
      </c>
      <c r="J3198" s="329">
        <v>0.45535019211313099</v>
      </c>
      <c r="K3198" s="329">
        <v>0.56752918616560677</v>
      </c>
    </row>
    <row r="3199" spans="1:11" ht="11.25" x14ac:dyDescent="0.15">
      <c r="A3199" s="326">
        <v>0.92500000000000004</v>
      </c>
      <c r="B3199" s="327">
        <v>0</v>
      </c>
      <c r="C3199" s="327" t="s">
        <v>110</v>
      </c>
      <c r="D3199" s="327" t="s">
        <v>113</v>
      </c>
      <c r="E3199" s="328" t="s">
        <v>2539</v>
      </c>
      <c r="F3199" s="328">
        <v>3.3076640250000002</v>
      </c>
      <c r="G3199" s="328">
        <v>4218.0027750000008</v>
      </c>
      <c r="H3199" s="328">
        <v>4471.1937749999997</v>
      </c>
      <c r="I3199" s="329">
        <v>1.0078133655110736E-3</v>
      </c>
      <c r="J3199" s="329">
        <v>0.45319157052629633</v>
      </c>
      <c r="K3199" s="329">
        <v>0.55862533904377365</v>
      </c>
    </row>
    <row r="3200" spans="1:11" ht="11.25" x14ac:dyDescent="0.15">
      <c r="A3200" s="326">
        <v>0.95</v>
      </c>
      <c r="B3200" s="327">
        <v>0</v>
      </c>
      <c r="C3200" s="327" t="s">
        <v>110</v>
      </c>
      <c r="D3200" s="327" t="s">
        <v>79</v>
      </c>
      <c r="E3200" s="328" t="s">
        <v>2540</v>
      </c>
      <c r="F3200" s="328">
        <v>34.393191999999992</v>
      </c>
      <c r="G3200" s="328">
        <v>4549.5195999999996</v>
      </c>
      <c r="H3200" s="328">
        <v>4878.5682499999994</v>
      </c>
      <c r="I3200" s="329">
        <v>1.0479274290921528E-2</v>
      </c>
      <c r="J3200" s="329">
        <v>0.48881047326104871</v>
      </c>
      <c r="K3200" s="329">
        <v>0.60952219470837843</v>
      </c>
    </row>
    <row r="3201" spans="1:11" ht="11.25" x14ac:dyDescent="0.15">
      <c r="A3201" s="326">
        <v>0.95</v>
      </c>
      <c r="B3201" s="327">
        <v>0</v>
      </c>
      <c r="C3201" s="327" t="s">
        <v>110</v>
      </c>
      <c r="D3201" s="327" t="s">
        <v>114</v>
      </c>
      <c r="E3201" s="328" t="s">
        <v>2541</v>
      </c>
      <c r="F3201" s="328">
        <v>6.8692039500000002</v>
      </c>
      <c r="G3201" s="328">
        <v>4457.2128500000008</v>
      </c>
      <c r="H3201" s="328">
        <v>4803.8355499999998</v>
      </c>
      <c r="I3201" s="329">
        <v>2.0929802721518734E-3</v>
      </c>
      <c r="J3201" s="329">
        <v>0.47889283137360883</v>
      </c>
      <c r="K3201" s="329">
        <v>0.60018518495751905</v>
      </c>
    </row>
    <row r="3202" spans="1:11" ht="11.25" x14ac:dyDescent="0.15">
      <c r="A3202" s="326">
        <v>0.95</v>
      </c>
      <c r="B3202" s="327">
        <v>0</v>
      </c>
      <c r="C3202" s="327" t="s">
        <v>110</v>
      </c>
      <c r="D3202" s="327" t="s">
        <v>113</v>
      </c>
      <c r="E3202" s="328" t="s">
        <v>2542</v>
      </c>
      <c r="F3202" s="328">
        <v>3.7140639499999999</v>
      </c>
      <c r="G3202" s="328">
        <v>4428.8002499999993</v>
      </c>
      <c r="H3202" s="328">
        <v>4729.6035000000002</v>
      </c>
      <c r="I3202" s="329">
        <v>1.1316395077861185E-3</v>
      </c>
      <c r="J3202" s="329">
        <v>0.47584011863167941</v>
      </c>
      <c r="K3202" s="329">
        <v>0.5909107257893601</v>
      </c>
    </row>
    <row r="3203" spans="1:11" ht="11.25" x14ac:dyDescent="0.15">
      <c r="A3203" s="326">
        <v>0.97499999999999998</v>
      </c>
      <c r="B3203" s="327">
        <v>0</v>
      </c>
      <c r="C3203" s="327" t="s">
        <v>110</v>
      </c>
      <c r="D3203" s="327" t="s">
        <v>79</v>
      </c>
      <c r="E3203" s="328" t="s">
        <v>2543</v>
      </c>
      <c r="F3203" s="328">
        <v>38.366181750000003</v>
      </c>
      <c r="G3203" s="328">
        <v>4802.9952750000002</v>
      </c>
      <c r="H3203" s="328">
        <v>5150.4570000000003</v>
      </c>
      <c r="I3203" s="329">
        <v>1.1689805995721418E-2</v>
      </c>
      <c r="J3203" s="329">
        <v>0.51604446180280905</v>
      </c>
      <c r="K3203" s="329">
        <v>0.64349163392172093</v>
      </c>
    </row>
    <row r="3204" spans="1:11" ht="11.25" x14ac:dyDescent="0.15">
      <c r="A3204" s="326">
        <v>0.97499999999999998</v>
      </c>
      <c r="B3204" s="327">
        <v>0</v>
      </c>
      <c r="C3204" s="327" t="s">
        <v>110</v>
      </c>
      <c r="D3204" s="327" t="s">
        <v>114</v>
      </c>
      <c r="E3204" s="328" t="s">
        <v>2544</v>
      </c>
      <c r="F3204" s="328">
        <v>7.6747037250000005</v>
      </c>
      <c r="G3204" s="328">
        <v>4684.2909750000008</v>
      </c>
      <c r="H3204" s="328">
        <v>5072.7075750000004</v>
      </c>
      <c r="I3204" s="329">
        <v>2.3384082941714807E-3</v>
      </c>
      <c r="J3204" s="329">
        <v>0.50329060861331598</v>
      </c>
      <c r="K3204" s="329">
        <v>0.63377771833525476</v>
      </c>
    </row>
    <row r="3205" spans="1:11" ht="11.25" x14ac:dyDescent="0.15">
      <c r="A3205" s="326">
        <v>0.97499999999999998</v>
      </c>
      <c r="B3205" s="327">
        <v>0</v>
      </c>
      <c r="C3205" s="327" t="s">
        <v>110</v>
      </c>
      <c r="D3205" s="327" t="s">
        <v>113</v>
      </c>
      <c r="E3205" s="328" t="s">
        <v>2545</v>
      </c>
      <c r="F3205" s="328">
        <v>4.1702758500000003</v>
      </c>
      <c r="G3205" s="328">
        <v>4647.2546249999996</v>
      </c>
      <c r="H3205" s="328">
        <v>4995.9809249999998</v>
      </c>
      <c r="I3205" s="329">
        <v>1.2706428790022148E-3</v>
      </c>
      <c r="J3205" s="329">
        <v>0.49931134105034902</v>
      </c>
      <c r="K3205" s="329">
        <v>0.62419158697373855</v>
      </c>
    </row>
    <row r="3206" spans="1:11" ht="11.25" x14ac:dyDescent="0.15">
      <c r="A3206" s="326">
        <v>1</v>
      </c>
      <c r="B3206" s="327">
        <v>0</v>
      </c>
      <c r="C3206" s="327" t="s">
        <v>110</v>
      </c>
      <c r="D3206" s="327" t="s">
        <v>79</v>
      </c>
      <c r="E3206" s="328" t="s">
        <v>2546</v>
      </c>
      <c r="F3206" s="328">
        <v>42.767250000000004</v>
      </c>
      <c r="G3206" s="328">
        <v>5069.8919999999998</v>
      </c>
      <c r="H3206" s="328">
        <v>5429.366</v>
      </c>
      <c r="I3206" s="329">
        <v>1.3030769095767962E-2</v>
      </c>
      <c r="J3206" s="329">
        <v>0.54472043771443579</v>
      </c>
      <c r="K3206" s="329">
        <v>0.67833817435987498</v>
      </c>
    </row>
    <row r="3207" spans="1:11" ht="11.25" x14ac:dyDescent="0.15">
      <c r="A3207" s="326">
        <v>1</v>
      </c>
      <c r="B3207" s="327">
        <v>0</v>
      </c>
      <c r="C3207" s="327" t="s">
        <v>110</v>
      </c>
      <c r="D3207" s="327" t="s">
        <v>114</v>
      </c>
      <c r="E3207" s="328" t="s">
        <v>2547</v>
      </c>
      <c r="F3207" s="328">
        <v>8.5719879999999993</v>
      </c>
      <c r="G3207" s="328">
        <v>4921.3319999999994</v>
      </c>
      <c r="H3207" s="328">
        <v>5348.6509999999998</v>
      </c>
      <c r="I3207" s="329">
        <v>2.6118021691760355E-3</v>
      </c>
      <c r="J3207" s="329">
        <v>0.52875882191929524</v>
      </c>
      <c r="K3207" s="329">
        <v>0.66825374355461009</v>
      </c>
    </row>
    <row r="3208" spans="1:11" ht="11.25" x14ac:dyDescent="0.15">
      <c r="A3208" s="326">
        <v>1</v>
      </c>
      <c r="B3208" s="327">
        <v>0</v>
      </c>
      <c r="C3208" s="327" t="s">
        <v>110</v>
      </c>
      <c r="D3208" s="327" t="s">
        <v>113</v>
      </c>
      <c r="E3208" s="328" t="s">
        <v>2548</v>
      </c>
      <c r="F3208" s="328">
        <v>4.6824529999999998</v>
      </c>
      <c r="G3208" s="328">
        <v>4870.634</v>
      </c>
      <c r="H3208" s="328">
        <v>5269.3209999999999</v>
      </c>
      <c r="I3208" s="329">
        <v>1.4266983227770309E-3</v>
      </c>
      <c r="J3208" s="329">
        <v>0.52331171638899088</v>
      </c>
      <c r="K3208" s="329">
        <v>0.65834235291121479</v>
      </c>
    </row>
    <row r="3209" spans="1:11" ht="11.25" x14ac:dyDescent="0.15">
      <c r="A3209" s="326">
        <v>1.0249999999999999</v>
      </c>
      <c r="B3209" s="327">
        <v>0</v>
      </c>
      <c r="C3209" s="327" t="s">
        <v>110</v>
      </c>
      <c r="D3209" s="327" t="s">
        <v>79</v>
      </c>
      <c r="E3209" s="328" t="s">
        <v>2549</v>
      </c>
      <c r="F3209" s="328">
        <v>47.630366249999994</v>
      </c>
      <c r="G3209" s="328">
        <v>5351.692074999999</v>
      </c>
      <c r="H3209" s="328">
        <v>5715.8602250000004</v>
      </c>
      <c r="I3209" s="329">
        <v>1.4512513770481133E-2</v>
      </c>
      <c r="J3209" s="329">
        <v>0.57499766259456353</v>
      </c>
      <c r="K3209" s="329">
        <v>0.71413240329031491</v>
      </c>
    </row>
    <row r="3210" spans="1:11" ht="11.25" x14ac:dyDescent="0.15">
      <c r="A3210" s="326">
        <v>1.0249999999999999</v>
      </c>
      <c r="B3210" s="327">
        <v>0</v>
      </c>
      <c r="C3210" s="327" t="s">
        <v>110</v>
      </c>
      <c r="D3210" s="327" t="s">
        <v>114</v>
      </c>
      <c r="E3210" s="328" t="s">
        <v>2550</v>
      </c>
      <c r="F3210" s="328">
        <v>9.5680592999999998</v>
      </c>
      <c r="G3210" s="328">
        <v>5166.1803999999993</v>
      </c>
      <c r="H3210" s="328">
        <v>5631.7282249999989</v>
      </c>
      <c r="I3210" s="329">
        <v>2.9152954990773368E-3</v>
      </c>
      <c r="J3210" s="329">
        <v>0.55506587690620213</v>
      </c>
      <c r="K3210" s="329">
        <v>0.70362105679327536</v>
      </c>
    </row>
    <row r="3211" spans="1:11" ht="11.25" x14ac:dyDescent="0.15">
      <c r="A3211" s="326">
        <v>1.0249999999999999</v>
      </c>
      <c r="B3211" s="327">
        <v>0</v>
      </c>
      <c r="C3211" s="327" t="s">
        <v>110</v>
      </c>
      <c r="D3211" s="327" t="s">
        <v>113</v>
      </c>
      <c r="E3211" s="328" t="s">
        <v>2551</v>
      </c>
      <c r="F3211" s="328">
        <v>5.2548510999999998</v>
      </c>
      <c r="G3211" s="328">
        <v>5100.5199249999996</v>
      </c>
      <c r="H3211" s="328">
        <v>5549.5396250000003</v>
      </c>
      <c r="I3211" s="329">
        <v>1.6011025099051791E-3</v>
      </c>
      <c r="J3211" s="329">
        <v>0.54801116988630161</v>
      </c>
      <c r="K3211" s="329">
        <v>0.6933525162533315</v>
      </c>
    </row>
    <row r="3212" spans="1:11" ht="11.25" x14ac:dyDescent="0.15">
      <c r="A3212" s="326">
        <v>1.05</v>
      </c>
      <c r="B3212" s="327">
        <v>0</v>
      </c>
      <c r="C3212" s="327" t="s">
        <v>110</v>
      </c>
      <c r="D3212" s="327" t="s">
        <v>79</v>
      </c>
      <c r="E3212" s="328" t="s">
        <v>2552</v>
      </c>
      <c r="F3212" s="328">
        <v>53.000493000000006</v>
      </c>
      <c r="G3212" s="328">
        <v>5650.2148500000003</v>
      </c>
      <c r="H3212" s="328">
        <v>6009.7390500000001</v>
      </c>
      <c r="I3212" s="329">
        <v>1.6148739660484746E-2</v>
      </c>
      <c r="J3212" s="329">
        <v>0.60707161144115207</v>
      </c>
      <c r="K3212" s="329">
        <v>0.75084925487731891</v>
      </c>
    </row>
    <row r="3213" spans="1:11" ht="11.25" x14ac:dyDescent="0.15">
      <c r="A3213" s="326">
        <v>1.05</v>
      </c>
      <c r="B3213" s="327">
        <v>0</v>
      </c>
      <c r="C3213" s="327" t="s">
        <v>110</v>
      </c>
      <c r="D3213" s="327" t="s">
        <v>114</v>
      </c>
      <c r="E3213" s="328" t="s">
        <v>2553</v>
      </c>
      <c r="F3213" s="328">
        <v>10.6738695</v>
      </c>
      <c r="G3213" s="328">
        <v>5423.8558499999999</v>
      </c>
      <c r="H3213" s="328">
        <v>5922.7192500000001</v>
      </c>
      <c r="I3213" s="329">
        <v>3.2522252146878795E-3</v>
      </c>
      <c r="J3213" s="329">
        <v>0.58275109858592722</v>
      </c>
      <c r="K3213" s="329">
        <v>0.73997711027237578</v>
      </c>
    </row>
    <row r="3214" spans="1:11" ht="11.25" x14ac:dyDescent="0.15">
      <c r="A3214" s="326">
        <v>1.05</v>
      </c>
      <c r="B3214" s="327">
        <v>0</v>
      </c>
      <c r="C3214" s="327" t="s">
        <v>110</v>
      </c>
      <c r="D3214" s="327" t="s">
        <v>113</v>
      </c>
      <c r="E3214" s="328" t="s">
        <v>2554</v>
      </c>
      <c r="F3214" s="328">
        <v>5.89463385</v>
      </c>
      <c r="G3214" s="328">
        <v>5338.3805999999995</v>
      </c>
      <c r="H3214" s="328">
        <v>5837.4035999999996</v>
      </c>
      <c r="I3214" s="329">
        <v>1.7960381507683499E-3</v>
      </c>
      <c r="J3214" s="329">
        <v>0.57356744820565253</v>
      </c>
      <c r="K3214" s="329">
        <v>0.72931788002977904</v>
      </c>
    </row>
    <row r="3215" spans="1:11" ht="11.25" x14ac:dyDescent="0.15">
      <c r="A3215" s="326">
        <v>1.075</v>
      </c>
      <c r="B3215" s="327">
        <v>0</v>
      </c>
      <c r="C3215" s="327" t="s">
        <v>110</v>
      </c>
      <c r="D3215" s="327" t="s">
        <v>79</v>
      </c>
      <c r="E3215" s="328" t="s">
        <v>2555</v>
      </c>
      <c r="F3215" s="328">
        <v>58.927113999999996</v>
      </c>
      <c r="G3215" s="328">
        <v>5966.7068749999999</v>
      </c>
      <c r="H3215" s="328">
        <v>6311.0325999999995</v>
      </c>
      <c r="I3215" s="329">
        <v>1.7954523987724146E-2</v>
      </c>
      <c r="J3215" s="329">
        <v>0.64107621635011824</v>
      </c>
      <c r="K3215" s="329">
        <v>0.78849249290058077</v>
      </c>
    </row>
    <row r="3216" spans="1:11" ht="11.25" x14ac:dyDescent="0.15">
      <c r="A3216" s="326">
        <v>1.075</v>
      </c>
      <c r="B3216" s="327">
        <v>0</v>
      </c>
      <c r="C3216" s="327" t="s">
        <v>110</v>
      </c>
      <c r="D3216" s="327" t="s">
        <v>114</v>
      </c>
      <c r="E3216" s="328" t="s">
        <v>2556</v>
      </c>
      <c r="F3216" s="328">
        <v>11.901776499999999</v>
      </c>
      <c r="G3216" s="328">
        <v>5693.1677499999996</v>
      </c>
      <c r="H3216" s="328">
        <v>6220.7734499999997</v>
      </c>
      <c r="I3216" s="329">
        <v>3.6263566490933449E-3</v>
      </c>
      <c r="J3216" s="329">
        <v>0.61168656625460849</v>
      </c>
      <c r="K3216" s="329">
        <v>0.77721562797191801</v>
      </c>
    </row>
    <row r="3217" spans="1:11" ht="11.25" x14ac:dyDescent="0.15">
      <c r="A3217" s="326">
        <v>1.075</v>
      </c>
      <c r="B3217" s="327">
        <v>0</v>
      </c>
      <c r="C3217" s="327" t="s">
        <v>110</v>
      </c>
      <c r="D3217" s="327" t="s">
        <v>113</v>
      </c>
      <c r="E3217" s="328" t="s">
        <v>2557</v>
      </c>
      <c r="F3217" s="328">
        <v>6.6099320500000003</v>
      </c>
      <c r="G3217" s="328">
        <v>5584.0799750000006</v>
      </c>
      <c r="H3217" s="328">
        <v>6132.3740499999994</v>
      </c>
      <c r="I3217" s="329">
        <v>2.0139826218021073E-3</v>
      </c>
      <c r="J3217" s="329">
        <v>0.59996593383338659</v>
      </c>
      <c r="K3217" s="329">
        <v>0.76617111787432857</v>
      </c>
    </row>
    <row r="3218" spans="1:11" ht="11.25" x14ac:dyDescent="0.15">
      <c r="A3218" s="326">
        <v>1.1000000000000001</v>
      </c>
      <c r="B3218" s="327">
        <v>0</v>
      </c>
      <c r="C3218" s="327" t="s">
        <v>110</v>
      </c>
      <c r="D3218" s="327" t="s">
        <v>79</v>
      </c>
      <c r="E3218" s="328" t="s">
        <v>2558</v>
      </c>
      <c r="F3218" s="328">
        <v>65.464223000000004</v>
      </c>
      <c r="G3218" s="328">
        <v>6302.1585000000005</v>
      </c>
      <c r="H3218" s="328">
        <v>6619.6614</v>
      </c>
      <c r="I3218" s="329">
        <v>1.9946318127699633E-2</v>
      </c>
      <c r="J3218" s="329">
        <v>0.6771178827213189</v>
      </c>
      <c r="K3218" s="329">
        <v>0.82705218785333934</v>
      </c>
    </row>
    <row r="3219" spans="1:11" ht="11.25" x14ac:dyDescent="0.15">
      <c r="A3219" s="326">
        <v>1.1000000000000001</v>
      </c>
      <c r="B3219" s="327">
        <v>0</v>
      </c>
      <c r="C3219" s="327" t="s">
        <v>110</v>
      </c>
      <c r="D3219" s="327" t="s">
        <v>114</v>
      </c>
      <c r="E3219" s="328" t="s">
        <v>2559</v>
      </c>
      <c r="F3219" s="328">
        <v>13.265494000000002</v>
      </c>
      <c r="G3219" s="328">
        <v>5975.0614000000005</v>
      </c>
      <c r="H3219" s="328">
        <v>6525.9986000000008</v>
      </c>
      <c r="I3219" s="329">
        <v>4.0418682345789202E-3</v>
      </c>
      <c r="J3219" s="329">
        <v>0.64197384504021582</v>
      </c>
      <c r="K3219" s="329">
        <v>0.81535007516514824</v>
      </c>
    </row>
    <row r="3220" spans="1:11" ht="11.25" x14ac:dyDescent="0.15">
      <c r="A3220" s="326">
        <v>1.1000000000000001</v>
      </c>
      <c r="B3220" s="327">
        <v>0</v>
      </c>
      <c r="C3220" s="327" t="s">
        <v>110</v>
      </c>
      <c r="D3220" s="327" t="s">
        <v>113</v>
      </c>
      <c r="E3220" s="328" t="s">
        <v>2560</v>
      </c>
      <c r="F3220" s="328">
        <v>7.4098266000000006</v>
      </c>
      <c r="G3220" s="328">
        <v>5839.6976000000013</v>
      </c>
      <c r="H3220" s="328">
        <v>6434.6106</v>
      </c>
      <c r="I3220" s="329">
        <v>2.2577027857596499E-3</v>
      </c>
      <c r="J3220" s="329">
        <v>0.62743005823239262</v>
      </c>
      <c r="K3220" s="329">
        <v>0.80393217313415588</v>
      </c>
    </row>
    <row r="3221" spans="1:11" ht="11.25" x14ac:dyDescent="0.15">
      <c r="A3221" s="326">
        <v>1.125</v>
      </c>
      <c r="B3221" s="327">
        <v>0</v>
      </c>
      <c r="C3221" s="327" t="s">
        <v>110</v>
      </c>
      <c r="D3221" s="327" t="s">
        <v>79</v>
      </c>
      <c r="E3221" s="328" t="s">
        <v>2561</v>
      </c>
      <c r="F3221" s="328">
        <v>72.67061249999999</v>
      </c>
      <c r="G3221" s="328">
        <v>6657.1649999999991</v>
      </c>
      <c r="H3221" s="328">
        <v>6935.5383750000001</v>
      </c>
      <c r="I3221" s="329">
        <v>2.2142035588809866E-2</v>
      </c>
      <c r="J3221" s="329">
        <v>0.71526056822062911</v>
      </c>
      <c r="K3221" s="329">
        <v>0.86651746069437086</v>
      </c>
    </row>
    <row r="3222" spans="1:11" ht="11.25" x14ac:dyDescent="0.15">
      <c r="A3222" s="326">
        <v>1.125</v>
      </c>
      <c r="B3222" s="327">
        <v>0</v>
      </c>
      <c r="C3222" s="327" t="s">
        <v>110</v>
      </c>
      <c r="D3222" s="327" t="s">
        <v>114</v>
      </c>
      <c r="E3222" s="328" t="s">
        <v>2562</v>
      </c>
      <c r="F3222" s="328">
        <v>14.780317499999999</v>
      </c>
      <c r="G3222" s="328">
        <v>6273.0945000000002</v>
      </c>
      <c r="H3222" s="328">
        <v>6838.643250000001</v>
      </c>
      <c r="I3222" s="329">
        <v>4.5034203626522244E-3</v>
      </c>
      <c r="J3222" s="329">
        <v>0.67399518211907083</v>
      </c>
      <c r="K3222" s="329">
        <v>0.85441150537714394</v>
      </c>
    </row>
    <row r="3223" spans="1:11" ht="11.25" x14ac:dyDescent="0.15">
      <c r="A3223" s="326">
        <v>1.125</v>
      </c>
      <c r="B3223" s="327">
        <v>0</v>
      </c>
      <c r="C3223" s="327" t="s">
        <v>110</v>
      </c>
      <c r="D3223" s="327" t="s">
        <v>113</v>
      </c>
      <c r="E3223" s="328" t="s">
        <v>2563</v>
      </c>
      <c r="F3223" s="328">
        <v>8.3044417499999987</v>
      </c>
      <c r="G3223" s="328">
        <v>6105.6247499999999</v>
      </c>
      <c r="H3223" s="328">
        <v>6744.2174999999997</v>
      </c>
      <c r="I3223" s="329">
        <v>2.5302834040885299E-3</v>
      </c>
      <c r="J3223" s="329">
        <v>0.65600186085622592</v>
      </c>
      <c r="K3223" s="329">
        <v>0.8426140706734303</v>
      </c>
    </row>
    <row r="3224" spans="1:11" ht="11.25" x14ac:dyDescent="0.15">
      <c r="A3224" s="326">
        <v>1.1499999999999999</v>
      </c>
      <c r="B3224" s="327">
        <v>0</v>
      </c>
      <c r="C3224" s="327" t="s">
        <v>110</v>
      </c>
      <c r="D3224" s="327" t="s">
        <v>79</v>
      </c>
      <c r="E3224" s="328" t="s">
        <v>2564</v>
      </c>
      <c r="F3224" s="328">
        <v>80.610687499999997</v>
      </c>
      <c r="G3224" s="328">
        <v>7033.9887999999992</v>
      </c>
      <c r="H3224" s="328">
        <v>7258.9621499999994</v>
      </c>
      <c r="I3224" s="329">
        <v>2.4561299954138006E-2</v>
      </c>
      <c r="J3224" s="329">
        <v>0.75574735280641858</v>
      </c>
      <c r="K3224" s="329">
        <v>0.90692562125641041</v>
      </c>
    </row>
    <row r="3225" spans="1:11" ht="11.25" x14ac:dyDescent="0.15">
      <c r="A3225" s="326">
        <v>1.1499999999999999</v>
      </c>
      <c r="B3225" s="327">
        <v>0</v>
      </c>
      <c r="C3225" s="327" t="s">
        <v>110</v>
      </c>
      <c r="D3225" s="327" t="s">
        <v>114</v>
      </c>
      <c r="E3225" s="328" t="s">
        <v>2565</v>
      </c>
      <c r="F3225" s="328">
        <v>16.463031999999998</v>
      </c>
      <c r="G3225" s="328">
        <v>6586.7227499999999</v>
      </c>
      <c r="H3225" s="328">
        <v>7158.9776999999985</v>
      </c>
      <c r="I3225" s="329">
        <v>5.016127261122447E-3</v>
      </c>
      <c r="J3225" s="329">
        <v>0.70769209669232258</v>
      </c>
      <c r="K3225" s="329">
        <v>0.89443368955068703</v>
      </c>
    </row>
    <row r="3226" spans="1:11" ht="11.25" x14ac:dyDescent="0.15">
      <c r="A3226" s="326">
        <v>1.1499999999999999</v>
      </c>
      <c r="B3226" s="327">
        <v>0</v>
      </c>
      <c r="C3226" s="327" t="s">
        <v>110</v>
      </c>
      <c r="D3226" s="327" t="s">
        <v>113</v>
      </c>
      <c r="E3226" s="328" t="s">
        <v>2566</v>
      </c>
      <c r="F3226" s="328">
        <v>9.3050731999999989</v>
      </c>
      <c r="G3226" s="328">
        <v>6381.9111999999986</v>
      </c>
      <c r="H3226" s="328">
        <v>7060.9643499999993</v>
      </c>
      <c r="I3226" s="329">
        <v>2.8351661677666596E-3</v>
      </c>
      <c r="J3226" s="329">
        <v>0.68568668964125068</v>
      </c>
      <c r="K3226" s="329">
        <v>0.88218802460529655</v>
      </c>
    </row>
    <row r="3227" spans="1:11" ht="11.25" x14ac:dyDescent="0.15">
      <c r="A3227" s="326">
        <v>1.175</v>
      </c>
      <c r="B3227" s="327">
        <v>0</v>
      </c>
      <c r="C3227" s="327" t="s">
        <v>110</v>
      </c>
      <c r="D3227" s="327" t="s">
        <v>79</v>
      </c>
      <c r="E3227" s="328" t="s">
        <v>2567</v>
      </c>
      <c r="F3227" s="328">
        <v>89.354614000000012</v>
      </c>
      <c r="G3227" s="328">
        <v>7432.9207500000002</v>
      </c>
      <c r="H3227" s="328">
        <v>7589.7056999999995</v>
      </c>
      <c r="I3227" s="329">
        <v>2.7225490127971177E-2</v>
      </c>
      <c r="J3227" s="329">
        <v>0.7986094860475752</v>
      </c>
      <c r="K3227" s="329">
        <v>0.94824830532086735</v>
      </c>
    </row>
    <row r="3228" spans="1:11" ht="11.25" x14ac:dyDescent="0.15">
      <c r="A3228" s="326">
        <v>1.175</v>
      </c>
      <c r="B3228" s="327">
        <v>0</v>
      </c>
      <c r="C3228" s="327" t="s">
        <v>110</v>
      </c>
      <c r="D3228" s="327" t="s">
        <v>114</v>
      </c>
      <c r="E3228" s="328" t="s">
        <v>2568</v>
      </c>
      <c r="F3228" s="328">
        <v>18.332526250000004</v>
      </c>
      <c r="G3228" s="328">
        <v>6917.8242500000006</v>
      </c>
      <c r="H3228" s="328">
        <v>7485.8004499999997</v>
      </c>
      <c r="I3228" s="329">
        <v>5.5857441501582393E-3</v>
      </c>
      <c r="J3228" s="329">
        <v>0.74326637598819445</v>
      </c>
      <c r="K3228" s="329">
        <v>0.93526651378362224</v>
      </c>
    </row>
    <row r="3229" spans="1:11" ht="11.25" x14ac:dyDescent="0.15">
      <c r="A3229" s="326">
        <v>1.175</v>
      </c>
      <c r="B3229" s="327">
        <v>0</v>
      </c>
      <c r="C3229" s="327" t="s">
        <v>110</v>
      </c>
      <c r="D3229" s="327" t="s">
        <v>113</v>
      </c>
      <c r="E3229" s="328" t="s">
        <v>2569</v>
      </c>
      <c r="F3229" s="328">
        <v>10.424322699999999</v>
      </c>
      <c r="G3229" s="328">
        <v>6672.0659499999992</v>
      </c>
      <c r="H3229" s="328">
        <v>7385.1593500000008</v>
      </c>
      <c r="I3229" s="329">
        <v>3.1761907086256991E-3</v>
      </c>
      <c r="J3229" s="329">
        <v>0.71686155932780871</v>
      </c>
      <c r="K3229" s="329">
        <v>0.92269254105097376</v>
      </c>
    </row>
    <row r="3230" spans="1:11" ht="11.25" x14ac:dyDescent="0.15">
      <c r="A3230" s="326">
        <v>1.2</v>
      </c>
      <c r="B3230" s="327">
        <v>0</v>
      </c>
      <c r="C3230" s="327" t="s">
        <v>110</v>
      </c>
      <c r="D3230" s="327" t="s">
        <v>79</v>
      </c>
      <c r="E3230" s="328" t="s">
        <v>2570</v>
      </c>
      <c r="F3230" s="328">
        <v>98.97936</v>
      </c>
      <c r="G3230" s="328">
        <v>7854.7979999999998</v>
      </c>
      <c r="H3230" s="328">
        <v>7927.9067999999997</v>
      </c>
      <c r="I3230" s="329">
        <v>3.0158057518472465E-2</v>
      </c>
      <c r="J3230" s="329">
        <v>0.84393691319627229</v>
      </c>
      <c r="K3230" s="329">
        <v>0.99050272632333825</v>
      </c>
    </row>
    <row r="3231" spans="1:11" ht="11.25" x14ac:dyDescent="0.15">
      <c r="A3231" s="326">
        <v>1.2</v>
      </c>
      <c r="B3231" s="327">
        <v>0</v>
      </c>
      <c r="C3231" s="327" t="s">
        <v>110</v>
      </c>
      <c r="D3231" s="327" t="s">
        <v>114</v>
      </c>
      <c r="E3231" s="328" t="s">
        <v>2571</v>
      </c>
      <c r="F3231" s="328">
        <v>20.409732000000002</v>
      </c>
      <c r="G3231" s="328">
        <v>7268.6484</v>
      </c>
      <c r="H3231" s="328">
        <v>7820.9592000000002</v>
      </c>
      <c r="I3231" s="329">
        <v>6.2186487323479169E-3</v>
      </c>
      <c r="J3231" s="329">
        <v>0.78095970053017572</v>
      </c>
      <c r="K3231" s="329">
        <v>0.97714082739514485</v>
      </c>
    </row>
    <row r="3232" spans="1:11" ht="11.25" x14ac:dyDescent="0.15">
      <c r="A3232" s="326">
        <v>1.2</v>
      </c>
      <c r="B3232" s="327">
        <v>0</v>
      </c>
      <c r="C3232" s="327" t="s">
        <v>110</v>
      </c>
      <c r="D3232" s="327" t="s">
        <v>113</v>
      </c>
      <c r="E3232" s="328" t="s">
        <v>2572</v>
      </c>
      <c r="F3232" s="328">
        <v>11.676260399999999</v>
      </c>
      <c r="G3232" s="328">
        <v>6974.391599999999</v>
      </c>
      <c r="H3232" s="328">
        <v>7716.2771999999995</v>
      </c>
      <c r="I3232" s="329">
        <v>3.5576440658321314E-3</v>
      </c>
      <c r="J3232" s="329">
        <v>0.74934409749633402</v>
      </c>
      <c r="K3232" s="329">
        <v>0.96406198968769596</v>
      </c>
    </row>
    <row r="3233" spans="1:11" ht="11.25" x14ac:dyDescent="0.15">
      <c r="A3233" s="326">
        <v>1.2250000000000001</v>
      </c>
      <c r="B3233" s="327">
        <v>0</v>
      </c>
      <c r="C3233" s="327" t="s">
        <v>110</v>
      </c>
      <c r="D3233" s="327" t="s">
        <v>79</v>
      </c>
      <c r="E3233" s="328" t="s">
        <v>2573</v>
      </c>
      <c r="F3233" s="328">
        <v>109.56843450000001</v>
      </c>
      <c r="G3233" s="328">
        <v>8301.5763250000018</v>
      </c>
      <c r="H3233" s="328">
        <v>8273.959925000001</v>
      </c>
      <c r="I3233" s="329">
        <v>3.3384446513495168E-2</v>
      </c>
      <c r="J3233" s="329">
        <v>0.8919397670549587</v>
      </c>
      <c r="K3233" s="329">
        <v>1.0337381694752699</v>
      </c>
    </row>
    <row r="3234" spans="1:11" ht="11.25" x14ac:dyDescent="0.15">
      <c r="A3234" s="326">
        <v>1.2250000000000001</v>
      </c>
      <c r="B3234" s="327">
        <v>0</v>
      </c>
      <c r="C3234" s="327" t="s">
        <v>110</v>
      </c>
      <c r="D3234" s="327" t="s">
        <v>114</v>
      </c>
      <c r="E3234" s="328" t="s">
        <v>2574</v>
      </c>
      <c r="F3234" s="328">
        <v>22.717894500000003</v>
      </c>
      <c r="G3234" s="328">
        <v>7638.1653250000008</v>
      </c>
      <c r="H3234" s="328">
        <v>8162.5192250000009</v>
      </c>
      <c r="I3234" s="329">
        <v>6.9219236114437324E-3</v>
      </c>
      <c r="J3234" s="329">
        <v>0.82066141826477301</v>
      </c>
      <c r="K3234" s="329">
        <v>1.0198149082717727</v>
      </c>
    </row>
    <row r="3235" spans="1:11" ht="11.25" x14ac:dyDescent="0.15">
      <c r="A3235" s="326">
        <v>1.2250000000000001</v>
      </c>
      <c r="B3235" s="327">
        <v>0</v>
      </c>
      <c r="C3235" s="327" t="s">
        <v>110</v>
      </c>
      <c r="D3235" s="327" t="s">
        <v>113</v>
      </c>
      <c r="E3235" s="328" t="s">
        <v>2575</v>
      </c>
      <c r="F3235" s="328">
        <v>13.076605500000001</v>
      </c>
      <c r="G3235" s="328">
        <v>7291.8933500000003</v>
      </c>
      <c r="H3235" s="328">
        <v>8054.8356000000013</v>
      </c>
      <c r="I3235" s="329">
        <v>3.9843157282020555E-3</v>
      </c>
      <c r="J3235" s="329">
        <v>0.78345718949811638</v>
      </c>
      <c r="K3235" s="329">
        <v>1.0063610513037671</v>
      </c>
    </row>
    <row r="3236" spans="1:11" ht="11.25" x14ac:dyDescent="0.15">
      <c r="A3236" s="326">
        <v>1.25</v>
      </c>
      <c r="B3236" s="327">
        <v>0</v>
      </c>
      <c r="C3236" s="327" t="s">
        <v>110</v>
      </c>
      <c r="D3236" s="327" t="s">
        <v>79</v>
      </c>
      <c r="E3236" s="328" t="s">
        <v>2576</v>
      </c>
      <c r="F3236" s="328">
        <v>121.21422500000001</v>
      </c>
      <c r="G3236" s="328">
        <v>8772.1587500000005</v>
      </c>
      <c r="H3236" s="328">
        <v>8626.9850000000006</v>
      </c>
      <c r="I3236" s="329">
        <v>3.6932806694315493E-2</v>
      </c>
      <c r="J3236" s="329">
        <v>0.94250018619736253</v>
      </c>
      <c r="K3236" s="329">
        <v>1.0778446793106278</v>
      </c>
    </row>
    <row r="3237" spans="1:11" ht="11.25" x14ac:dyDescent="0.15">
      <c r="A3237" s="326">
        <v>1.25</v>
      </c>
      <c r="B3237" s="327">
        <v>0</v>
      </c>
      <c r="C3237" s="327" t="s">
        <v>110</v>
      </c>
      <c r="D3237" s="327" t="s">
        <v>114</v>
      </c>
      <c r="E3237" s="328" t="s">
        <v>2577</v>
      </c>
      <c r="F3237" s="328">
        <v>25.282900000000001</v>
      </c>
      <c r="G3237" s="328">
        <v>8029.6487500000003</v>
      </c>
      <c r="H3237" s="328">
        <v>8512.0375000000004</v>
      </c>
      <c r="I3237" s="329">
        <v>7.7034560784570386E-3</v>
      </c>
      <c r="J3237" s="329">
        <v>0.86272326546466327</v>
      </c>
      <c r="K3237" s="329">
        <v>1.0634832829160521</v>
      </c>
    </row>
    <row r="3238" spans="1:11" ht="11.25" x14ac:dyDescent="0.15">
      <c r="A3238" s="326">
        <v>1.25</v>
      </c>
      <c r="B3238" s="327">
        <v>0</v>
      </c>
      <c r="C3238" s="327" t="s">
        <v>110</v>
      </c>
      <c r="D3238" s="327" t="s">
        <v>113</v>
      </c>
      <c r="E3238" s="328" t="s">
        <v>2578</v>
      </c>
      <c r="F3238" s="328">
        <v>14.642950000000001</v>
      </c>
      <c r="G3238" s="328">
        <v>7626.5112499999996</v>
      </c>
      <c r="H3238" s="328">
        <v>8400.6049999999996</v>
      </c>
      <c r="I3238" s="329">
        <v>4.4615658086707812E-3</v>
      </c>
      <c r="J3238" s="329">
        <v>0.8194092786067374</v>
      </c>
      <c r="K3238" s="329">
        <v>1.049561046210264</v>
      </c>
    </row>
    <row r="3239" spans="1:11" ht="11.25" x14ac:dyDescent="0.15">
      <c r="A3239" s="326">
        <v>1.2749999999999999</v>
      </c>
      <c r="B3239" s="327">
        <v>0</v>
      </c>
      <c r="C3239" s="327" t="s">
        <v>110</v>
      </c>
      <c r="D3239" s="327" t="s">
        <v>79</v>
      </c>
      <c r="E3239" s="328" t="s">
        <v>2579</v>
      </c>
      <c r="F3239" s="328">
        <v>134.0176725</v>
      </c>
      <c r="G3239" s="328">
        <v>9267.8258249999999</v>
      </c>
      <c r="H3239" s="328">
        <v>8987.9824499999995</v>
      </c>
      <c r="I3239" s="329">
        <v>4.083389381126333E-2</v>
      </c>
      <c r="J3239" s="329">
        <v>0.99575575575478781</v>
      </c>
      <c r="K3239" s="329">
        <v>1.1229472476734108</v>
      </c>
    </row>
    <row r="3240" spans="1:11" ht="11.25" x14ac:dyDescent="0.15">
      <c r="A3240" s="326">
        <v>1.2749999999999999</v>
      </c>
      <c r="B3240" s="327">
        <v>0</v>
      </c>
      <c r="C3240" s="327" t="s">
        <v>110</v>
      </c>
      <c r="D3240" s="327" t="s">
        <v>114</v>
      </c>
      <c r="E3240" s="328" t="s">
        <v>2580</v>
      </c>
      <c r="F3240" s="328">
        <v>28.133601749999993</v>
      </c>
      <c r="G3240" s="328">
        <v>8442.5527499999989</v>
      </c>
      <c r="H3240" s="328">
        <v>8868.7061999999987</v>
      </c>
      <c r="I3240" s="329">
        <v>8.5720374407179164E-3</v>
      </c>
      <c r="J3240" s="329">
        <v>0.90708658673739273</v>
      </c>
      <c r="K3240" s="329">
        <v>1.1080450226862772</v>
      </c>
    </row>
    <row r="3241" spans="1:11" ht="11.25" x14ac:dyDescent="0.15">
      <c r="A3241" s="326">
        <v>1.2749999999999999</v>
      </c>
      <c r="B3241" s="327">
        <v>0</v>
      </c>
      <c r="C3241" s="327" t="s">
        <v>110</v>
      </c>
      <c r="D3241" s="327" t="s">
        <v>113</v>
      </c>
      <c r="E3241" s="328" t="s">
        <v>2581</v>
      </c>
      <c r="F3241" s="328">
        <v>16.394957250000001</v>
      </c>
      <c r="G3241" s="328">
        <v>7977.9682499999999</v>
      </c>
      <c r="H3241" s="328">
        <v>8753.7713249999997</v>
      </c>
      <c r="I3241" s="329">
        <v>4.9953855405651965E-3</v>
      </c>
      <c r="J3241" s="329">
        <v>0.85717059795590744</v>
      </c>
      <c r="K3241" s="329">
        <v>1.0936852036433578</v>
      </c>
    </row>
    <row r="3242" spans="1:11" ht="11.25" x14ac:dyDescent="0.15">
      <c r="A3242" s="326">
        <v>1.3</v>
      </c>
      <c r="B3242" s="327">
        <v>0</v>
      </c>
      <c r="C3242" s="327" t="s">
        <v>110</v>
      </c>
      <c r="D3242" s="327" t="s">
        <v>79</v>
      </c>
      <c r="E3242" s="328" t="s">
        <v>2582</v>
      </c>
      <c r="F3242" s="328">
        <v>148.09002000000001</v>
      </c>
      <c r="G3242" s="328">
        <v>9789.7072000000007</v>
      </c>
      <c r="H3242" s="328">
        <v>9355.6970000000001</v>
      </c>
      <c r="I3242" s="329">
        <v>4.5121602534828859E-2</v>
      </c>
      <c r="J3242" s="329">
        <v>1.0518278478279546</v>
      </c>
      <c r="K3242" s="329">
        <v>1.168889042080449</v>
      </c>
    </row>
    <row r="3243" spans="1:11" ht="11.25" x14ac:dyDescent="0.15">
      <c r="A3243" s="326">
        <v>1.3</v>
      </c>
      <c r="B3243" s="327">
        <v>0</v>
      </c>
      <c r="C3243" s="327" t="s">
        <v>110</v>
      </c>
      <c r="D3243" s="327" t="s">
        <v>114</v>
      </c>
      <c r="E3243" s="328" t="s">
        <v>2583</v>
      </c>
      <c r="F3243" s="328">
        <v>31.302180000000003</v>
      </c>
      <c r="G3243" s="328">
        <v>8878.9428000000007</v>
      </c>
      <c r="H3243" s="328">
        <v>9232.9575000000004</v>
      </c>
      <c r="I3243" s="329">
        <v>9.537472710407285E-3</v>
      </c>
      <c r="J3243" s="329">
        <v>0.95397330129664282</v>
      </c>
      <c r="K3243" s="329">
        <v>1.1535541229845834</v>
      </c>
    </row>
    <row r="3244" spans="1:11" ht="11.25" x14ac:dyDescent="0.15">
      <c r="A3244" s="326">
        <v>1.3</v>
      </c>
      <c r="B3244" s="327">
        <v>0</v>
      </c>
      <c r="C3244" s="327" t="s">
        <v>110</v>
      </c>
      <c r="D3244" s="327" t="s">
        <v>113</v>
      </c>
      <c r="E3244" s="328" t="s">
        <v>2584</v>
      </c>
      <c r="F3244" s="328">
        <v>18.354635000000002</v>
      </c>
      <c r="G3244" s="328">
        <v>8349.1291000000001</v>
      </c>
      <c r="H3244" s="328">
        <v>9114.3819000000003</v>
      </c>
      <c r="I3244" s="329">
        <v>5.5924804733084544E-3</v>
      </c>
      <c r="J3244" s="329">
        <v>0.89704894263750268</v>
      </c>
      <c r="K3244" s="329">
        <v>1.1387394363291568</v>
      </c>
    </row>
    <row r="3245" spans="1:11" ht="11.25" x14ac:dyDescent="0.15">
      <c r="A3245" s="326">
        <v>1.325</v>
      </c>
      <c r="B3245" s="327">
        <v>0</v>
      </c>
      <c r="C3245" s="327" t="s">
        <v>110</v>
      </c>
      <c r="D3245" s="327" t="s">
        <v>79</v>
      </c>
      <c r="E3245" s="328" t="s">
        <v>2585</v>
      </c>
      <c r="F3245" s="328">
        <v>163.55336250000002</v>
      </c>
      <c r="G3245" s="328">
        <v>10339.16315</v>
      </c>
      <c r="H3245" s="328">
        <v>9732.1885999999995</v>
      </c>
      <c r="I3245" s="329">
        <v>4.9833134035364324E-2</v>
      </c>
      <c r="J3245" s="329">
        <v>1.110862613378937</v>
      </c>
      <c r="K3245" s="329">
        <v>1.2159274300995708</v>
      </c>
    </row>
    <row r="3246" spans="1:11" ht="11.25" x14ac:dyDescent="0.15">
      <c r="A3246" s="326">
        <v>1.325</v>
      </c>
      <c r="B3246" s="327">
        <v>0</v>
      </c>
      <c r="C3246" s="327" t="s">
        <v>110</v>
      </c>
      <c r="D3246" s="327" t="s">
        <v>114</v>
      </c>
      <c r="E3246" s="328" t="s">
        <v>2586</v>
      </c>
      <c r="F3246" s="328">
        <v>34.824590749999999</v>
      </c>
      <c r="G3246" s="328">
        <v>9338.0275999999994</v>
      </c>
      <c r="H3246" s="328">
        <v>9604.2691249999989</v>
      </c>
      <c r="I3246" s="329">
        <v>1.0610717334359043E-2</v>
      </c>
      <c r="J3246" s="329">
        <v>1.0032983901159005</v>
      </c>
      <c r="K3246" s="329">
        <v>1.1999453314279076</v>
      </c>
    </row>
    <row r="3247" spans="1:11" ht="11.25" x14ac:dyDescent="0.15">
      <c r="A3247" s="326">
        <v>1.325</v>
      </c>
      <c r="B3247" s="327">
        <v>0</v>
      </c>
      <c r="C3247" s="327" t="s">
        <v>110</v>
      </c>
      <c r="D3247" s="327" t="s">
        <v>113</v>
      </c>
      <c r="E3247" s="328" t="s">
        <v>2587</v>
      </c>
      <c r="F3247" s="328">
        <v>20.546695499999998</v>
      </c>
      <c r="G3247" s="328">
        <v>8739.9848750000001</v>
      </c>
      <c r="H3247" s="328">
        <v>9482.2684250000002</v>
      </c>
      <c r="I3247" s="329">
        <v>6.2603801914211136E-3</v>
      </c>
      <c r="J3247" s="329">
        <v>0.93904335372973402</v>
      </c>
      <c r="K3247" s="329">
        <v>1.1847027170768718</v>
      </c>
    </row>
    <row r="3248" spans="1:11" ht="11.25" x14ac:dyDescent="0.15">
      <c r="A3248" s="326">
        <v>1.35</v>
      </c>
      <c r="B3248" s="327">
        <v>0</v>
      </c>
      <c r="C3248" s="327" t="s">
        <v>110</v>
      </c>
      <c r="D3248" s="327" t="s">
        <v>79</v>
      </c>
      <c r="E3248" s="328" t="s">
        <v>2588</v>
      </c>
      <c r="F3248" s="328">
        <v>180.54008999999999</v>
      </c>
      <c r="G3248" s="328">
        <v>10914.47055</v>
      </c>
      <c r="H3248" s="328">
        <v>10115.505450000001</v>
      </c>
      <c r="I3248" s="329">
        <v>5.5008826270549691E-2</v>
      </c>
      <c r="J3248" s="329">
        <v>1.1726749160371304</v>
      </c>
      <c r="K3248" s="329">
        <v>1.2638185562882231</v>
      </c>
    </row>
    <row r="3249" spans="1:11" ht="11.25" x14ac:dyDescent="0.15">
      <c r="A3249" s="326">
        <v>1.35</v>
      </c>
      <c r="B3249" s="327">
        <v>0</v>
      </c>
      <c r="C3249" s="327" t="s">
        <v>110</v>
      </c>
      <c r="D3249" s="327" t="s">
        <v>114</v>
      </c>
      <c r="E3249" s="328" t="s">
        <v>2589</v>
      </c>
      <c r="F3249" s="328">
        <v>38.740761000000006</v>
      </c>
      <c r="G3249" s="328">
        <v>9821.3715000000011</v>
      </c>
      <c r="H3249" s="328">
        <v>9982.7451000000001</v>
      </c>
      <c r="I3249" s="329">
        <v>1.1803936684854247E-2</v>
      </c>
      <c r="J3249" s="329">
        <v>1.0552299304277262</v>
      </c>
      <c r="K3249" s="329">
        <v>1.2472316447692027</v>
      </c>
    </row>
    <row r="3250" spans="1:11" ht="11.25" x14ac:dyDescent="0.15">
      <c r="A3250" s="326">
        <v>1.35</v>
      </c>
      <c r="B3250" s="327">
        <v>0</v>
      </c>
      <c r="C3250" s="327" t="s">
        <v>110</v>
      </c>
      <c r="D3250" s="327" t="s">
        <v>113</v>
      </c>
      <c r="E3250" s="328" t="s">
        <v>2590</v>
      </c>
      <c r="F3250" s="328">
        <v>22.998775500000001</v>
      </c>
      <c r="G3250" s="328">
        <v>9150.5321999999996</v>
      </c>
      <c r="H3250" s="328">
        <v>9857.4934500000018</v>
      </c>
      <c r="I3250" s="329">
        <v>7.0075053464018697E-3</v>
      </c>
      <c r="J3250" s="329">
        <v>0.98315346861511832</v>
      </c>
      <c r="K3250" s="329">
        <v>1.231582860805005</v>
      </c>
    </row>
    <row r="3251" spans="1:11" ht="11.25" x14ac:dyDescent="0.15">
      <c r="A3251" s="326">
        <v>1.375</v>
      </c>
      <c r="B3251" s="327">
        <v>0</v>
      </c>
      <c r="C3251" s="327" t="s">
        <v>110</v>
      </c>
      <c r="D3251" s="327" t="s">
        <v>79</v>
      </c>
      <c r="E3251" s="328" t="s">
        <v>2591</v>
      </c>
      <c r="F3251" s="328">
        <v>199.20078749999999</v>
      </c>
      <c r="G3251" s="328">
        <v>11518.336499999999</v>
      </c>
      <c r="H3251" s="328">
        <v>10505.759</v>
      </c>
      <c r="I3251" s="329">
        <v>6.0694561039291529E-2</v>
      </c>
      <c r="J3251" s="329">
        <v>1.2375556126288612</v>
      </c>
      <c r="K3251" s="329">
        <v>1.3125763450695396</v>
      </c>
    </row>
    <row r="3252" spans="1:11" ht="11.25" x14ac:dyDescent="0.15">
      <c r="A3252" s="326">
        <v>1.375</v>
      </c>
      <c r="B3252" s="327">
        <v>0</v>
      </c>
      <c r="C3252" s="327" t="s">
        <v>110</v>
      </c>
      <c r="D3252" s="327" t="s">
        <v>114</v>
      </c>
      <c r="E3252" s="328" t="s">
        <v>2592</v>
      </c>
      <c r="F3252" s="328">
        <v>43.095648749999995</v>
      </c>
      <c r="G3252" s="328">
        <v>10329.919875</v>
      </c>
      <c r="H3252" s="328">
        <v>10369.101875</v>
      </c>
      <c r="I3252" s="329">
        <v>1.3130829031410041E-2</v>
      </c>
      <c r="J3252" s="329">
        <v>1.1098694954182555</v>
      </c>
      <c r="K3252" s="329">
        <v>1.2955025753723466</v>
      </c>
    </row>
    <row r="3253" spans="1:11" ht="11.25" x14ac:dyDescent="0.15">
      <c r="A3253" s="326">
        <v>1.375</v>
      </c>
      <c r="B3253" s="327">
        <v>0</v>
      </c>
      <c r="C3253" s="327" t="s">
        <v>110</v>
      </c>
      <c r="D3253" s="327" t="s">
        <v>113</v>
      </c>
      <c r="E3253" s="328" t="s">
        <v>2593</v>
      </c>
      <c r="F3253" s="328">
        <v>25.741966250000001</v>
      </c>
      <c r="G3253" s="328">
        <v>9583.1175000000003</v>
      </c>
      <c r="H3253" s="328">
        <v>10239.858749999999</v>
      </c>
      <c r="I3253" s="329">
        <v>7.8433291426220266E-3</v>
      </c>
      <c r="J3253" s="329">
        <v>1.0296313923982741</v>
      </c>
      <c r="K3253" s="329">
        <v>1.2793551015308215</v>
      </c>
    </row>
    <row r="3254" spans="1:11" ht="11.25" x14ac:dyDescent="0.15">
      <c r="A3254" s="326">
        <v>1.4</v>
      </c>
      <c r="B3254" s="327">
        <v>0</v>
      </c>
      <c r="C3254" s="327" t="s">
        <v>110</v>
      </c>
      <c r="D3254" s="327" t="s">
        <v>79</v>
      </c>
      <c r="E3254" s="328" t="s">
        <v>2594</v>
      </c>
      <c r="F3254" s="328">
        <v>219.69836000000001</v>
      </c>
      <c r="G3254" s="328">
        <v>12146.593200000001</v>
      </c>
      <c r="H3254" s="328">
        <v>10904.763799999999</v>
      </c>
      <c r="I3254" s="329">
        <v>6.6939973925817159E-2</v>
      </c>
      <c r="J3254" s="329">
        <v>1.3050569054810617</v>
      </c>
      <c r="K3254" s="329">
        <v>1.3624275040433176</v>
      </c>
    </row>
    <row r="3255" spans="1:11" ht="11.25" x14ac:dyDescent="0.15">
      <c r="A3255" s="326">
        <v>1.4</v>
      </c>
      <c r="B3255" s="327">
        <v>0</v>
      </c>
      <c r="C3255" s="327" t="s">
        <v>110</v>
      </c>
      <c r="D3255" s="327" t="s">
        <v>114</v>
      </c>
      <c r="E3255" s="328" t="s">
        <v>2595</v>
      </c>
      <c r="F3255" s="328">
        <v>47.93929</v>
      </c>
      <c r="G3255" s="328">
        <v>10865.1284</v>
      </c>
      <c r="H3255" s="328">
        <v>10762.962</v>
      </c>
      <c r="I3255" s="329">
        <v>1.4606639861226945E-2</v>
      </c>
      <c r="J3255" s="329">
        <v>1.1673734860370888</v>
      </c>
      <c r="K3255" s="329">
        <v>1.3447109651080269</v>
      </c>
    </row>
    <row r="3256" spans="1:11" ht="11.25" x14ac:dyDescent="0.15">
      <c r="A3256" s="326">
        <v>1.4</v>
      </c>
      <c r="B3256" s="327">
        <v>0</v>
      </c>
      <c r="C3256" s="327" t="s">
        <v>110</v>
      </c>
      <c r="D3256" s="327" t="s">
        <v>113</v>
      </c>
      <c r="E3256" s="328" t="s">
        <v>2596</v>
      </c>
      <c r="F3256" s="328">
        <v>28.811104</v>
      </c>
      <c r="G3256" s="328">
        <v>10038.342999999999</v>
      </c>
      <c r="H3256" s="328">
        <v>10629.644199999999</v>
      </c>
      <c r="I3256" s="329">
        <v>8.7784658498771071E-3</v>
      </c>
      <c r="J3256" s="329">
        <v>1.0785418294684863</v>
      </c>
      <c r="K3256" s="329">
        <v>1.3280544064855884</v>
      </c>
    </row>
    <row r="3257" spans="1:11" ht="11.25" x14ac:dyDescent="0.15">
      <c r="A3257" s="326">
        <v>0.9</v>
      </c>
      <c r="B3257" s="327">
        <v>25</v>
      </c>
      <c r="C3257" s="327" t="s">
        <v>110</v>
      </c>
      <c r="D3257" s="327" t="s">
        <v>79</v>
      </c>
      <c r="E3257" s="328" t="s">
        <v>2597</v>
      </c>
      <c r="F3257" s="328">
        <v>62.090801999999996</v>
      </c>
      <c r="G3257" s="328">
        <v>4107.1113000000005</v>
      </c>
      <c r="H3257" s="328">
        <v>4368.4614000000001</v>
      </c>
      <c r="I3257" s="329">
        <v>1.8918469245346556E-2</v>
      </c>
      <c r="J3257" s="329">
        <v>0.44127714457781464</v>
      </c>
      <c r="K3257" s="329">
        <v>0.54579008503710813</v>
      </c>
    </row>
    <row r="3258" spans="1:11" ht="11.25" x14ac:dyDescent="0.15">
      <c r="A3258" s="326">
        <v>0.9</v>
      </c>
      <c r="B3258" s="327">
        <v>25</v>
      </c>
      <c r="C3258" s="327" t="s">
        <v>110</v>
      </c>
      <c r="D3258" s="327" t="s">
        <v>114</v>
      </c>
      <c r="E3258" s="328" t="s">
        <v>2598</v>
      </c>
      <c r="F3258" s="328">
        <v>11.610863999999999</v>
      </c>
      <c r="G3258" s="328">
        <v>4026.4470000000001</v>
      </c>
      <c r="H3258" s="328">
        <v>4299.9669000000004</v>
      </c>
      <c r="I3258" s="329">
        <v>3.5377184127191896E-3</v>
      </c>
      <c r="J3258" s="329">
        <v>0.43261039333263451</v>
      </c>
      <c r="K3258" s="329">
        <v>0.53723246816550796</v>
      </c>
    </row>
    <row r="3259" spans="1:11" ht="11.25" x14ac:dyDescent="0.15">
      <c r="A3259" s="326">
        <v>0.9</v>
      </c>
      <c r="B3259" s="327">
        <v>25</v>
      </c>
      <c r="C3259" s="327" t="s">
        <v>110</v>
      </c>
      <c r="D3259" s="327" t="s">
        <v>113</v>
      </c>
      <c r="E3259" s="328" t="s">
        <v>2599</v>
      </c>
      <c r="F3259" s="328">
        <v>4.7575494000000003</v>
      </c>
      <c r="G3259" s="328">
        <v>4000.7439000000008</v>
      </c>
      <c r="H3259" s="328">
        <v>4231.7397000000001</v>
      </c>
      <c r="I3259" s="329">
        <v>1.4495794724493486E-3</v>
      </c>
      <c r="J3259" s="329">
        <v>0.42984879527835301</v>
      </c>
      <c r="K3259" s="329">
        <v>0.52870824742045475</v>
      </c>
    </row>
    <row r="3260" spans="1:11" ht="11.25" x14ac:dyDescent="0.15">
      <c r="A3260" s="326">
        <v>0.92500000000000004</v>
      </c>
      <c r="B3260" s="327">
        <v>25</v>
      </c>
      <c r="C3260" s="327" t="s">
        <v>110</v>
      </c>
      <c r="D3260" s="327" t="s">
        <v>79</v>
      </c>
      <c r="E3260" s="328" t="s">
        <v>2600</v>
      </c>
      <c r="F3260" s="328">
        <v>68.648699250000007</v>
      </c>
      <c r="G3260" s="328">
        <v>4346.8932000000004</v>
      </c>
      <c r="H3260" s="328">
        <v>4625.9157500000001</v>
      </c>
      <c r="I3260" s="329">
        <v>2.0916597364842707E-2</v>
      </c>
      <c r="J3260" s="329">
        <v>0.46703984357100803</v>
      </c>
      <c r="K3260" s="329">
        <v>0.57795610842915945</v>
      </c>
    </row>
    <row r="3261" spans="1:11" ht="11.25" x14ac:dyDescent="0.15">
      <c r="A3261" s="326">
        <v>0.92500000000000004</v>
      </c>
      <c r="B3261" s="327">
        <v>25</v>
      </c>
      <c r="C3261" s="327" t="s">
        <v>110</v>
      </c>
      <c r="D3261" s="327" t="s">
        <v>114</v>
      </c>
      <c r="E3261" s="328" t="s">
        <v>2601</v>
      </c>
      <c r="F3261" s="328">
        <v>12.8534855</v>
      </c>
      <c r="G3261" s="328">
        <v>4242.9759249999997</v>
      </c>
      <c r="H3261" s="328">
        <v>4554.5538500000002</v>
      </c>
      <c r="I3261" s="329">
        <v>3.9163332135290808E-3</v>
      </c>
      <c r="J3261" s="329">
        <v>0.45587474113409382</v>
      </c>
      <c r="K3261" s="329">
        <v>0.56904024220005422</v>
      </c>
    </row>
    <row r="3262" spans="1:11" ht="11.25" x14ac:dyDescent="0.15">
      <c r="A3262" s="326">
        <v>0.92500000000000004</v>
      </c>
      <c r="B3262" s="327">
        <v>25</v>
      </c>
      <c r="C3262" s="327" t="s">
        <v>110</v>
      </c>
      <c r="D3262" s="327" t="s">
        <v>113</v>
      </c>
      <c r="E3262" s="328" t="s">
        <v>2602</v>
      </c>
      <c r="F3262" s="328">
        <v>5.2930905000000008</v>
      </c>
      <c r="G3262" s="328">
        <v>4209.4641000000001</v>
      </c>
      <c r="H3262" s="328">
        <v>4483.2844500000001</v>
      </c>
      <c r="I3262" s="329">
        <v>1.6127536867229712E-3</v>
      </c>
      <c r="J3262" s="329">
        <v>0.4522741563518915</v>
      </c>
      <c r="K3262" s="329">
        <v>0.56013593280486451</v>
      </c>
    </row>
    <row r="3263" spans="1:11" ht="11.25" x14ac:dyDescent="0.15">
      <c r="A3263" s="326">
        <v>0.95</v>
      </c>
      <c r="B3263" s="327">
        <v>25</v>
      </c>
      <c r="C3263" s="327" t="s">
        <v>110</v>
      </c>
      <c r="D3263" s="327" t="s">
        <v>79</v>
      </c>
      <c r="E3263" s="328" t="s">
        <v>2603</v>
      </c>
      <c r="F3263" s="328">
        <v>75.820744499999989</v>
      </c>
      <c r="G3263" s="328">
        <v>4598.3059000000003</v>
      </c>
      <c r="H3263" s="328">
        <v>4890.3283000000001</v>
      </c>
      <c r="I3263" s="329">
        <v>2.3101850463817956E-2</v>
      </c>
      <c r="J3263" s="329">
        <v>0.49405218150463026</v>
      </c>
      <c r="K3263" s="329">
        <v>0.61099148059689301</v>
      </c>
    </row>
    <row r="3264" spans="1:11" ht="11.25" x14ac:dyDescent="0.15">
      <c r="A3264" s="326">
        <v>0.95</v>
      </c>
      <c r="B3264" s="327">
        <v>25</v>
      </c>
      <c r="C3264" s="327" t="s">
        <v>110</v>
      </c>
      <c r="D3264" s="327" t="s">
        <v>114</v>
      </c>
      <c r="E3264" s="328" t="s">
        <v>2604</v>
      </c>
      <c r="F3264" s="328">
        <v>14.215363</v>
      </c>
      <c r="G3264" s="328">
        <v>4466.8771999999999</v>
      </c>
      <c r="H3264" s="328">
        <v>4816.2444499999992</v>
      </c>
      <c r="I3264" s="329">
        <v>4.331284168739475E-3</v>
      </c>
      <c r="J3264" s="329">
        <v>0.47993119056592004</v>
      </c>
      <c r="K3264" s="329">
        <v>0.6017355373507477</v>
      </c>
    </row>
    <row r="3265" spans="1:11" ht="11.25" x14ac:dyDescent="0.15">
      <c r="A3265" s="326">
        <v>0.95</v>
      </c>
      <c r="B3265" s="327">
        <v>25</v>
      </c>
      <c r="C3265" s="327" t="s">
        <v>110</v>
      </c>
      <c r="D3265" s="327" t="s">
        <v>113</v>
      </c>
      <c r="E3265" s="328" t="s">
        <v>2605</v>
      </c>
      <c r="F3265" s="328">
        <v>5.8845308499999991</v>
      </c>
      <c r="G3265" s="328">
        <v>4423.3937999999998</v>
      </c>
      <c r="H3265" s="328">
        <v>4742.82845</v>
      </c>
      <c r="I3265" s="329">
        <v>1.792959863991095E-3</v>
      </c>
      <c r="J3265" s="329">
        <v>0.47525923765621075</v>
      </c>
      <c r="K3265" s="329">
        <v>0.59256303444547209</v>
      </c>
    </row>
    <row r="3266" spans="1:11" ht="11.25" x14ac:dyDescent="0.15">
      <c r="A3266" s="326">
        <v>0.97499999999999998</v>
      </c>
      <c r="B3266" s="327">
        <v>25</v>
      </c>
      <c r="C3266" s="327" t="s">
        <v>110</v>
      </c>
      <c r="D3266" s="327" t="s">
        <v>79</v>
      </c>
      <c r="E3266" s="328" t="s">
        <v>2606</v>
      </c>
      <c r="F3266" s="328">
        <v>83.67072675</v>
      </c>
      <c r="G3266" s="328">
        <v>4863.9698250000001</v>
      </c>
      <c r="H3266" s="328">
        <v>5162.2954499999996</v>
      </c>
      <c r="I3266" s="329">
        <v>2.5493664436089428E-2</v>
      </c>
      <c r="J3266" s="329">
        <v>0.52259570265082722</v>
      </c>
      <c r="K3266" s="329">
        <v>0.64497071500784597</v>
      </c>
    </row>
    <row r="3267" spans="1:11" ht="11.25" x14ac:dyDescent="0.15">
      <c r="A3267" s="326">
        <v>0.97499999999999998</v>
      </c>
      <c r="B3267" s="327">
        <v>25</v>
      </c>
      <c r="C3267" s="327" t="s">
        <v>110</v>
      </c>
      <c r="D3267" s="327" t="s">
        <v>114</v>
      </c>
      <c r="E3267" s="328" t="s">
        <v>2607</v>
      </c>
      <c r="F3267" s="328">
        <v>15.71162775</v>
      </c>
      <c r="G3267" s="328">
        <v>4700.2068749999999</v>
      </c>
      <c r="H3267" s="328">
        <v>5085.3825749999996</v>
      </c>
      <c r="I3267" s="329">
        <v>4.7871816244652232E-3</v>
      </c>
      <c r="J3267" s="329">
        <v>0.50500064819889667</v>
      </c>
      <c r="K3267" s="329">
        <v>0.63536131692853637</v>
      </c>
    </row>
    <row r="3268" spans="1:11" ht="11.25" x14ac:dyDescent="0.15">
      <c r="A3268" s="326">
        <v>0.97499999999999998</v>
      </c>
      <c r="B3268" s="327">
        <v>25</v>
      </c>
      <c r="C3268" s="327" t="s">
        <v>110</v>
      </c>
      <c r="D3268" s="327" t="s">
        <v>113</v>
      </c>
      <c r="E3268" s="328" t="s">
        <v>2608</v>
      </c>
      <c r="F3268" s="328">
        <v>6.5408323499999996</v>
      </c>
      <c r="G3268" s="328">
        <v>4642.9753499999997</v>
      </c>
      <c r="H3268" s="328">
        <v>5008.9503750000003</v>
      </c>
      <c r="I3268" s="329">
        <v>1.992928608853254E-3</v>
      </c>
      <c r="J3268" s="329">
        <v>0.49885156625611271</v>
      </c>
      <c r="K3268" s="329">
        <v>0.62581197378049502</v>
      </c>
    </row>
    <row r="3269" spans="1:11" ht="11.25" x14ac:dyDescent="0.15">
      <c r="A3269" s="326">
        <v>1</v>
      </c>
      <c r="B3269" s="327">
        <v>25</v>
      </c>
      <c r="C3269" s="327" t="s">
        <v>110</v>
      </c>
      <c r="D3269" s="327" t="s">
        <v>79</v>
      </c>
      <c r="E3269" s="328" t="s">
        <v>2609</v>
      </c>
      <c r="F3269" s="328">
        <v>92.257810000000006</v>
      </c>
      <c r="G3269" s="328">
        <v>5144.97</v>
      </c>
      <c r="H3269" s="328">
        <v>5441.6859999999997</v>
      </c>
      <c r="I3269" s="329">
        <v>2.8110065982527108E-2</v>
      </c>
      <c r="J3269" s="329">
        <v>0.5527869845013742</v>
      </c>
      <c r="K3269" s="329">
        <v>0.67987741969867022</v>
      </c>
    </row>
    <row r="3270" spans="1:11" ht="11.25" x14ac:dyDescent="0.15">
      <c r="A3270" s="326">
        <v>1</v>
      </c>
      <c r="B3270" s="327">
        <v>25</v>
      </c>
      <c r="C3270" s="327" t="s">
        <v>110</v>
      </c>
      <c r="D3270" s="327" t="s">
        <v>114</v>
      </c>
      <c r="E3270" s="328" t="s">
        <v>2610</v>
      </c>
      <c r="F3270" s="328">
        <v>17.355409999999999</v>
      </c>
      <c r="G3270" s="328">
        <v>4943.01</v>
      </c>
      <c r="H3270" s="328">
        <v>5361.4250000000002</v>
      </c>
      <c r="I3270" s="329">
        <v>5.288026241396915E-3</v>
      </c>
      <c r="J3270" s="329">
        <v>0.53108795430491096</v>
      </c>
      <c r="K3270" s="329">
        <v>0.66984971108364999</v>
      </c>
    </row>
    <row r="3271" spans="1:11" ht="11.25" x14ac:dyDescent="0.15">
      <c r="A3271" s="326">
        <v>1</v>
      </c>
      <c r="B3271" s="327">
        <v>25</v>
      </c>
      <c r="C3271" s="327" t="s">
        <v>110</v>
      </c>
      <c r="D3271" s="327" t="s">
        <v>113</v>
      </c>
      <c r="E3271" s="328" t="s">
        <v>2611</v>
      </c>
      <c r="F3271" s="328">
        <v>7.2691910000000002</v>
      </c>
      <c r="G3271" s="328">
        <v>4869.9260000000004</v>
      </c>
      <c r="H3271" s="328">
        <v>5282.6040000000003</v>
      </c>
      <c r="I3271" s="329">
        <v>2.21485247318999E-3</v>
      </c>
      <c r="J3271" s="329">
        <v>0.5232356472991756</v>
      </c>
      <c r="K3271" s="329">
        <v>0.66000191426147603</v>
      </c>
    </row>
    <row r="3272" spans="1:11" ht="11.25" x14ac:dyDescent="0.15">
      <c r="A3272" s="326">
        <v>1.0249999999999999</v>
      </c>
      <c r="B3272" s="327">
        <v>25</v>
      </c>
      <c r="C3272" s="327" t="s">
        <v>110</v>
      </c>
      <c r="D3272" s="327" t="s">
        <v>79</v>
      </c>
      <c r="E3272" s="328" t="s">
        <v>2612</v>
      </c>
      <c r="F3272" s="328">
        <v>101.63746249999998</v>
      </c>
      <c r="G3272" s="328">
        <v>5442.1431999999986</v>
      </c>
      <c r="H3272" s="328">
        <v>5728.3928999999989</v>
      </c>
      <c r="I3272" s="329">
        <v>3.0967955744577329E-2</v>
      </c>
      <c r="J3272" s="329">
        <v>0.58471593201761296</v>
      </c>
      <c r="K3272" s="329">
        <v>0.71569821997670979</v>
      </c>
    </row>
    <row r="3273" spans="1:11" ht="11.25" x14ac:dyDescent="0.15">
      <c r="A3273" s="326">
        <v>1.0249999999999999</v>
      </c>
      <c r="B3273" s="327">
        <v>25</v>
      </c>
      <c r="C3273" s="327" t="s">
        <v>110</v>
      </c>
      <c r="D3273" s="327" t="s">
        <v>114</v>
      </c>
      <c r="E3273" s="328" t="s">
        <v>2613</v>
      </c>
      <c r="F3273" s="328">
        <v>19.157700999999996</v>
      </c>
      <c r="G3273" s="328">
        <v>5198.1255499999988</v>
      </c>
      <c r="H3273" s="328">
        <v>5645.2438749999992</v>
      </c>
      <c r="I3273" s="329">
        <v>5.8371669475302456E-3</v>
      </c>
      <c r="J3273" s="329">
        <v>0.55849813465268927</v>
      </c>
      <c r="K3273" s="329">
        <v>0.70530968514256831</v>
      </c>
    </row>
    <row r="3274" spans="1:11" ht="11.25" x14ac:dyDescent="0.15">
      <c r="A3274" s="326">
        <v>1.0249999999999999</v>
      </c>
      <c r="B3274" s="327">
        <v>25</v>
      </c>
      <c r="C3274" s="327" t="s">
        <v>110</v>
      </c>
      <c r="D3274" s="327" t="s">
        <v>113</v>
      </c>
      <c r="E3274" s="328" t="s">
        <v>2614</v>
      </c>
      <c r="F3274" s="328">
        <v>8.0751765249999998</v>
      </c>
      <c r="G3274" s="328">
        <v>5105.0893749999996</v>
      </c>
      <c r="H3274" s="328">
        <v>5563.4386249999998</v>
      </c>
      <c r="I3274" s="329">
        <v>2.4604284985553413E-3</v>
      </c>
      <c r="J3274" s="329">
        <v>0.54850212172592938</v>
      </c>
      <c r="K3274" s="329">
        <v>0.69508903987053239</v>
      </c>
    </row>
    <row r="3275" spans="1:11" ht="11.25" x14ac:dyDescent="0.15">
      <c r="A3275" s="326">
        <v>1.05</v>
      </c>
      <c r="B3275" s="327">
        <v>25</v>
      </c>
      <c r="C3275" s="327" t="s">
        <v>110</v>
      </c>
      <c r="D3275" s="327" t="s">
        <v>79</v>
      </c>
      <c r="E3275" s="328" t="s">
        <v>2615</v>
      </c>
      <c r="F3275" s="328">
        <v>111.8775</v>
      </c>
      <c r="G3275" s="328">
        <v>5757.414600000001</v>
      </c>
      <c r="H3275" s="328">
        <v>6022.6288500000001</v>
      </c>
      <c r="I3275" s="329">
        <v>3.4087996527992333E-2</v>
      </c>
      <c r="J3275" s="329">
        <v>0.61858939027014459</v>
      </c>
      <c r="K3275" s="329">
        <v>0.75245969031303339</v>
      </c>
    </row>
    <row r="3276" spans="1:11" ht="11.25" x14ac:dyDescent="0.15">
      <c r="A3276" s="326">
        <v>1.05</v>
      </c>
      <c r="B3276" s="327">
        <v>25</v>
      </c>
      <c r="C3276" s="327" t="s">
        <v>110</v>
      </c>
      <c r="D3276" s="327" t="s">
        <v>114</v>
      </c>
      <c r="E3276" s="328" t="s">
        <v>2616</v>
      </c>
      <c r="F3276" s="328">
        <v>21.133717499999999</v>
      </c>
      <c r="G3276" s="328">
        <v>5465.021099999999</v>
      </c>
      <c r="H3276" s="328">
        <v>5936.5372499999994</v>
      </c>
      <c r="I3276" s="329">
        <v>6.4392401400064428E-3</v>
      </c>
      <c r="J3276" s="329">
        <v>0.5871739843197108</v>
      </c>
      <c r="K3276" s="329">
        <v>0.74170351385122901</v>
      </c>
    </row>
    <row r="3277" spans="1:11" ht="11.25" x14ac:dyDescent="0.15">
      <c r="A3277" s="326">
        <v>1.05</v>
      </c>
      <c r="B3277" s="327">
        <v>25</v>
      </c>
      <c r="C3277" s="327" t="s">
        <v>110</v>
      </c>
      <c r="D3277" s="327" t="s">
        <v>113</v>
      </c>
      <c r="E3277" s="328" t="s">
        <v>2617</v>
      </c>
      <c r="F3277" s="328">
        <v>8.9672362499999991</v>
      </c>
      <c r="G3277" s="328">
        <v>5348.1707999999999</v>
      </c>
      <c r="H3277" s="328">
        <v>5851.5051000000003</v>
      </c>
      <c r="I3277" s="329">
        <v>2.7322305035032686E-3</v>
      </c>
      <c r="J3277" s="329">
        <v>0.57461932900100521</v>
      </c>
      <c r="K3277" s="329">
        <v>0.73107970374284914</v>
      </c>
    </row>
    <row r="3278" spans="1:11" ht="11.25" x14ac:dyDescent="0.15">
      <c r="A3278" s="326">
        <v>1.075</v>
      </c>
      <c r="B3278" s="327">
        <v>25</v>
      </c>
      <c r="C3278" s="327" t="s">
        <v>110</v>
      </c>
      <c r="D3278" s="327" t="s">
        <v>79</v>
      </c>
      <c r="E3278" s="328" t="s">
        <v>2618</v>
      </c>
      <c r="F3278" s="328">
        <v>123.05159499999999</v>
      </c>
      <c r="G3278" s="328">
        <v>6090.7253250000003</v>
      </c>
      <c r="H3278" s="328">
        <v>6323.9551750000001</v>
      </c>
      <c r="I3278" s="329">
        <v>3.7492635633830915E-2</v>
      </c>
      <c r="J3278" s="329">
        <v>0.65440103359842772</v>
      </c>
      <c r="K3278" s="329">
        <v>0.79010702320366377</v>
      </c>
    </row>
    <row r="3279" spans="1:11" ht="11.25" x14ac:dyDescent="0.15">
      <c r="A3279" s="326">
        <v>1.075</v>
      </c>
      <c r="B3279" s="327">
        <v>25</v>
      </c>
      <c r="C3279" s="327" t="s">
        <v>110</v>
      </c>
      <c r="D3279" s="327" t="s">
        <v>114</v>
      </c>
      <c r="E3279" s="328" t="s">
        <v>2619</v>
      </c>
      <c r="F3279" s="328">
        <v>23.300313249999999</v>
      </c>
      <c r="G3279" s="328">
        <v>5745.2955750000001</v>
      </c>
      <c r="H3279" s="328">
        <v>6234.579675</v>
      </c>
      <c r="I3279" s="329">
        <v>7.0993809940974161E-3</v>
      </c>
      <c r="J3279" s="329">
        <v>0.61728729535319715</v>
      </c>
      <c r="K3279" s="329">
        <v>0.77894056039704862</v>
      </c>
    </row>
    <row r="3280" spans="1:11" ht="11.25" x14ac:dyDescent="0.15">
      <c r="A3280" s="326">
        <v>1.075</v>
      </c>
      <c r="B3280" s="327">
        <v>25</v>
      </c>
      <c r="C3280" s="327" t="s">
        <v>110</v>
      </c>
      <c r="D3280" s="327" t="s">
        <v>113</v>
      </c>
      <c r="E3280" s="328" t="s">
        <v>2620</v>
      </c>
      <c r="F3280" s="328">
        <v>9.9549235500000002</v>
      </c>
      <c r="G3280" s="328">
        <v>5600.5521999999992</v>
      </c>
      <c r="H3280" s="328">
        <v>6146.5769499999997</v>
      </c>
      <c r="I3280" s="329">
        <v>3.0331693093680954E-3</v>
      </c>
      <c r="J3280" s="329">
        <v>0.60173574621048065</v>
      </c>
      <c r="K3280" s="329">
        <v>0.76794561037614484</v>
      </c>
    </row>
    <row r="3281" spans="1:11" ht="11.25" x14ac:dyDescent="0.15">
      <c r="A3281" s="326">
        <v>1.1000000000000001</v>
      </c>
      <c r="B3281" s="327">
        <v>25</v>
      </c>
      <c r="C3281" s="327" t="s">
        <v>110</v>
      </c>
      <c r="D3281" s="327" t="s">
        <v>79</v>
      </c>
      <c r="E3281" s="328" t="s">
        <v>2621</v>
      </c>
      <c r="F3281" s="328">
        <v>135.23972000000001</v>
      </c>
      <c r="G3281" s="328">
        <v>6445.0012000000015</v>
      </c>
      <c r="H3281" s="328">
        <v>6632.9582000000009</v>
      </c>
      <c r="I3281" s="329">
        <v>4.120623991246368E-2</v>
      </c>
      <c r="J3281" s="329">
        <v>0.6924652191277576</v>
      </c>
      <c r="K3281" s="329">
        <v>0.82871347335828216</v>
      </c>
    </row>
    <row r="3282" spans="1:11" ht="11.25" x14ac:dyDescent="0.15">
      <c r="A3282" s="326">
        <v>1.1000000000000001</v>
      </c>
      <c r="B3282" s="327">
        <v>25</v>
      </c>
      <c r="C3282" s="327" t="s">
        <v>110</v>
      </c>
      <c r="D3282" s="327" t="s">
        <v>114</v>
      </c>
      <c r="E3282" s="328" t="s">
        <v>2622</v>
      </c>
      <c r="F3282" s="328">
        <v>25.676057000000004</v>
      </c>
      <c r="G3282" s="328">
        <v>6040.947000000001</v>
      </c>
      <c r="H3282" s="328">
        <v>6540.217200000001</v>
      </c>
      <c r="I3282" s="329">
        <v>7.8232472290543972E-3</v>
      </c>
      <c r="J3282" s="329">
        <v>0.6490527399892756</v>
      </c>
      <c r="K3282" s="329">
        <v>0.81712652920526152</v>
      </c>
    </row>
    <row r="3283" spans="1:11" ht="11.25" x14ac:dyDescent="0.15">
      <c r="A3283" s="326">
        <v>1.1000000000000001</v>
      </c>
      <c r="B3283" s="327">
        <v>25</v>
      </c>
      <c r="C3283" s="327" t="s">
        <v>110</v>
      </c>
      <c r="D3283" s="327" t="s">
        <v>113</v>
      </c>
      <c r="E3283" s="328" t="s">
        <v>2623</v>
      </c>
      <c r="F3283" s="328">
        <v>11.048851000000003</v>
      </c>
      <c r="G3283" s="328">
        <v>5864.1957000000002</v>
      </c>
      <c r="H3283" s="328">
        <v>6449.1306000000013</v>
      </c>
      <c r="I3283" s="329">
        <v>3.3664784655208124E-3</v>
      </c>
      <c r="J3283" s="329">
        <v>0.63006218841488393</v>
      </c>
      <c r="K3283" s="329">
        <v>0.80574628371202195</v>
      </c>
    </row>
    <row r="3284" spans="1:11" ht="11.25" x14ac:dyDescent="0.15">
      <c r="A3284" s="326">
        <v>1.125</v>
      </c>
      <c r="B3284" s="327">
        <v>25</v>
      </c>
      <c r="C3284" s="327" t="s">
        <v>110</v>
      </c>
      <c r="D3284" s="327" t="s">
        <v>79</v>
      </c>
      <c r="E3284" s="328" t="s">
        <v>2624</v>
      </c>
      <c r="F3284" s="328">
        <v>148.52801249999999</v>
      </c>
      <c r="G3284" s="328">
        <v>6820.1212500000001</v>
      </c>
      <c r="H3284" s="328">
        <v>6949.256625</v>
      </c>
      <c r="I3284" s="329">
        <v>4.5255054630373409E-2</v>
      </c>
      <c r="J3284" s="329">
        <v>0.73276894903590162</v>
      </c>
      <c r="K3284" s="329">
        <v>0.86823140163340728</v>
      </c>
    </row>
    <row r="3285" spans="1:11" ht="11.25" x14ac:dyDescent="0.15">
      <c r="A3285" s="326">
        <v>1.125</v>
      </c>
      <c r="B3285" s="327">
        <v>25</v>
      </c>
      <c r="C3285" s="327" t="s">
        <v>110</v>
      </c>
      <c r="D3285" s="327" t="s">
        <v>114</v>
      </c>
      <c r="E3285" s="328" t="s">
        <v>2625</v>
      </c>
      <c r="F3285" s="328">
        <v>28.281318750000001</v>
      </c>
      <c r="G3285" s="328">
        <v>6352.7715000000007</v>
      </c>
      <c r="H3285" s="328">
        <v>6853.1658750000006</v>
      </c>
      <c r="I3285" s="329">
        <v>8.6170453876520704E-3</v>
      </c>
      <c r="J3285" s="329">
        <v>0.6825558556631568</v>
      </c>
      <c r="K3285" s="329">
        <v>0.85622594391921547</v>
      </c>
    </row>
    <row r="3286" spans="1:11" ht="11.25" x14ac:dyDescent="0.15">
      <c r="A3286" s="326">
        <v>1.125</v>
      </c>
      <c r="B3286" s="327">
        <v>25</v>
      </c>
      <c r="C3286" s="327" t="s">
        <v>110</v>
      </c>
      <c r="D3286" s="327" t="s">
        <v>113</v>
      </c>
      <c r="E3286" s="328" t="s">
        <v>2626</v>
      </c>
      <c r="F3286" s="328">
        <v>12.260790000000002</v>
      </c>
      <c r="G3286" s="328">
        <v>6138.730125</v>
      </c>
      <c r="H3286" s="328">
        <v>6759.0292499999996</v>
      </c>
      <c r="I3286" s="329">
        <v>3.7357446041468853E-3</v>
      </c>
      <c r="J3286" s="329">
        <v>0.65955877574922572</v>
      </c>
      <c r="K3286" s="329">
        <v>0.84446463213015932</v>
      </c>
    </row>
    <row r="3287" spans="1:11" ht="11.25" x14ac:dyDescent="0.15">
      <c r="A3287" s="326">
        <v>1.1499999999999999</v>
      </c>
      <c r="B3287" s="327">
        <v>25</v>
      </c>
      <c r="C3287" s="327" t="s">
        <v>110</v>
      </c>
      <c r="D3287" s="327" t="s">
        <v>79</v>
      </c>
      <c r="E3287" s="328" t="s">
        <v>2627</v>
      </c>
      <c r="F3287" s="328">
        <v>163.01008499999998</v>
      </c>
      <c r="G3287" s="328">
        <v>7217.6575999999995</v>
      </c>
      <c r="H3287" s="328">
        <v>7273.2025999999996</v>
      </c>
      <c r="I3287" s="329">
        <v>4.9667602614535844E-2</v>
      </c>
      <c r="J3287" s="329">
        <v>0.77548113591865941</v>
      </c>
      <c r="K3287" s="329">
        <v>0.9087048052081026</v>
      </c>
    </row>
    <row r="3288" spans="1:11" ht="11.25" x14ac:dyDescent="0.15">
      <c r="A3288" s="326">
        <v>1.1499999999999999</v>
      </c>
      <c r="B3288" s="327">
        <v>25</v>
      </c>
      <c r="C3288" s="327" t="s">
        <v>110</v>
      </c>
      <c r="D3288" s="327" t="s">
        <v>114</v>
      </c>
      <c r="E3288" s="328" t="s">
        <v>2628</v>
      </c>
      <c r="F3288" s="328">
        <v>31.138526999999996</v>
      </c>
      <c r="G3288" s="328">
        <v>6682.4521999999997</v>
      </c>
      <c r="H3288" s="328">
        <v>7173.641349999999</v>
      </c>
      <c r="I3288" s="329">
        <v>9.4876092177854834E-3</v>
      </c>
      <c r="J3288" s="329">
        <v>0.71797748105675518</v>
      </c>
      <c r="K3288" s="329">
        <v>0.89626574757927679</v>
      </c>
    </row>
    <row r="3289" spans="1:11" ht="11.25" x14ac:dyDescent="0.15">
      <c r="A3289" s="326">
        <v>1.1499999999999999</v>
      </c>
      <c r="B3289" s="327">
        <v>25</v>
      </c>
      <c r="C3289" s="327" t="s">
        <v>110</v>
      </c>
      <c r="D3289" s="327" t="s">
        <v>113</v>
      </c>
      <c r="E3289" s="328" t="s">
        <v>2629</v>
      </c>
      <c r="F3289" s="328">
        <v>13.603832999999998</v>
      </c>
      <c r="G3289" s="328">
        <v>6425.7089500000002</v>
      </c>
      <c r="H3289" s="328">
        <v>7076.2282999999989</v>
      </c>
      <c r="I3289" s="329">
        <v>4.1449568686410358E-3</v>
      </c>
      <c r="J3289" s="329">
        <v>0.69039241701195375</v>
      </c>
      <c r="K3289" s="329">
        <v>0.88409508336252896</v>
      </c>
    </row>
    <row r="3290" spans="1:11" ht="11.25" x14ac:dyDescent="0.15">
      <c r="A3290" s="326">
        <v>1.175</v>
      </c>
      <c r="B3290" s="327">
        <v>25</v>
      </c>
      <c r="C3290" s="327" t="s">
        <v>110</v>
      </c>
      <c r="D3290" s="327" t="s">
        <v>79</v>
      </c>
      <c r="E3290" s="328" t="s">
        <v>2630</v>
      </c>
      <c r="F3290" s="328">
        <v>178.78694250000001</v>
      </c>
      <c r="G3290" s="328">
        <v>7637.67155</v>
      </c>
      <c r="H3290" s="328">
        <v>7604.1640750000006</v>
      </c>
      <c r="I3290" s="329">
        <v>5.4474659115464369E-2</v>
      </c>
      <c r="J3290" s="329">
        <v>0.82060836598394871</v>
      </c>
      <c r="K3290" s="329">
        <v>0.95005471654857077</v>
      </c>
    </row>
    <row r="3291" spans="1:11" ht="11.25" x14ac:dyDescent="0.15">
      <c r="A3291" s="326">
        <v>1.175</v>
      </c>
      <c r="B3291" s="327">
        <v>25</v>
      </c>
      <c r="C3291" s="327" t="s">
        <v>110</v>
      </c>
      <c r="D3291" s="327" t="s">
        <v>114</v>
      </c>
      <c r="E3291" s="328" t="s">
        <v>2631</v>
      </c>
      <c r="F3291" s="328">
        <v>34.272329500000005</v>
      </c>
      <c r="G3291" s="328">
        <v>7030.5419999999995</v>
      </c>
      <c r="H3291" s="328">
        <v>7501.3045750000001</v>
      </c>
      <c r="I3291" s="329">
        <v>1.0442448651446532E-2</v>
      </c>
      <c r="J3291" s="329">
        <v>0.75537702097199011</v>
      </c>
      <c r="K3291" s="329">
        <v>0.93720357970394286</v>
      </c>
    </row>
    <row r="3292" spans="1:11" ht="11.25" x14ac:dyDescent="0.15">
      <c r="A3292" s="326">
        <v>1.175</v>
      </c>
      <c r="B3292" s="327">
        <v>25</v>
      </c>
      <c r="C3292" s="327" t="s">
        <v>110</v>
      </c>
      <c r="D3292" s="327" t="s">
        <v>113</v>
      </c>
      <c r="E3292" s="328" t="s">
        <v>2632</v>
      </c>
      <c r="F3292" s="328">
        <v>15.092522500000003</v>
      </c>
      <c r="G3292" s="328">
        <v>6728.00065</v>
      </c>
      <c r="H3292" s="328">
        <v>7400.6634750000003</v>
      </c>
      <c r="I3292" s="329">
        <v>4.5985462186645771E-3</v>
      </c>
      <c r="J3292" s="329">
        <v>0.7228713075172033</v>
      </c>
      <c r="K3292" s="329">
        <v>0.92462960697129426</v>
      </c>
    </row>
    <row r="3293" spans="1:11" ht="11.25" x14ac:dyDescent="0.15">
      <c r="A3293" s="326">
        <v>1.2</v>
      </c>
      <c r="B3293" s="327">
        <v>25</v>
      </c>
      <c r="C3293" s="327" t="s">
        <v>110</v>
      </c>
      <c r="D3293" s="327" t="s">
        <v>79</v>
      </c>
      <c r="E3293" s="328" t="s">
        <v>2633</v>
      </c>
      <c r="F3293" s="328">
        <v>195.96828000000002</v>
      </c>
      <c r="G3293" s="328">
        <v>8081.6363999999994</v>
      </c>
      <c r="H3293" s="328">
        <v>7942.8131999999987</v>
      </c>
      <c r="I3293" s="329">
        <v>5.9709647142961092E-2</v>
      </c>
      <c r="J3293" s="329">
        <v>0.86830893385044838</v>
      </c>
      <c r="K3293" s="329">
        <v>0.99236511323228449</v>
      </c>
    </row>
    <row r="3294" spans="1:11" ht="11.25" x14ac:dyDescent="0.15">
      <c r="A3294" s="326">
        <v>1.2</v>
      </c>
      <c r="B3294" s="327">
        <v>25</v>
      </c>
      <c r="C3294" s="327" t="s">
        <v>110</v>
      </c>
      <c r="D3294" s="327" t="s">
        <v>114</v>
      </c>
      <c r="E3294" s="328" t="s">
        <v>2634</v>
      </c>
      <c r="F3294" s="328">
        <v>37.709879999999998</v>
      </c>
      <c r="G3294" s="328">
        <v>7398.6504000000004</v>
      </c>
      <c r="H3294" s="328">
        <v>7836.6504000000004</v>
      </c>
      <c r="I3294" s="329">
        <v>1.1489837174686665E-2</v>
      </c>
      <c r="J3294" s="329">
        <v>0.79492740365753078</v>
      </c>
      <c r="K3294" s="329">
        <v>0.97910126623119231</v>
      </c>
    </row>
    <row r="3295" spans="1:11" ht="11.25" x14ac:dyDescent="0.15">
      <c r="A3295" s="326">
        <v>1.2</v>
      </c>
      <c r="B3295" s="327">
        <v>25</v>
      </c>
      <c r="C3295" s="327" t="s">
        <v>110</v>
      </c>
      <c r="D3295" s="327" t="s">
        <v>113</v>
      </c>
      <c r="E3295" s="328" t="s">
        <v>2635</v>
      </c>
      <c r="F3295" s="328">
        <v>16.743023999999998</v>
      </c>
      <c r="G3295" s="328">
        <v>7043.1551999999992</v>
      </c>
      <c r="H3295" s="328">
        <v>7732.2911999999997</v>
      </c>
      <c r="I3295" s="329">
        <v>5.1014381263443697E-3</v>
      </c>
      <c r="J3295" s="329">
        <v>0.75673221114664857</v>
      </c>
      <c r="K3295" s="329">
        <v>0.96606275875063985</v>
      </c>
    </row>
    <row r="3296" spans="1:11" ht="11.25" x14ac:dyDescent="0.15">
      <c r="A3296" s="326">
        <v>1.2250000000000001</v>
      </c>
      <c r="B3296" s="327">
        <v>25</v>
      </c>
      <c r="C3296" s="327" t="s">
        <v>110</v>
      </c>
      <c r="D3296" s="327" t="s">
        <v>79</v>
      </c>
      <c r="E3296" s="328" t="s">
        <v>2636</v>
      </c>
      <c r="F3296" s="328">
        <v>214.67341000000005</v>
      </c>
      <c r="G3296" s="328">
        <v>8550.5244999999995</v>
      </c>
      <c r="H3296" s="328">
        <v>8288.8620500000015</v>
      </c>
      <c r="I3296" s="329">
        <v>6.5408920066432272E-2</v>
      </c>
      <c r="J3296" s="329">
        <v>0.91868731095810474</v>
      </c>
      <c r="K3296" s="329">
        <v>1.0356000222710813</v>
      </c>
    </row>
    <row r="3297" spans="1:11" ht="11.25" x14ac:dyDescent="0.15">
      <c r="A3297" s="326">
        <v>1.2250000000000001</v>
      </c>
      <c r="B3297" s="327">
        <v>25</v>
      </c>
      <c r="C3297" s="327" t="s">
        <v>110</v>
      </c>
      <c r="D3297" s="327" t="s">
        <v>114</v>
      </c>
      <c r="E3297" s="328" t="s">
        <v>2637</v>
      </c>
      <c r="F3297" s="328">
        <v>41.48114600000001</v>
      </c>
      <c r="G3297" s="328">
        <v>7786.4822000000004</v>
      </c>
      <c r="H3297" s="328">
        <v>8178.3131500000009</v>
      </c>
      <c r="I3297" s="329">
        <v>1.2638905596077346E-2</v>
      </c>
      <c r="J3297" s="329">
        <v>0.83659691217084375</v>
      </c>
      <c r="K3297" s="329">
        <v>1.0217881814404037</v>
      </c>
    </row>
    <row r="3298" spans="1:11" ht="11.25" x14ac:dyDescent="0.15">
      <c r="A3298" s="326">
        <v>1.2250000000000001</v>
      </c>
      <c r="B3298" s="327">
        <v>25</v>
      </c>
      <c r="C3298" s="327" t="s">
        <v>110</v>
      </c>
      <c r="D3298" s="327" t="s">
        <v>113</v>
      </c>
      <c r="E3298" s="328" t="s">
        <v>2638</v>
      </c>
      <c r="F3298" s="328">
        <v>18.573327500000001</v>
      </c>
      <c r="G3298" s="328">
        <v>7376.2419499999996</v>
      </c>
      <c r="H3298" s="328">
        <v>8071.0215250000001</v>
      </c>
      <c r="I3298" s="329">
        <v>5.6591139713817748E-3</v>
      </c>
      <c r="J3298" s="329">
        <v>0.7925197901043225</v>
      </c>
      <c r="K3298" s="329">
        <v>1.0083833004604503</v>
      </c>
    </row>
    <row r="3299" spans="1:11" ht="11.25" x14ac:dyDescent="0.15">
      <c r="A3299" s="326">
        <v>1.25</v>
      </c>
      <c r="B3299" s="327">
        <v>25</v>
      </c>
      <c r="C3299" s="327" t="s">
        <v>110</v>
      </c>
      <c r="D3299" s="327" t="s">
        <v>79</v>
      </c>
      <c r="E3299" s="328" t="s">
        <v>2639</v>
      </c>
      <c r="F3299" s="328">
        <v>235.03100000000001</v>
      </c>
      <c r="G3299" s="328">
        <v>9043.6712499999994</v>
      </c>
      <c r="H3299" s="328">
        <v>8642.3249999999989</v>
      </c>
      <c r="I3299" s="329">
        <v>7.1611681633666879E-2</v>
      </c>
      <c r="J3299" s="329">
        <v>0.97167209120933129</v>
      </c>
      <c r="K3299" s="329">
        <v>1.0797612396594198</v>
      </c>
    </row>
    <row r="3300" spans="1:11" ht="11.25" x14ac:dyDescent="0.15">
      <c r="A3300" s="326">
        <v>1.25</v>
      </c>
      <c r="B3300" s="327">
        <v>25</v>
      </c>
      <c r="C3300" s="327" t="s">
        <v>110</v>
      </c>
      <c r="D3300" s="327" t="s">
        <v>114</v>
      </c>
      <c r="E3300" s="328" t="s">
        <v>2640</v>
      </c>
      <c r="F3300" s="328">
        <v>45.619025000000008</v>
      </c>
      <c r="G3300" s="328">
        <v>8197.1400000000012</v>
      </c>
      <c r="H3300" s="328">
        <v>8528.401249999999</v>
      </c>
      <c r="I3300" s="329">
        <v>1.3899677466965169E-2</v>
      </c>
      <c r="J3300" s="329">
        <v>0.88071889673517922</v>
      </c>
      <c r="K3300" s="329">
        <v>1.0655277493050708</v>
      </c>
    </row>
    <row r="3301" spans="1:11" ht="11.25" x14ac:dyDescent="0.15">
      <c r="A3301" s="326">
        <v>1.25</v>
      </c>
      <c r="B3301" s="327">
        <v>25</v>
      </c>
      <c r="C3301" s="327" t="s">
        <v>110</v>
      </c>
      <c r="D3301" s="327" t="s">
        <v>113</v>
      </c>
      <c r="E3301" s="328" t="s">
        <v>2641</v>
      </c>
      <c r="F3301" s="328">
        <v>20.603474999999996</v>
      </c>
      <c r="G3301" s="328">
        <v>7725.5850000000009</v>
      </c>
      <c r="H3301" s="328">
        <v>8417.25</v>
      </c>
      <c r="I3301" s="329">
        <v>6.2776803581111188E-3</v>
      </c>
      <c r="J3301" s="329">
        <v>0.83005398197833014</v>
      </c>
      <c r="K3301" s="329">
        <v>1.0516406516213233</v>
      </c>
    </row>
    <row r="3302" spans="1:11" ht="11.25" x14ac:dyDescent="0.15">
      <c r="A3302" s="326">
        <v>1.2749999999999999</v>
      </c>
      <c r="B3302" s="327">
        <v>25</v>
      </c>
      <c r="C3302" s="327" t="s">
        <v>110</v>
      </c>
      <c r="D3302" s="327" t="s">
        <v>79</v>
      </c>
      <c r="E3302" s="328" t="s">
        <v>2642</v>
      </c>
      <c r="F3302" s="328">
        <v>257.18203499999998</v>
      </c>
      <c r="G3302" s="328">
        <v>9562.5331499999993</v>
      </c>
      <c r="H3302" s="328">
        <v>9003.4634999999998</v>
      </c>
      <c r="I3302" s="329">
        <v>7.8360888616048827E-2</v>
      </c>
      <c r="J3302" s="329">
        <v>1.0274197641935574</v>
      </c>
      <c r="K3302" s="329">
        <v>1.1248814306321897</v>
      </c>
    </row>
    <row r="3303" spans="1:11" ht="11.25" x14ac:dyDescent="0.15">
      <c r="A3303" s="326">
        <v>1.2749999999999999</v>
      </c>
      <c r="B3303" s="327">
        <v>25</v>
      </c>
      <c r="C3303" s="327" t="s">
        <v>110</v>
      </c>
      <c r="D3303" s="327" t="s">
        <v>114</v>
      </c>
      <c r="E3303" s="328" t="s">
        <v>2643</v>
      </c>
      <c r="F3303" s="328">
        <v>50.160093750000001</v>
      </c>
      <c r="G3303" s="328">
        <v>8630.2302</v>
      </c>
      <c r="H3303" s="328">
        <v>8885.0823</v>
      </c>
      <c r="I3303" s="329">
        <v>1.5283297370729323E-2</v>
      </c>
      <c r="J3303" s="329">
        <v>0.92725106809382585</v>
      </c>
      <c r="K3303" s="329">
        <v>1.1100910320687976</v>
      </c>
    </row>
    <row r="3304" spans="1:11" ht="11.25" x14ac:dyDescent="0.15">
      <c r="A3304" s="326">
        <v>1.2749999999999999</v>
      </c>
      <c r="B3304" s="327">
        <v>25</v>
      </c>
      <c r="C3304" s="327" t="s">
        <v>110</v>
      </c>
      <c r="D3304" s="327" t="s">
        <v>113</v>
      </c>
      <c r="E3304" s="328" t="s">
        <v>2644</v>
      </c>
      <c r="F3304" s="328">
        <v>22.855828499999998</v>
      </c>
      <c r="G3304" s="328">
        <v>8094.410175</v>
      </c>
      <c r="H3304" s="328">
        <v>8770.7275499999996</v>
      </c>
      <c r="I3304" s="329">
        <v>6.9639507725180495E-3</v>
      </c>
      <c r="J3304" s="329">
        <v>0.86968137655914235</v>
      </c>
      <c r="K3304" s="329">
        <v>1.0958036931153394</v>
      </c>
    </row>
    <row r="3305" spans="1:11" ht="11.25" x14ac:dyDescent="0.15">
      <c r="A3305" s="326">
        <v>1.3</v>
      </c>
      <c r="B3305" s="327">
        <v>25</v>
      </c>
      <c r="C3305" s="327" t="s">
        <v>110</v>
      </c>
      <c r="D3305" s="327" t="s">
        <v>79</v>
      </c>
      <c r="E3305" s="328" t="s">
        <v>2645</v>
      </c>
      <c r="F3305" s="328">
        <v>281.27931000000001</v>
      </c>
      <c r="G3305" s="328">
        <v>10107.8146</v>
      </c>
      <c r="H3305" s="328">
        <v>9371.624600000001</v>
      </c>
      <c r="I3305" s="329">
        <v>8.5703096178195604E-2</v>
      </c>
      <c r="J3305" s="329">
        <v>1.0860060122086161</v>
      </c>
      <c r="K3305" s="329">
        <v>1.170879016435822</v>
      </c>
    </row>
    <row r="3306" spans="1:11" ht="11.25" x14ac:dyDescent="0.15">
      <c r="A3306" s="326">
        <v>1.3</v>
      </c>
      <c r="B3306" s="327">
        <v>25</v>
      </c>
      <c r="C3306" s="327" t="s">
        <v>110</v>
      </c>
      <c r="D3306" s="327" t="s">
        <v>114</v>
      </c>
      <c r="E3306" s="328" t="s">
        <v>2646</v>
      </c>
      <c r="F3306" s="328">
        <v>55.144596</v>
      </c>
      <c r="G3306" s="328">
        <v>9085.9249000000018</v>
      </c>
      <c r="H3306" s="328">
        <v>9249.2465000000011</v>
      </c>
      <c r="I3306" s="329">
        <v>1.6802027190324594E-2</v>
      </c>
      <c r="J3306" s="329">
        <v>0.97621191705237365</v>
      </c>
      <c r="K3306" s="329">
        <v>1.155589250202411</v>
      </c>
    </row>
    <row r="3307" spans="1:11" ht="11.25" x14ac:dyDescent="0.15">
      <c r="A3307" s="326">
        <v>1.3</v>
      </c>
      <c r="B3307" s="327">
        <v>25</v>
      </c>
      <c r="C3307" s="327" t="s">
        <v>110</v>
      </c>
      <c r="D3307" s="327" t="s">
        <v>113</v>
      </c>
      <c r="E3307" s="328" t="s">
        <v>2647</v>
      </c>
      <c r="F3307" s="328">
        <v>25.355329999999999</v>
      </c>
      <c r="G3307" s="328">
        <v>8483.3176999999996</v>
      </c>
      <c r="H3307" s="328">
        <v>9131.8110000000015</v>
      </c>
      <c r="I3307" s="329">
        <v>7.7255248017349312E-3</v>
      </c>
      <c r="J3307" s="329">
        <v>0.91146646335161008</v>
      </c>
      <c r="K3307" s="329">
        <v>1.1409170062101956</v>
      </c>
    </row>
    <row r="3308" spans="1:11" ht="11.25" x14ac:dyDescent="0.15">
      <c r="A3308" s="326">
        <v>1.325</v>
      </c>
      <c r="B3308" s="327">
        <v>25</v>
      </c>
      <c r="C3308" s="327" t="s">
        <v>110</v>
      </c>
      <c r="D3308" s="327" t="s">
        <v>79</v>
      </c>
      <c r="E3308" s="328" t="s">
        <v>2648</v>
      </c>
      <c r="F3308" s="328">
        <v>307.48957000000001</v>
      </c>
      <c r="G3308" s="328">
        <v>10680.811750000001</v>
      </c>
      <c r="H3308" s="328">
        <v>9747.7374749999981</v>
      </c>
      <c r="I3308" s="329">
        <v>9.3689109915343613E-2</v>
      </c>
      <c r="J3308" s="329">
        <v>1.1475700964844004</v>
      </c>
      <c r="K3308" s="329">
        <v>1.2178700870287316</v>
      </c>
    </row>
    <row r="3309" spans="1:11" ht="11.25" x14ac:dyDescent="0.15">
      <c r="A3309" s="326">
        <v>1.325</v>
      </c>
      <c r="B3309" s="327">
        <v>25</v>
      </c>
      <c r="C3309" s="327" t="s">
        <v>110</v>
      </c>
      <c r="D3309" s="327" t="s">
        <v>114</v>
      </c>
      <c r="E3309" s="328" t="s">
        <v>2649</v>
      </c>
      <c r="F3309" s="328">
        <v>60.617319000000002</v>
      </c>
      <c r="G3309" s="328">
        <v>9566.7716249999994</v>
      </c>
      <c r="H3309" s="328">
        <v>9621.1483000000007</v>
      </c>
      <c r="I3309" s="329">
        <v>1.8469513169387979E-2</v>
      </c>
      <c r="J3309" s="329">
        <v>1.0278751553453298</v>
      </c>
      <c r="K3309" s="329">
        <v>1.2020541943695848</v>
      </c>
    </row>
    <row r="3310" spans="1:11" ht="11.25" x14ac:dyDescent="0.15">
      <c r="A3310" s="326">
        <v>1.325</v>
      </c>
      <c r="B3310" s="327">
        <v>25</v>
      </c>
      <c r="C3310" s="327" t="s">
        <v>110</v>
      </c>
      <c r="D3310" s="327" t="s">
        <v>113</v>
      </c>
      <c r="E3310" s="328" t="s">
        <v>2650</v>
      </c>
      <c r="F3310" s="328">
        <v>28.1298295</v>
      </c>
      <c r="G3310" s="328">
        <v>8893.0396000000001</v>
      </c>
      <c r="H3310" s="328">
        <v>9500.3970749999989</v>
      </c>
      <c r="I3310" s="329">
        <v>8.5708880724812073E-3</v>
      </c>
      <c r="J3310" s="329">
        <v>0.95548789274481816</v>
      </c>
      <c r="K3310" s="329">
        <v>1.1869676878569975</v>
      </c>
    </row>
    <row r="3311" spans="1:11" ht="11.25" x14ac:dyDescent="0.15">
      <c r="A3311" s="326">
        <v>1.35</v>
      </c>
      <c r="B3311" s="327">
        <v>25</v>
      </c>
      <c r="C3311" s="327" t="s">
        <v>110</v>
      </c>
      <c r="D3311" s="327" t="s">
        <v>79</v>
      </c>
      <c r="E3311" s="328" t="s">
        <v>2651</v>
      </c>
      <c r="F3311" s="328">
        <v>335.99448000000001</v>
      </c>
      <c r="G3311" s="328">
        <v>11280.849749999999</v>
      </c>
      <c r="H3311" s="328">
        <v>10131.629850000001</v>
      </c>
      <c r="I3311" s="329">
        <v>0.10237428140300409</v>
      </c>
      <c r="J3311" s="329">
        <v>1.2120395096405967</v>
      </c>
      <c r="K3311" s="329">
        <v>1.2658331185886187</v>
      </c>
    </row>
    <row r="3312" spans="1:11" ht="11.25" x14ac:dyDescent="0.15">
      <c r="A3312" s="326">
        <v>1.35</v>
      </c>
      <c r="B3312" s="327">
        <v>25</v>
      </c>
      <c r="C3312" s="327" t="s">
        <v>110</v>
      </c>
      <c r="D3312" s="327" t="s">
        <v>114</v>
      </c>
      <c r="E3312" s="328" t="s">
        <v>2652</v>
      </c>
      <c r="F3312" s="328">
        <v>66.627009000000015</v>
      </c>
      <c r="G3312" s="328">
        <v>10071.4401</v>
      </c>
      <c r="H3312" s="328">
        <v>10000.2762</v>
      </c>
      <c r="I3312" s="329">
        <v>2.030060782071922E-2</v>
      </c>
      <c r="J3312" s="329">
        <v>1.0820978552771383</v>
      </c>
      <c r="K3312" s="329">
        <v>1.2494219584022348</v>
      </c>
    </row>
    <row r="3313" spans="1:11" ht="11.25" x14ac:dyDescent="0.15">
      <c r="A3313" s="326">
        <v>1.35</v>
      </c>
      <c r="B3313" s="327">
        <v>25</v>
      </c>
      <c r="C3313" s="327" t="s">
        <v>110</v>
      </c>
      <c r="D3313" s="327" t="s">
        <v>113</v>
      </c>
      <c r="E3313" s="328" t="s">
        <v>2653</v>
      </c>
      <c r="F3313" s="328">
        <v>31.210609500000004</v>
      </c>
      <c r="G3313" s="328">
        <v>9322.4479499999998</v>
      </c>
      <c r="H3313" s="328">
        <v>9875.3877000000011</v>
      </c>
      <c r="I3313" s="329">
        <v>9.5095720611608637E-3</v>
      </c>
      <c r="J3313" s="329">
        <v>1.0016244779758712</v>
      </c>
      <c r="K3313" s="329">
        <v>1.2338185459432953</v>
      </c>
    </row>
    <row r="3314" spans="1:11" ht="11.25" x14ac:dyDescent="0.15">
      <c r="A3314" s="326">
        <v>1.375</v>
      </c>
      <c r="B3314" s="327">
        <v>25</v>
      </c>
      <c r="C3314" s="327" t="s">
        <v>110</v>
      </c>
      <c r="D3314" s="327" t="s">
        <v>79</v>
      </c>
      <c r="E3314" s="328" t="s">
        <v>2654</v>
      </c>
      <c r="F3314" s="328">
        <v>366.9928625</v>
      </c>
      <c r="G3314" s="328">
        <v>11907.302</v>
      </c>
      <c r="H3314" s="328">
        <v>10522.729249999999</v>
      </c>
      <c r="I3314" s="329">
        <v>0.11181918994165911</v>
      </c>
      <c r="J3314" s="329">
        <v>1.2793469283838743</v>
      </c>
      <c r="K3314" s="329">
        <v>1.3146965868074201</v>
      </c>
    </row>
    <row r="3315" spans="1:11" ht="11.25" x14ac:dyDescent="0.15">
      <c r="A3315" s="326">
        <v>1.375</v>
      </c>
      <c r="B3315" s="327">
        <v>25</v>
      </c>
      <c r="C3315" s="327" t="s">
        <v>110</v>
      </c>
      <c r="D3315" s="327" t="s">
        <v>114</v>
      </c>
      <c r="E3315" s="328" t="s">
        <v>2655</v>
      </c>
      <c r="F3315" s="328">
        <v>73.229021250000002</v>
      </c>
      <c r="G3315" s="328">
        <v>10601.958124999999</v>
      </c>
      <c r="H3315" s="328">
        <v>10386.89575</v>
      </c>
      <c r="I3315" s="329">
        <v>2.2312177355753183E-2</v>
      </c>
      <c r="J3315" s="329">
        <v>1.1390978881759453</v>
      </c>
      <c r="K3315" s="329">
        <v>1.2977257197841043</v>
      </c>
    </row>
    <row r="3316" spans="1:11" ht="11.25" x14ac:dyDescent="0.15">
      <c r="A3316" s="326">
        <v>1.375</v>
      </c>
      <c r="B3316" s="327">
        <v>25</v>
      </c>
      <c r="C3316" s="327" t="s">
        <v>110</v>
      </c>
      <c r="D3316" s="327" t="s">
        <v>113</v>
      </c>
      <c r="E3316" s="328" t="s">
        <v>2656</v>
      </c>
      <c r="F3316" s="328">
        <v>34.632028750000003</v>
      </c>
      <c r="G3316" s="328">
        <v>9775.2971249999991</v>
      </c>
      <c r="H3316" s="328">
        <v>10258.215</v>
      </c>
      <c r="I3316" s="329">
        <v>1.0552045547919204E-2</v>
      </c>
      <c r="J3316" s="329">
        <v>1.050279597419169</v>
      </c>
      <c r="K3316" s="329">
        <v>1.281648508369317</v>
      </c>
    </row>
    <row r="3317" spans="1:11" ht="11.25" x14ac:dyDescent="0.15">
      <c r="A3317" s="326">
        <v>1.4</v>
      </c>
      <c r="B3317" s="327">
        <v>25</v>
      </c>
      <c r="C3317" s="327" t="s">
        <v>110</v>
      </c>
      <c r="D3317" s="327" t="s">
        <v>79</v>
      </c>
      <c r="E3317" s="328" t="s">
        <v>2657</v>
      </c>
      <c r="F3317" s="328">
        <v>400.70225999999997</v>
      </c>
      <c r="G3317" s="328">
        <v>12560.193800000001</v>
      </c>
      <c r="H3317" s="328">
        <v>10921.801799999999</v>
      </c>
      <c r="I3317" s="329">
        <v>0.12209011863546003</v>
      </c>
      <c r="J3317" s="329">
        <v>1.3494950710023297</v>
      </c>
      <c r="K3317" s="329">
        <v>1.3645562103811744</v>
      </c>
    </row>
    <row r="3318" spans="1:11" ht="11.25" x14ac:dyDescent="0.15">
      <c r="A3318" s="326">
        <v>1.4</v>
      </c>
      <c r="B3318" s="327">
        <v>25</v>
      </c>
      <c r="C3318" s="327" t="s">
        <v>110</v>
      </c>
      <c r="D3318" s="327" t="s">
        <v>114</v>
      </c>
      <c r="E3318" s="328" t="s">
        <v>2658</v>
      </c>
      <c r="F3318" s="328">
        <v>80.483843999999991</v>
      </c>
      <c r="G3318" s="328">
        <v>11159.675799999999</v>
      </c>
      <c r="H3318" s="328">
        <v>10781.265600000001</v>
      </c>
      <c r="I3318" s="329">
        <v>2.4522651961578299E-2</v>
      </c>
      <c r="J3318" s="329">
        <v>1.1990203117792639</v>
      </c>
      <c r="K3318" s="329">
        <v>1.3469977939215965</v>
      </c>
    </row>
    <row r="3319" spans="1:11" ht="11.25" x14ac:dyDescent="0.15">
      <c r="A3319" s="326">
        <v>1.4</v>
      </c>
      <c r="B3319" s="327">
        <v>25</v>
      </c>
      <c r="C3319" s="327" t="s">
        <v>110</v>
      </c>
      <c r="D3319" s="327" t="s">
        <v>113</v>
      </c>
      <c r="E3319" s="328" t="s">
        <v>2659</v>
      </c>
      <c r="F3319" s="328">
        <v>38.433555999999996</v>
      </c>
      <c r="G3319" s="328">
        <v>10250.490599999999</v>
      </c>
      <c r="H3319" s="328">
        <v>10648.4084</v>
      </c>
      <c r="I3319" s="329">
        <v>1.1710334280676622E-2</v>
      </c>
      <c r="J3319" s="329">
        <v>1.1013354379974385</v>
      </c>
      <c r="K3319" s="329">
        <v>1.3303987820851195</v>
      </c>
    </row>
    <row r="3320" spans="1:11" ht="11.25" x14ac:dyDescent="0.15">
      <c r="A3320" s="326">
        <v>0.9</v>
      </c>
      <c r="B3320" s="327">
        <v>50</v>
      </c>
      <c r="C3320" s="327" t="s">
        <v>110</v>
      </c>
      <c r="D3320" s="327" t="s">
        <v>79</v>
      </c>
      <c r="E3320" s="328" t="s">
        <v>2660</v>
      </c>
      <c r="F3320" s="328">
        <v>137.57589000000002</v>
      </c>
      <c r="G3320" s="328">
        <v>4149.5868</v>
      </c>
      <c r="H3320" s="328">
        <v>4379.2479000000003</v>
      </c>
      <c r="I3320" s="329">
        <v>4.1918048407011736E-2</v>
      </c>
      <c r="J3320" s="329">
        <v>0.44584080647675439</v>
      </c>
      <c r="K3320" s="329">
        <v>0.54713773681039668</v>
      </c>
    </row>
    <row r="3321" spans="1:11" ht="11.25" x14ac:dyDescent="0.15">
      <c r="A3321" s="326">
        <v>0.9</v>
      </c>
      <c r="B3321" s="327">
        <v>50</v>
      </c>
      <c r="C3321" s="327" t="s">
        <v>110</v>
      </c>
      <c r="D3321" s="327" t="s">
        <v>114</v>
      </c>
      <c r="E3321" s="328" t="s">
        <v>2661</v>
      </c>
      <c r="F3321" s="328">
        <v>27.318014999999999</v>
      </c>
      <c r="G3321" s="328">
        <v>4034.0223000000005</v>
      </c>
      <c r="H3321" s="328">
        <v>4311.5138999999999</v>
      </c>
      <c r="I3321" s="329">
        <v>8.3235360145841875E-3</v>
      </c>
      <c r="J3321" s="329">
        <v>0.433424300360993</v>
      </c>
      <c r="K3321" s="329">
        <v>0.53867513585439342</v>
      </c>
    </row>
    <row r="3322" spans="1:11" ht="11.25" x14ac:dyDescent="0.15">
      <c r="A3322" s="326">
        <v>0.9</v>
      </c>
      <c r="B3322" s="327">
        <v>50</v>
      </c>
      <c r="C3322" s="327" t="s">
        <v>110</v>
      </c>
      <c r="D3322" s="327" t="s">
        <v>113</v>
      </c>
      <c r="E3322" s="328" t="s">
        <v>2662</v>
      </c>
      <c r="F3322" s="328">
        <v>9.8374859999999984</v>
      </c>
      <c r="G3322" s="328">
        <v>3995.9450999999995</v>
      </c>
      <c r="H3322" s="328">
        <v>4243.7655000000004</v>
      </c>
      <c r="I3322" s="329">
        <v>2.9973872191653649E-3</v>
      </c>
      <c r="J3322" s="329">
        <v>0.42933320156619803</v>
      </c>
      <c r="K3322" s="329">
        <v>0.53021073578046163</v>
      </c>
    </row>
    <row r="3323" spans="1:11" ht="11.25" x14ac:dyDescent="0.15">
      <c r="A3323" s="326">
        <v>0.92500000000000004</v>
      </c>
      <c r="B3323" s="327">
        <v>50</v>
      </c>
      <c r="C3323" s="327" t="s">
        <v>110</v>
      </c>
      <c r="D3323" s="327" t="s">
        <v>79</v>
      </c>
      <c r="E3323" s="328" t="s">
        <v>2663</v>
      </c>
      <c r="F3323" s="328">
        <v>150.98747250000002</v>
      </c>
      <c r="G3323" s="328">
        <v>4399.0733749999999</v>
      </c>
      <c r="H3323" s="328">
        <v>4636.9463750000004</v>
      </c>
      <c r="I3323" s="329">
        <v>4.600442840026224E-2</v>
      </c>
      <c r="J3323" s="329">
        <v>0.47264619726966978</v>
      </c>
      <c r="K3323" s="329">
        <v>0.57933426087357898</v>
      </c>
    </row>
    <row r="3324" spans="1:11" ht="11.25" x14ac:dyDescent="0.15">
      <c r="A3324" s="326">
        <v>0.92500000000000004</v>
      </c>
      <c r="B3324" s="327">
        <v>50</v>
      </c>
      <c r="C3324" s="327" t="s">
        <v>110</v>
      </c>
      <c r="D3324" s="327" t="s">
        <v>114</v>
      </c>
      <c r="E3324" s="328" t="s">
        <v>2664</v>
      </c>
      <c r="F3324" s="328">
        <v>29.984263500000001</v>
      </c>
      <c r="G3324" s="328">
        <v>4255.7566500000003</v>
      </c>
      <c r="H3324" s="328">
        <v>4566.2014500000005</v>
      </c>
      <c r="I3324" s="329">
        <v>9.1359162484182001E-3</v>
      </c>
      <c r="J3324" s="329">
        <v>0.45724793056619772</v>
      </c>
      <c r="K3324" s="329">
        <v>0.57049547872669004</v>
      </c>
    </row>
    <row r="3325" spans="1:11" ht="11.25" x14ac:dyDescent="0.15">
      <c r="A3325" s="326">
        <v>0.92500000000000004</v>
      </c>
      <c r="B3325" s="327">
        <v>50</v>
      </c>
      <c r="C3325" s="327" t="s">
        <v>110</v>
      </c>
      <c r="D3325" s="327" t="s">
        <v>113</v>
      </c>
      <c r="E3325" s="328" t="s">
        <v>2665</v>
      </c>
      <c r="F3325" s="328">
        <v>10.819142250000001</v>
      </c>
      <c r="G3325" s="328">
        <v>4205.9426250000006</v>
      </c>
      <c r="H3325" s="328">
        <v>4495.9273499999999</v>
      </c>
      <c r="I3325" s="329">
        <v>3.2964884221926226E-3</v>
      </c>
      <c r="J3325" s="329">
        <v>0.45189580126988971</v>
      </c>
      <c r="K3325" s="329">
        <v>0.56171552086443066</v>
      </c>
    </row>
    <row r="3326" spans="1:11" ht="11.25" x14ac:dyDescent="0.15">
      <c r="A3326" s="326">
        <v>0.95</v>
      </c>
      <c r="B3326" s="327">
        <v>50</v>
      </c>
      <c r="C3326" s="327" t="s">
        <v>110</v>
      </c>
      <c r="D3326" s="327" t="s">
        <v>79</v>
      </c>
      <c r="E3326" s="328" t="s">
        <v>2666</v>
      </c>
      <c r="F3326" s="328">
        <v>165.52780999999999</v>
      </c>
      <c r="G3326" s="328">
        <v>4662.6379999999999</v>
      </c>
      <c r="H3326" s="328">
        <v>4901.7482499999996</v>
      </c>
      <c r="I3326" s="329">
        <v>5.0434729168654768E-2</v>
      </c>
      <c r="J3326" s="329">
        <v>0.50096416496918705</v>
      </c>
      <c r="K3326" s="329">
        <v>0.6124182748182222</v>
      </c>
    </row>
    <row r="3327" spans="1:11" ht="11.25" x14ac:dyDescent="0.15">
      <c r="A3327" s="326">
        <v>0.95</v>
      </c>
      <c r="B3327" s="327">
        <v>50</v>
      </c>
      <c r="C3327" s="327" t="s">
        <v>110</v>
      </c>
      <c r="D3327" s="327" t="s">
        <v>114</v>
      </c>
      <c r="E3327" s="328" t="s">
        <v>2667</v>
      </c>
      <c r="F3327" s="328">
        <v>32.877219999999994</v>
      </c>
      <c r="G3327" s="328">
        <v>4485.8525</v>
      </c>
      <c r="H3327" s="328">
        <v>4828.2324999999992</v>
      </c>
      <c r="I3327" s="329">
        <v>1.0017372225961788E-2</v>
      </c>
      <c r="J3327" s="329">
        <v>0.48196993887096534</v>
      </c>
      <c r="K3327" s="329">
        <v>0.60323330927312957</v>
      </c>
    </row>
    <row r="3328" spans="1:11" ht="11.25" x14ac:dyDescent="0.15">
      <c r="A3328" s="326">
        <v>0.95</v>
      </c>
      <c r="B3328" s="327">
        <v>50</v>
      </c>
      <c r="C3328" s="327" t="s">
        <v>110</v>
      </c>
      <c r="D3328" s="327" t="s">
        <v>113</v>
      </c>
      <c r="E3328" s="328" t="s">
        <v>2668</v>
      </c>
      <c r="F3328" s="328">
        <v>11.889420999999999</v>
      </c>
      <c r="G3328" s="328">
        <v>4422.7554</v>
      </c>
      <c r="H3328" s="328">
        <v>4755.3228499999996</v>
      </c>
      <c r="I3328" s="329">
        <v>3.6225920472645443E-3</v>
      </c>
      <c r="J3328" s="329">
        <v>0.47519064654471632</v>
      </c>
      <c r="K3328" s="329">
        <v>0.59412406910140103</v>
      </c>
    </row>
    <row r="3329" spans="1:11" ht="11.25" x14ac:dyDescent="0.15">
      <c r="A3329" s="326">
        <v>0.97499999999999998</v>
      </c>
      <c r="B3329" s="327">
        <v>50</v>
      </c>
      <c r="C3329" s="327" t="s">
        <v>110</v>
      </c>
      <c r="D3329" s="327" t="s">
        <v>79</v>
      </c>
      <c r="E3329" s="328" t="s">
        <v>2669</v>
      </c>
      <c r="F3329" s="328">
        <v>181.29384000000002</v>
      </c>
      <c r="G3329" s="328">
        <v>4941.0143249999992</v>
      </c>
      <c r="H3329" s="328">
        <v>5173.9944749999995</v>
      </c>
      <c r="I3329" s="329">
        <v>5.5238486634635188E-2</v>
      </c>
      <c r="J3329" s="329">
        <v>0.53087353455799402</v>
      </c>
      <c r="K3329" s="329">
        <v>0.64643237650944496</v>
      </c>
    </row>
    <row r="3330" spans="1:11" ht="11.25" x14ac:dyDescent="0.15">
      <c r="A3330" s="326">
        <v>0.97499999999999998</v>
      </c>
      <c r="B3330" s="327">
        <v>50</v>
      </c>
      <c r="C3330" s="327" t="s">
        <v>110</v>
      </c>
      <c r="D3330" s="327" t="s">
        <v>114</v>
      </c>
      <c r="E3330" s="328" t="s">
        <v>2670</v>
      </c>
      <c r="F3330" s="328">
        <v>36.018771749999999</v>
      </c>
      <c r="G3330" s="328">
        <v>4725.8971500000007</v>
      </c>
      <c r="H3330" s="328">
        <v>5097.5749500000002</v>
      </c>
      <c r="I3330" s="329">
        <v>1.097457278144889E-2</v>
      </c>
      <c r="J3330" s="329">
        <v>0.50776086830674205</v>
      </c>
      <c r="K3330" s="329">
        <v>0.63688461695999699</v>
      </c>
    </row>
    <row r="3331" spans="1:11" ht="11.25" x14ac:dyDescent="0.15">
      <c r="A3331" s="326">
        <v>0.97499999999999998</v>
      </c>
      <c r="B3331" s="327">
        <v>50</v>
      </c>
      <c r="C3331" s="327" t="s">
        <v>110</v>
      </c>
      <c r="D3331" s="327" t="s">
        <v>113</v>
      </c>
      <c r="E3331" s="328" t="s">
        <v>2671</v>
      </c>
      <c r="F3331" s="328">
        <v>13.059364499999999</v>
      </c>
      <c r="G3331" s="328">
        <v>4646.5185000000001</v>
      </c>
      <c r="H3331" s="328">
        <v>5021.9149499999994</v>
      </c>
      <c r="I3331" s="329">
        <v>3.9790625615855404E-3</v>
      </c>
      <c r="J3331" s="329">
        <v>0.49923225014817357</v>
      </c>
      <c r="K3331" s="329">
        <v>0.62743175151086927</v>
      </c>
    </row>
    <row r="3332" spans="1:11" ht="11.25" x14ac:dyDescent="0.15">
      <c r="A3332" s="326">
        <v>1</v>
      </c>
      <c r="B3332" s="327">
        <v>50</v>
      </c>
      <c r="C3332" s="327" t="s">
        <v>110</v>
      </c>
      <c r="D3332" s="327" t="s">
        <v>79</v>
      </c>
      <c r="E3332" s="328" t="s">
        <v>2672</v>
      </c>
      <c r="F3332" s="328">
        <v>198.37879999999998</v>
      </c>
      <c r="G3332" s="328">
        <v>5236.3630000000003</v>
      </c>
      <c r="H3332" s="328">
        <v>5453.5929999999998</v>
      </c>
      <c r="I3332" s="329">
        <v>6.0444109366291562E-2</v>
      </c>
      <c r="J3332" s="329">
        <v>0.56260645106279905</v>
      </c>
      <c r="K3332" s="329">
        <v>0.68136506533576724</v>
      </c>
    </row>
    <row r="3333" spans="1:11" ht="11.25" x14ac:dyDescent="0.15">
      <c r="A3333" s="326">
        <v>1</v>
      </c>
      <c r="B3333" s="327">
        <v>50</v>
      </c>
      <c r="C3333" s="327" t="s">
        <v>110</v>
      </c>
      <c r="D3333" s="327" t="s">
        <v>114</v>
      </c>
      <c r="E3333" s="328" t="s">
        <v>2673</v>
      </c>
      <c r="F3333" s="328">
        <v>39.429389999999998</v>
      </c>
      <c r="G3333" s="328">
        <v>4977.8830000000007</v>
      </c>
      <c r="H3333" s="328">
        <v>5374.0879999999997</v>
      </c>
      <c r="I3333" s="329">
        <v>1.2013755307553846E-2</v>
      </c>
      <c r="J3333" s="329">
        <v>0.5348347867471831</v>
      </c>
      <c r="K3333" s="329">
        <v>0.67143181041199129</v>
      </c>
    </row>
    <row r="3334" spans="1:11" ht="11.25" x14ac:dyDescent="0.15">
      <c r="A3334" s="326">
        <v>1</v>
      </c>
      <c r="B3334" s="327">
        <v>50</v>
      </c>
      <c r="C3334" s="327" t="s">
        <v>110</v>
      </c>
      <c r="D3334" s="327" t="s">
        <v>113</v>
      </c>
      <c r="E3334" s="328" t="s">
        <v>2674</v>
      </c>
      <c r="F3334" s="328">
        <v>14.33845</v>
      </c>
      <c r="G3334" s="328">
        <v>4878.125</v>
      </c>
      <c r="H3334" s="328">
        <v>5295.9049999999997</v>
      </c>
      <c r="I3334" s="329">
        <v>4.3687875919357477E-3</v>
      </c>
      <c r="J3334" s="329">
        <v>0.52411656603843482</v>
      </c>
      <c r="K3334" s="329">
        <v>0.66166372450914768</v>
      </c>
    </row>
    <row r="3335" spans="1:11" ht="11.25" x14ac:dyDescent="0.15">
      <c r="A3335" s="326">
        <v>1.0249999999999999</v>
      </c>
      <c r="B3335" s="327">
        <v>50</v>
      </c>
      <c r="C3335" s="327" t="s">
        <v>110</v>
      </c>
      <c r="D3335" s="327" t="s">
        <v>79</v>
      </c>
      <c r="E3335" s="328" t="s">
        <v>2675</v>
      </c>
      <c r="F3335" s="328">
        <v>216.87452249999998</v>
      </c>
      <c r="G3335" s="328">
        <v>5548.7944499999994</v>
      </c>
      <c r="H3335" s="328">
        <v>5740.5237749999997</v>
      </c>
      <c r="I3335" s="329">
        <v>6.6079577841746506E-2</v>
      </c>
      <c r="J3335" s="329">
        <v>0.59617477879044212</v>
      </c>
      <c r="K3335" s="329">
        <v>0.71721383627535096</v>
      </c>
    </row>
    <row r="3336" spans="1:11" ht="11.25" x14ac:dyDescent="0.15">
      <c r="A3336" s="326">
        <v>1.0249999999999999</v>
      </c>
      <c r="B3336" s="327">
        <v>50</v>
      </c>
      <c r="C3336" s="327" t="s">
        <v>110</v>
      </c>
      <c r="D3336" s="327" t="s">
        <v>114</v>
      </c>
      <c r="E3336" s="328" t="s">
        <v>2676</v>
      </c>
      <c r="F3336" s="328">
        <v>43.127920499999995</v>
      </c>
      <c r="G3336" s="328">
        <v>5242.1513499999992</v>
      </c>
      <c r="H3336" s="328">
        <v>5658.2193499999994</v>
      </c>
      <c r="I3336" s="329">
        <v>1.3140661922759528E-2</v>
      </c>
      <c r="J3336" s="329">
        <v>0.56322836422103673</v>
      </c>
      <c r="K3336" s="329">
        <v>0.70693082470526347</v>
      </c>
    </row>
    <row r="3337" spans="1:11" ht="11.25" x14ac:dyDescent="0.15">
      <c r="A3337" s="326">
        <v>1.0249999999999999</v>
      </c>
      <c r="B3337" s="327">
        <v>50</v>
      </c>
      <c r="C3337" s="327" t="s">
        <v>110</v>
      </c>
      <c r="D3337" s="327" t="s">
        <v>113</v>
      </c>
      <c r="E3337" s="328" t="s">
        <v>2677</v>
      </c>
      <c r="F3337" s="328">
        <v>15.73464175</v>
      </c>
      <c r="G3337" s="328">
        <v>5117.6251249999996</v>
      </c>
      <c r="H3337" s="328">
        <v>5576.7841249999992</v>
      </c>
      <c r="I3337" s="329">
        <v>4.7941937685701159E-3</v>
      </c>
      <c r="J3337" s="329">
        <v>0.54984899050086156</v>
      </c>
      <c r="K3337" s="329">
        <v>0.69675640989235799</v>
      </c>
    </row>
    <row r="3338" spans="1:11" ht="11.25" x14ac:dyDescent="0.15">
      <c r="A3338" s="326">
        <v>1.05</v>
      </c>
      <c r="B3338" s="327">
        <v>50</v>
      </c>
      <c r="C3338" s="327" t="s">
        <v>110</v>
      </c>
      <c r="D3338" s="327" t="s">
        <v>79</v>
      </c>
      <c r="E3338" s="328" t="s">
        <v>2678</v>
      </c>
      <c r="F3338" s="328">
        <v>236.88745500000002</v>
      </c>
      <c r="G3338" s="328">
        <v>5880.5166000000008</v>
      </c>
      <c r="H3338" s="328">
        <v>6034.8371999999999</v>
      </c>
      <c r="I3338" s="329">
        <v>7.2177325588835467E-2</v>
      </c>
      <c r="J3338" s="329">
        <v>0.63181574209845226</v>
      </c>
      <c r="K3338" s="329">
        <v>0.7539849862409459</v>
      </c>
    </row>
    <row r="3339" spans="1:11" ht="11.25" x14ac:dyDescent="0.15">
      <c r="A3339" s="326">
        <v>1.05</v>
      </c>
      <c r="B3339" s="327">
        <v>50</v>
      </c>
      <c r="C3339" s="327" t="s">
        <v>110</v>
      </c>
      <c r="D3339" s="327" t="s">
        <v>114</v>
      </c>
      <c r="E3339" s="328" t="s">
        <v>2679</v>
      </c>
      <c r="F3339" s="328">
        <v>47.137156500000003</v>
      </c>
      <c r="G3339" s="328">
        <v>5519.52135</v>
      </c>
      <c r="H3339" s="328">
        <v>5949.4931999999999</v>
      </c>
      <c r="I3339" s="329">
        <v>1.4362237510772329E-2</v>
      </c>
      <c r="J3339" s="329">
        <v>0.59302961202056648</v>
      </c>
      <c r="K3339" s="329">
        <v>0.74332221398492759</v>
      </c>
    </row>
    <row r="3340" spans="1:11" ht="11.25" x14ac:dyDescent="0.15">
      <c r="A3340" s="326">
        <v>1.05</v>
      </c>
      <c r="B3340" s="327">
        <v>50</v>
      </c>
      <c r="C3340" s="327" t="s">
        <v>110</v>
      </c>
      <c r="D3340" s="327" t="s">
        <v>113</v>
      </c>
      <c r="E3340" s="328" t="s">
        <v>2680</v>
      </c>
      <c r="F3340" s="328">
        <v>17.2587765</v>
      </c>
      <c r="G3340" s="328">
        <v>5368.2184500000003</v>
      </c>
      <c r="H3340" s="328">
        <v>5865.3147000000008</v>
      </c>
      <c r="I3340" s="329">
        <v>5.2585829448226467E-3</v>
      </c>
      <c r="J3340" s="329">
        <v>0.57677329296772206</v>
      </c>
      <c r="K3340" s="329">
        <v>0.73280505783624428</v>
      </c>
    </row>
    <row r="3341" spans="1:11" ht="11.25" x14ac:dyDescent="0.15">
      <c r="A3341" s="326">
        <v>1.075</v>
      </c>
      <c r="B3341" s="327">
        <v>50</v>
      </c>
      <c r="C3341" s="327" t="s">
        <v>110</v>
      </c>
      <c r="D3341" s="327" t="s">
        <v>79</v>
      </c>
      <c r="E3341" s="328" t="s">
        <v>2681</v>
      </c>
      <c r="F3341" s="328">
        <v>258.53147999999999</v>
      </c>
      <c r="G3341" s="328">
        <v>6231.5664499999993</v>
      </c>
      <c r="H3341" s="328">
        <v>6336.5262249999996</v>
      </c>
      <c r="I3341" s="329">
        <v>7.8772051508272156E-2</v>
      </c>
      <c r="J3341" s="329">
        <v>0.66953331634886759</v>
      </c>
      <c r="K3341" s="329">
        <v>0.79167763441439931</v>
      </c>
    </row>
    <row r="3342" spans="1:11" ht="11.25" x14ac:dyDescent="0.15">
      <c r="A3342" s="326">
        <v>1.075</v>
      </c>
      <c r="B3342" s="327">
        <v>50</v>
      </c>
      <c r="C3342" s="327" t="s">
        <v>110</v>
      </c>
      <c r="D3342" s="327" t="s">
        <v>114</v>
      </c>
      <c r="E3342" s="328" t="s">
        <v>2682</v>
      </c>
      <c r="F3342" s="328">
        <v>51.483190499999999</v>
      </c>
      <c r="G3342" s="328">
        <v>5812.3379500000001</v>
      </c>
      <c r="H3342" s="328">
        <v>6248.5772499999985</v>
      </c>
      <c r="I3342" s="329">
        <v>1.5686432204991781E-2</v>
      </c>
      <c r="J3342" s="329">
        <v>0.62449047677311997</v>
      </c>
      <c r="K3342" s="329">
        <v>0.78068939985104091</v>
      </c>
    </row>
    <row r="3343" spans="1:11" ht="11.25" x14ac:dyDescent="0.15">
      <c r="A3343" s="326">
        <v>1.075</v>
      </c>
      <c r="B3343" s="327">
        <v>50</v>
      </c>
      <c r="C3343" s="327" t="s">
        <v>110</v>
      </c>
      <c r="D3343" s="327" t="s">
        <v>113</v>
      </c>
      <c r="E3343" s="328" t="s">
        <v>2683</v>
      </c>
      <c r="F3343" s="328">
        <v>18.9232035</v>
      </c>
      <c r="G3343" s="328">
        <v>5628.0818749999999</v>
      </c>
      <c r="H3343" s="328">
        <v>6160.7293250000002</v>
      </c>
      <c r="I3343" s="329">
        <v>5.7657178182073457E-3</v>
      </c>
      <c r="J3343" s="329">
        <v>0.60469359553274171</v>
      </c>
      <c r="K3343" s="329">
        <v>0.76971379034786835</v>
      </c>
    </row>
    <row r="3344" spans="1:11" ht="11.25" x14ac:dyDescent="0.15">
      <c r="A3344" s="326">
        <v>1.1000000000000001</v>
      </c>
      <c r="B3344" s="327">
        <v>50</v>
      </c>
      <c r="C3344" s="327" t="s">
        <v>110</v>
      </c>
      <c r="D3344" s="327" t="s">
        <v>79</v>
      </c>
      <c r="E3344" s="328" t="s">
        <v>2684</v>
      </c>
      <c r="F3344" s="328">
        <v>281.92989</v>
      </c>
      <c r="G3344" s="328">
        <v>6604.5209999999997</v>
      </c>
      <c r="H3344" s="328">
        <v>6646.0625000000009</v>
      </c>
      <c r="I3344" s="329">
        <v>8.5901321637123287E-2</v>
      </c>
      <c r="J3344" s="329">
        <v>0.70960438013554994</v>
      </c>
      <c r="K3344" s="329">
        <v>0.83035070815480605</v>
      </c>
    </row>
    <row r="3345" spans="1:11" ht="11.25" x14ac:dyDescent="0.15">
      <c r="A3345" s="326">
        <v>1.1000000000000001</v>
      </c>
      <c r="B3345" s="327">
        <v>50</v>
      </c>
      <c r="C3345" s="327" t="s">
        <v>110</v>
      </c>
      <c r="D3345" s="327" t="s">
        <v>114</v>
      </c>
      <c r="E3345" s="328" t="s">
        <v>2685</v>
      </c>
      <c r="F3345" s="328">
        <v>56.193676000000004</v>
      </c>
      <c r="G3345" s="328">
        <v>6121.3074999999999</v>
      </c>
      <c r="H3345" s="328">
        <v>6554.3807999999999</v>
      </c>
      <c r="I3345" s="329">
        <v>1.7121671760480222E-2</v>
      </c>
      <c r="J3345" s="329">
        <v>0.6576868502888541</v>
      </c>
      <c r="K3345" s="329">
        <v>0.81889611161439779</v>
      </c>
    </row>
    <row r="3346" spans="1:11" ht="11.25" x14ac:dyDescent="0.15">
      <c r="A3346" s="326">
        <v>1.1000000000000001</v>
      </c>
      <c r="B3346" s="327">
        <v>50</v>
      </c>
      <c r="C3346" s="327" t="s">
        <v>110</v>
      </c>
      <c r="D3346" s="327" t="s">
        <v>113</v>
      </c>
      <c r="E3346" s="328" t="s">
        <v>2686</v>
      </c>
      <c r="F3346" s="328">
        <v>20.741402000000001</v>
      </c>
      <c r="G3346" s="328">
        <v>5899.5706000000009</v>
      </c>
      <c r="H3346" s="328">
        <v>6463.4867000000004</v>
      </c>
      <c r="I3346" s="329">
        <v>6.3197053863528699E-3</v>
      </c>
      <c r="J3346" s="329">
        <v>0.63386294610599547</v>
      </c>
      <c r="K3346" s="329">
        <v>0.80753991682957693</v>
      </c>
    </row>
    <row r="3347" spans="1:11" ht="11.25" x14ac:dyDescent="0.15">
      <c r="A3347" s="326">
        <v>1.125</v>
      </c>
      <c r="B3347" s="327">
        <v>50</v>
      </c>
      <c r="C3347" s="327" t="s">
        <v>110</v>
      </c>
      <c r="D3347" s="327" t="s">
        <v>79</v>
      </c>
      <c r="E3347" s="328" t="s">
        <v>2687</v>
      </c>
      <c r="F3347" s="328">
        <v>307.21162500000003</v>
      </c>
      <c r="G3347" s="328">
        <v>6999.0153750000009</v>
      </c>
      <c r="H3347" s="328">
        <v>6962.5248750000001</v>
      </c>
      <c r="I3347" s="329">
        <v>9.3604422751302832E-2</v>
      </c>
      <c r="J3347" s="329">
        <v>0.75198973047947903</v>
      </c>
      <c r="K3347" s="329">
        <v>0.86988912013717923</v>
      </c>
    </row>
    <row r="3348" spans="1:11" ht="11.25" x14ac:dyDescent="0.15">
      <c r="A3348" s="326">
        <v>1.125</v>
      </c>
      <c r="B3348" s="327">
        <v>50</v>
      </c>
      <c r="C3348" s="327" t="s">
        <v>110</v>
      </c>
      <c r="D3348" s="327" t="s">
        <v>114</v>
      </c>
      <c r="E3348" s="328" t="s">
        <v>2688</v>
      </c>
      <c r="F3348" s="328">
        <v>61.297672500000004</v>
      </c>
      <c r="G3348" s="328">
        <v>6446.8676249999999</v>
      </c>
      <c r="H3348" s="328">
        <v>6867.4724999999999</v>
      </c>
      <c r="I3348" s="329">
        <v>1.8676810326955923E-2</v>
      </c>
      <c r="J3348" s="329">
        <v>0.69266575196809421</v>
      </c>
      <c r="K3348" s="329">
        <v>0.85801339569236001</v>
      </c>
    </row>
    <row r="3349" spans="1:11" ht="11.25" x14ac:dyDescent="0.15">
      <c r="A3349" s="326">
        <v>1.125</v>
      </c>
      <c r="B3349" s="327">
        <v>50</v>
      </c>
      <c r="C3349" s="327" t="s">
        <v>110</v>
      </c>
      <c r="D3349" s="327" t="s">
        <v>113</v>
      </c>
      <c r="E3349" s="328" t="s">
        <v>2689</v>
      </c>
      <c r="F3349" s="328">
        <v>22.728037499999999</v>
      </c>
      <c r="G3349" s="328">
        <v>6184.6762499999995</v>
      </c>
      <c r="H3349" s="328">
        <v>6773.6913750000003</v>
      </c>
      <c r="I3349" s="329">
        <v>6.9250140858356643E-3</v>
      </c>
      <c r="J3349" s="329">
        <v>0.66449532929341992</v>
      </c>
      <c r="K3349" s="329">
        <v>0.84629649962716291</v>
      </c>
    </row>
    <row r="3350" spans="1:11" ht="11.25" x14ac:dyDescent="0.15">
      <c r="A3350" s="326">
        <v>1.1499999999999999</v>
      </c>
      <c r="B3350" s="327">
        <v>50</v>
      </c>
      <c r="C3350" s="327" t="s">
        <v>110</v>
      </c>
      <c r="D3350" s="327" t="s">
        <v>79</v>
      </c>
      <c r="E3350" s="328" t="s">
        <v>2690</v>
      </c>
      <c r="F3350" s="328">
        <v>334.51970499999999</v>
      </c>
      <c r="G3350" s="328">
        <v>7416.3706999999995</v>
      </c>
      <c r="H3350" s="328">
        <v>7286.6058499999981</v>
      </c>
      <c r="I3350" s="329">
        <v>0.10192493166709141</v>
      </c>
      <c r="J3350" s="329">
        <v>0.79683131197992318</v>
      </c>
      <c r="K3350" s="329">
        <v>0.91037939044245375</v>
      </c>
    </row>
    <row r="3351" spans="1:11" ht="11.25" x14ac:dyDescent="0.15">
      <c r="A3351" s="326">
        <v>1.1499999999999999</v>
      </c>
      <c r="B3351" s="327">
        <v>50</v>
      </c>
      <c r="C3351" s="327" t="s">
        <v>110</v>
      </c>
      <c r="D3351" s="327" t="s">
        <v>114</v>
      </c>
      <c r="E3351" s="328" t="s">
        <v>2691</v>
      </c>
      <c r="F3351" s="328">
        <v>66.828730999999991</v>
      </c>
      <c r="G3351" s="328">
        <v>6792.6336999999994</v>
      </c>
      <c r="H3351" s="328">
        <v>7188.3797499999991</v>
      </c>
      <c r="I3351" s="329">
        <v>2.0362070570920276E-2</v>
      </c>
      <c r="J3351" s="329">
        <v>0.72981562571704239</v>
      </c>
      <c r="K3351" s="329">
        <v>0.89810714477905773</v>
      </c>
    </row>
    <row r="3352" spans="1:11" ht="11.25" x14ac:dyDescent="0.15">
      <c r="A3352" s="326">
        <v>1.1499999999999999</v>
      </c>
      <c r="B3352" s="327">
        <v>50</v>
      </c>
      <c r="C3352" s="327" t="s">
        <v>110</v>
      </c>
      <c r="D3352" s="327" t="s">
        <v>113</v>
      </c>
      <c r="E3352" s="328" t="s">
        <v>2692</v>
      </c>
      <c r="F3352" s="328">
        <v>24.899650499999996</v>
      </c>
      <c r="G3352" s="328">
        <v>6483.1641</v>
      </c>
      <c r="H3352" s="328">
        <v>7091.3323999999993</v>
      </c>
      <c r="I3352" s="329">
        <v>7.5866836476701964E-3</v>
      </c>
      <c r="J3352" s="329">
        <v>0.69656552572057084</v>
      </c>
      <c r="K3352" s="329">
        <v>0.8859821706613682</v>
      </c>
    </row>
    <row r="3353" spans="1:11" ht="11.25" x14ac:dyDescent="0.15">
      <c r="A3353" s="326">
        <v>1.175</v>
      </c>
      <c r="B3353" s="327">
        <v>50</v>
      </c>
      <c r="C3353" s="327" t="s">
        <v>110</v>
      </c>
      <c r="D3353" s="327" t="s">
        <v>79</v>
      </c>
      <c r="E3353" s="328" t="s">
        <v>2693</v>
      </c>
      <c r="F3353" s="328">
        <v>364.00430750000004</v>
      </c>
      <c r="G3353" s="328">
        <v>7857.2308750000002</v>
      </c>
      <c r="H3353" s="328">
        <v>7617.9773750000004</v>
      </c>
      <c r="I3353" s="329">
        <v>0.11090860602207106</v>
      </c>
      <c r="J3353" s="329">
        <v>0.84419830668057227</v>
      </c>
      <c r="K3353" s="329">
        <v>0.9517805329153225</v>
      </c>
    </row>
    <row r="3354" spans="1:11" ht="11.25" x14ac:dyDescent="0.15">
      <c r="A3354" s="326">
        <v>1.175</v>
      </c>
      <c r="B3354" s="327">
        <v>50</v>
      </c>
      <c r="C3354" s="327" t="s">
        <v>110</v>
      </c>
      <c r="D3354" s="327" t="s">
        <v>114</v>
      </c>
      <c r="E3354" s="328" t="s">
        <v>2694</v>
      </c>
      <c r="F3354" s="328">
        <v>72.821882250000002</v>
      </c>
      <c r="G3354" s="328">
        <v>7156.3410250000006</v>
      </c>
      <c r="H3354" s="328">
        <v>7515.9521250000007</v>
      </c>
      <c r="I3354" s="329">
        <v>2.2188126024445188E-2</v>
      </c>
      <c r="J3354" s="329">
        <v>0.76889314714628532</v>
      </c>
      <c r="K3354" s="329">
        <v>0.93903362621873765</v>
      </c>
    </row>
    <row r="3355" spans="1:11" ht="11.25" x14ac:dyDescent="0.15">
      <c r="A3355" s="326">
        <v>1.175</v>
      </c>
      <c r="B3355" s="327">
        <v>50</v>
      </c>
      <c r="C3355" s="327" t="s">
        <v>110</v>
      </c>
      <c r="D3355" s="327" t="s">
        <v>113</v>
      </c>
      <c r="E3355" s="328" t="s">
        <v>2695</v>
      </c>
      <c r="F3355" s="328">
        <v>27.273900250000001</v>
      </c>
      <c r="G3355" s="328">
        <v>6797.2727750000004</v>
      </c>
      <c r="H3355" s="328">
        <v>7416.2627750000001</v>
      </c>
      <c r="I3355" s="329">
        <v>8.3100946752189594E-3</v>
      </c>
      <c r="J3355" s="329">
        <v>0.73031405822104656</v>
      </c>
      <c r="K3355" s="329">
        <v>0.92657856393667326</v>
      </c>
    </row>
    <row r="3356" spans="1:11" ht="11.25" x14ac:dyDescent="0.15">
      <c r="A3356" s="326">
        <v>1.2</v>
      </c>
      <c r="B3356" s="327">
        <v>50</v>
      </c>
      <c r="C3356" s="327" t="s">
        <v>110</v>
      </c>
      <c r="D3356" s="327" t="s">
        <v>79</v>
      </c>
      <c r="E3356" s="328" t="s">
        <v>2696</v>
      </c>
      <c r="F3356" s="328">
        <v>395.82767999999999</v>
      </c>
      <c r="G3356" s="328">
        <v>8322.1848000000009</v>
      </c>
      <c r="H3356" s="328">
        <v>7956.9287999999988</v>
      </c>
      <c r="I3356" s="329">
        <v>0.12060488106655279</v>
      </c>
      <c r="J3356" s="329">
        <v>0.89415398730316642</v>
      </c>
      <c r="K3356" s="329">
        <v>0.99412869858165931</v>
      </c>
    </row>
    <row r="3357" spans="1:11" ht="11.25" x14ac:dyDescent="0.15">
      <c r="A3357" s="326">
        <v>1.2</v>
      </c>
      <c r="B3357" s="327">
        <v>50</v>
      </c>
      <c r="C3357" s="327" t="s">
        <v>110</v>
      </c>
      <c r="D3357" s="327" t="s">
        <v>114</v>
      </c>
      <c r="E3357" s="328" t="s">
        <v>2697</v>
      </c>
      <c r="F3357" s="328">
        <v>79.315668000000002</v>
      </c>
      <c r="G3357" s="328">
        <v>7541.8823999999995</v>
      </c>
      <c r="H3357" s="328">
        <v>7851.4079999999985</v>
      </c>
      <c r="I3357" s="329">
        <v>2.4166719987480885E-2</v>
      </c>
      <c r="J3357" s="329">
        <v>0.81031656731914603</v>
      </c>
      <c r="K3357" s="329">
        <v>0.98094506225487765</v>
      </c>
    </row>
    <row r="3358" spans="1:11" ht="11.25" x14ac:dyDescent="0.15">
      <c r="A3358" s="326">
        <v>1.2</v>
      </c>
      <c r="B3358" s="327">
        <v>50</v>
      </c>
      <c r="C3358" s="327" t="s">
        <v>110</v>
      </c>
      <c r="D3358" s="327" t="s">
        <v>113</v>
      </c>
      <c r="E3358" s="328" t="s">
        <v>2698</v>
      </c>
      <c r="F3358" s="328">
        <v>29.870892000000001</v>
      </c>
      <c r="G3358" s="328">
        <v>7126.6848</v>
      </c>
      <c r="H3358" s="328">
        <v>7747.9091999999991</v>
      </c>
      <c r="I3358" s="329">
        <v>9.1013730444819904E-3</v>
      </c>
      <c r="J3358" s="329">
        <v>0.76570681657692441</v>
      </c>
      <c r="K3358" s="329">
        <v>0.96801405207055091</v>
      </c>
    </row>
    <row r="3359" spans="1:11" ht="11.25" x14ac:dyDescent="0.15">
      <c r="A3359" s="326">
        <v>1.2250000000000001</v>
      </c>
      <c r="B3359" s="327">
        <v>50</v>
      </c>
      <c r="C3359" s="327" t="s">
        <v>110</v>
      </c>
      <c r="D3359" s="327" t="s">
        <v>79</v>
      </c>
      <c r="E3359" s="328" t="s">
        <v>2699</v>
      </c>
      <c r="F3359" s="328">
        <v>430.16414000000003</v>
      </c>
      <c r="G3359" s="328">
        <v>8812.1355000000003</v>
      </c>
      <c r="H3359" s="328">
        <v>8303.1296249999996</v>
      </c>
      <c r="I3359" s="329">
        <v>0.13106686966357675</v>
      </c>
      <c r="J3359" s="329">
        <v>0.94679537685594073</v>
      </c>
      <c r="K3359" s="329">
        <v>1.0373825951862321</v>
      </c>
    </row>
    <row r="3360" spans="1:11" ht="11.25" x14ac:dyDescent="0.15">
      <c r="A3360" s="326">
        <v>1.2250000000000001</v>
      </c>
      <c r="B3360" s="327">
        <v>50</v>
      </c>
      <c r="C3360" s="327" t="s">
        <v>110</v>
      </c>
      <c r="D3360" s="327" t="s">
        <v>114</v>
      </c>
      <c r="E3360" s="328" t="s">
        <v>2700</v>
      </c>
      <c r="F3360" s="328">
        <v>86.351658749999999</v>
      </c>
      <c r="G3360" s="328">
        <v>7948.3083750000005</v>
      </c>
      <c r="H3360" s="328">
        <v>8193.8976000000021</v>
      </c>
      <c r="I3360" s="329">
        <v>2.6310518590926493E-2</v>
      </c>
      <c r="J3360" s="329">
        <v>0.85398387522245378</v>
      </c>
      <c r="K3360" s="329">
        <v>1.0237352830654192</v>
      </c>
    </row>
    <row r="3361" spans="1:11" ht="11.25" x14ac:dyDescent="0.15">
      <c r="A3361" s="326">
        <v>1.2250000000000001</v>
      </c>
      <c r="B3361" s="327">
        <v>50</v>
      </c>
      <c r="C3361" s="327" t="s">
        <v>110</v>
      </c>
      <c r="D3361" s="327" t="s">
        <v>113</v>
      </c>
      <c r="E3361" s="328" t="s">
        <v>2701</v>
      </c>
      <c r="F3361" s="328">
        <v>32.712424500000004</v>
      </c>
      <c r="G3361" s="328">
        <v>7474.5653500000017</v>
      </c>
      <c r="H3361" s="328">
        <v>8087.3520000000008</v>
      </c>
      <c r="I3361" s="329">
        <v>9.9671606245957545E-3</v>
      </c>
      <c r="J3361" s="329">
        <v>0.80308387420819938</v>
      </c>
      <c r="K3361" s="329">
        <v>1.0104236095127284</v>
      </c>
    </row>
    <row r="3362" spans="1:11" ht="11.25" x14ac:dyDescent="0.15">
      <c r="A3362" s="326">
        <v>1.25</v>
      </c>
      <c r="B3362" s="327">
        <v>50</v>
      </c>
      <c r="C3362" s="327" t="s">
        <v>110</v>
      </c>
      <c r="D3362" s="327" t="s">
        <v>79</v>
      </c>
      <c r="E3362" s="328" t="s">
        <v>2702</v>
      </c>
      <c r="F3362" s="328">
        <v>467.20112499999999</v>
      </c>
      <c r="G3362" s="328">
        <v>9327.6750000000011</v>
      </c>
      <c r="H3362" s="328">
        <v>8656.9162500000002</v>
      </c>
      <c r="I3362" s="329">
        <v>0.14235168221379732</v>
      </c>
      <c r="J3362" s="329">
        <v>1.0021860838175647</v>
      </c>
      <c r="K3362" s="329">
        <v>1.0815842521228693</v>
      </c>
    </row>
    <row r="3363" spans="1:11" ht="11.25" x14ac:dyDescent="0.15">
      <c r="A3363" s="326">
        <v>1.25</v>
      </c>
      <c r="B3363" s="327">
        <v>50</v>
      </c>
      <c r="C3363" s="327" t="s">
        <v>110</v>
      </c>
      <c r="D3363" s="327" t="s">
        <v>114</v>
      </c>
      <c r="E3363" s="328" t="s">
        <v>2703</v>
      </c>
      <c r="F3363" s="328">
        <v>93.97523750000002</v>
      </c>
      <c r="G3363" s="328">
        <v>8377.32</v>
      </c>
      <c r="H3363" s="328">
        <v>8543.7750000000015</v>
      </c>
      <c r="I3363" s="329">
        <v>2.8633349597705127E-2</v>
      </c>
      <c r="J3363" s="329">
        <v>0.90007783543986686</v>
      </c>
      <c r="K3363" s="329">
        <v>1.0674485263365081</v>
      </c>
    </row>
    <row r="3364" spans="1:11" ht="11.25" x14ac:dyDescent="0.15">
      <c r="A3364" s="326">
        <v>1.25</v>
      </c>
      <c r="B3364" s="327">
        <v>50</v>
      </c>
      <c r="C3364" s="327" t="s">
        <v>110</v>
      </c>
      <c r="D3364" s="327" t="s">
        <v>113</v>
      </c>
      <c r="E3364" s="328" t="s">
        <v>2704</v>
      </c>
      <c r="F3364" s="328">
        <v>35.822812500000005</v>
      </c>
      <c r="G3364" s="328">
        <v>7840.6525000000001</v>
      </c>
      <c r="H3364" s="328">
        <v>8434.03125</v>
      </c>
      <c r="I3364" s="329">
        <v>1.0914865885659944E-2</v>
      </c>
      <c r="J3364" s="329">
        <v>0.84241708931211667</v>
      </c>
      <c r="K3364" s="329">
        <v>1.0537372799363929</v>
      </c>
    </row>
    <row r="3365" spans="1:11" ht="11.25" x14ac:dyDescent="0.15">
      <c r="A3365" s="326">
        <v>1.2749999999999999</v>
      </c>
      <c r="B3365" s="327">
        <v>50</v>
      </c>
      <c r="C3365" s="327" t="s">
        <v>110</v>
      </c>
      <c r="D3365" s="327" t="s">
        <v>79</v>
      </c>
      <c r="E3365" s="328" t="s">
        <v>2705</v>
      </c>
      <c r="F3365" s="328">
        <v>507.14068499999991</v>
      </c>
      <c r="G3365" s="328">
        <v>9869.094149999999</v>
      </c>
      <c r="H3365" s="328">
        <v>9018.4549499999994</v>
      </c>
      <c r="I3365" s="329">
        <v>0.15452088140585596</v>
      </c>
      <c r="J3365" s="329">
        <v>1.0603573577569261</v>
      </c>
      <c r="K3365" s="329">
        <v>1.126754443581401</v>
      </c>
    </row>
    <row r="3366" spans="1:11" ht="11.25" x14ac:dyDescent="0.15">
      <c r="A3366" s="326">
        <v>1.2749999999999999</v>
      </c>
      <c r="B3366" s="327">
        <v>50</v>
      </c>
      <c r="C3366" s="327" t="s">
        <v>110</v>
      </c>
      <c r="D3366" s="327" t="s">
        <v>114</v>
      </c>
      <c r="E3366" s="328" t="s">
        <v>2706</v>
      </c>
      <c r="F3366" s="328">
        <v>102.23680575</v>
      </c>
      <c r="G3366" s="328">
        <v>8829.975524999998</v>
      </c>
      <c r="H3366" s="328">
        <v>8901.1664249999994</v>
      </c>
      <c r="I3366" s="329">
        <v>3.1150569859346396E-2</v>
      </c>
      <c r="J3366" s="329">
        <v>0.94871214869779363</v>
      </c>
      <c r="K3366" s="329">
        <v>1.1121005624612366</v>
      </c>
    </row>
    <row r="3367" spans="1:11" ht="11.25" x14ac:dyDescent="0.15">
      <c r="A3367" s="326">
        <v>1.2749999999999999</v>
      </c>
      <c r="B3367" s="327">
        <v>50</v>
      </c>
      <c r="C3367" s="327" t="s">
        <v>110</v>
      </c>
      <c r="D3367" s="327" t="s">
        <v>113</v>
      </c>
      <c r="E3367" s="328" t="s">
        <v>2707</v>
      </c>
      <c r="F3367" s="328">
        <v>39.228549749999999</v>
      </c>
      <c r="G3367" s="328">
        <v>8225.8741499999996</v>
      </c>
      <c r="H3367" s="328">
        <v>8788.1478749999987</v>
      </c>
      <c r="I3367" s="329">
        <v>1.1952561218083836E-2</v>
      </c>
      <c r="J3367" s="329">
        <v>0.88380615752206604</v>
      </c>
      <c r="K3367" s="329">
        <v>1.0979801666588904</v>
      </c>
    </row>
    <row r="3368" spans="1:11" ht="11.25" x14ac:dyDescent="0.15">
      <c r="A3368" s="326">
        <v>1.3</v>
      </c>
      <c r="B3368" s="327">
        <v>50</v>
      </c>
      <c r="C3368" s="327" t="s">
        <v>110</v>
      </c>
      <c r="D3368" s="327" t="s">
        <v>79</v>
      </c>
      <c r="E3368" s="328" t="s">
        <v>2708</v>
      </c>
      <c r="F3368" s="328">
        <v>550.20029999999997</v>
      </c>
      <c r="G3368" s="328">
        <v>10437.6337</v>
      </c>
      <c r="H3368" s="328">
        <v>9387.7173000000003</v>
      </c>
      <c r="I3368" s="329">
        <v>0.16764073130075607</v>
      </c>
      <c r="J3368" s="329">
        <v>1.1214425076050825</v>
      </c>
      <c r="K3368" s="329">
        <v>1.172889618178</v>
      </c>
    </row>
    <row r="3369" spans="1:11" ht="11.25" x14ac:dyDescent="0.15">
      <c r="A3369" s="326">
        <v>1.3</v>
      </c>
      <c r="B3369" s="327">
        <v>50</v>
      </c>
      <c r="C3369" s="327" t="s">
        <v>110</v>
      </c>
      <c r="D3369" s="327" t="s">
        <v>114</v>
      </c>
      <c r="E3369" s="328" t="s">
        <v>2709</v>
      </c>
      <c r="F3369" s="328">
        <v>111.191171</v>
      </c>
      <c r="G3369" s="328">
        <v>9306.0993999999992</v>
      </c>
      <c r="H3369" s="328">
        <v>9265.6915000000008</v>
      </c>
      <c r="I3369" s="329">
        <v>3.3878878693136702E-2</v>
      </c>
      <c r="J3369" s="329">
        <v>0.99986795351499569</v>
      </c>
      <c r="K3369" s="329">
        <v>1.1576438678644636</v>
      </c>
    </row>
    <row r="3370" spans="1:11" ht="11.25" x14ac:dyDescent="0.15">
      <c r="A3370" s="326">
        <v>1.3</v>
      </c>
      <c r="B3370" s="327">
        <v>50</v>
      </c>
      <c r="C3370" s="327" t="s">
        <v>110</v>
      </c>
      <c r="D3370" s="327" t="s">
        <v>113</v>
      </c>
      <c r="E3370" s="328" t="s">
        <v>2710</v>
      </c>
      <c r="F3370" s="328">
        <v>42.959826</v>
      </c>
      <c r="G3370" s="328">
        <v>8632.2223000000013</v>
      </c>
      <c r="H3370" s="328">
        <v>9149.2543999999998</v>
      </c>
      <c r="I3370" s="329">
        <v>1.3089445147872939E-2</v>
      </c>
      <c r="J3370" s="329">
        <v>0.92746510373481617</v>
      </c>
      <c r="K3370" s="329">
        <v>1.1430963627152881</v>
      </c>
    </row>
    <row r="3371" spans="1:11" ht="11.25" x14ac:dyDescent="0.15">
      <c r="A3371" s="326">
        <v>1.325</v>
      </c>
      <c r="B3371" s="327">
        <v>50</v>
      </c>
      <c r="C3371" s="327" t="s">
        <v>110</v>
      </c>
      <c r="D3371" s="327" t="s">
        <v>79</v>
      </c>
      <c r="E3371" s="328" t="s">
        <v>2711</v>
      </c>
      <c r="F3371" s="328">
        <v>596.61490500000002</v>
      </c>
      <c r="G3371" s="328">
        <v>11033.068299999999</v>
      </c>
      <c r="H3371" s="328">
        <v>9763.3539249999994</v>
      </c>
      <c r="I3371" s="329">
        <v>0.1817828143298561</v>
      </c>
      <c r="J3371" s="329">
        <v>1.1854173212583752</v>
      </c>
      <c r="K3371" s="329">
        <v>1.219821186693588</v>
      </c>
    </row>
    <row r="3372" spans="1:11" ht="11.25" x14ac:dyDescent="0.15">
      <c r="A3372" s="326">
        <v>1.325</v>
      </c>
      <c r="B3372" s="327">
        <v>50</v>
      </c>
      <c r="C3372" s="327" t="s">
        <v>110</v>
      </c>
      <c r="D3372" s="327" t="s">
        <v>114</v>
      </c>
      <c r="E3372" s="328" t="s">
        <v>2712</v>
      </c>
      <c r="F3372" s="328">
        <v>120.89566325000001</v>
      </c>
      <c r="G3372" s="328">
        <v>9806.83115</v>
      </c>
      <c r="H3372" s="328">
        <v>9637.7041750000008</v>
      </c>
      <c r="I3372" s="329">
        <v>3.6835743997813059E-2</v>
      </c>
      <c r="J3372" s="329">
        <v>1.0536676829840881</v>
      </c>
      <c r="K3372" s="329">
        <v>1.2041226646149927</v>
      </c>
    </row>
    <row r="3373" spans="1:11" ht="11.25" x14ac:dyDescent="0.15">
      <c r="A3373" s="326">
        <v>1.325</v>
      </c>
      <c r="B3373" s="327">
        <v>50</v>
      </c>
      <c r="C3373" s="327" t="s">
        <v>110</v>
      </c>
      <c r="D3373" s="327" t="s">
        <v>113</v>
      </c>
      <c r="E3373" s="328" t="s">
        <v>2713</v>
      </c>
      <c r="F3373" s="328">
        <v>47.048908249999997</v>
      </c>
      <c r="G3373" s="328">
        <v>9058.5519750000003</v>
      </c>
      <c r="H3373" s="328">
        <v>9517.6724249999988</v>
      </c>
      <c r="I3373" s="329">
        <v>1.4335349119097491E-2</v>
      </c>
      <c r="J3373" s="329">
        <v>0.97327090929766702</v>
      </c>
      <c r="K3373" s="329">
        <v>1.1891260484059876</v>
      </c>
    </row>
    <row r="3374" spans="1:11" ht="11.25" x14ac:dyDescent="0.15">
      <c r="A3374" s="326">
        <v>1.35</v>
      </c>
      <c r="B3374" s="327">
        <v>50</v>
      </c>
      <c r="C3374" s="327" t="s">
        <v>110</v>
      </c>
      <c r="D3374" s="327" t="s">
        <v>79</v>
      </c>
      <c r="E3374" s="328" t="s">
        <v>2714</v>
      </c>
      <c r="F3374" s="328">
        <v>646.63839000000007</v>
      </c>
      <c r="G3374" s="328">
        <v>11655.492300000002</v>
      </c>
      <c r="H3374" s="328">
        <v>10147.3398</v>
      </c>
      <c r="I3374" s="329">
        <v>0.19702448833041991</v>
      </c>
      <c r="J3374" s="329">
        <v>1.2522919358900026</v>
      </c>
      <c r="K3374" s="329">
        <v>1.2677959000261354</v>
      </c>
    </row>
    <row r="3375" spans="1:11" ht="11.25" x14ac:dyDescent="0.15">
      <c r="A3375" s="326">
        <v>1.35</v>
      </c>
      <c r="B3375" s="327">
        <v>50</v>
      </c>
      <c r="C3375" s="327" t="s">
        <v>110</v>
      </c>
      <c r="D3375" s="327" t="s">
        <v>114</v>
      </c>
      <c r="E3375" s="328" t="s">
        <v>2715</v>
      </c>
      <c r="F3375" s="328">
        <v>131.41792350000003</v>
      </c>
      <c r="G3375" s="328">
        <v>10333.736999999999</v>
      </c>
      <c r="H3375" s="328">
        <v>10017.665550000002</v>
      </c>
      <c r="I3375" s="329">
        <v>4.0041775334486052E-2</v>
      </c>
      <c r="J3375" s="329">
        <v>1.1102796157917882</v>
      </c>
      <c r="K3375" s="329">
        <v>1.2515945619681585</v>
      </c>
    </row>
    <row r="3376" spans="1:11" ht="11.25" x14ac:dyDescent="0.15">
      <c r="A3376" s="326">
        <v>1.35</v>
      </c>
      <c r="B3376" s="327">
        <v>50</v>
      </c>
      <c r="C3376" s="327" t="s">
        <v>110</v>
      </c>
      <c r="D3376" s="327" t="s">
        <v>113</v>
      </c>
      <c r="E3376" s="328" t="s">
        <v>2716</v>
      </c>
      <c r="F3376" s="328">
        <v>51.53313150000001</v>
      </c>
      <c r="G3376" s="328">
        <v>9508.3429500000002</v>
      </c>
      <c r="H3376" s="328">
        <v>9893.4817500000008</v>
      </c>
      <c r="I3376" s="329">
        <v>1.5701648746607427E-2</v>
      </c>
      <c r="J3376" s="329">
        <v>1.0215974489521611</v>
      </c>
      <c r="K3376" s="329">
        <v>1.236079193842843</v>
      </c>
    </row>
    <row r="3377" spans="1:11" ht="11.25" x14ac:dyDescent="0.15">
      <c r="A3377" s="326">
        <v>1.375</v>
      </c>
      <c r="B3377" s="327">
        <v>50</v>
      </c>
      <c r="C3377" s="327" t="s">
        <v>110</v>
      </c>
      <c r="D3377" s="327" t="s">
        <v>79</v>
      </c>
      <c r="E3377" s="328" t="s">
        <v>2717</v>
      </c>
      <c r="F3377" s="328">
        <v>700.54503750000003</v>
      </c>
      <c r="G3377" s="328">
        <v>12306.6515</v>
      </c>
      <c r="H3377" s="328">
        <v>10538.691625000001</v>
      </c>
      <c r="I3377" s="329">
        <v>0.21344932453801935</v>
      </c>
      <c r="J3377" s="329">
        <v>1.3222539241228448</v>
      </c>
      <c r="K3377" s="329">
        <v>1.3166909059076519</v>
      </c>
    </row>
    <row r="3378" spans="1:11" ht="11.25" x14ac:dyDescent="0.15">
      <c r="A3378" s="326">
        <v>1.375</v>
      </c>
      <c r="B3378" s="327">
        <v>50</v>
      </c>
      <c r="C3378" s="327" t="s">
        <v>110</v>
      </c>
      <c r="D3378" s="327" t="s">
        <v>114</v>
      </c>
      <c r="E3378" s="328" t="s">
        <v>2718</v>
      </c>
      <c r="F3378" s="328">
        <v>142.8268875</v>
      </c>
      <c r="G3378" s="328">
        <v>10884.957875</v>
      </c>
      <c r="H3378" s="328">
        <v>10404.538375</v>
      </c>
      <c r="I3378" s="329">
        <v>4.3517976762118847E-2</v>
      </c>
      <c r="J3378" s="329">
        <v>1.1695040087980564</v>
      </c>
      <c r="K3378" s="329">
        <v>1.2999299672106761</v>
      </c>
    </row>
    <row r="3379" spans="1:11" ht="11.25" x14ac:dyDescent="0.15">
      <c r="A3379" s="326">
        <v>1.375</v>
      </c>
      <c r="B3379" s="327">
        <v>50</v>
      </c>
      <c r="C3379" s="327" t="s">
        <v>110</v>
      </c>
      <c r="D3379" s="327" t="s">
        <v>113</v>
      </c>
      <c r="E3379" s="328" t="s">
        <v>2719</v>
      </c>
      <c r="F3379" s="328">
        <v>56.452591249999998</v>
      </c>
      <c r="G3379" s="328">
        <v>9979.5355</v>
      </c>
      <c r="H3379" s="328">
        <v>10276.496999999999</v>
      </c>
      <c r="I3379" s="329">
        <v>1.7200560743010615E-2</v>
      </c>
      <c r="J3379" s="329">
        <v>1.0722234212773667</v>
      </c>
      <c r="K3379" s="329">
        <v>1.2839326385059933</v>
      </c>
    </row>
    <row r="3380" spans="1:11" ht="11.25" x14ac:dyDescent="0.15">
      <c r="A3380" s="326">
        <v>1.4</v>
      </c>
      <c r="B3380" s="327">
        <v>50</v>
      </c>
      <c r="C3380" s="327" t="s">
        <v>110</v>
      </c>
      <c r="D3380" s="327" t="s">
        <v>79</v>
      </c>
      <c r="E3380" s="328" t="s">
        <v>2720</v>
      </c>
      <c r="F3380" s="328">
        <v>758.63228000000004</v>
      </c>
      <c r="G3380" s="328">
        <v>12983.8632</v>
      </c>
      <c r="H3380" s="328">
        <v>10938.738999999998</v>
      </c>
      <c r="I3380" s="329">
        <v>0.23114794777022107</v>
      </c>
      <c r="J3380" s="329">
        <v>1.3950150507206771</v>
      </c>
      <c r="K3380" s="329">
        <v>1.3666723228935316</v>
      </c>
    </row>
    <row r="3381" spans="1:11" ht="11.25" x14ac:dyDescent="0.15">
      <c r="A3381" s="326">
        <v>1.4</v>
      </c>
      <c r="B3381" s="327">
        <v>50</v>
      </c>
      <c r="C3381" s="327" t="s">
        <v>110</v>
      </c>
      <c r="D3381" s="327" t="s">
        <v>114</v>
      </c>
      <c r="E3381" s="328" t="s">
        <v>2721</v>
      </c>
      <c r="F3381" s="328">
        <v>155.20287999999999</v>
      </c>
      <c r="G3381" s="328">
        <v>11463.4702</v>
      </c>
      <c r="H3381" s="328">
        <v>10798.626999999999</v>
      </c>
      <c r="I3381" s="329">
        <v>4.7288822458263817E-2</v>
      </c>
      <c r="J3381" s="329">
        <v>1.2316606557043801</v>
      </c>
      <c r="K3381" s="329">
        <v>1.3491669054495963</v>
      </c>
    </row>
    <row r="3382" spans="1:11" ht="11.25" x14ac:dyDescent="0.15">
      <c r="A3382" s="326">
        <v>1.4</v>
      </c>
      <c r="B3382" s="327">
        <v>50</v>
      </c>
      <c r="C3382" s="327" t="s">
        <v>110</v>
      </c>
      <c r="D3382" s="327" t="s">
        <v>113</v>
      </c>
      <c r="E3382" s="328" t="s">
        <v>2722</v>
      </c>
      <c r="F3382" s="328">
        <v>61.853007999999996</v>
      </c>
      <c r="G3382" s="328">
        <v>10474.3254</v>
      </c>
      <c r="H3382" s="328">
        <v>10666.665799999999</v>
      </c>
      <c r="I3382" s="329">
        <v>1.8846015704229016E-2</v>
      </c>
      <c r="J3382" s="329">
        <v>1.1253847452078729</v>
      </c>
      <c r="K3382" s="329">
        <v>1.3326798387286682</v>
      </c>
    </row>
    <row r="3383" spans="1:11" ht="11.25" x14ac:dyDescent="0.15">
      <c r="A3383" s="326">
        <v>0.9</v>
      </c>
      <c r="B3383" s="327">
        <v>75</v>
      </c>
      <c r="C3383" s="327" t="s">
        <v>110</v>
      </c>
      <c r="D3383" s="327" t="s">
        <v>79</v>
      </c>
      <c r="E3383" s="328" t="s">
        <v>2723</v>
      </c>
      <c r="F3383" s="328">
        <v>283.89798000000002</v>
      </c>
      <c r="G3383" s="328">
        <v>4205.9295000000002</v>
      </c>
      <c r="H3383" s="328">
        <v>4389.6546000000008</v>
      </c>
      <c r="I3383" s="329">
        <v>8.6500979701405883E-2</v>
      </c>
      <c r="J3383" s="329">
        <v>0.45189439109078822</v>
      </c>
      <c r="K3383" s="329">
        <v>0.54843793684832221</v>
      </c>
    </row>
    <row r="3384" spans="1:11" ht="11.25" x14ac:dyDescent="0.15">
      <c r="A3384" s="326">
        <v>0.9</v>
      </c>
      <c r="B3384" s="327">
        <v>75</v>
      </c>
      <c r="C3384" s="327" t="s">
        <v>110</v>
      </c>
      <c r="D3384" s="327" t="s">
        <v>114</v>
      </c>
      <c r="E3384" s="328" t="s">
        <v>2724</v>
      </c>
      <c r="F3384" s="328">
        <v>62.288595000000008</v>
      </c>
      <c r="G3384" s="328">
        <v>4051.1664000000005</v>
      </c>
      <c r="H3384" s="328">
        <v>4322.7323999999999</v>
      </c>
      <c r="I3384" s="329">
        <v>1.8978734867095892E-2</v>
      </c>
      <c r="J3384" s="329">
        <v>0.43526630047780418</v>
      </c>
      <c r="K3384" s="329">
        <v>0.54007676116553582</v>
      </c>
    </row>
    <row r="3385" spans="1:11" ht="11.25" x14ac:dyDescent="0.15">
      <c r="A3385" s="326">
        <v>0.9</v>
      </c>
      <c r="B3385" s="327">
        <v>75</v>
      </c>
      <c r="C3385" s="327" t="s">
        <v>110</v>
      </c>
      <c r="D3385" s="327" t="s">
        <v>113</v>
      </c>
      <c r="E3385" s="328" t="s">
        <v>2725</v>
      </c>
      <c r="F3385" s="328">
        <v>22.140387</v>
      </c>
      <c r="G3385" s="328">
        <v>3996.1863000000003</v>
      </c>
      <c r="H3385" s="328">
        <v>4255.6922999999997</v>
      </c>
      <c r="I3385" s="329">
        <v>6.7459626393547101E-3</v>
      </c>
      <c r="J3385" s="329">
        <v>0.42935911662899962</v>
      </c>
      <c r="K3385" s="329">
        <v>0.53170085520471022</v>
      </c>
    </row>
    <row r="3386" spans="1:11" ht="11.25" x14ac:dyDescent="0.15">
      <c r="A3386" s="326">
        <v>0.92500000000000004</v>
      </c>
      <c r="B3386" s="327">
        <v>75</v>
      </c>
      <c r="C3386" s="327" t="s">
        <v>110</v>
      </c>
      <c r="D3386" s="327" t="s">
        <v>79</v>
      </c>
      <c r="E3386" s="328" t="s">
        <v>2726</v>
      </c>
      <c r="F3386" s="328">
        <v>309.91625500000004</v>
      </c>
      <c r="G3386" s="328">
        <v>4467.0201750000006</v>
      </c>
      <c r="H3386" s="328">
        <v>4647.6347500000002</v>
      </c>
      <c r="I3386" s="329">
        <v>9.4428497458455787E-2</v>
      </c>
      <c r="J3386" s="329">
        <v>0.47994655211693188</v>
      </c>
      <c r="K3386" s="329">
        <v>0.58066965303251128</v>
      </c>
    </row>
    <row r="3387" spans="1:11" ht="11.25" x14ac:dyDescent="0.15">
      <c r="A3387" s="326">
        <v>0.92500000000000004</v>
      </c>
      <c r="B3387" s="327">
        <v>75</v>
      </c>
      <c r="C3387" s="327" t="s">
        <v>110</v>
      </c>
      <c r="D3387" s="327" t="s">
        <v>114</v>
      </c>
      <c r="E3387" s="328" t="s">
        <v>2727</v>
      </c>
      <c r="F3387" s="328">
        <v>67.955217500000003</v>
      </c>
      <c r="G3387" s="328">
        <v>4278.5458749999998</v>
      </c>
      <c r="H3387" s="328">
        <v>4577.7500749999999</v>
      </c>
      <c r="I3387" s="329">
        <v>2.0705300155964907E-2</v>
      </c>
      <c r="J3387" s="329">
        <v>0.45969645542968052</v>
      </c>
      <c r="K3387" s="329">
        <v>0.57193834944103616</v>
      </c>
    </row>
    <row r="3388" spans="1:11" ht="11.25" x14ac:dyDescent="0.15">
      <c r="A3388" s="326">
        <v>0.92500000000000004</v>
      </c>
      <c r="B3388" s="327">
        <v>75</v>
      </c>
      <c r="C3388" s="327" t="s">
        <v>110</v>
      </c>
      <c r="D3388" s="327" t="s">
        <v>113</v>
      </c>
      <c r="E3388" s="328" t="s">
        <v>2728</v>
      </c>
      <c r="F3388" s="328">
        <v>24.143369500000002</v>
      </c>
      <c r="G3388" s="328">
        <v>4209.4039750000002</v>
      </c>
      <c r="H3388" s="328">
        <v>4508.0023000000001</v>
      </c>
      <c r="I3388" s="329">
        <v>7.3562521122659697E-3</v>
      </c>
      <c r="J3388" s="329">
        <v>0.45226769638857911</v>
      </c>
      <c r="K3388" s="329">
        <v>0.5632241499637558</v>
      </c>
    </row>
    <row r="3389" spans="1:11" ht="11.25" x14ac:dyDescent="0.15">
      <c r="A3389" s="326">
        <v>0.95</v>
      </c>
      <c r="B3389" s="327">
        <v>75</v>
      </c>
      <c r="C3389" s="327" t="s">
        <v>110</v>
      </c>
      <c r="D3389" s="327" t="s">
        <v>79</v>
      </c>
      <c r="E3389" s="328" t="s">
        <v>2729</v>
      </c>
      <c r="F3389" s="328">
        <v>337.94454499999995</v>
      </c>
      <c r="G3389" s="328">
        <v>4742.4057000000003</v>
      </c>
      <c r="H3389" s="328">
        <v>4912.6855999999998</v>
      </c>
      <c r="I3389" s="329">
        <v>0.10296844742342247</v>
      </c>
      <c r="J3389" s="329">
        <v>0.5095345835223779</v>
      </c>
      <c r="K3389" s="329">
        <v>0.61378477360119887</v>
      </c>
    </row>
    <row r="3390" spans="1:11" ht="11.25" x14ac:dyDescent="0.15">
      <c r="A3390" s="326">
        <v>0.95</v>
      </c>
      <c r="B3390" s="327">
        <v>75</v>
      </c>
      <c r="C3390" s="327" t="s">
        <v>110</v>
      </c>
      <c r="D3390" s="327" t="s">
        <v>114</v>
      </c>
      <c r="E3390" s="328" t="s">
        <v>2730</v>
      </c>
      <c r="F3390" s="328">
        <v>74.057667999999993</v>
      </c>
      <c r="G3390" s="328">
        <v>4514.9405500000003</v>
      </c>
      <c r="H3390" s="328">
        <v>4840.326</v>
      </c>
      <c r="I3390" s="329">
        <v>2.2564658038079225E-2</v>
      </c>
      <c r="J3390" s="329">
        <v>0.48509522345853834</v>
      </c>
      <c r="K3390" s="329">
        <v>0.60474425598617521</v>
      </c>
    </row>
    <row r="3391" spans="1:11" ht="11.25" x14ac:dyDescent="0.15">
      <c r="A3391" s="326">
        <v>0.95</v>
      </c>
      <c r="B3391" s="327">
        <v>75</v>
      </c>
      <c r="C3391" s="327" t="s">
        <v>110</v>
      </c>
      <c r="D3391" s="327" t="s">
        <v>113</v>
      </c>
      <c r="E3391" s="328" t="s">
        <v>2731</v>
      </c>
      <c r="F3391" s="328">
        <v>26.303884999999998</v>
      </c>
      <c r="G3391" s="328">
        <v>4429.7074999999995</v>
      </c>
      <c r="H3391" s="328">
        <v>4767.6376999999993</v>
      </c>
      <c r="I3391" s="329">
        <v>8.0145403727533201E-3</v>
      </c>
      <c r="J3391" s="329">
        <v>0.47593759558328247</v>
      </c>
      <c r="K3391" s="329">
        <v>0.59566267100565928</v>
      </c>
    </row>
    <row r="3392" spans="1:11" ht="11.25" x14ac:dyDescent="0.15">
      <c r="A3392" s="326">
        <v>0.97499999999999998</v>
      </c>
      <c r="B3392" s="327">
        <v>75</v>
      </c>
      <c r="C3392" s="327" t="s">
        <v>110</v>
      </c>
      <c r="D3392" s="327" t="s">
        <v>79</v>
      </c>
      <c r="E3392" s="328" t="s">
        <v>2732</v>
      </c>
      <c r="F3392" s="328">
        <v>368.12997000000001</v>
      </c>
      <c r="G3392" s="328">
        <v>5034.4885499999991</v>
      </c>
      <c r="H3392" s="328">
        <v>5185.2966749999996</v>
      </c>
      <c r="I3392" s="329">
        <v>0.11216565564309107</v>
      </c>
      <c r="J3392" s="329">
        <v>0.5409166125480217</v>
      </c>
      <c r="K3392" s="329">
        <v>0.64784445919354661</v>
      </c>
    </row>
    <row r="3393" spans="1:11" ht="11.25" x14ac:dyDescent="0.15">
      <c r="A3393" s="326">
        <v>0.97499999999999998</v>
      </c>
      <c r="B3393" s="327">
        <v>75</v>
      </c>
      <c r="C3393" s="327" t="s">
        <v>110</v>
      </c>
      <c r="D3393" s="327" t="s">
        <v>114</v>
      </c>
      <c r="E3393" s="328" t="s">
        <v>2733</v>
      </c>
      <c r="F3393" s="328">
        <v>80.630647499999995</v>
      </c>
      <c r="G3393" s="328">
        <v>4763.6062499999998</v>
      </c>
      <c r="H3393" s="328">
        <v>5109.6269249999996</v>
      </c>
      <c r="I3393" s="329">
        <v>2.4567381573862245E-2</v>
      </c>
      <c r="J3393" s="329">
        <v>0.51181241762136598</v>
      </c>
      <c r="K3393" s="329">
        <v>0.6383903755916549</v>
      </c>
    </row>
    <row r="3394" spans="1:11" ht="11.25" x14ac:dyDescent="0.15">
      <c r="A3394" s="326">
        <v>0.97499999999999998</v>
      </c>
      <c r="B3394" s="327">
        <v>75</v>
      </c>
      <c r="C3394" s="327" t="s">
        <v>110</v>
      </c>
      <c r="D3394" s="327" t="s">
        <v>113</v>
      </c>
      <c r="E3394" s="328" t="s">
        <v>2734</v>
      </c>
      <c r="F3394" s="328">
        <v>28.636968749999998</v>
      </c>
      <c r="G3394" s="328">
        <v>4657.5535499999996</v>
      </c>
      <c r="H3394" s="328">
        <v>5034.7176749999999</v>
      </c>
      <c r="I3394" s="329">
        <v>8.7254085166563865E-3</v>
      </c>
      <c r="J3394" s="329">
        <v>0.50041788038767376</v>
      </c>
      <c r="K3394" s="329">
        <v>0.62903130790536022</v>
      </c>
    </row>
    <row r="3395" spans="1:11" ht="11.25" x14ac:dyDescent="0.15">
      <c r="A3395" s="326">
        <v>1</v>
      </c>
      <c r="B3395" s="327">
        <v>75</v>
      </c>
      <c r="C3395" s="327" t="s">
        <v>110</v>
      </c>
      <c r="D3395" s="327" t="s">
        <v>79</v>
      </c>
      <c r="E3395" s="328" t="s">
        <v>2735</v>
      </c>
      <c r="F3395" s="328">
        <v>400.61739999999998</v>
      </c>
      <c r="G3395" s="328">
        <v>5344.692</v>
      </c>
      <c r="H3395" s="328">
        <v>5465.1219999999994</v>
      </c>
      <c r="I3395" s="329">
        <v>0.122064262610921</v>
      </c>
      <c r="J3395" s="329">
        <v>0.57424555901562468</v>
      </c>
      <c r="K3395" s="329">
        <v>0.68280548412724207</v>
      </c>
    </row>
    <row r="3396" spans="1:11" ht="11.25" x14ac:dyDescent="0.15">
      <c r="A3396" s="326">
        <v>1</v>
      </c>
      <c r="B3396" s="327">
        <v>75</v>
      </c>
      <c r="C3396" s="327" t="s">
        <v>110</v>
      </c>
      <c r="D3396" s="327" t="s">
        <v>114</v>
      </c>
      <c r="E3396" s="328" t="s">
        <v>2736</v>
      </c>
      <c r="F3396" s="328">
        <v>87.707130000000006</v>
      </c>
      <c r="G3396" s="328">
        <v>5023.9310000000005</v>
      </c>
      <c r="H3396" s="328">
        <v>5386.3950000000004</v>
      </c>
      <c r="I3396" s="329">
        <v>2.6723517623473643E-2</v>
      </c>
      <c r="J3396" s="329">
        <v>0.53978228596725997</v>
      </c>
      <c r="K3396" s="329">
        <v>0.6729694315471012</v>
      </c>
    </row>
    <row r="3397" spans="1:11" ht="11.25" x14ac:dyDescent="0.15">
      <c r="A3397" s="326">
        <v>1</v>
      </c>
      <c r="B3397" s="327">
        <v>75</v>
      </c>
      <c r="C3397" s="327" t="s">
        <v>110</v>
      </c>
      <c r="D3397" s="327" t="s">
        <v>113</v>
      </c>
      <c r="E3397" s="328" t="s">
        <v>2737</v>
      </c>
      <c r="F3397" s="328">
        <v>31.15626</v>
      </c>
      <c r="G3397" s="328">
        <v>4894.7039999999997</v>
      </c>
      <c r="H3397" s="328">
        <v>5308.7340000000004</v>
      </c>
      <c r="I3397" s="329">
        <v>9.4930122920625359E-3</v>
      </c>
      <c r="J3397" s="329">
        <v>0.5258978505582762</v>
      </c>
      <c r="K3397" s="329">
        <v>0.66326656366916437</v>
      </c>
    </row>
    <row r="3398" spans="1:11" ht="11.25" x14ac:dyDescent="0.15">
      <c r="A3398" s="326">
        <v>1.0249999999999999</v>
      </c>
      <c r="B3398" s="327">
        <v>75</v>
      </c>
      <c r="C3398" s="327" t="s">
        <v>110</v>
      </c>
      <c r="D3398" s="327" t="s">
        <v>79</v>
      </c>
      <c r="E3398" s="328" t="s">
        <v>2738</v>
      </c>
      <c r="F3398" s="328">
        <v>435.55663249999992</v>
      </c>
      <c r="G3398" s="328">
        <v>5671.9768999999997</v>
      </c>
      <c r="H3398" s="328">
        <v>5752.3163999999997</v>
      </c>
      <c r="I3398" s="329">
        <v>0.13270991018215486</v>
      </c>
      <c r="J3398" s="329">
        <v>0.60940977434512777</v>
      </c>
      <c r="K3398" s="329">
        <v>0.71868719204348497</v>
      </c>
    </row>
    <row r="3399" spans="1:11" ht="11.25" x14ac:dyDescent="0.15">
      <c r="A3399" s="326">
        <v>1.0249999999999999</v>
      </c>
      <c r="B3399" s="327">
        <v>75</v>
      </c>
      <c r="C3399" s="327" t="s">
        <v>110</v>
      </c>
      <c r="D3399" s="327" t="s">
        <v>114</v>
      </c>
      <c r="E3399" s="328" t="s">
        <v>2739</v>
      </c>
      <c r="F3399" s="328">
        <v>95.319710999999984</v>
      </c>
      <c r="G3399" s="328">
        <v>5298.7590249999994</v>
      </c>
      <c r="H3399" s="328">
        <v>5670.969325</v>
      </c>
      <c r="I3399" s="329">
        <v>2.9042997721769184E-2</v>
      </c>
      <c r="J3399" s="329">
        <v>0.56931041833658724</v>
      </c>
      <c r="K3399" s="329">
        <v>0.70852379058095405</v>
      </c>
    </row>
    <row r="3400" spans="1:11" ht="11.25" x14ac:dyDescent="0.15">
      <c r="A3400" s="326">
        <v>1.0249999999999999</v>
      </c>
      <c r="B3400" s="327">
        <v>75</v>
      </c>
      <c r="C3400" s="327" t="s">
        <v>110</v>
      </c>
      <c r="D3400" s="327" t="s">
        <v>113</v>
      </c>
      <c r="E3400" s="328" t="s">
        <v>2740</v>
      </c>
      <c r="F3400" s="328">
        <v>33.87396425</v>
      </c>
      <c r="G3400" s="328">
        <v>5141.327225</v>
      </c>
      <c r="H3400" s="328">
        <v>5590.2403249999998</v>
      </c>
      <c r="I3400" s="329">
        <v>1.0321070597245527E-2</v>
      </c>
      <c r="J3400" s="329">
        <v>0.55239559667841953</v>
      </c>
      <c r="K3400" s="329">
        <v>0.69843761063325882</v>
      </c>
    </row>
    <row r="3401" spans="1:11" ht="11.25" x14ac:dyDescent="0.15">
      <c r="A3401" s="326">
        <v>1.05</v>
      </c>
      <c r="B3401" s="327">
        <v>75</v>
      </c>
      <c r="C3401" s="327" t="s">
        <v>110</v>
      </c>
      <c r="D3401" s="327" t="s">
        <v>79</v>
      </c>
      <c r="E3401" s="328" t="s">
        <v>2741</v>
      </c>
      <c r="F3401" s="328">
        <v>473.11194000000006</v>
      </c>
      <c r="G3401" s="328">
        <v>6020.4280500000004</v>
      </c>
      <c r="H3401" s="328">
        <v>6046.8985499999999</v>
      </c>
      <c r="I3401" s="329">
        <v>0.1441526506050968</v>
      </c>
      <c r="J3401" s="329">
        <v>0.64684813850556733</v>
      </c>
      <c r="K3401" s="329">
        <v>0.75549191617333866</v>
      </c>
    </row>
    <row r="3402" spans="1:11" ht="11.25" x14ac:dyDescent="0.15">
      <c r="A3402" s="326">
        <v>1.05</v>
      </c>
      <c r="B3402" s="327">
        <v>75</v>
      </c>
      <c r="C3402" s="327" t="s">
        <v>110</v>
      </c>
      <c r="D3402" s="327" t="s">
        <v>114</v>
      </c>
      <c r="E3402" s="328" t="s">
        <v>2742</v>
      </c>
      <c r="F3402" s="328">
        <v>103.50459000000001</v>
      </c>
      <c r="G3402" s="328">
        <v>5587.5582000000004</v>
      </c>
      <c r="H3402" s="328">
        <v>5962.7452500000009</v>
      </c>
      <c r="I3402" s="329">
        <v>3.1536851507687161E-2</v>
      </c>
      <c r="J3402" s="329">
        <v>0.6003396420394923</v>
      </c>
      <c r="K3402" s="329">
        <v>0.74497790848103007</v>
      </c>
    </row>
    <row r="3403" spans="1:11" ht="11.25" x14ac:dyDescent="0.15">
      <c r="A3403" s="326">
        <v>1.05</v>
      </c>
      <c r="B3403" s="327">
        <v>75</v>
      </c>
      <c r="C3403" s="327" t="s">
        <v>110</v>
      </c>
      <c r="D3403" s="327" t="s">
        <v>113</v>
      </c>
      <c r="E3403" s="328" t="s">
        <v>2743</v>
      </c>
      <c r="F3403" s="328">
        <v>36.805639500000005</v>
      </c>
      <c r="G3403" s="328">
        <v>5398.0710000000008</v>
      </c>
      <c r="H3403" s="328">
        <v>5878.8072000000002</v>
      </c>
      <c r="I3403" s="329">
        <v>1.1214323804934303E-2</v>
      </c>
      <c r="J3403" s="329">
        <v>0.57998071713038524</v>
      </c>
      <c r="K3403" s="329">
        <v>0.73449079385358962</v>
      </c>
    </row>
    <row r="3404" spans="1:11" ht="11.25" x14ac:dyDescent="0.15">
      <c r="A3404" s="326">
        <v>1.075</v>
      </c>
      <c r="B3404" s="327">
        <v>75</v>
      </c>
      <c r="C3404" s="327" t="s">
        <v>110</v>
      </c>
      <c r="D3404" s="327" t="s">
        <v>79</v>
      </c>
      <c r="E3404" s="328" t="s">
        <v>2744</v>
      </c>
      <c r="F3404" s="328">
        <v>513.45633499999997</v>
      </c>
      <c r="G3404" s="328">
        <v>6389.3485000000001</v>
      </c>
      <c r="H3404" s="328">
        <v>6349.0607249999994</v>
      </c>
      <c r="I3404" s="329">
        <v>0.15644519912185798</v>
      </c>
      <c r="J3404" s="329">
        <v>0.68648576964362829</v>
      </c>
      <c r="K3404" s="329">
        <v>0.79324367911400406</v>
      </c>
    </row>
    <row r="3405" spans="1:11" ht="11.25" x14ac:dyDescent="0.15">
      <c r="A3405" s="326">
        <v>1.075</v>
      </c>
      <c r="B3405" s="327">
        <v>75</v>
      </c>
      <c r="C3405" s="327" t="s">
        <v>110</v>
      </c>
      <c r="D3405" s="327" t="s">
        <v>114</v>
      </c>
      <c r="E3405" s="328" t="s">
        <v>2745</v>
      </c>
      <c r="F3405" s="328">
        <v>112.30352999999999</v>
      </c>
      <c r="G3405" s="328">
        <v>5892.7533249999997</v>
      </c>
      <c r="H3405" s="328">
        <v>6261.7320249999993</v>
      </c>
      <c r="I3405" s="329">
        <v>3.42178037650223E-2</v>
      </c>
      <c r="J3405" s="329">
        <v>0.63313048296437024</v>
      </c>
      <c r="K3405" s="329">
        <v>0.78233294093072048</v>
      </c>
    </row>
    <row r="3406" spans="1:11" ht="11.25" x14ac:dyDescent="0.15">
      <c r="A3406" s="326">
        <v>1.075</v>
      </c>
      <c r="B3406" s="327">
        <v>75</v>
      </c>
      <c r="C3406" s="327" t="s">
        <v>110</v>
      </c>
      <c r="D3406" s="327" t="s">
        <v>113</v>
      </c>
      <c r="E3406" s="328" t="s">
        <v>2746</v>
      </c>
      <c r="F3406" s="328">
        <v>39.968457000000001</v>
      </c>
      <c r="G3406" s="328">
        <v>5666.821649999999</v>
      </c>
      <c r="H3406" s="328">
        <v>6174.6892749999997</v>
      </c>
      <c r="I3406" s="329">
        <v>1.2178003829592285E-2</v>
      </c>
      <c r="J3406" s="329">
        <v>0.60885588285463299</v>
      </c>
      <c r="K3406" s="329">
        <v>0.77145792898157894</v>
      </c>
    </row>
    <row r="3407" spans="1:11" ht="11.25" x14ac:dyDescent="0.15">
      <c r="A3407" s="326">
        <v>1.1000000000000001</v>
      </c>
      <c r="B3407" s="327">
        <v>75</v>
      </c>
      <c r="C3407" s="327" t="s">
        <v>110</v>
      </c>
      <c r="D3407" s="327" t="s">
        <v>79</v>
      </c>
      <c r="E3407" s="328" t="s">
        <v>2747</v>
      </c>
      <c r="F3407" s="328">
        <v>556.77875000000006</v>
      </c>
      <c r="G3407" s="328">
        <v>6780.1525000000011</v>
      </c>
      <c r="H3407" s="328">
        <v>6658.6740000000009</v>
      </c>
      <c r="I3407" s="329">
        <v>0.16964512164519149</v>
      </c>
      <c r="J3407" s="329">
        <v>0.72847461791506152</v>
      </c>
      <c r="K3407" s="329">
        <v>0.83192637313777817</v>
      </c>
    </row>
    <row r="3408" spans="1:11" ht="11.25" x14ac:dyDescent="0.15">
      <c r="A3408" s="326">
        <v>1.1000000000000001</v>
      </c>
      <c r="B3408" s="327">
        <v>75</v>
      </c>
      <c r="C3408" s="327" t="s">
        <v>110</v>
      </c>
      <c r="D3408" s="327" t="s">
        <v>114</v>
      </c>
      <c r="E3408" s="328" t="s">
        <v>2748</v>
      </c>
      <c r="F3408" s="328">
        <v>121.75823</v>
      </c>
      <c r="G3408" s="328">
        <v>6214.4411999999993</v>
      </c>
      <c r="H3408" s="328">
        <v>6567.7403000000004</v>
      </c>
      <c r="I3408" s="329">
        <v>3.7098559777385909E-2</v>
      </c>
      <c r="J3408" s="329">
        <v>0.66769334151785154</v>
      </c>
      <c r="K3408" s="329">
        <v>0.82056523077865395</v>
      </c>
    </row>
    <row r="3409" spans="1:11" ht="11.25" x14ac:dyDescent="0.15">
      <c r="A3409" s="326">
        <v>1.1000000000000001</v>
      </c>
      <c r="B3409" s="327">
        <v>75</v>
      </c>
      <c r="C3409" s="327" t="s">
        <v>110</v>
      </c>
      <c r="D3409" s="327" t="s">
        <v>113</v>
      </c>
      <c r="E3409" s="328" t="s">
        <v>2749</v>
      </c>
      <c r="F3409" s="328">
        <v>43.380777000000002</v>
      </c>
      <c r="G3409" s="328">
        <v>5948.7681000000011</v>
      </c>
      <c r="H3409" s="328">
        <v>6478.0078000000003</v>
      </c>
      <c r="I3409" s="329">
        <v>1.3217704862529192E-2</v>
      </c>
      <c r="J3409" s="329">
        <v>0.63914883458931149</v>
      </c>
      <c r="K3409" s="329">
        <v>0.8093541648400624</v>
      </c>
    </row>
    <row r="3410" spans="1:11" ht="11.25" x14ac:dyDescent="0.15">
      <c r="A3410" s="326">
        <v>1.125</v>
      </c>
      <c r="B3410" s="327">
        <v>75</v>
      </c>
      <c r="C3410" s="327" t="s">
        <v>110</v>
      </c>
      <c r="D3410" s="327" t="s">
        <v>79</v>
      </c>
      <c r="E3410" s="328" t="s">
        <v>2750</v>
      </c>
      <c r="F3410" s="328">
        <v>603.27652499999988</v>
      </c>
      <c r="G3410" s="328">
        <v>7193.3658750000004</v>
      </c>
      <c r="H3410" s="328">
        <v>6975.721125</v>
      </c>
      <c r="I3410" s="329">
        <v>0.18381254577211034</v>
      </c>
      <c r="J3410" s="329">
        <v>0.77287117912375369</v>
      </c>
      <c r="K3410" s="329">
        <v>0.87153784305130888</v>
      </c>
    </row>
    <row r="3411" spans="1:11" ht="11.25" x14ac:dyDescent="0.15">
      <c r="A3411" s="326">
        <v>1.125</v>
      </c>
      <c r="B3411" s="327">
        <v>75</v>
      </c>
      <c r="C3411" s="327" t="s">
        <v>110</v>
      </c>
      <c r="D3411" s="327" t="s">
        <v>114</v>
      </c>
      <c r="E3411" s="328" t="s">
        <v>2751</v>
      </c>
      <c r="F3411" s="328">
        <v>131.91592500000002</v>
      </c>
      <c r="G3411" s="328">
        <v>6555.4919999999993</v>
      </c>
      <c r="H3411" s="328">
        <v>6881.4292500000001</v>
      </c>
      <c r="I3411" s="329">
        <v>4.0193511594260663E-2</v>
      </c>
      <c r="J3411" s="329">
        <v>0.70433659566584106</v>
      </c>
      <c r="K3411" s="329">
        <v>0.85975713452208669</v>
      </c>
    </row>
    <row r="3412" spans="1:11" ht="11.25" x14ac:dyDescent="0.15">
      <c r="A3412" s="326">
        <v>1.125</v>
      </c>
      <c r="B3412" s="327">
        <v>75</v>
      </c>
      <c r="C3412" s="327" t="s">
        <v>110</v>
      </c>
      <c r="D3412" s="327" t="s">
        <v>113</v>
      </c>
      <c r="E3412" s="328" t="s">
        <v>2752</v>
      </c>
      <c r="F3412" s="328">
        <v>47.062856249999996</v>
      </c>
      <c r="G3412" s="328">
        <v>6243.5542500000001</v>
      </c>
      <c r="H3412" s="328">
        <v>6788.4525000000003</v>
      </c>
      <c r="I3412" s="329">
        <v>1.4339598940335653E-2</v>
      </c>
      <c r="J3412" s="329">
        <v>0.67082131216085594</v>
      </c>
      <c r="K3412" s="329">
        <v>0.84814073605992468</v>
      </c>
    </row>
    <row r="3413" spans="1:11" ht="11.25" x14ac:dyDescent="0.15">
      <c r="A3413" s="326">
        <v>1.1499999999999999</v>
      </c>
      <c r="B3413" s="327">
        <v>75</v>
      </c>
      <c r="C3413" s="327" t="s">
        <v>110</v>
      </c>
      <c r="D3413" s="327" t="s">
        <v>79</v>
      </c>
      <c r="E3413" s="328" t="s">
        <v>2753</v>
      </c>
      <c r="F3413" s="328">
        <v>653.16055499999993</v>
      </c>
      <c r="G3413" s="328">
        <v>7630.1177499999985</v>
      </c>
      <c r="H3413" s="328">
        <v>7299.8480999999992</v>
      </c>
      <c r="I3413" s="329">
        <v>0.19901172917755172</v>
      </c>
      <c r="J3413" s="329">
        <v>0.81979676896326104</v>
      </c>
      <c r="K3413" s="329">
        <v>0.91203386053885505</v>
      </c>
    </row>
    <row r="3414" spans="1:11" ht="11.25" x14ac:dyDescent="0.15">
      <c r="A3414" s="326">
        <v>1.1499999999999999</v>
      </c>
      <c r="B3414" s="327">
        <v>75</v>
      </c>
      <c r="C3414" s="327" t="s">
        <v>110</v>
      </c>
      <c r="D3414" s="327" t="s">
        <v>114</v>
      </c>
      <c r="E3414" s="328" t="s">
        <v>2754</v>
      </c>
      <c r="F3414" s="328">
        <v>142.82586000000001</v>
      </c>
      <c r="G3414" s="328">
        <v>6916.5197499999995</v>
      </c>
      <c r="H3414" s="328">
        <v>7202.5074999999997</v>
      </c>
      <c r="I3414" s="329">
        <v>4.3517663692766814E-2</v>
      </c>
      <c r="J3414" s="329">
        <v>0.74312621761578745</v>
      </c>
      <c r="K3414" s="329">
        <v>0.89987224813418487</v>
      </c>
    </row>
    <row r="3415" spans="1:11" ht="11.25" x14ac:dyDescent="0.15">
      <c r="A3415" s="326">
        <v>1.1499999999999999</v>
      </c>
      <c r="B3415" s="327">
        <v>75</v>
      </c>
      <c r="C3415" s="327" t="s">
        <v>110</v>
      </c>
      <c r="D3415" s="327" t="s">
        <v>113</v>
      </c>
      <c r="E3415" s="328" t="s">
        <v>2755</v>
      </c>
      <c r="F3415" s="328">
        <v>51.036620499999991</v>
      </c>
      <c r="G3415" s="328">
        <v>6553.9684499999994</v>
      </c>
      <c r="H3415" s="328">
        <v>7106.3743999999997</v>
      </c>
      <c r="I3415" s="329">
        <v>1.5550366627824736E-2</v>
      </c>
      <c r="J3415" s="329">
        <v>0.7041729020757449</v>
      </c>
      <c r="K3415" s="329">
        <v>0.88786149926414082</v>
      </c>
    </row>
    <row r="3416" spans="1:11" ht="11.25" x14ac:dyDescent="0.15">
      <c r="A3416" s="326">
        <v>1.175</v>
      </c>
      <c r="B3416" s="327">
        <v>75</v>
      </c>
      <c r="C3416" s="327" t="s">
        <v>110</v>
      </c>
      <c r="D3416" s="327" t="s">
        <v>79</v>
      </c>
      <c r="E3416" s="328" t="s">
        <v>2756</v>
      </c>
      <c r="F3416" s="328">
        <v>706.65498750000006</v>
      </c>
      <c r="G3416" s="328">
        <v>8090.34735</v>
      </c>
      <c r="H3416" s="328">
        <v>7631.3864750000012</v>
      </c>
      <c r="I3416" s="329">
        <v>0.2153109674455406</v>
      </c>
      <c r="J3416" s="329">
        <v>0.86924485763283044</v>
      </c>
      <c r="K3416" s="329">
        <v>0.95345584904133229</v>
      </c>
    </row>
    <row r="3417" spans="1:11" ht="11.25" x14ac:dyDescent="0.15">
      <c r="A3417" s="326">
        <v>1.175</v>
      </c>
      <c r="B3417" s="327">
        <v>75</v>
      </c>
      <c r="C3417" s="327" t="s">
        <v>110</v>
      </c>
      <c r="D3417" s="327" t="s">
        <v>114</v>
      </c>
      <c r="E3417" s="328" t="s">
        <v>2757</v>
      </c>
      <c r="F3417" s="328">
        <v>154.54070000000002</v>
      </c>
      <c r="G3417" s="328">
        <v>7296.513825</v>
      </c>
      <c r="H3417" s="328">
        <v>7530.4081500000002</v>
      </c>
      <c r="I3417" s="329">
        <v>4.7087062591079573E-2</v>
      </c>
      <c r="J3417" s="329">
        <v>0.78395362357687948</v>
      </c>
      <c r="K3417" s="329">
        <v>0.94083974384039004</v>
      </c>
    </row>
    <row r="3418" spans="1:11" ht="11.25" x14ac:dyDescent="0.15">
      <c r="A3418" s="326">
        <v>1.175</v>
      </c>
      <c r="B3418" s="327">
        <v>75</v>
      </c>
      <c r="C3418" s="327" t="s">
        <v>110</v>
      </c>
      <c r="D3418" s="327" t="s">
        <v>113</v>
      </c>
      <c r="E3418" s="328" t="s">
        <v>2758</v>
      </c>
      <c r="F3418" s="328">
        <v>55.325979500000003</v>
      </c>
      <c r="G3418" s="328">
        <v>6880.5532499999999</v>
      </c>
      <c r="H3418" s="328">
        <v>7431.3204000000005</v>
      </c>
      <c r="I3418" s="329">
        <v>1.6857292995497531E-2</v>
      </c>
      <c r="J3418" s="329">
        <v>0.73926189710894907</v>
      </c>
      <c r="K3418" s="329">
        <v>0.92845984470733711</v>
      </c>
    </row>
    <row r="3419" spans="1:11" ht="11.25" x14ac:dyDescent="0.15">
      <c r="A3419" s="326">
        <v>1.2</v>
      </c>
      <c r="B3419" s="327">
        <v>75</v>
      </c>
      <c r="C3419" s="327" t="s">
        <v>110</v>
      </c>
      <c r="D3419" s="327" t="s">
        <v>79</v>
      </c>
      <c r="E3419" s="328" t="s">
        <v>2759</v>
      </c>
      <c r="F3419" s="328">
        <v>763.99872000000005</v>
      </c>
      <c r="G3419" s="328">
        <v>8575.4963999999982</v>
      </c>
      <c r="H3419" s="328">
        <v>7970.4851999999992</v>
      </c>
      <c r="I3419" s="329">
        <v>0.23278305034301436</v>
      </c>
      <c r="J3419" s="329">
        <v>0.92137034726313061</v>
      </c>
      <c r="K3419" s="329">
        <v>0.99582241818481243</v>
      </c>
    </row>
    <row r="3420" spans="1:11" ht="11.25" x14ac:dyDescent="0.15">
      <c r="A3420" s="326">
        <v>1.2</v>
      </c>
      <c r="B3420" s="327">
        <v>75</v>
      </c>
      <c r="C3420" s="327" t="s">
        <v>110</v>
      </c>
      <c r="D3420" s="327" t="s">
        <v>114</v>
      </c>
      <c r="E3420" s="328" t="s">
        <v>2760</v>
      </c>
      <c r="F3420" s="328">
        <v>167.11908000000003</v>
      </c>
      <c r="G3420" s="328">
        <v>7698.9168</v>
      </c>
      <c r="H3420" s="328">
        <v>7866.2339999999995</v>
      </c>
      <c r="I3420" s="329">
        <v>5.0919573808864818E-2</v>
      </c>
      <c r="J3420" s="329">
        <v>0.82718869144017737</v>
      </c>
      <c r="K3420" s="329">
        <v>0.9827974040887234</v>
      </c>
    </row>
    <row r="3421" spans="1:11" ht="11.25" x14ac:dyDescent="0.15">
      <c r="A3421" s="326">
        <v>1.2</v>
      </c>
      <c r="B3421" s="327">
        <v>75</v>
      </c>
      <c r="C3421" s="327" t="s">
        <v>110</v>
      </c>
      <c r="D3421" s="327" t="s">
        <v>113</v>
      </c>
      <c r="E3421" s="328" t="s">
        <v>2761</v>
      </c>
      <c r="F3421" s="328">
        <v>59.957279999999997</v>
      </c>
      <c r="G3421" s="328">
        <v>7223.5896000000002</v>
      </c>
      <c r="H3421" s="328">
        <v>7763.5235999999995</v>
      </c>
      <c r="I3421" s="329">
        <v>1.826840564427936E-2</v>
      </c>
      <c r="J3421" s="329">
        <v>0.77611848315140575</v>
      </c>
      <c r="K3421" s="329">
        <v>0.96996489561097987</v>
      </c>
    </row>
    <row r="3422" spans="1:11" ht="11.25" x14ac:dyDescent="0.15">
      <c r="A3422" s="326">
        <v>1.2250000000000001</v>
      </c>
      <c r="B3422" s="327">
        <v>75</v>
      </c>
      <c r="C3422" s="327" t="s">
        <v>110</v>
      </c>
      <c r="D3422" s="327" t="s">
        <v>79</v>
      </c>
      <c r="E3422" s="328" t="s">
        <v>2762</v>
      </c>
      <c r="F3422" s="328">
        <v>825.44640500000003</v>
      </c>
      <c r="G3422" s="328">
        <v>9086.9471000000012</v>
      </c>
      <c r="H3422" s="328">
        <v>8317.1203500000011</v>
      </c>
      <c r="I3422" s="329">
        <v>0.25150556803364171</v>
      </c>
      <c r="J3422" s="329">
        <v>0.97632174448684983</v>
      </c>
      <c r="K3422" s="329">
        <v>1.0391305788098213</v>
      </c>
    </row>
    <row r="3423" spans="1:11" ht="11.25" x14ac:dyDescent="0.15">
      <c r="A3423" s="326">
        <v>1.2250000000000001</v>
      </c>
      <c r="B3423" s="327">
        <v>75</v>
      </c>
      <c r="C3423" s="327" t="s">
        <v>110</v>
      </c>
      <c r="D3423" s="327" t="s">
        <v>114</v>
      </c>
      <c r="E3423" s="328" t="s">
        <v>2763</v>
      </c>
      <c r="F3423" s="328">
        <v>180.61951250000001</v>
      </c>
      <c r="G3423" s="328">
        <v>8122.1371000000017</v>
      </c>
      <c r="H3423" s="328">
        <v>8208.7433750000018</v>
      </c>
      <c r="I3423" s="329">
        <v>5.5033025541218458E-2</v>
      </c>
      <c r="J3423" s="329">
        <v>0.87266041885875667</v>
      </c>
      <c r="K3423" s="329">
        <v>1.0255900955629478</v>
      </c>
    </row>
    <row r="3424" spans="1:11" ht="11.25" x14ac:dyDescent="0.15">
      <c r="A3424" s="326">
        <v>1.2250000000000001</v>
      </c>
      <c r="B3424" s="327">
        <v>75</v>
      </c>
      <c r="C3424" s="327" t="s">
        <v>110</v>
      </c>
      <c r="D3424" s="327" t="s">
        <v>113</v>
      </c>
      <c r="E3424" s="328" t="s">
        <v>2764</v>
      </c>
      <c r="F3424" s="328">
        <v>64.95811175</v>
      </c>
      <c r="G3424" s="328">
        <v>7586.1628500000006</v>
      </c>
      <c r="H3424" s="328">
        <v>8103.42155</v>
      </c>
      <c r="I3424" s="329">
        <v>1.9792110905221674E-2</v>
      </c>
      <c r="J3424" s="329">
        <v>0.81507415704811714</v>
      </c>
      <c r="K3424" s="329">
        <v>1.0124313189229586</v>
      </c>
    </row>
    <row r="3425" spans="1:11" ht="11.25" x14ac:dyDescent="0.15">
      <c r="A3425" s="326">
        <v>1.25</v>
      </c>
      <c r="B3425" s="327">
        <v>75</v>
      </c>
      <c r="C3425" s="327" t="s">
        <v>110</v>
      </c>
      <c r="D3425" s="327" t="s">
        <v>79</v>
      </c>
      <c r="E3425" s="328" t="s">
        <v>2765</v>
      </c>
      <c r="F3425" s="328">
        <v>891.26987499999996</v>
      </c>
      <c r="G3425" s="328">
        <v>9624.2674999999999</v>
      </c>
      <c r="H3425" s="328">
        <v>8671.4237499999999</v>
      </c>
      <c r="I3425" s="329">
        <v>0.27156134526159559</v>
      </c>
      <c r="J3425" s="329">
        <v>1.0340526396382446</v>
      </c>
      <c r="K3425" s="329">
        <v>1.0833968009664223</v>
      </c>
    </row>
    <row r="3426" spans="1:11" ht="11.25" x14ac:dyDescent="0.15">
      <c r="A3426" s="326">
        <v>1.25</v>
      </c>
      <c r="B3426" s="327">
        <v>75</v>
      </c>
      <c r="C3426" s="327" t="s">
        <v>110</v>
      </c>
      <c r="D3426" s="327" t="s">
        <v>114</v>
      </c>
      <c r="E3426" s="328" t="s">
        <v>2766</v>
      </c>
      <c r="F3426" s="328">
        <v>195.11162499999998</v>
      </c>
      <c r="G3426" s="328">
        <v>8569.4737499999992</v>
      </c>
      <c r="H3426" s="328">
        <v>8558.8587500000012</v>
      </c>
      <c r="I3426" s="329">
        <v>5.9448632616665019E-2</v>
      </c>
      <c r="J3426" s="329">
        <v>0.92072326039339059</v>
      </c>
      <c r="K3426" s="329">
        <v>1.0693330711318858</v>
      </c>
    </row>
    <row r="3427" spans="1:11" ht="11.25" x14ac:dyDescent="0.15">
      <c r="A3427" s="326">
        <v>1.25</v>
      </c>
      <c r="B3427" s="327">
        <v>75</v>
      </c>
      <c r="C3427" s="327" t="s">
        <v>110</v>
      </c>
      <c r="D3427" s="327" t="s">
        <v>113</v>
      </c>
      <c r="E3427" s="328" t="s">
        <v>2767</v>
      </c>
      <c r="F3427" s="328">
        <v>70.360487500000005</v>
      </c>
      <c r="G3427" s="328">
        <v>7967.7049999999999</v>
      </c>
      <c r="H3427" s="328">
        <v>8450.4412499999999</v>
      </c>
      <c r="I3427" s="329">
        <v>2.1438162754868925E-2</v>
      </c>
      <c r="J3427" s="329">
        <v>0.85606789161968322</v>
      </c>
      <c r="K3427" s="329">
        <v>1.0557875247423694</v>
      </c>
    </row>
    <row r="3428" spans="1:11" ht="11.25" x14ac:dyDescent="0.15">
      <c r="A3428" s="326">
        <v>1.2749999999999999</v>
      </c>
      <c r="B3428" s="327">
        <v>75</v>
      </c>
      <c r="C3428" s="327" t="s">
        <v>110</v>
      </c>
      <c r="D3428" s="327" t="s">
        <v>79</v>
      </c>
      <c r="E3428" s="328" t="s">
        <v>2768</v>
      </c>
      <c r="F3428" s="328">
        <v>961.75876499999993</v>
      </c>
      <c r="G3428" s="328">
        <v>10187.761274999999</v>
      </c>
      <c r="H3428" s="328">
        <v>9033.0626249999987</v>
      </c>
      <c r="I3428" s="329">
        <v>0.29303863102130623</v>
      </c>
      <c r="J3428" s="329">
        <v>1.0945956602326397</v>
      </c>
      <c r="K3428" s="329">
        <v>1.1285795081637375</v>
      </c>
    </row>
    <row r="3429" spans="1:11" ht="11.25" x14ac:dyDescent="0.15">
      <c r="A3429" s="326">
        <v>1.2749999999999999</v>
      </c>
      <c r="B3429" s="327">
        <v>75</v>
      </c>
      <c r="C3429" s="327" t="s">
        <v>110</v>
      </c>
      <c r="D3429" s="327" t="s">
        <v>114</v>
      </c>
      <c r="E3429" s="328" t="s">
        <v>2769</v>
      </c>
      <c r="F3429" s="328">
        <v>210.6635325</v>
      </c>
      <c r="G3429" s="328">
        <v>9041.4674249999989</v>
      </c>
      <c r="H3429" s="328">
        <v>8916.6691499999997</v>
      </c>
      <c r="I3429" s="329">
        <v>6.4187149019549056E-2</v>
      </c>
      <c r="J3429" s="329">
        <v>0.97143530736489314</v>
      </c>
      <c r="K3429" s="329">
        <v>1.1140374534673141</v>
      </c>
    </row>
    <row r="3430" spans="1:11" ht="11.25" x14ac:dyDescent="0.15">
      <c r="A3430" s="326">
        <v>1.2749999999999999</v>
      </c>
      <c r="B3430" s="327">
        <v>75</v>
      </c>
      <c r="C3430" s="327" t="s">
        <v>110</v>
      </c>
      <c r="D3430" s="327" t="s">
        <v>113</v>
      </c>
      <c r="E3430" s="328" t="s">
        <v>2770</v>
      </c>
      <c r="F3430" s="328">
        <v>76.198436999999998</v>
      </c>
      <c r="G3430" s="328">
        <v>8369.8356750000003</v>
      </c>
      <c r="H3430" s="328">
        <v>8804.5749749999995</v>
      </c>
      <c r="I3430" s="329">
        <v>2.3216929730235682E-2</v>
      </c>
      <c r="J3430" s="329">
        <v>0.89927370296722309</v>
      </c>
      <c r="K3430" s="329">
        <v>1.1000325479174071</v>
      </c>
    </row>
    <row r="3431" spans="1:11" ht="11.25" x14ac:dyDescent="0.15">
      <c r="A3431" s="326">
        <v>1.3</v>
      </c>
      <c r="B3431" s="327">
        <v>75</v>
      </c>
      <c r="C3431" s="327" t="s">
        <v>110</v>
      </c>
      <c r="D3431" s="327" t="s">
        <v>79</v>
      </c>
      <c r="E3431" s="328" t="s">
        <v>2771</v>
      </c>
      <c r="F3431" s="328">
        <v>1037.22281</v>
      </c>
      <c r="G3431" s="328">
        <v>10777.7111</v>
      </c>
      <c r="H3431" s="328">
        <v>9402.4619000000002</v>
      </c>
      <c r="I3431" s="329">
        <v>0.31603179858357983</v>
      </c>
      <c r="J3431" s="329">
        <v>1.1579811774987976</v>
      </c>
      <c r="K3431" s="329">
        <v>1.1747317899979999</v>
      </c>
    </row>
    <row r="3432" spans="1:11" ht="11.25" x14ac:dyDescent="0.15">
      <c r="A3432" s="326">
        <v>1.3</v>
      </c>
      <c r="B3432" s="327">
        <v>75</v>
      </c>
      <c r="C3432" s="327" t="s">
        <v>110</v>
      </c>
      <c r="D3432" s="327" t="s">
        <v>114</v>
      </c>
      <c r="E3432" s="328" t="s">
        <v>2772</v>
      </c>
      <c r="F3432" s="328">
        <v>227.35440000000003</v>
      </c>
      <c r="G3432" s="328">
        <v>9537.2017000000014</v>
      </c>
      <c r="H3432" s="328">
        <v>9281.8868999999995</v>
      </c>
      <c r="I3432" s="329">
        <v>6.9272695562769826E-2</v>
      </c>
      <c r="J3432" s="329">
        <v>1.024698097039318</v>
      </c>
      <c r="K3432" s="329">
        <v>1.1596673008157561</v>
      </c>
    </row>
    <row r="3433" spans="1:11" ht="11.25" x14ac:dyDescent="0.15">
      <c r="A3433" s="326">
        <v>1.3</v>
      </c>
      <c r="B3433" s="327">
        <v>75</v>
      </c>
      <c r="C3433" s="327" t="s">
        <v>110</v>
      </c>
      <c r="D3433" s="327" t="s">
        <v>113</v>
      </c>
      <c r="E3433" s="328" t="s">
        <v>2773</v>
      </c>
      <c r="F3433" s="328">
        <v>82.509011000000001</v>
      </c>
      <c r="G3433" s="328">
        <v>8792.3055999999997</v>
      </c>
      <c r="H3433" s="328">
        <v>9166.1882000000005</v>
      </c>
      <c r="I3433" s="329">
        <v>2.5139700837935073E-2</v>
      </c>
      <c r="J3433" s="329">
        <v>0.94466480843203071</v>
      </c>
      <c r="K3433" s="329">
        <v>1.1452120504359125</v>
      </c>
    </row>
    <row r="3434" spans="1:11" ht="11.25" x14ac:dyDescent="0.15">
      <c r="A3434" s="326">
        <v>1.325</v>
      </c>
      <c r="B3434" s="327">
        <v>75</v>
      </c>
      <c r="C3434" s="327" t="s">
        <v>110</v>
      </c>
      <c r="D3434" s="327" t="s">
        <v>79</v>
      </c>
      <c r="E3434" s="328" t="s">
        <v>2774</v>
      </c>
      <c r="F3434" s="328">
        <v>1117.9931300000001</v>
      </c>
      <c r="G3434" s="328">
        <v>11396.136849999999</v>
      </c>
      <c r="H3434" s="328">
        <v>9778.5861249999998</v>
      </c>
      <c r="I3434" s="329">
        <v>0.34064173702271933</v>
      </c>
      <c r="J3434" s="329">
        <v>1.2244262112852919</v>
      </c>
      <c r="K3434" s="329">
        <v>1.2217242786456657</v>
      </c>
    </row>
    <row r="3435" spans="1:11" ht="11.25" x14ac:dyDescent="0.15">
      <c r="A3435" s="326">
        <v>1.325</v>
      </c>
      <c r="B3435" s="327">
        <v>75</v>
      </c>
      <c r="C3435" s="327" t="s">
        <v>110</v>
      </c>
      <c r="D3435" s="327" t="s">
        <v>114</v>
      </c>
      <c r="E3435" s="328" t="s">
        <v>2775</v>
      </c>
      <c r="F3435" s="328">
        <v>245.26611250000002</v>
      </c>
      <c r="G3435" s="328">
        <v>10057.360825</v>
      </c>
      <c r="H3435" s="328">
        <v>9654.2255999999998</v>
      </c>
      <c r="I3435" s="329">
        <v>7.473022181702467E-2</v>
      </c>
      <c r="J3435" s="329">
        <v>1.0805851467538203</v>
      </c>
      <c r="K3435" s="329">
        <v>1.2061868307206345</v>
      </c>
    </row>
    <row r="3436" spans="1:11" ht="11.25" x14ac:dyDescent="0.15">
      <c r="A3436" s="326">
        <v>1.325</v>
      </c>
      <c r="B3436" s="327">
        <v>75</v>
      </c>
      <c r="C3436" s="327" t="s">
        <v>110</v>
      </c>
      <c r="D3436" s="327" t="s">
        <v>113</v>
      </c>
      <c r="E3436" s="328" t="s">
        <v>2776</v>
      </c>
      <c r="F3436" s="328">
        <v>89.33384525000001</v>
      </c>
      <c r="G3436" s="328">
        <v>9237.1990749999986</v>
      </c>
      <c r="H3436" s="328">
        <v>9534.8377999999993</v>
      </c>
      <c r="I3436" s="329">
        <v>2.7219162089912669E-2</v>
      </c>
      <c r="J3436" s="329">
        <v>0.99246514982752709</v>
      </c>
      <c r="K3436" s="329">
        <v>1.1912706688164927</v>
      </c>
    </row>
    <row r="3437" spans="1:11" ht="11.25" x14ac:dyDescent="0.15">
      <c r="A3437" s="326">
        <v>1.35</v>
      </c>
      <c r="B3437" s="327">
        <v>75</v>
      </c>
      <c r="C3437" s="327" t="s">
        <v>110</v>
      </c>
      <c r="D3437" s="327" t="s">
        <v>79</v>
      </c>
      <c r="E3437" s="328" t="s">
        <v>2777</v>
      </c>
      <c r="F3437" s="328">
        <v>1204.4247750000002</v>
      </c>
      <c r="G3437" s="328">
        <v>12042.483300000002</v>
      </c>
      <c r="H3437" s="328">
        <v>10162.854000000001</v>
      </c>
      <c r="I3437" s="329">
        <v>0.366976626653509</v>
      </c>
      <c r="J3437" s="329">
        <v>1.2938711069870492</v>
      </c>
      <c r="K3437" s="329">
        <v>1.2697342247043122</v>
      </c>
    </row>
    <row r="3438" spans="1:11" ht="11.25" x14ac:dyDescent="0.15">
      <c r="A3438" s="326">
        <v>1.35</v>
      </c>
      <c r="B3438" s="327">
        <v>75</v>
      </c>
      <c r="C3438" s="327" t="s">
        <v>110</v>
      </c>
      <c r="D3438" s="327" t="s">
        <v>114</v>
      </c>
      <c r="E3438" s="328" t="s">
        <v>2778</v>
      </c>
      <c r="F3438" s="328">
        <v>264.48903000000001</v>
      </c>
      <c r="G3438" s="328">
        <v>10603.998900000001</v>
      </c>
      <c r="H3438" s="328">
        <v>10033.807500000001</v>
      </c>
      <c r="I3438" s="329">
        <v>8.0587259603870837E-2</v>
      </c>
      <c r="J3438" s="329">
        <v>1.1393171535668603</v>
      </c>
      <c r="K3438" s="329">
        <v>1.2536113169435292</v>
      </c>
    </row>
    <row r="3439" spans="1:11" ht="11.25" x14ac:dyDescent="0.15">
      <c r="A3439" s="326">
        <v>1.35</v>
      </c>
      <c r="B3439" s="327">
        <v>75</v>
      </c>
      <c r="C3439" s="327" t="s">
        <v>110</v>
      </c>
      <c r="D3439" s="327" t="s">
        <v>113</v>
      </c>
      <c r="E3439" s="328" t="s">
        <v>2779</v>
      </c>
      <c r="F3439" s="328">
        <v>96.71763150000001</v>
      </c>
      <c r="G3439" s="328">
        <v>9703.9714500000009</v>
      </c>
      <c r="H3439" s="328">
        <v>9910.4998500000002</v>
      </c>
      <c r="I3439" s="329">
        <v>2.9468930631875417E-2</v>
      </c>
      <c r="J3439" s="329">
        <v>1.0426162087500856</v>
      </c>
      <c r="K3439" s="329">
        <v>1.2382054138996734</v>
      </c>
    </row>
    <row r="3440" spans="1:11" ht="11.25" x14ac:dyDescent="0.15">
      <c r="A3440" s="326">
        <v>1.375</v>
      </c>
      <c r="B3440" s="327">
        <v>75</v>
      </c>
      <c r="C3440" s="327" t="s">
        <v>110</v>
      </c>
      <c r="D3440" s="327" t="s">
        <v>79</v>
      </c>
      <c r="E3440" s="328" t="s">
        <v>2780</v>
      </c>
      <c r="F3440" s="328">
        <v>1296.8958749999999</v>
      </c>
      <c r="G3440" s="328">
        <v>12715.258875000001</v>
      </c>
      <c r="H3440" s="328">
        <v>10555.298875</v>
      </c>
      <c r="I3440" s="329">
        <v>0.39515168004440193</v>
      </c>
      <c r="J3440" s="329">
        <v>1.3661556064788689</v>
      </c>
      <c r="K3440" s="329">
        <v>1.318765794881086</v>
      </c>
    </row>
    <row r="3441" spans="1:11" ht="11.25" x14ac:dyDescent="0.15">
      <c r="A3441" s="326">
        <v>1.375</v>
      </c>
      <c r="B3441" s="327">
        <v>75</v>
      </c>
      <c r="C3441" s="327" t="s">
        <v>110</v>
      </c>
      <c r="D3441" s="327" t="s">
        <v>114</v>
      </c>
      <c r="E3441" s="328" t="s">
        <v>2781</v>
      </c>
      <c r="F3441" s="328">
        <v>285.12054999999998</v>
      </c>
      <c r="G3441" s="328">
        <v>11176.345125000002</v>
      </c>
      <c r="H3441" s="328">
        <v>10421.401374999999</v>
      </c>
      <c r="I3441" s="329">
        <v>8.6873485003322953E-2</v>
      </c>
      <c r="J3441" s="329">
        <v>1.2008113010173791</v>
      </c>
      <c r="K3441" s="329">
        <v>1.302036809268152</v>
      </c>
    </row>
    <row r="3442" spans="1:11" ht="11.25" x14ac:dyDescent="0.15">
      <c r="A3442" s="326">
        <v>1.375</v>
      </c>
      <c r="B3442" s="327">
        <v>75</v>
      </c>
      <c r="C3442" s="327" t="s">
        <v>110</v>
      </c>
      <c r="D3442" s="327" t="s">
        <v>113</v>
      </c>
      <c r="E3442" s="328" t="s">
        <v>2782</v>
      </c>
      <c r="F3442" s="328">
        <v>104.71074624999999</v>
      </c>
      <c r="G3442" s="328">
        <v>10195.000750000001</v>
      </c>
      <c r="H3442" s="328">
        <v>10294.245499999999</v>
      </c>
      <c r="I3442" s="329">
        <v>3.1904355698093766E-2</v>
      </c>
      <c r="J3442" s="329">
        <v>1.0953734854783894</v>
      </c>
      <c r="K3442" s="329">
        <v>1.2861501138221954</v>
      </c>
    </row>
    <row r="3443" spans="1:11" ht="11.25" x14ac:dyDescent="0.15">
      <c r="A3443" s="326">
        <v>1.4</v>
      </c>
      <c r="B3443" s="327">
        <v>75</v>
      </c>
      <c r="C3443" s="327" t="s">
        <v>110</v>
      </c>
      <c r="D3443" s="327" t="s">
        <v>79</v>
      </c>
      <c r="E3443" s="328" t="s">
        <v>2783</v>
      </c>
      <c r="F3443" s="328">
        <v>1395.8160999999998</v>
      </c>
      <c r="G3443" s="328">
        <v>13420.001</v>
      </c>
      <c r="H3443" s="328">
        <v>10953.926200000002</v>
      </c>
      <c r="I3443" s="329">
        <v>0.42529171969802498</v>
      </c>
      <c r="J3443" s="329">
        <v>1.4418746629806249</v>
      </c>
      <c r="K3443" s="329">
        <v>1.3685697926020834</v>
      </c>
    </row>
    <row r="3444" spans="1:11" ht="11.25" x14ac:dyDescent="0.15">
      <c r="A3444" s="326">
        <v>1.4</v>
      </c>
      <c r="B3444" s="327">
        <v>75</v>
      </c>
      <c r="C3444" s="327" t="s">
        <v>110</v>
      </c>
      <c r="D3444" s="327" t="s">
        <v>114</v>
      </c>
      <c r="E3444" s="328" t="s">
        <v>2784</v>
      </c>
      <c r="F3444" s="328">
        <v>307.26555999999999</v>
      </c>
      <c r="G3444" s="328">
        <v>11775.048599999998</v>
      </c>
      <c r="H3444" s="328">
        <v>10816.019199999999</v>
      </c>
      <c r="I3444" s="329">
        <v>9.3620856226244054E-2</v>
      </c>
      <c r="J3444" s="329">
        <v>1.2651373298485953</v>
      </c>
      <c r="K3444" s="329">
        <v>1.3513398650909432</v>
      </c>
    </row>
    <row r="3445" spans="1:11" ht="11.25" x14ac:dyDescent="0.15">
      <c r="A3445" s="326">
        <v>1.4</v>
      </c>
      <c r="B3445" s="327">
        <v>75</v>
      </c>
      <c r="C3445" s="327" t="s">
        <v>110</v>
      </c>
      <c r="D3445" s="327" t="s">
        <v>113</v>
      </c>
      <c r="E3445" s="328" t="s">
        <v>2785</v>
      </c>
      <c r="F3445" s="328">
        <v>113.36856999999998</v>
      </c>
      <c r="G3445" s="328">
        <v>10709.010200000001</v>
      </c>
      <c r="H3445" s="328">
        <v>10684.8182</v>
      </c>
      <c r="I3445" s="329">
        <v>3.4542311193434379E-2</v>
      </c>
      <c r="J3445" s="329">
        <v>1.1505998004755049</v>
      </c>
      <c r="K3445" s="329">
        <v>1.3349477768039886</v>
      </c>
    </row>
    <row r="3446" spans="1:11" ht="11.25" x14ac:dyDescent="0.15">
      <c r="A3446" s="326">
        <v>0.9</v>
      </c>
      <c r="B3446" s="327">
        <v>85</v>
      </c>
      <c r="C3446" s="327" t="s">
        <v>110</v>
      </c>
      <c r="D3446" s="327" t="s">
        <v>79</v>
      </c>
      <c r="E3446" s="328" t="s">
        <v>2786</v>
      </c>
      <c r="F3446" s="328">
        <v>387.03376800000007</v>
      </c>
      <c r="G3446" s="328">
        <v>4234.8087000000005</v>
      </c>
      <c r="H3446" s="328">
        <v>4393.7586000000001</v>
      </c>
      <c r="I3446" s="329">
        <v>0.11792546079238267</v>
      </c>
      <c r="J3446" s="329">
        <v>0.45499723637128786</v>
      </c>
      <c r="K3446" s="329">
        <v>0.5489506854579338</v>
      </c>
    </row>
    <row r="3447" spans="1:11" ht="11.25" x14ac:dyDescent="0.15">
      <c r="A3447" s="326">
        <v>0.9</v>
      </c>
      <c r="B3447" s="327">
        <v>85</v>
      </c>
      <c r="C3447" s="327" t="s">
        <v>110</v>
      </c>
      <c r="D3447" s="327" t="s">
        <v>114</v>
      </c>
      <c r="E3447" s="328" t="s">
        <v>2787</v>
      </c>
      <c r="F3447" s="328">
        <v>90.032769000000002</v>
      </c>
      <c r="G3447" s="328">
        <v>4062.1953600000002</v>
      </c>
      <c r="H3447" s="328">
        <v>4327.1377199999997</v>
      </c>
      <c r="I3447" s="329">
        <v>2.7432117423767385E-2</v>
      </c>
      <c r="J3447" s="329">
        <v>0.43645127639420139</v>
      </c>
      <c r="K3447" s="329">
        <v>0.54062715631780056</v>
      </c>
    </row>
    <row r="3448" spans="1:11" ht="11.25" x14ac:dyDescent="0.15">
      <c r="A3448" s="326">
        <v>0.9</v>
      </c>
      <c r="B3448" s="327">
        <v>85</v>
      </c>
      <c r="C3448" s="327" t="s">
        <v>110</v>
      </c>
      <c r="D3448" s="327" t="s">
        <v>113</v>
      </c>
      <c r="E3448" s="328" t="s">
        <v>2788</v>
      </c>
      <c r="F3448" s="328">
        <v>32.684261399999997</v>
      </c>
      <c r="G3448" s="328">
        <v>3999.0288600000003</v>
      </c>
      <c r="H3448" s="328">
        <v>4260.35142</v>
      </c>
      <c r="I3448" s="329">
        <v>9.9585795993224167E-3</v>
      </c>
      <c r="J3448" s="329">
        <v>0.42966452757807494</v>
      </c>
      <c r="K3448" s="329">
        <v>0.53228295981046414</v>
      </c>
    </row>
    <row r="3449" spans="1:11" ht="11.25" x14ac:dyDescent="0.15">
      <c r="A3449" s="326">
        <v>0.92500000000000004</v>
      </c>
      <c r="B3449" s="327">
        <v>85</v>
      </c>
      <c r="C3449" s="327" t="s">
        <v>110</v>
      </c>
      <c r="D3449" s="327" t="s">
        <v>79</v>
      </c>
      <c r="E3449" s="328" t="s">
        <v>2789</v>
      </c>
      <c r="F3449" s="328">
        <v>421.50474000000008</v>
      </c>
      <c r="G3449" s="328">
        <v>4500.462625000001</v>
      </c>
      <c r="H3449" s="328">
        <v>4651.7757900000006</v>
      </c>
      <c r="I3449" s="329">
        <v>0.12842843390004527</v>
      </c>
      <c r="J3449" s="329">
        <v>0.48353968309531237</v>
      </c>
      <c r="K3449" s="329">
        <v>0.58118702937323907</v>
      </c>
    </row>
    <row r="3450" spans="1:11" ht="11.25" x14ac:dyDescent="0.15">
      <c r="A3450" s="326">
        <v>0.92500000000000004</v>
      </c>
      <c r="B3450" s="327">
        <v>85</v>
      </c>
      <c r="C3450" s="327" t="s">
        <v>110</v>
      </c>
      <c r="D3450" s="327" t="s">
        <v>114</v>
      </c>
      <c r="E3450" s="328" t="s">
        <v>2790</v>
      </c>
      <c r="F3450" s="328">
        <v>97.962698500000016</v>
      </c>
      <c r="G3450" s="328">
        <v>4291.8910350000006</v>
      </c>
      <c r="H3450" s="328">
        <v>4582.2677750000003</v>
      </c>
      <c r="I3450" s="329">
        <v>2.9848290552977677E-2</v>
      </c>
      <c r="J3450" s="329">
        <v>0.46113028900967978</v>
      </c>
      <c r="K3450" s="329">
        <v>0.57250278520946762</v>
      </c>
    </row>
    <row r="3451" spans="1:11" ht="11.25" x14ac:dyDescent="0.15">
      <c r="A3451" s="326">
        <v>0.92500000000000004</v>
      </c>
      <c r="B3451" s="327">
        <v>85</v>
      </c>
      <c r="C3451" s="327" t="s">
        <v>110</v>
      </c>
      <c r="D3451" s="327" t="s">
        <v>113</v>
      </c>
      <c r="E3451" s="328" t="s">
        <v>2791</v>
      </c>
      <c r="F3451" s="328">
        <v>35.520651200000003</v>
      </c>
      <c r="G3451" s="328">
        <v>4213.6930149999998</v>
      </c>
      <c r="H3451" s="328">
        <v>4512.8456000000006</v>
      </c>
      <c r="I3451" s="329">
        <v>1.0822800248286088E-2</v>
      </c>
      <c r="J3451" s="329">
        <v>0.45272852035606692</v>
      </c>
      <c r="K3451" s="329">
        <v>0.56382926578756987</v>
      </c>
    </row>
    <row r="3452" spans="1:11" ht="11.25" x14ac:dyDescent="0.15">
      <c r="A3452" s="326">
        <v>0.95</v>
      </c>
      <c r="B3452" s="327">
        <v>85</v>
      </c>
      <c r="C3452" s="327" t="s">
        <v>110</v>
      </c>
      <c r="D3452" s="327" t="s">
        <v>79</v>
      </c>
      <c r="E3452" s="328" t="s">
        <v>2792</v>
      </c>
      <c r="F3452" s="328">
        <v>458.53663299999994</v>
      </c>
      <c r="G3452" s="328">
        <v>4780.8066000000008</v>
      </c>
      <c r="H3452" s="328">
        <v>4916.9446399999997</v>
      </c>
      <c r="I3452" s="329">
        <v>0.13971169496691732</v>
      </c>
      <c r="J3452" s="329">
        <v>0.51366046136289767</v>
      </c>
      <c r="K3452" s="329">
        <v>0.61431689271384027</v>
      </c>
    </row>
    <row r="3453" spans="1:11" ht="11.25" x14ac:dyDescent="0.15">
      <c r="A3453" s="326">
        <v>0.95</v>
      </c>
      <c r="B3453" s="327">
        <v>85</v>
      </c>
      <c r="C3453" s="327" t="s">
        <v>110</v>
      </c>
      <c r="D3453" s="327" t="s">
        <v>114</v>
      </c>
      <c r="E3453" s="328" t="s">
        <v>2793</v>
      </c>
      <c r="F3453" s="328">
        <v>106.4760228</v>
      </c>
      <c r="G3453" s="328">
        <v>4531.8440899999996</v>
      </c>
      <c r="H3453" s="328">
        <v>4844.8612999999996</v>
      </c>
      <c r="I3453" s="329">
        <v>3.2442218457874303E-2</v>
      </c>
      <c r="J3453" s="329">
        <v>0.48691137727556699</v>
      </c>
      <c r="K3453" s="329">
        <v>0.60531089067651911</v>
      </c>
    </row>
    <row r="3454" spans="1:11" ht="11.25" x14ac:dyDescent="0.15">
      <c r="A3454" s="326">
        <v>0.95</v>
      </c>
      <c r="B3454" s="327">
        <v>85</v>
      </c>
      <c r="C3454" s="327" t="s">
        <v>110</v>
      </c>
      <c r="D3454" s="327" t="s">
        <v>113</v>
      </c>
      <c r="E3454" s="328" t="s">
        <v>2794</v>
      </c>
      <c r="F3454" s="328">
        <v>38.567081599999995</v>
      </c>
      <c r="G3454" s="328">
        <v>4435.5853399999996</v>
      </c>
      <c r="H3454" s="328">
        <v>4772.521459999999</v>
      </c>
      <c r="I3454" s="329">
        <v>1.1751018244737295E-2</v>
      </c>
      <c r="J3454" s="329">
        <v>0.47656912374554222</v>
      </c>
      <c r="K3454" s="329">
        <v>0.59627284185109719</v>
      </c>
    </row>
    <row r="3455" spans="1:11" ht="11.25" x14ac:dyDescent="0.15">
      <c r="A3455" s="326">
        <v>0.97499999999999998</v>
      </c>
      <c r="B3455" s="327">
        <v>85</v>
      </c>
      <c r="C3455" s="327" t="s">
        <v>110</v>
      </c>
      <c r="D3455" s="327" t="s">
        <v>79</v>
      </c>
      <c r="E3455" s="328" t="s">
        <v>2795</v>
      </c>
      <c r="F3455" s="328">
        <v>498.30514500000004</v>
      </c>
      <c r="G3455" s="328">
        <v>5078.5121399999998</v>
      </c>
      <c r="H3455" s="328">
        <v>5189.6147549999996</v>
      </c>
      <c r="I3455" s="329">
        <v>0.15182877748109064</v>
      </c>
      <c r="J3455" s="329">
        <v>0.54564660466906911</v>
      </c>
      <c r="K3455" s="329">
        <v>0.64838395468969479</v>
      </c>
    </row>
    <row r="3456" spans="1:11" ht="11.25" x14ac:dyDescent="0.15">
      <c r="A3456" s="326">
        <v>0.97499999999999998</v>
      </c>
      <c r="B3456" s="327">
        <v>85</v>
      </c>
      <c r="C3456" s="327" t="s">
        <v>110</v>
      </c>
      <c r="D3456" s="327" t="s">
        <v>114</v>
      </c>
      <c r="E3456" s="328" t="s">
        <v>2796</v>
      </c>
      <c r="F3456" s="328">
        <v>115.61497349999999</v>
      </c>
      <c r="G3456" s="328">
        <v>4783.6323599999996</v>
      </c>
      <c r="H3456" s="328">
        <v>5114.4488849999998</v>
      </c>
      <c r="I3456" s="329">
        <v>3.5226768700157986E-2</v>
      </c>
      <c r="J3456" s="329">
        <v>0.51396406728272304</v>
      </c>
      <c r="K3456" s="329">
        <v>0.63899282522264989</v>
      </c>
    </row>
    <row r="3457" spans="1:11" ht="11.25" x14ac:dyDescent="0.15">
      <c r="A3457" s="326">
        <v>0.97499999999999998</v>
      </c>
      <c r="B3457" s="327">
        <v>85</v>
      </c>
      <c r="C3457" s="327" t="s">
        <v>110</v>
      </c>
      <c r="D3457" s="327" t="s">
        <v>113</v>
      </c>
      <c r="E3457" s="328" t="s">
        <v>2797</v>
      </c>
      <c r="F3457" s="328">
        <v>41.840960850000002</v>
      </c>
      <c r="G3457" s="328">
        <v>4665.7579799999994</v>
      </c>
      <c r="H3457" s="328">
        <v>5039.6878350000006</v>
      </c>
      <c r="I3457" s="329">
        <v>1.2748537714756435E-2</v>
      </c>
      <c r="J3457" s="329">
        <v>0.50129938253817274</v>
      </c>
      <c r="K3457" s="329">
        <v>0.62965227345836894</v>
      </c>
    </row>
    <row r="3458" spans="1:11" ht="11.25" x14ac:dyDescent="0.15">
      <c r="A3458" s="326">
        <v>1</v>
      </c>
      <c r="B3458" s="327">
        <v>85</v>
      </c>
      <c r="C3458" s="327" t="s">
        <v>110</v>
      </c>
      <c r="D3458" s="327" t="s">
        <v>79</v>
      </c>
      <c r="E3458" s="328" t="s">
        <v>2798</v>
      </c>
      <c r="F3458" s="328">
        <v>540.98635999999999</v>
      </c>
      <c r="G3458" s="328">
        <v>5394.1379999999999</v>
      </c>
      <c r="H3458" s="328">
        <v>5469.5144</v>
      </c>
      <c r="I3458" s="329">
        <v>0.16483333254113838</v>
      </c>
      <c r="J3458" s="329">
        <v>0.57955814688992813</v>
      </c>
      <c r="K3458" s="329">
        <v>0.68335426507092112</v>
      </c>
    </row>
    <row r="3459" spans="1:11" ht="11.25" x14ac:dyDescent="0.15">
      <c r="A3459" s="326">
        <v>1</v>
      </c>
      <c r="B3459" s="327">
        <v>85</v>
      </c>
      <c r="C3459" s="327" t="s">
        <v>110</v>
      </c>
      <c r="D3459" s="327" t="s">
        <v>114</v>
      </c>
      <c r="E3459" s="328" t="s">
        <v>2799</v>
      </c>
      <c r="F3459" s="328">
        <v>125.42071799999999</v>
      </c>
      <c r="G3459" s="328">
        <v>5048.0273999999999</v>
      </c>
      <c r="H3459" s="328">
        <v>5391.4790000000003</v>
      </c>
      <c r="I3459" s="329">
        <v>3.821448459004094E-2</v>
      </c>
      <c r="J3459" s="329">
        <v>0.54237125661108077</v>
      </c>
      <c r="K3459" s="329">
        <v>0.6736046201268443</v>
      </c>
    </row>
    <row r="3460" spans="1:11" ht="11.25" x14ac:dyDescent="0.15">
      <c r="A3460" s="326">
        <v>1</v>
      </c>
      <c r="B3460" s="327">
        <v>85</v>
      </c>
      <c r="C3460" s="327" t="s">
        <v>110</v>
      </c>
      <c r="D3460" s="327" t="s">
        <v>113</v>
      </c>
      <c r="E3460" s="328" t="s">
        <v>2800</v>
      </c>
      <c r="F3460" s="328">
        <v>45.359099999999998</v>
      </c>
      <c r="G3460" s="328">
        <v>4905.1963999999998</v>
      </c>
      <c r="H3460" s="328">
        <v>5313.9116000000004</v>
      </c>
      <c r="I3460" s="329">
        <v>1.3820480823336747E-2</v>
      </c>
      <c r="J3460" s="329">
        <v>0.527025177278584</v>
      </c>
      <c r="K3460" s="329">
        <v>0.66391344651544248</v>
      </c>
    </row>
    <row r="3461" spans="1:11" ht="11.25" x14ac:dyDescent="0.15">
      <c r="A3461" s="326">
        <v>1.0249999999999999</v>
      </c>
      <c r="B3461" s="327">
        <v>85</v>
      </c>
      <c r="C3461" s="327" t="s">
        <v>110</v>
      </c>
      <c r="D3461" s="327" t="s">
        <v>79</v>
      </c>
      <c r="E3461" s="328" t="s">
        <v>2801</v>
      </c>
      <c r="F3461" s="328">
        <v>586.75971249999998</v>
      </c>
      <c r="G3461" s="328">
        <v>5728.0575199999994</v>
      </c>
      <c r="H3461" s="328">
        <v>5756.9153699999997</v>
      </c>
      <c r="I3461" s="329">
        <v>0.17878003211070839</v>
      </c>
      <c r="J3461" s="329">
        <v>0.61543520050286382</v>
      </c>
      <c r="K3461" s="329">
        <v>0.71926178158372522</v>
      </c>
    </row>
    <row r="3462" spans="1:11" ht="11.25" x14ac:dyDescent="0.15">
      <c r="A3462" s="326">
        <v>1.0249999999999999</v>
      </c>
      <c r="B3462" s="327">
        <v>85</v>
      </c>
      <c r="C3462" s="327" t="s">
        <v>110</v>
      </c>
      <c r="D3462" s="327" t="s">
        <v>114</v>
      </c>
      <c r="E3462" s="328" t="s">
        <v>2802</v>
      </c>
      <c r="F3462" s="328">
        <v>135.93429459999999</v>
      </c>
      <c r="G3462" s="328">
        <v>5326.9317649999994</v>
      </c>
      <c r="H3462" s="328">
        <v>5675.9955149999996</v>
      </c>
      <c r="I3462" s="329">
        <v>4.1417870102208994E-2</v>
      </c>
      <c r="J3462" s="329">
        <v>0.57233735998828617</v>
      </c>
      <c r="K3462" s="329">
        <v>0.7091517564518468</v>
      </c>
    </row>
    <row r="3463" spans="1:11" ht="11.25" x14ac:dyDescent="0.15">
      <c r="A3463" s="326">
        <v>1.0249999999999999</v>
      </c>
      <c r="B3463" s="327">
        <v>85</v>
      </c>
      <c r="C3463" s="327" t="s">
        <v>110</v>
      </c>
      <c r="D3463" s="327" t="s">
        <v>113</v>
      </c>
      <c r="E3463" s="328" t="s">
        <v>2803</v>
      </c>
      <c r="F3463" s="328">
        <v>49.136558649999998</v>
      </c>
      <c r="G3463" s="328">
        <v>5154.8605049999996</v>
      </c>
      <c r="H3463" s="328">
        <v>5595.4940649999999</v>
      </c>
      <c r="I3463" s="329">
        <v>1.4971436085528292E-2</v>
      </c>
      <c r="J3463" s="329">
        <v>0.55384964228832834</v>
      </c>
      <c r="K3463" s="329">
        <v>0.69909400631558372</v>
      </c>
    </row>
    <row r="3464" spans="1:11" ht="11.25" x14ac:dyDescent="0.15">
      <c r="A3464" s="326">
        <v>1.05</v>
      </c>
      <c r="B3464" s="327">
        <v>85</v>
      </c>
      <c r="C3464" s="327" t="s">
        <v>110</v>
      </c>
      <c r="D3464" s="327" t="s">
        <v>79</v>
      </c>
      <c r="E3464" s="328" t="s">
        <v>2804</v>
      </c>
      <c r="F3464" s="328">
        <v>635.82325800000001</v>
      </c>
      <c r="G3464" s="328">
        <v>6082.9001100000005</v>
      </c>
      <c r="H3464" s="328">
        <v>6051.63951</v>
      </c>
      <c r="I3464" s="329">
        <v>0.19372922179277133</v>
      </c>
      <c r="J3464" s="329">
        <v>0.65356027514834447</v>
      </c>
      <c r="K3464" s="329">
        <v>0.75608424576598598</v>
      </c>
    </row>
    <row r="3465" spans="1:11" ht="11.25" x14ac:dyDescent="0.15">
      <c r="A3465" s="326">
        <v>1.05</v>
      </c>
      <c r="B3465" s="327">
        <v>85</v>
      </c>
      <c r="C3465" s="327" t="s">
        <v>110</v>
      </c>
      <c r="D3465" s="327" t="s">
        <v>114</v>
      </c>
      <c r="E3465" s="328" t="s">
        <v>2805</v>
      </c>
      <c r="F3465" s="328">
        <v>147.20097000000001</v>
      </c>
      <c r="G3465" s="328">
        <v>5620.3455000000004</v>
      </c>
      <c r="H3465" s="328">
        <v>5967.7831500000002</v>
      </c>
      <c r="I3465" s="329">
        <v>4.4850717564095588E-2</v>
      </c>
      <c r="J3465" s="329">
        <v>0.60386238224923927</v>
      </c>
      <c r="K3465" s="329">
        <v>0.74560733738462714</v>
      </c>
    </row>
    <row r="3466" spans="1:11" ht="11.25" x14ac:dyDescent="0.15">
      <c r="A3466" s="326">
        <v>1.05</v>
      </c>
      <c r="B3466" s="327">
        <v>85</v>
      </c>
      <c r="C3466" s="327" t="s">
        <v>110</v>
      </c>
      <c r="D3466" s="327" t="s">
        <v>113</v>
      </c>
      <c r="E3466" s="328" t="s">
        <v>2806</v>
      </c>
      <c r="F3466" s="328">
        <v>53.191998300000002</v>
      </c>
      <c r="G3466" s="328">
        <v>5414.9062800000011</v>
      </c>
      <c r="H3466" s="328">
        <v>5884.1571599999997</v>
      </c>
      <c r="I3466" s="329">
        <v>1.6207089480613834E-2</v>
      </c>
      <c r="J3466" s="329">
        <v>0.58178953694166424</v>
      </c>
      <c r="K3466" s="329">
        <v>0.73515921114196137</v>
      </c>
    </row>
    <row r="3467" spans="1:11" ht="11.25" x14ac:dyDescent="0.15">
      <c r="A3467" s="326">
        <v>1.075</v>
      </c>
      <c r="B3467" s="327">
        <v>85</v>
      </c>
      <c r="C3467" s="327" t="s">
        <v>110</v>
      </c>
      <c r="D3467" s="327" t="s">
        <v>79</v>
      </c>
      <c r="E3467" s="328" t="s">
        <v>2807</v>
      </c>
      <c r="F3467" s="328">
        <v>688.38472100000001</v>
      </c>
      <c r="G3467" s="328">
        <v>6458.5600100000001</v>
      </c>
      <c r="H3467" s="328">
        <v>6353.8565149999995</v>
      </c>
      <c r="I3467" s="329">
        <v>0.2097441932414558</v>
      </c>
      <c r="J3467" s="329">
        <v>0.6939220077374727</v>
      </c>
      <c r="K3467" s="329">
        <v>0.79384285909804142</v>
      </c>
    </row>
    <row r="3468" spans="1:11" ht="11.25" x14ac:dyDescent="0.15">
      <c r="A3468" s="326">
        <v>1.075</v>
      </c>
      <c r="B3468" s="327">
        <v>85</v>
      </c>
      <c r="C3468" s="327" t="s">
        <v>110</v>
      </c>
      <c r="D3468" s="327" t="s">
        <v>114</v>
      </c>
      <c r="E3468" s="328" t="s">
        <v>2808</v>
      </c>
      <c r="F3468" s="328">
        <v>159.271398</v>
      </c>
      <c r="G3468" s="328">
        <v>5930.6079449999997</v>
      </c>
      <c r="H3468" s="328">
        <v>6266.9298649999992</v>
      </c>
      <c r="I3468" s="329">
        <v>4.8528460700609906E-2</v>
      </c>
      <c r="J3468" s="329">
        <v>0.63719766727044891</v>
      </c>
      <c r="K3468" s="329">
        <v>0.78298235253719806</v>
      </c>
    </row>
    <row r="3469" spans="1:11" ht="11.25" x14ac:dyDescent="0.15">
      <c r="A3469" s="326">
        <v>1.075</v>
      </c>
      <c r="B3469" s="327">
        <v>85</v>
      </c>
      <c r="C3469" s="327" t="s">
        <v>110</v>
      </c>
      <c r="D3469" s="327" t="s">
        <v>113</v>
      </c>
      <c r="E3469" s="328" t="s">
        <v>2809</v>
      </c>
      <c r="F3469" s="328">
        <v>57.545605699999996</v>
      </c>
      <c r="G3469" s="328">
        <v>5687.0273499999994</v>
      </c>
      <c r="H3469" s="328">
        <v>6180.1081349999995</v>
      </c>
      <c r="I3469" s="329">
        <v>1.753359171685831E-2</v>
      </c>
      <c r="J3469" s="329">
        <v>0.61102682806378672</v>
      </c>
      <c r="K3469" s="329">
        <v>0.77213495454948355</v>
      </c>
    </row>
    <row r="3470" spans="1:11" ht="11.25" x14ac:dyDescent="0.15">
      <c r="A3470" s="326">
        <v>1.1000000000000001</v>
      </c>
      <c r="B3470" s="327">
        <v>85</v>
      </c>
      <c r="C3470" s="327" t="s">
        <v>110</v>
      </c>
      <c r="D3470" s="327" t="s">
        <v>79</v>
      </c>
      <c r="E3470" s="328" t="s">
        <v>2810</v>
      </c>
      <c r="F3470" s="328">
        <v>744.6671980000001</v>
      </c>
      <c r="G3470" s="328">
        <v>6856.3864600000006</v>
      </c>
      <c r="H3470" s="328">
        <v>6663.5531600000013</v>
      </c>
      <c r="I3470" s="329">
        <v>0.22689292181121121</v>
      </c>
      <c r="J3470" s="329">
        <v>0.73666536360745583</v>
      </c>
      <c r="K3470" s="329">
        <v>0.83253596926498907</v>
      </c>
    </row>
    <row r="3471" spans="1:11" ht="11.25" x14ac:dyDescent="0.15">
      <c r="A3471" s="326">
        <v>1.1000000000000001</v>
      </c>
      <c r="B3471" s="327">
        <v>85</v>
      </c>
      <c r="C3471" s="327" t="s">
        <v>110</v>
      </c>
      <c r="D3471" s="327" t="s">
        <v>114</v>
      </c>
      <c r="E3471" s="328" t="s">
        <v>2811</v>
      </c>
      <c r="F3471" s="328">
        <v>172.19749800000002</v>
      </c>
      <c r="G3471" s="328">
        <v>6257.8700799999997</v>
      </c>
      <c r="H3471" s="328">
        <v>6573.0335000000005</v>
      </c>
      <c r="I3471" s="329">
        <v>5.246691885278959E-2</v>
      </c>
      <c r="J3471" s="329">
        <v>0.67235943667787623</v>
      </c>
      <c r="K3471" s="329">
        <v>0.82122655654385779</v>
      </c>
    </row>
    <row r="3472" spans="1:11" ht="11.25" x14ac:dyDescent="0.15">
      <c r="A3472" s="326">
        <v>1.1000000000000001</v>
      </c>
      <c r="B3472" s="327">
        <v>85</v>
      </c>
      <c r="C3472" s="327" t="s">
        <v>110</v>
      </c>
      <c r="D3472" s="327" t="s">
        <v>113</v>
      </c>
      <c r="E3472" s="328" t="s">
        <v>2812</v>
      </c>
      <c r="F3472" s="328">
        <v>62.219425400000006</v>
      </c>
      <c r="G3472" s="328">
        <v>5972.9219000000012</v>
      </c>
      <c r="H3472" s="328">
        <v>6483.6112000000003</v>
      </c>
      <c r="I3472" s="329">
        <v>1.895765955629039E-2</v>
      </c>
      <c r="J3472" s="329">
        <v>0.64174397241640269</v>
      </c>
      <c r="K3472" s="329">
        <v>0.81005424660397518</v>
      </c>
    </row>
    <row r="3473" spans="1:11" ht="11.25" x14ac:dyDescent="0.15">
      <c r="A3473" s="326">
        <v>1.125</v>
      </c>
      <c r="B3473" s="327">
        <v>85</v>
      </c>
      <c r="C3473" s="327" t="s">
        <v>110</v>
      </c>
      <c r="D3473" s="327" t="s">
        <v>79</v>
      </c>
      <c r="E3473" s="328" t="s">
        <v>2813</v>
      </c>
      <c r="F3473" s="328">
        <v>804.90554999999995</v>
      </c>
      <c r="G3473" s="328">
        <v>7277.0748750000002</v>
      </c>
      <c r="H3473" s="328">
        <v>6980.6877750000003</v>
      </c>
      <c r="I3473" s="329">
        <v>0.24524696738630875</v>
      </c>
      <c r="J3473" s="329">
        <v>0.78186505968780473</v>
      </c>
      <c r="K3473" s="329">
        <v>0.87215837006932262</v>
      </c>
    </row>
    <row r="3474" spans="1:11" ht="11.25" x14ac:dyDescent="0.15">
      <c r="A3474" s="326">
        <v>1.125</v>
      </c>
      <c r="B3474" s="327">
        <v>85</v>
      </c>
      <c r="C3474" s="327" t="s">
        <v>110</v>
      </c>
      <c r="D3474" s="327" t="s">
        <v>114</v>
      </c>
      <c r="E3474" s="328" t="s">
        <v>2814</v>
      </c>
      <c r="F3474" s="328">
        <v>186.03567000000001</v>
      </c>
      <c r="G3474" s="328">
        <v>6604.6693499999992</v>
      </c>
      <c r="H3474" s="328">
        <v>6886.7860499999997</v>
      </c>
      <c r="I3474" s="329">
        <v>5.668327655733036E-2</v>
      </c>
      <c r="J3474" s="329">
        <v>0.70962031918847934</v>
      </c>
      <c r="K3474" s="329">
        <v>0.8604264063914745</v>
      </c>
    </row>
    <row r="3475" spans="1:11" ht="11.25" x14ac:dyDescent="0.15">
      <c r="A3475" s="326">
        <v>1.125</v>
      </c>
      <c r="B3475" s="327">
        <v>85</v>
      </c>
      <c r="C3475" s="327" t="s">
        <v>110</v>
      </c>
      <c r="D3475" s="327" t="s">
        <v>113</v>
      </c>
      <c r="E3475" s="328" t="s">
        <v>2815</v>
      </c>
      <c r="F3475" s="328">
        <v>67.236981749999998</v>
      </c>
      <c r="G3475" s="328">
        <v>6272.0167499999998</v>
      </c>
      <c r="H3475" s="328">
        <v>6794.2619999999997</v>
      </c>
      <c r="I3475" s="329">
        <v>2.0486460641743726E-2</v>
      </c>
      <c r="J3475" s="329">
        <v>0.67387938626942612</v>
      </c>
      <c r="K3475" s="329">
        <v>0.84886656769918856</v>
      </c>
    </row>
    <row r="3476" spans="1:11" ht="11.25" x14ac:dyDescent="0.15">
      <c r="A3476" s="326">
        <v>1.1499999999999999</v>
      </c>
      <c r="B3476" s="327">
        <v>85</v>
      </c>
      <c r="C3476" s="327" t="s">
        <v>110</v>
      </c>
      <c r="D3476" s="327" t="s">
        <v>79</v>
      </c>
      <c r="E3476" s="328" t="s">
        <v>2816</v>
      </c>
      <c r="F3476" s="328">
        <v>869.34919299999979</v>
      </c>
      <c r="G3476" s="328">
        <v>7721.1292099999991</v>
      </c>
      <c r="H3476" s="328">
        <v>7304.8584199999987</v>
      </c>
      <c r="I3476" s="329">
        <v>0.26488232461931066</v>
      </c>
      <c r="J3476" s="329">
        <v>0.82957524202111521</v>
      </c>
      <c r="K3476" s="329">
        <v>0.91265984363186414</v>
      </c>
    </row>
    <row r="3477" spans="1:11" ht="11.25" x14ac:dyDescent="0.15">
      <c r="A3477" s="326">
        <v>1.1499999999999999</v>
      </c>
      <c r="B3477" s="327">
        <v>85</v>
      </c>
      <c r="C3477" s="327" t="s">
        <v>110</v>
      </c>
      <c r="D3477" s="327" t="s">
        <v>114</v>
      </c>
      <c r="E3477" s="328" t="s">
        <v>2817</v>
      </c>
      <c r="F3477" s="328">
        <v>200.84616600000001</v>
      </c>
      <c r="G3477" s="328">
        <v>6971.4285699999991</v>
      </c>
      <c r="H3477" s="328">
        <v>7207.9870199999996</v>
      </c>
      <c r="I3477" s="329">
        <v>6.1195892018221468E-2</v>
      </c>
      <c r="J3477" s="329">
        <v>0.74902574298334623</v>
      </c>
      <c r="K3477" s="329">
        <v>0.90055685248636308</v>
      </c>
    </row>
    <row r="3478" spans="1:11" ht="11.25" x14ac:dyDescent="0.15">
      <c r="A3478" s="326">
        <v>1.1499999999999999</v>
      </c>
      <c r="B3478" s="327">
        <v>85</v>
      </c>
      <c r="C3478" s="327" t="s">
        <v>110</v>
      </c>
      <c r="D3478" s="327" t="s">
        <v>113</v>
      </c>
      <c r="E3478" s="328" t="s">
        <v>2818</v>
      </c>
      <c r="F3478" s="328">
        <v>72.624070899999992</v>
      </c>
      <c r="G3478" s="328">
        <v>6586.8842099999993</v>
      </c>
      <c r="H3478" s="328">
        <v>7112.12716</v>
      </c>
      <c r="I3478" s="329">
        <v>2.2127854811627618E-2</v>
      </c>
      <c r="J3478" s="329">
        <v>0.7077094443127202</v>
      </c>
      <c r="K3478" s="329">
        <v>0.88858024187901163</v>
      </c>
    </row>
    <row r="3479" spans="1:11" ht="11.25" x14ac:dyDescent="0.15">
      <c r="A3479" s="326">
        <v>1.175</v>
      </c>
      <c r="B3479" s="327">
        <v>85</v>
      </c>
      <c r="C3479" s="327" t="s">
        <v>110</v>
      </c>
      <c r="D3479" s="327" t="s">
        <v>79</v>
      </c>
      <c r="E3479" s="328" t="s">
        <v>2819</v>
      </c>
      <c r="F3479" s="328">
        <v>938.26182249999999</v>
      </c>
      <c r="G3479" s="328">
        <v>8189.3171300000004</v>
      </c>
      <c r="H3479" s="328">
        <v>7636.5715150000005</v>
      </c>
      <c r="I3479" s="329">
        <v>0.28587933898887408</v>
      </c>
      <c r="J3479" s="329">
        <v>0.87987839023709535</v>
      </c>
      <c r="K3479" s="329">
        <v>0.95410366143187342</v>
      </c>
    </row>
    <row r="3480" spans="1:11" ht="11.25" x14ac:dyDescent="0.15">
      <c r="A3480" s="326">
        <v>1.175</v>
      </c>
      <c r="B3480" s="327">
        <v>85</v>
      </c>
      <c r="C3480" s="327" t="s">
        <v>110</v>
      </c>
      <c r="D3480" s="327" t="s">
        <v>114</v>
      </c>
      <c r="E3480" s="328" t="s">
        <v>2820</v>
      </c>
      <c r="F3480" s="328">
        <v>216.69274800000002</v>
      </c>
      <c r="G3480" s="328">
        <v>7357.9526949999999</v>
      </c>
      <c r="H3480" s="328">
        <v>7536.08763</v>
      </c>
      <c r="I3480" s="329">
        <v>6.6024192902640097E-2</v>
      </c>
      <c r="J3480" s="329">
        <v>0.79055475199521263</v>
      </c>
      <c r="K3480" s="329">
        <v>0.94154933094402493</v>
      </c>
    </row>
    <row r="3481" spans="1:11" ht="11.25" x14ac:dyDescent="0.15">
      <c r="A3481" s="326">
        <v>1.175</v>
      </c>
      <c r="B3481" s="327">
        <v>85</v>
      </c>
      <c r="C3481" s="327" t="s">
        <v>110</v>
      </c>
      <c r="D3481" s="327" t="s">
        <v>113</v>
      </c>
      <c r="E3481" s="328" t="s">
        <v>2821</v>
      </c>
      <c r="F3481" s="328">
        <v>78.408567800000014</v>
      </c>
      <c r="G3481" s="328">
        <v>6918.5879999999997</v>
      </c>
      <c r="H3481" s="328">
        <v>7437.2386400000005</v>
      </c>
      <c r="I3481" s="329">
        <v>2.389033529468617E-2</v>
      </c>
      <c r="J3481" s="329">
        <v>0.74334843498162151</v>
      </c>
      <c r="K3481" s="329">
        <v>0.92919926218573579</v>
      </c>
    </row>
    <row r="3482" spans="1:11" ht="11.25" x14ac:dyDescent="0.15">
      <c r="A3482" s="326">
        <v>1.2</v>
      </c>
      <c r="B3482" s="327">
        <v>85</v>
      </c>
      <c r="C3482" s="327" t="s">
        <v>110</v>
      </c>
      <c r="D3482" s="327" t="s">
        <v>79</v>
      </c>
      <c r="E3482" s="328" t="s">
        <v>2822</v>
      </c>
      <c r="F3482" s="328">
        <v>1011.9246720000001</v>
      </c>
      <c r="G3482" s="328">
        <v>8682.8363999999983</v>
      </c>
      <c r="H3482" s="328">
        <v>7975.8482399999994</v>
      </c>
      <c r="I3482" s="329">
        <v>0.3083236996333113</v>
      </c>
      <c r="J3482" s="329">
        <v>0.93290319486309281</v>
      </c>
      <c r="K3482" s="329">
        <v>0.99649246967196925</v>
      </c>
    </row>
    <row r="3483" spans="1:11" ht="11.25" x14ac:dyDescent="0.15">
      <c r="A3483" s="326">
        <v>1.2</v>
      </c>
      <c r="B3483" s="327">
        <v>85</v>
      </c>
      <c r="C3483" s="327" t="s">
        <v>110</v>
      </c>
      <c r="D3483" s="327" t="s">
        <v>114</v>
      </c>
      <c r="E3483" s="328" t="s">
        <v>2823</v>
      </c>
      <c r="F3483" s="328">
        <v>233.64453600000002</v>
      </c>
      <c r="G3483" s="328">
        <v>7766.6471999999994</v>
      </c>
      <c r="H3483" s="328">
        <v>7871.8365599999997</v>
      </c>
      <c r="I3483" s="329">
        <v>7.1189239408749563E-2</v>
      </c>
      <c r="J3483" s="329">
        <v>0.83446579579162583</v>
      </c>
      <c r="K3483" s="329">
        <v>0.98349738090409045</v>
      </c>
    </row>
    <row r="3484" spans="1:11" ht="11.25" x14ac:dyDescent="0.15">
      <c r="A3484" s="326">
        <v>1.2</v>
      </c>
      <c r="B3484" s="327">
        <v>85</v>
      </c>
      <c r="C3484" s="327" t="s">
        <v>110</v>
      </c>
      <c r="D3484" s="327" t="s">
        <v>113</v>
      </c>
      <c r="E3484" s="328" t="s">
        <v>2824</v>
      </c>
      <c r="F3484" s="328">
        <v>84.620159999999998</v>
      </c>
      <c r="G3484" s="328">
        <v>7267.5340800000004</v>
      </c>
      <c r="H3484" s="328">
        <v>7769.6992799999998</v>
      </c>
      <c r="I3484" s="329">
        <v>2.5782947601422589E-2</v>
      </c>
      <c r="J3484" s="329">
        <v>0.78083997551864615</v>
      </c>
      <c r="K3484" s="329">
        <v>0.97073647731989965</v>
      </c>
    </row>
    <row r="3485" spans="1:11" ht="11.25" x14ac:dyDescent="0.15">
      <c r="A3485" s="326">
        <v>1.2250000000000001</v>
      </c>
      <c r="B3485" s="327">
        <v>85</v>
      </c>
      <c r="C3485" s="327" t="s">
        <v>110</v>
      </c>
      <c r="D3485" s="327" t="s">
        <v>79</v>
      </c>
      <c r="E3485" s="328" t="s">
        <v>2825</v>
      </c>
      <c r="F3485" s="328">
        <v>1090.635483</v>
      </c>
      <c r="G3485" s="328">
        <v>9202.263210000001</v>
      </c>
      <c r="H3485" s="328">
        <v>8322.4804600000007</v>
      </c>
      <c r="I3485" s="329">
        <v>0.33230612551951233</v>
      </c>
      <c r="J3485" s="329">
        <v>0.98871156303026775</v>
      </c>
      <c r="K3485" s="329">
        <v>1.0398002642264552</v>
      </c>
    </row>
    <row r="3486" spans="1:11" ht="11.25" x14ac:dyDescent="0.15">
      <c r="A3486" s="326">
        <v>1.2250000000000001</v>
      </c>
      <c r="B3486" s="327">
        <v>85</v>
      </c>
      <c r="C3486" s="327" t="s">
        <v>110</v>
      </c>
      <c r="D3486" s="327" t="s">
        <v>114</v>
      </c>
      <c r="E3486" s="328" t="s">
        <v>2826</v>
      </c>
      <c r="F3486" s="328">
        <v>251.77329450000002</v>
      </c>
      <c r="G3486" s="328">
        <v>8197.1649200000011</v>
      </c>
      <c r="H3486" s="328">
        <v>8214.5890750000017</v>
      </c>
      <c r="I3486" s="329">
        <v>7.6712897488388568E-2</v>
      </c>
      <c r="J3486" s="329">
        <v>0.88072157419523311</v>
      </c>
      <c r="K3486" s="329">
        <v>1.0263204499847818</v>
      </c>
    </row>
    <row r="3487" spans="1:11" ht="11.25" x14ac:dyDescent="0.15">
      <c r="A3487" s="326">
        <v>1.2250000000000001</v>
      </c>
      <c r="B3487" s="327">
        <v>85</v>
      </c>
      <c r="C3487" s="327" t="s">
        <v>110</v>
      </c>
      <c r="D3487" s="327" t="s">
        <v>113</v>
      </c>
      <c r="E3487" s="328" t="s">
        <v>2827</v>
      </c>
      <c r="F3487" s="328">
        <v>91.29157905000001</v>
      </c>
      <c r="G3487" s="328">
        <v>7635.9184300000006</v>
      </c>
      <c r="H3487" s="328">
        <v>8109.5975100000005</v>
      </c>
      <c r="I3487" s="329">
        <v>2.7815664719817102E-2</v>
      </c>
      <c r="J3487" s="329">
        <v>0.82042000688403782</v>
      </c>
      <c r="K3487" s="329">
        <v>1.013202935614727</v>
      </c>
    </row>
    <row r="3488" spans="1:11" ht="11.25" x14ac:dyDescent="0.15">
      <c r="A3488" s="326">
        <v>1.25</v>
      </c>
      <c r="B3488" s="327">
        <v>85</v>
      </c>
      <c r="C3488" s="327" t="s">
        <v>110</v>
      </c>
      <c r="D3488" s="327" t="s">
        <v>79</v>
      </c>
      <c r="E3488" s="328" t="s">
        <v>2828</v>
      </c>
      <c r="F3488" s="328">
        <v>1174.7109249999999</v>
      </c>
      <c r="G3488" s="328">
        <v>9748.0195000000003</v>
      </c>
      <c r="H3488" s="328">
        <v>8676.8817499999986</v>
      </c>
      <c r="I3488" s="329">
        <v>0.35792310279363282</v>
      </c>
      <c r="J3488" s="329">
        <v>1.0473488289077668</v>
      </c>
      <c r="K3488" s="329">
        <v>1.0840787166368073</v>
      </c>
    </row>
    <row r="3489" spans="1:11" ht="11.25" x14ac:dyDescent="0.15">
      <c r="A3489" s="326">
        <v>1.25</v>
      </c>
      <c r="B3489" s="327">
        <v>85</v>
      </c>
      <c r="C3489" s="327" t="s">
        <v>110</v>
      </c>
      <c r="D3489" s="327" t="s">
        <v>114</v>
      </c>
      <c r="E3489" s="328" t="s">
        <v>2829</v>
      </c>
      <c r="F3489" s="328">
        <v>271.15962500000001</v>
      </c>
      <c r="G3489" s="328">
        <v>8651.80825</v>
      </c>
      <c r="H3489" s="328">
        <v>8565.0557500000014</v>
      </c>
      <c r="I3489" s="329">
        <v>8.2619725642168462E-2</v>
      </c>
      <c r="J3489" s="329">
        <v>0.92956946162982712</v>
      </c>
      <c r="K3489" s="329">
        <v>1.0701073165348496</v>
      </c>
    </row>
    <row r="3490" spans="1:11" ht="11.25" x14ac:dyDescent="0.15">
      <c r="A3490" s="326">
        <v>1.25</v>
      </c>
      <c r="B3490" s="327">
        <v>85</v>
      </c>
      <c r="C3490" s="327" t="s">
        <v>110</v>
      </c>
      <c r="D3490" s="327" t="s">
        <v>113</v>
      </c>
      <c r="E3490" s="328" t="s">
        <v>2830</v>
      </c>
      <c r="F3490" s="328">
        <v>98.458792500000001</v>
      </c>
      <c r="G3490" s="328">
        <v>8023.3630000000003</v>
      </c>
      <c r="H3490" s="328">
        <v>8456.6257499999992</v>
      </c>
      <c r="I3490" s="329">
        <v>2.9999445615877342E-2</v>
      </c>
      <c r="J3490" s="329">
        <v>0.8620479105475638</v>
      </c>
      <c r="K3490" s="329">
        <v>1.0565602084110204</v>
      </c>
    </row>
    <row r="3491" spans="1:11" ht="11.25" x14ac:dyDescent="0.15">
      <c r="A3491" s="326">
        <v>1.2749999999999999</v>
      </c>
      <c r="B3491" s="327">
        <v>85</v>
      </c>
      <c r="C3491" s="327" t="s">
        <v>110</v>
      </c>
      <c r="D3491" s="327" t="s">
        <v>79</v>
      </c>
      <c r="E3491" s="328" t="s">
        <v>2831</v>
      </c>
      <c r="F3491" s="328">
        <v>1264.4873189999998</v>
      </c>
      <c r="G3491" s="328">
        <v>10320.173594999998</v>
      </c>
      <c r="H3491" s="328">
        <v>9038.7277049999993</v>
      </c>
      <c r="I3491" s="329">
        <v>0.38527710522457442</v>
      </c>
      <c r="J3491" s="329">
        <v>1.1088223334850844</v>
      </c>
      <c r="K3491" s="329">
        <v>1.129287296149444</v>
      </c>
    </row>
    <row r="3492" spans="1:11" ht="11.25" x14ac:dyDescent="0.15">
      <c r="A3492" s="326">
        <v>1.2749999999999999</v>
      </c>
      <c r="B3492" s="327">
        <v>85</v>
      </c>
      <c r="C3492" s="327" t="s">
        <v>110</v>
      </c>
      <c r="D3492" s="327" t="s">
        <v>114</v>
      </c>
      <c r="E3492" s="328" t="s">
        <v>2832</v>
      </c>
      <c r="F3492" s="328">
        <v>291.88495950000004</v>
      </c>
      <c r="G3492" s="328">
        <v>9130.5980849999996</v>
      </c>
      <c r="H3492" s="328">
        <v>8922.7840500000002</v>
      </c>
      <c r="I3492" s="329">
        <v>8.8934535416050439E-2</v>
      </c>
      <c r="J3492" s="329">
        <v>0.98101170310053731</v>
      </c>
      <c r="K3492" s="329">
        <v>1.1148014413993108</v>
      </c>
    </row>
    <row r="3493" spans="1:11" ht="11.25" x14ac:dyDescent="0.15">
      <c r="A3493" s="326">
        <v>1.2749999999999999</v>
      </c>
      <c r="B3493" s="327">
        <v>85</v>
      </c>
      <c r="C3493" s="327" t="s">
        <v>110</v>
      </c>
      <c r="D3493" s="327" t="s">
        <v>113</v>
      </c>
      <c r="E3493" s="328" t="s">
        <v>2833</v>
      </c>
      <c r="F3493" s="328">
        <v>106.1598762</v>
      </c>
      <c r="G3493" s="328">
        <v>8431.7155050000001</v>
      </c>
      <c r="H3493" s="328">
        <v>8810.9622149999996</v>
      </c>
      <c r="I3493" s="329">
        <v>3.2345891634311598E-2</v>
      </c>
      <c r="J3493" s="329">
        <v>0.90592220910567633</v>
      </c>
      <c r="K3493" s="329">
        <v>1.1008305616672258</v>
      </c>
    </row>
    <row r="3494" spans="1:11" ht="11.25" x14ac:dyDescent="0.15">
      <c r="A3494" s="326">
        <v>1.3</v>
      </c>
      <c r="B3494" s="327">
        <v>85</v>
      </c>
      <c r="C3494" s="327" t="s">
        <v>110</v>
      </c>
      <c r="D3494" s="327" t="s">
        <v>79</v>
      </c>
      <c r="E3494" s="328" t="s">
        <v>2834</v>
      </c>
      <c r="F3494" s="328">
        <v>1360.323926</v>
      </c>
      <c r="G3494" s="328">
        <v>10919.028900000001</v>
      </c>
      <c r="H3494" s="328">
        <v>9408.1408200000005</v>
      </c>
      <c r="I3494" s="329">
        <v>0.41447759617825658</v>
      </c>
      <c r="J3494" s="329">
        <v>1.1731646752681468</v>
      </c>
      <c r="K3494" s="329">
        <v>1.1754413071359375</v>
      </c>
    </row>
    <row r="3495" spans="1:11" ht="11.25" x14ac:dyDescent="0.15">
      <c r="A3495" s="326">
        <v>1.3</v>
      </c>
      <c r="B3495" s="327">
        <v>85</v>
      </c>
      <c r="C3495" s="327" t="s">
        <v>110</v>
      </c>
      <c r="D3495" s="327" t="s">
        <v>114</v>
      </c>
      <c r="E3495" s="328" t="s">
        <v>2835</v>
      </c>
      <c r="F3495" s="328">
        <v>314.041832</v>
      </c>
      <c r="G3495" s="328">
        <v>9633.8827000000019</v>
      </c>
      <c r="H3495" s="328">
        <v>9288.0514999999996</v>
      </c>
      <c r="I3495" s="329">
        <v>9.5685521028449433E-2</v>
      </c>
      <c r="J3495" s="329">
        <v>1.0350857180455781</v>
      </c>
      <c r="K3495" s="329">
        <v>1.1604374982033809</v>
      </c>
    </row>
    <row r="3496" spans="1:11" ht="11.25" x14ac:dyDescent="0.15">
      <c r="A3496" s="326">
        <v>1.3</v>
      </c>
      <c r="B3496" s="327">
        <v>85</v>
      </c>
      <c r="C3496" s="327" t="s">
        <v>110</v>
      </c>
      <c r="D3496" s="327" t="s">
        <v>113</v>
      </c>
      <c r="E3496" s="328" t="s">
        <v>2836</v>
      </c>
      <c r="F3496" s="328">
        <v>114.43770259999999</v>
      </c>
      <c r="G3496" s="328">
        <v>8861.0995199999998</v>
      </c>
      <c r="H3496" s="328">
        <v>9172.6985999999997</v>
      </c>
      <c r="I3496" s="329">
        <v>3.4868065597642231E-2</v>
      </c>
      <c r="J3496" s="329">
        <v>0.95205617973037238</v>
      </c>
      <c r="K3496" s="329">
        <v>1.1460254516415693</v>
      </c>
    </row>
    <row r="3497" spans="1:11" ht="11.25" x14ac:dyDescent="0.15">
      <c r="A3497" s="326">
        <v>1.325</v>
      </c>
      <c r="B3497" s="327">
        <v>85</v>
      </c>
      <c r="C3497" s="327" t="s">
        <v>110</v>
      </c>
      <c r="D3497" s="327" t="s">
        <v>79</v>
      </c>
      <c r="E3497" s="328" t="s">
        <v>2837</v>
      </c>
      <c r="F3497" s="328">
        <v>1462.601038</v>
      </c>
      <c r="G3497" s="328">
        <v>11546.623459999999</v>
      </c>
      <c r="H3497" s="328">
        <v>9784.300584999999</v>
      </c>
      <c r="I3497" s="329">
        <v>0.44564044696370569</v>
      </c>
      <c r="J3497" s="329">
        <v>1.2405948263306148</v>
      </c>
      <c r="K3497" s="329">
        <v>1.2224382361066017</v>
      </c>
    </row>
    <row r="3498" spans="1:11" ht="11.25" x14ac:dyDescent="0.15">
      <c r="A3498" s="326">
        <v>1.325</v>
      </c>
      <c r="B3498" s="327">
        <v>85</v>
      </c>
      <c r="C3498" s="327" t="s">
        <v>110</v>
      </c>
      <c r="D3498" s="327" t="s">
        <v>114</v>
      </c>
      <c r="E3498" s="328" t="s">
        <v>2838</v>
      </c>
      <c r="F3498" s="328">
        <v>337.72662650000001</v>
      </c>
      <c r="G3498" s="328">
        <v>10161.675424999999</v>
      </c>
      <c r="H3498" s="328">
        <v>9660.5198799999998</v>
      </c>
      <c r="I3498" s="329">
        <v>0.10290204975569317</v>
      </c>
      <c r="J3498" s="329">
        <v>1.0917929386697045</v>
      </c>
      <c r="K3498" s="329">
        <v>1.2069732301647149</v>
      </c>
    </row>
    <row r="3499" spans="1:11" ht="11.25" x14ac:dyDescent="0.15">
      <c r="A3499" s="326">
        <v>1.325</v>
      </c>
      <c r="B3499" s="327">
        <v>85</v>
      </c>
      <c r="C3499" s="327" t="s">
        <v>110</v>
      </c>
      <c r="D3499" s="327" t="s">
        <v>113</v>
      </c>
      <c r="E3499" s="328" t="s">
        <v>2839</v>
      </c>
      <c r="F3499" s="328">
        <v>123.33834315000001</v>
      </c>
      <c r="G3499" s="328">
        <v>9312.5836249999993</v>
      </c>
      <c r="H3499" s="328">
        <v>9541.4871799999983</v>
      </c>
      <c r="I3499" s="329">
        <v>3.7580005032875487E-2</v>
      </c>
      <c r="J3499" s="329">
        <v>1.0005646330261646</v>
      </c>
      <c r="K3499" s="329">
        <v>1.192101434008934</v>
      </c>
    </row>
    <row r="3500" spans="1:11" ht="11.25" x14ac:dyDescent="0.15">
      <c r="A3500" s="326">
        <v>1.35</v>
      </c>
      <c r="B3500" s="327">
        <v>85</v>
      </c>
      <c r="C3500" s="327" t="s">
        <v>110</v>
      </c>
      <c r="D3500" s="327" t="s">
        <v>79</v>
      </c>
      <c r="E3500" s="328" t="s">
        <v>2840</v>
      </c>
      <c r="F3500" s="328">
        <v>1571.7276450000002</v>
      </c>
      <c r="G3500" s="328">
        <v>12201.802200000002</v>
      </c>
      <c r="H3500" s="328">
        <v>10169.1018</v>
      </c>
      <c r="I3500" s="329">
        <v>0.47889027289409908</v>
      </c>
      <c r="J3500" s="329">
        <v>1.3109886828533956</v>
      </c>
      <c r="K3500" s="329">
        <v>1.2705148169955236</v>
      </c>
    </row>
    <row r="3501" spans="1:11" ht="11.25" x14ac:dyDescent="0.15">
      <c r="A3501" s="326">
        <v>1.35</v>
      </c>
      <c r="B3501" s="327">
        <v>85</v>
      </c>
      <c r="C3501" s="327" t="s">
        <v>110</v>
      </c>
      <c r="D3501" s="327" t="s">
        <v>114</v>
      </c>
      <c r="E3501" s="328" t="s">
        <v>2841</v>
      </c>
      <c r="F3501" s="328">
        <v>363.04308000000003</v>
      </c>
      <c r="G3501" s="328">
        <v>10716.139080000001</v>
      </c>
      <c r="H3501" s="328">
        <v>10040.275080000001</v>
      </c>
      <c r="I3501" s="329">
        <v>0.11061572926237755</v>
      </c>
      <c r="J3501" s="329">
        <v>1.1513657431492372</v>
      </c>
      <c r="K3501" s="329">
        <v>1.2544193682721239</v>
      </c>
    </row>
    <row r="3502" spans="1:11" ht="11.25" x14ac:dyDescent="0.15">
      <c r="A3502" s="326">
        <v>1.35</v>
      </c>
      <c r="B3502" s="327">
        <v>85</v>
      </c>
      <c r="C3502" s="327" t="s">
        <v>110</v>
      </c>
      <c r="D3502" s="327" t="s">
        <v>113</v>
      </c>
      <c r="E3502" s="328" t="s">
        <v>2842</v>
      </c>
      <c r="F3502" s="328">
        <v>132.91210890000002</v>
      </c>
      <c r="G3502" s="328">
        <v>9786.4893900000006</v>
      </c>
      <c r="H3502" s="328">
        <v>9917.3902500000004</v>
      </c>
      <c r="I3502" s="329">
        <v>4.0497039232297284E-2</v>
      </c>
      <c r="J3502" s="329">
        <v>1.0514821191868551</v>
      </c>
      <c r="K3502" s="329">
        <v>1.2390662918284425</v>
      </c>
    </row>
    <row r="3503" spans="1:11" ht="11.25" x14ac:dyDescent="0.15">
      <c r="A3503" s="326">
        <v>1.375</v>
      </c>
      <c r="B3503" s="327">
        <v>85</v>
      </c>
      <c r="C3503" s="327" t="s">
        <v>110</v>
      </c>
      <c r="D3503" s="327" t="s">
        <v>79</v>
      </c>
      <c r="E3503" s="328" t="s">
        <v>2843</v>
      </c>
      <c r="F3503" s="328">
        <v>1688.137275</v>
      </c>
      <c r="G3503" s="328">
        <v>12884.622025000001</v>
      </c>
      <c r="H3503" s="328">
        <v>10560.971024999999</v>
      </c>
      <c r="I3503" s="329">
        <v>0.51435916577483798</v>
      </c>
      <c r="J3503" s="329">
        <v>1.3843523588358611</v>
      </c>
      <c r="K3503" s="329">
        <v>1.3194744661837194</v>
      </c>
    </row>
    <row r="3504" spans="1:11" ht="11.25" x14ac:dyDescent="0.15">
      <c r="A3504" s="326">
        <v>1.375</v>
      </c>
      <c r="B3504" s="327">
        <v>85</v>
      </c>
      <c r="C3504" s="327" t="s">
        <v>110</v>
      </c>
      <c r="D3504" s="327" t="s">
        <v>114</v>
      </c>
      <c r="E3504" s="328" t="s">
        <v>2844</v>
      </c>
      <c r="F3504" s="328">
        <v>390.10416499999997</v>
      </c>
      <c r="G3504" s="328">
        <v>11296.104325000002</v>
      </c>
      <c r="H3504" s="328">
        <v>10427.855074999999</v>
      </c>
      <c r="I3504" s="329">
        <v>0.11886098118098229</v>
      </c>
      <c r="J3504" s="329">
        <v>1.2136784950018527</v>
      </c>
      <c r="K3504" s="329">
        <v>1.3028431264469658</v>
      </c>
    </row>
    <row r="3505" spans="1:11" ht="11.25" x14ac:dyDescent="0.15">
      <c r="A3505" s="326">
        <v>1.375</v>
      </c>
      <c r="B3505" s="327">
        <v>85</v>
      </c>
      <c r="C3505" s="327" t="s">
        <v>110</v>
      </c>
      <c r="D3505" s="327" t="s">
        <v>113</v>
      </c>
      <c r="E3505" s="328" t="s">
        <v>2845</v>
      </c>
      <c r="F3505" s="328">
        <v>143.21466774999999</v>
      </c>
      <c r="G3505" s="328">
        <v>10284.506650000001</v>
      </c>
      <c r="H3505" s="328">
        <v>10300.98575</v>
      </c>
      <c r="I3505" s="329">
        <v>4.3636129668785724E-2</v>
      </c>
      <c r="J3505" s="329">
        <v>1.1049901978316357</v>
      </c>
      <c r="K3505" s="329">
        <v>1.286992232198398</v>
      </c>
    </row>
    <row r="3506" spans="1:11" ht="11.25" x14ac:dyDescent="0.15">
      <c r="A3506" s="326">
        <v>1.4</v>
      </c>
      <c r="B3506" s="327">
        <v>85</v>
      </c>
      <c r="C3506" s="327" t="s">
        <v>110</v>
      </c>
      <c r="D3506" s="327" t="s">
        <v>79</v>
      </c>
      <c r="E3506" s="328" t="s">
        <v>2846</v>
      </c>
      <c r="F3506" s="328">
        <v>1812.2956599999998</v>
      </c>
      <c r="G3506" s="328">
        <v>13598.298839999999</v>
      </c>
      <c r="H3506" s="328">
        <v>10960.0862</v>
      </c>
      <c r="I3506" s="329">
        <v>0.55218902965990091</v>
      </c>
      <c r="J3506" s="329">
        <v>1.4610313782416873</v>
      </c>
      <c r="K3506" s="329">
        <v>1.3693394152714808</v>
      </c>
    </row>
    <row r="3507" spans="1:11" ht="11.25" x14ac:dyDescent="0.15">
      <c r="A3507" s="326">
        <v>1.4</v>
      </c>
      <c r="B3507" s="327">
        <v>85</v>
      </c>
      <c r="C3507" s="327" t="s">
        <v>110</v>
      </c>
      <c r="D3507" s="327" t="s">
        <v>114</v>
      </c>
      <c r="E3507" s="328" t="s">
        <v>2847</v>
      </c>
      <c r="F3507" s="328">
        <v>419.03136799999999</v>
      </c>
      <c r="G3507" s="328">
        <v>11902.916199999998</v>
      </c>
      <c r="H3507" s="328">
        <v>10822.556639999999</v>
      </c>
      <c r="I3507" s="329">
        <v>0.12767482127777147</v>
      </c>
      <c r="J3507" s="329">
        <v>1.2788757083074449</v>
      </c>
      <c r="K3507" s="329">
        <v>1.3521566446402657</v>
      </c>
    </row>
    <row r="3508" spans="1:11" ht="11.25" x14ac:dyDescent="0.15">
      <c r="A3508" s="326">
        <v>1.4</v>
      </c>
      <c r="B3508" s="327">
        <v>85</v>
      </c>
      <c r="C3508" s="327" t="s">
        <v>110</v>
      </c>
      <c r="D3508" s="327" t="s">
        <v>113</v>
      </c>
      <c r="E3508" s="328" t="s">
        <v>2848</v>
      </c>
      <c r="F3508" s="328">
        <v>154.30717399999997</v>
      </c>
      <c r="G3508" s="328">
        <v>10806.39084</v>
      </c>
      <c r="H3508" s="328">
        <v>10691.89436</v>
      </c>
      <c r="I3508" s="329">
        <v>4.701590946844815E-2</v>
      </c>
      <c r="J3508" s="329">
        <v>1.1610625923546438</v>
      </c>
      <c r="K3508" s="329">
        <v>1.3358318633540349</v>
      </c>
    </row>
    <row r="3509" spans="1:11" ht="11.25" x14ac:dyDescent="0.15">
      <c r="A3509" s="326">
        <v>0.9</v>
      </c>
      <c r="B3509" s="327">
        <v>100</v>
      </c>
      <c r="C3509" s="327" t="s">
        <v>110</v>
      </c>
      <c r="D3509" s="327" t="s">
        <v>79</v>
      </c>
      <c r="E3509" s="328" t="s">
        <v>2849</v>
      </c>
      <c r="F3509" s="328">
        <v>541.73745000000008</v>
      </c>
      <c r="G3509" s="328">
        <v>4278.1275000000005</v>
      </c>
      <c r="H3509" s="328">
        <v>4399.9146000000001</v>
      </c>
      <c r="I3509" s="329">
        <v>0.16506218242884782</v>
      </c>
      <c r="J3509" s="329">
        <v>0.45965150429203727</v>
      </c>
      <c r="K3509" s="329">
        <v>0.54971980837235124</v>
      </c>
    </row>
    <row r="3510" spans="1:11" ht="11.25" x14ac:dyDescent="0.15">
      <c r="A3510" s="326">
        <v>0.9</v>
      </c>
      <c r="B3510" s="327">
        <v>100</v>
      </c>
      <c r="C3510" s="327" t="s">
        <v>110</v>
      </c>
      <c r="D3510" s="327" t="s">
        <v>114</v>
      </c>
      <c r="E3510" s="328" t="s">
        <v>2850</v>
      </c>
      <c r="F3510" s="328">
        <v>131.64903000000001</v>
      </c>
      <c r="G3510" s="328">
        <v>4078.7388000000001</v>
      </c>
      <c r="H3510" s="328">
        <v>4333.7457000000004</v>
      </c>
      <c r="I3510" s="329">
        <v>4.0112191258774632E-2</v>
      </c>
      <c r="J3510" s="329">
        <v>0.43822874026879721</v>
      </c>
      <c r="K3510" s="329">
        <v>0.54145274904619778</v>
      </c>
    </row>
    <row r="3511" spans="1:11" ht="11.25" x14ac:dyDescent="0.15">
      <c r="A3511" s="326">
        <v>0.9</v>
      </c>
      <c r="B3511" s="327">
        <v>100</v>
      </c>
      <c r="C3511" s="327" t="s">
        <v>110</v>
      </c>
      <c r="D3511" s="327" t="s">
        <v>113</v>
      </c>
      <c r="E3511" s="328" t="s">
        <v>2851</v>
      </c>
      <c r="F3511" s="328">
        <v>48.500073</v>
      </c>
      <c r="G3511" s="328">
        <v>4003.2927</v>
      </c>
      <c r="H3511" s="328">
        <v>4267.3401000000003</v>
      </c>
      <c r="I3511" s="329">
        <v>1.477750503927398E-2</v>
      </c>
      <c r="J3511" s="329">
        <v>0.43012264400168793</v>
      </c>
      <c r="K3511" s="329">
        <v>0.53315611671909502</v>
      </c>
    </row>
    <row r="3512" spans="1:11" ht="11.25" x14ac:dyDescent="0.15">
      <c r="A3512" s="326">
        <v>0.92500000000000004</v>
      </c>
      <c r="B3512" s="327">
        <v>100</v>
      </c>
      <c r="C3512" s="327" t="s">
        <v>110</v>
      </c>
      <c r="D3512" s="327" t="s">
        <v>79</v>
      </c>
      <c r="E3512" s="328" t="s">
        <v>2852</v>
      </c>
      <c r="F3512" s="328">
        <v>588.88746750000007</v>
      </c>
      <c r="G3512" s="328">
        <v>4550.6263000000008</v>
      </c>
      <c r="H3512" s="328">
        <v>4657.9873500000003</v>
      </c>
      <c r="I3512" s="329">
        <v>0.17942833856242943</v>
      </c>
      <c r="J3512" s="329">
        <v>0.48892937956288302</v>
      </c>
      <c r="K3512" s="329">
        <v>0.58196309388433054</v>
      </c>
    </row>
    <row r="3513" spans="1:11" ht="11.25" x14ac:dyDescent="0.15">
      <c r="A3513" s="326">
        <v>0.92500000000000004</v>
      </c>
      <c r="B3513" s="327">
        <v>100</v>
      </c>
      <c r="C3513" s="327" t="s">
        <v>110</v>
      </c>
      <c r="D3513" s="327" t="s">
        <v>114</v>
      </c>
      <c r="E3513" s="328" t="s">
        <v>2853</v>
      </c>
      <c r="F3513" s="328">
        <v>142.97392000000002</v>
      </c>
      <c r="G3513" s="328">
        <v>4311.9087750000008</v>
      </c>
      <c r="H3513" s="328">
        <v>4589.0443249999998</v>
      </c>
      <c r="I3513" s="329">
        <v>4.356277614849683E-2</v>
      </c>
      <c r="J3513" s="329">
        <v>0.46328103937967857</v>
      </c>
      <c r="K3513" s="329">
        <v>0.57334943886211476</v>
      </c>
    </row>
    <row r="3514" spans="1:11" ht="11.25" x14ac:dyDescent="0.15">
      <c r="A3514" s="326">
        <v>0.92500000000000004</v>
      </c>
      <c r="B3514" s="327">
        <v>100</v>
      </c>
      <c r="C3514" s="327" t="s">
        <v>110</v>
      </c>
      <c r="D3514" s="327" t="s">
        <v>113</v>
      </c>
      <c r="E3514" s="328" t="s">
        <v>2854</v>
      </c>
      <c r="F3514" s="328">
        <v>52.586573749999999</v>
      </c>
      <c r="G3514" s="328">
        <v>4220.1265750000002</v>
      </c>
      <c r="H3514" s="328">
        <v>4520.1105500000003</v>
      </c>
      <c r="I3514" s="329">
        <v>1.6022622452316261E-2</v>
      </c>
      <c r="J3514" s="329">
        <v>0.45341975630729869</v>
      </c>
      <c r="K3514" s="329">
        <v>0.56473693952329063</v>
      </c>
    </row>
    <row r="3515" spans="1:11" ht="11.25" x14ac:dyDescent="0.15">
      <c r="A3515" s="326">
        <v>0.95</v>
      </c>
      <c r="B3515" s="327">
        <v>100</v>
      </c>
      <c r="C3515" s="327" t="s">
        <v>110</v>
      </c>
      <c r="D3515" s="327" t="s">
        <v>79</v>
      </c>
      <c r="E3515" s="328" t="s">
        <v>2855</v>
      </c>
      <c r="F3515" s="328">
        <v>639.42476499999998</v>
      </c>
      <c r="G3515" s="328">
        <v>4838.4079500000007</v>
      </c>
      <c r="H3515" s="328">
        <v>4923.3332</v>
      </c>
      <c r="I3515" s="329">
        <v>0.19482656628215961</v>
      </c>
      <c r="J3515" s="329">
        <v>0.51984927812367732</v>
      </c>
      <c r="K3515" s="329">
        <v>0.61511507138280253</v>
      </c>
    </row>
    <row r="3516" spans="1:11" ht="11.25" x14ac:dyDescent="0.15">
      <c r="A3516" s="326">
        <v>0.95</v>
      </c>
      <c r="B3516" s="327">
        <v>100</v>
      </c>
      <c r="C3516" s="327" t="s">
        <v>110</v>
      </c>
      <c r="D3516" s="327" t="s">
        <v>114</v>
      </c>
      <c r="E3516" s="328" t="s">
        <v>2856</v>
      </c>
      <c r="F3516" s="328">
        <v>155.103555</v>
      </c>
      <c r="G3516" s="328">
        <v>4557.1993999999995</v>
      </c>
      <c r="H3516" s="328">
        <v>4851.6642499999989</v>
      </c>
      <c r="I3516" s="329">
        <v>4.7258559087566918E-2</v>
      </c>
      <c r="J3516" s="329">
        <v>0.48963560800111011</v>
      </c>
      <c r="K3516" s="329">
        <v>0.60616084271203508</v>
      </c>
    </row>
    <row r="3517" spans="1:11" ht="11.25" x14ac:dyDescent="0.15">
      <c r="A3517" s="326">
        <v>0.95</v>
      </c>
      <c r="B3517" s="327">
        <v>100</v>
      </c>
      <c r="C3517" s="327" t="s">
        <v>110</v>
      </c>
      <c r="D3517" s="327" t="s">
        <v>113</v>
      </c>
      <c r="E3517" s="328" t="s">
        <v>2857</v>
      </c>
      <c r="F3517" s="328">
        <v>56.961876499999995</v>
      </c>
      <c r="G3517" s="328">
        <v>4444.4021000000002</v>
      </c>
      <c r="H3517" s="328">
        <v>4779.847099999999</v>
      </c>
      <c r="I3517" s="329">
        <v>1.7355735052713261E-2</v>
      </c>
      <c r="J3517" s="329">
        <v>0.47751641598893191</v>
      </c>
      <c r="K3517" s="329">
        <v>0.597188098119254</v>
      </c>
    </row>
    <row r="3518" spans="1:11" ht="11.25" x14ac:dyDescent="0.15">
      <c r="A3518" s="326">
        <v>0.97499999999999998</v>
      </c>
      <c r="B3518" s="327">
        <v>100</v>
      </c>
      <c r="C3518" s="327" t="s">
        <v>110</v>
      </c>
      <c r="D3518" s="327" t="s">
        <v>79</v>
      </c>
      <c r="E3518" s="328" t="s">
        <v>2858</v>
      </c>
      <c r="F3518" s="328">
        <v>693.56790750000005</v>
      </c>
      <c r="G3518" s="328">
        <v>5144.547525</v>
      </c>
      <c r="H3518" s="328">
        <v>5196.0918750000001</v>
      </c>
      <c r="I3518" s="329">
        <v>0.21132346023808996</v>
      </c>
      <c r="J3518" s="329">
        <v>0.55274159285064017</v>
      </c>
      <c r="K3518" s="329">
        <v>0.64919319793391705</v>
      </c>
    </row>
    <row r="3519" spans="1:11" ht="11.25" x14ac:dyDescent="0.15">
      <c r="A3519" s="326">
        <v>0.97499999999999998</v>
      </c>
      <c r="B3519" s="327">
        <v>100</v>
      </c>
      <c r="C3519" s="327" t="s">
        <v>110</v>
      </c>
      <c r="D3519" s="327" t="s">
        <v>114</v>
      </c>
      <c r="E3519" s="328" t="s">
        <v>2859</v>
      </c>
      <c r="F3519" s="328">
        <v>168.09146250000001</v>
      </c>
      <c r="G3519" s="328">
        <v>4813.6715249999997</v>
      </c>
      <c r="H3519" s="328">
        <v>5121.6818250000006</v>
      </c>
      <c r="I3519" s="329">
        <v>5.1215849389601602E-2</v>
      </c>
      <c r="J3519" s="329">
        <v>0.5171915417747589</v>
      </c>
      <c r="K3519" s="329">
        <v>0.63989649966914242</v>
      </c>
    </row>
    <row r="3520" spans="1:11" ht="11.25" x14ac:dyDescent="0.15">
      <c r="A3520" s="326">
        <v>0.97499999999999998</v>
      </c>
      <c r="B3520" s="327">
        <v>100</v>
      </c>
      <c r="C3520" s="327" t="s">
        <v>110</v>
      </c>
      <c r="D3520" s="327" t="s">
        <v>113</v>
      </c>
      <c r="E3520" s="328" t="s">
        <v>2860</v>
      </c>
      <c r="F3520" s="328">
        <v>61.646949000000006</v>
      </c>
      <c r="G3520" s="328">
        <v>4678.0646249999991</v>
      </c>
      <c r="H3520" s="328">
        <v>5047.1430750000009</v>
      </c>
      <c r="I3520" s="329">
        <v>1.8783231511906511E-2</v>
      </c>
      <c r="J3520" s="329">
        <v>0.50262163576392116</v>
      </c>
      <c r="K3520" s="329">
        <v>0.63058372178788202</v>
      </c>
    </row>
    <row r="3521" spans="1:11" ht="11.25" x14ac:dyDescent="0.15">
      <c r="A3521" s="326">
        <v>1</v>
      </c>
      <c r="B3521" s="327">
        <v>100</v>
      </c>
      <c r="C3521" s="327" t="s">
        <v>110</v>
      </c>
      <c r="D3521" s="327" t="s">
        <v>79</v>
      </c>
      <c r="E3521" s="328" t="s">
        <v>2861</v>
      </c>
      <c r="F3521" s="328">
        <v>751.53980000000001</v>
      </c>
      <c r="G3521" s="328">
        <v>5468.3069999999998</v>
      </c>
      <c r="H3521" s="328">
        <v>5476.1030000000001</v>
      </c>
      <c r="I3521" s="329">
        <v>0.22898693743646445</v>
      </c>
      <c r="J3521" s="329">
        <v>0.58752702870138329</v>
      </c>
      <c r="K3521" s="329">
        <v>0.68417743648643947</v>
      </c>
    </row>
    <row r="3522" spans="1:11" ht="11.25" x14ac:dyDescent="0.15">
      <c r="A3522" s="326">
        <v>1</v>
      </c>
      <c r="B3522" s="327">
        <v>100</v>
      </c>
      <c r="C3522" s="327" t="s">
        <v>110</v>
      </c>
      <c r="D3522" s="327" t="s">
        <v>114</v>
      </c>
      <c r="E3522" s="328" t="s">
        <v>2862</v>
      </c>
      <c r="F3522" s="328">
        <v>181.99109999999999</v>
      </c>
      <c r="G3522" s="328">
        <v>5084.1719999999996</v>
      </c>
      <c r="H3522" s="328">
        <v>5399.1050000000005</v>
      </c>
      <c r="I3522" s="329">
        <v>5.5450935039891888E-2</v>
      </c>
      <c r="J3522" s="329">
        <v>0.54625471257681202</v>
      </c>
      <c r="K3522" s="329">
        <v>0.67455740299645905</v>
      </c>
    </row>
    <row r="3523" spans="1:11" ht="11.25" x14ac:dyDescent="0.15">
      <c r="A3523" s="326">
        <v>1</v>
      </c>
      <c r="B3523" s="327">
        <v>100</v>
      </c>
      <c r="C3523" s="327" t="s">
        <v>110</v>
      </c>
      <c r="D3523" s="327" t="s">
        <v>113</v>
      </c>
      <c r="E3523" s="328" t="s">
        <v>2863</v>
      </c>
      <c r="F3523" s="328">
        <v>66.663359999999997</v>
      </c>
      <c r="G3523" s="328">
        <v>4920.9349999999995</v>
      </c>
      <c r="H3523" s="328">
        <v>5321.6779999999999</v>
      </c>
      <c r="I3523" s="329">
        <v>2.0311683620248065E-2</v>
      </c>
      <c r="J3523" s="329">
        <v>0.5287161673590457</v>
      </c>
      <c r="K3523" s="329">
        <v>0.66488377078485972</v>
      </c>
    </row>
    <row r="3524" spans="1:11" ht="11.25" x14ac:dyDescent="0.15">
      <c r="A3524" s="326">
        <v>1.0249999999999999</v>
      </c>
      <c r="B3524" s="327">
        <v>100</v>
      </c>
      <c r="C3524" s="327" t="s">
        <v>110</v>
      </c>
      <c r="D3524" s="327" t="s">
        <v>79</v>
      </c>
      <c r="E3524" s="328" t="s">
        <v>2864</v>
      </c>
      <c r="F3524" s="328">
        <v>813.56433249999998</v>
      </c>
      <c r="G3524" s="328">
        <v>5812.1784499999994</v>
      </c>
      <c r="H3524" s="328">
        <v>5763.8138249999993</v>
      </c>
      <c r="I3524" s="329">
        <v>0.24788521500353869</v>
      </c>
      <c r="J3524" s="329">
        <v>0.62447333973946806</v>
      </c>
      <c r="K3524" s="329">
        <v>0.7201236658940855</v>
      </c>
    </row>
    <row r="3525" spans="1:11" ht="11.25" x14ac:dyDescent="0.15">
      <c r="A3525" s="326">
        <v>1.0249999999999999</v>
      </c>
      <c r="B3525" s="327">
        <v>100</v>
      </c>
      <c r="C3525" s="327" t="s">
        <v>110</v>
      </c>
      <c r="D3525" s="327" t="s">
        <v>114</v>
      </c>
      <c r="E3525" s="328" t="s">
        <v>2865</v>
      </c>
      <c r="F3525" s="328">
        <v>196.85616999999999</v>
      </c>
      <c r="G3525" s="328">
        <v>5369.1908749999993</v>
      </c>
      <c r="H3525" s="328">
        <v>5683.5347999999994</v>
      </c>
      <c r="I3525" s="329">
        <v>5.99801786728687E-2</v>
      </c>
      <c r="J3525" s="329">
        <v>0.57687777246583449</v>
      </c>
      <c r="K3525" s="329">
        <v>0.71009370525818605</v>
      </c>
    </row>
    <row r="3526" spans="1:11" ht="11.25" x14ac:dyDescent="0.15">
      <c r="A3526" s="326">
        <v>1.0249999999999999</v>
      </c>
      <c r="B3526" s="327">
        <v>100</v>
      </c>
      <c r="C3526" s="327" t="s">
        <v>110</v>
      </c>
      <c r="D3526" s="327" t="s">
        <v>113</v>
      </c>
      <c r="E3526" s="328" t="s">
        <v>2866</v>
      </c>
      <c r="F3526" s="328">
        <v>72.030450250000001</v>
      </c>
      <c r="G3526" s="328">
        <v>5175.1604249999991</v>
      </c>
      <c r="H3526" s="328">
        <v>5603.3746749999991</v>
      </c>
      <c r="I3526" s="329">
        <v>2.1946984317952441E-2</v>
      </c>
      <c r="J3526" s="329">
        <v>0.55603071070319154</v>
      </c>
      <c r="K3526" s="329">
        <v>0.70007859983907084</v>
      </c>
    </row>
    <row r="3527" spans="1:11" ht="11.25" x14ac:dyDescent="0.15">
      <c r="A3527" s="326">
        <v>1.05</v>
      </c>
      <c r="B3527" s="327">
        <v>100</v>
      </c>
      <c r="C3527" s="327" t="s">
        <v>110</v>
      </c>
      <c r="D3527" s="327" t="s">
        <v>79</v>
      </c>
      <c r="E3527" s="328" t="s">
        <v>2867</v>
      </c>
      <c r="F3527" s="328">
        <v>879.89023499999996</v>
      </c>
      <c r="G3527" s="328">
        <v>6176.6082000000006</v>
      </c>
      <c r="H3527" s="328">
        <v>6058.7509500000006</v>
      </c>
      <c r="I3527" s="329">
        <v>0.26809407857428308</v>
      </c>
      <c r="J3527" s="329">
        <v>0.66362848011251008</v>
      </c>
      <c r="K3527" s="329">
        <v>0.75697274015495697</v>
      </c>
    </row>
    <row r="3528" spans="1:11" ht="11.25" x14ac:dyDescent="0.15">
      <c r="A3528" s="326">
        <v>1.05</v>
      </c>
      <c r="B3528" s="327">
        <v>100</v>
      </c>
      <c r="C3528" s="327" t="s">
        <v>110</v>
      </c>
      <c r="D3528" s="327" t="s">
        <v>114</v>
      </c>
      <c r="E3528" s="328" t="s">
        <v>2868</v>
      </c>
      <c r="F3528" s="328">
        <v>212.74554000000001</v>
      </c>
      <c r="G3528" s="328">
        <v>5669.5264500000003</v>
      </c>
      <c r="H3528" s="328">
        <v>5975.34</v>
      </c>
      <c r="I3528" s="329">
        <v>6.4821516648708222E-2</v>
      </c>
      <c r="J3528" s="329">
        <v>0.60914649256385967</v>
      </c>
      <c r="K3528" s="329">
        <v>0.74655148074002287</v>
      </c>
    </row>
    <row r="3529" spans="1:11" ht="11.25" x14ac:dyDescent="0.15">
      <c r="A3529" s="326">
        <v>1.05</v>
      </c>
      <c r="B3529" s="327">
        <v>100</v>
      </c>
      <c r="C3529" s="327" t="s">
        <v>110</v>
      </c>
      <c r="D3529" s="327" t="s">
        <v>113</v>
      </c>
      <c r="E3529" s="328" t="s">
        <v>2869</v>
      </c>
      <c r="F3529" s="328">
        <v>77.771536499999996</v>
      </c>
      <c r="G3529" s="328">
        <v>5440.159200000001</v>
      </c>
      <c r="H3529" s="328">
        <v>5892.1821</v>
      </c>
      <c r="I3529" s="329">
        <v>2.3696237994133125E-2</v>
      </c>
      <c r="J3529" s="329">
        <v>0.58450276665858281</v>
      </c>
      <c r="K3529" s="329">
        <v>0.73616183707451921</v>
      </c>
    </row>
    <row r="3530" spans="1:11" ht="11.25" x14ac:dyDescent="0.15">
      <c r="A3530" s="326">
        <v>1.075</v>
      </c>
      <c r="B3530" s="327">
        <v>100</v>
      </c>
      <c r="C3530" s="327" t="s">
        <v>110</v>
      </c>
      <c r="D3530" s="327" t="s">
        <v>79</v>
      </c>
      <c r="E3530" s="328" t="s">
        <v>2870</v>
      </c>
      <c r="F3530" s="328">
        <v>950.77729999999997</v>
      </c>
      <c r="G3530" s="328">
        <v>6562.3772749999998</v>
      </c>
      <c r="H3530" s="328">
        <v>6361.0501999999988</v>
      </c>
      <c r="I3530" s="329">
        <v>0.2896926844208525</v>
      </c>
      <c r="J3530" s="329">
        <v>0.70507636487823933</v>
      </c>
      <c r="K3530" s="329">
        <v>0.79474162907409751</v>
      </c>
    </row>
    <row r="3531" spans="1:11" ht="11.25" x14ac:dyDescent="0.15">
      <c r="A3531" s="326">
        <v>1.075</v>
      </c>
      <c r="B3531" s="327">
        <v>100</v>
      </c>
      <c r="C3531" s="327" t="s">
        <v>110</v>
      </c>
      <c r="D3531" s="327" t="s">
        <v>114</v>
      </c>
      <c r="E3531" s="328" t="s">
        <v>2871</v>
      </c>
      <c r="F3531" s="328">
        <v>229.72319999999999</v>
      </c>
      <c r="G3531" s="328">
        <v>5987.3898749999998</v>
      </c>
      <c r="H3531" s="328">
        <v>6274.7266249999993</v>
      </c>
      <c r="I3531" s="329">
        <v>6.9994446103991304E-2</v>
      </c>
      <c r="J3531" s="329">
        <v>0.6432984437295669</v>
      </c>
      <c r="K3531" s="329">
        <v>0.78395646994691448</v>
      </c>
    </row>
    <row r="3532" spans="1:11" ht="11.25" x14ac:dyDescent="0.15">
      <c r="A3532" s="326">
        <v>1.075</v>
      </c>
      <c r="B3532" s="327">
        <v>100</v>
      </c>
      <c r="C3532" s="327" t="s">
        <v>110</v>
      </c>
      <c r="D3532" s="327" t="s">
        <v>113</v>
      </c>
      <c r="E3532" s="328" t="s">
        <v>2872</v>
      </c>
      <c r="F3532" s="328">
        <v>83.911328749999996</v>
      </c>
      <c r="G3532" s="328">
        <v>5717.3359</v>
      </c>
      <c r="H3532" s="328">
        <v>6188.2364249999991</v>
      </c>
      <c r="I3532" s="329">
        <v>2.556697354775735E-2</v>
      </c>
      <c r="J3532" s="329">
        <v>0.61428324587751737</v>
      </c>
      <c r="K3532" s="329">
        <v>0.7731504929013403</v>
      </c>
    </row>
    <row r="3533" spans="1:11" ht="11.25" x14ac:dyDescent="0.15">
      <c r="A3533" s="326">
        <v>1.1000000000000001</v>
      </c>
      <c r="B3533" s="327">
        <v>100</v>
      </c>
      <c r="C3533" s="327" t="s">
        <v>110</v>
      </c>
      <c r="D3533" s="327" t="s">
        <v>79</v>
      </c>
      <c r="E3533" s="328" t="s">
        <v>2873</v>
      </c>
      <c r="F3533" s="328">
        <v>1026.4998700000001</v>
      </c>
      <c r="G3533" s="328">
        <v>6970.7374000000009</v>
      </c>
      <c r="H3533" s="328">
        <v>6670.871900000001</v>
      </c>
      <c r="I3533" s="329">
        <v>0.31276462206024075</v>
      </c>
      <c r="J3533" s="329">
        <v>0.74895148214604745</v>
      </c>
      <c r="K3533" s="329">
        <v>0.83345036345580514</v>
      </c>
    </row>
    <row r="3534" spans="1:11" ht="11.25" x14ac:dyDescent="0.15">
      <c r="A3534" s="326">
        <v>1.1000000000000001</v>
      </c>
      <c r="B3534" s="327">
        <v>100</v>
      </c>
      <c r="C3534" s="327" t="s">
        <v>110</v>
      </c>
      <c r="D3534" s="327" t="s">
        <v>114</v>
      </c>
      <c r="E3534" s="328" t="s">
        <v>2874</v>
      </c>
      <c r="F3534" s="328">
        <v>247.85640000000004</v>
      </c>
      <c r="G3534" s="328">
        <v>6323.0133999999998</v>
      </c>
      <c r="H3534" s="328">
        <v>6580.9733000000006</v>
      </c>
      <c r="I3534" s="329">
        <v>7.5519457465895112E-2</v>
      </c>
      <c r="J3534" s="329">
        <v>0.67935857941791322</v>
      </c>
      <c r="K3534" s="329">
        <v>0.8222185451916636</v>
      </c>
    </row>
    <row r="3535" spans="1:11" ht="11.25" x14ac:dyDescent="0.15">
      <c r="A3535" s="326">
        <v>1.1000000000000001</v>
      </c>
      <c r="B3535" s="327">
        <v>100</v>
      </c>
      <c r="C3535" s="327" t="s">
        <v>110</v>
      </c>
      <c r="D3535" s="327" t="s">
        <v>113</v>
      </c>
      <c r="E3535" s="328" t="s">
        <v>2875</v>
      </c>
      <c r="F3535" s="328">
        <v>90.477398000000022</v>
      </c>
      <c r="G3535" s="328">
        <v>6009.1526000000003</v>
      </c>
      <c r="H3535" s="328">
        <v>6492.0163000000011</v>
      </c>
      <c r="I3535" s="329">
        <v>2.756759159693219E-2</v>
      </c>
      <c r="J3535" s="329">
        <v>0.64563667915703937</v>
      </c>
      <c r="K3535" s="329">
        <v>0.81110436924984441</v>
      </c>
    </row>
    <row r="3536" spans="1:11" ht="11.25" x14ac:dyDescent="0.15">
      <c r="A3536" s="326">
        <v>1.125</v>
      </c>
      <c r="B3536" s="327">
        <v>100</v>
      </c>
      <c r="C3536" s="327" t="s">
        <v>110</v>
      </c>
      <c r="D3536" s="327" t="s">
        <v>79</v>
      </c>
      <c r="E3536" s="328" t="s">
        <v>2876</v>
      </c>
      <c r="F3536" s="328">
        <v>1107.3490875</v>
      </c>
      <c r="G3536" s="328">
        <v>7402.6383750000005</v>
      </c>
      <c r="H3536" s="328">
        <v>6988.1377499999999</v>
      </c>
      <c r="I3536" s="329">
        <v>0.33739859980760634</v>
      </c>
      <c r="J3536" s="329">
        <v>0.79535588053388129</v>
      </c>
      <c r="K3536" s="329">
        <v>0.87308916059634289</v>
      </c>
    </row>
    <row r="3537" spans="1:11" ht="11.25" x14ac:dyDescent="0.15">
      <c r="A3537" s="326">
        <v>1.125</v>
      </c>
      <c r="B3537" s="327">
        <v>100</v>
      </c>
      <c r="C3537" s="327" t="s">
        <v>110</v>
      </c>
      <c r="D3537" s="327" t="s">
        <v>114</v>
      </c>
      <c r="E3537" s="328" t="s">
        <v>2877</v>
      </c>
      <c r="F3537" s="328">
        <v>267.21528749999999</v>
      </c>
      <c r="G3537" s="328">
        <v>6678.435375</v>
      </c>
      <c r="H3537" s="328">
        <v>6894.8212499999991</v>
      </c>
      <c r="I3537" s="329">
        <v>8.1417924001934899E-2</v>
      </c>
      <c r="J3537" s="329">
        <v>0.71754590447243694</v>
      </c>
      <c r="K3537" s="329">
        <v>0.86143031419555616</v>
      </c>
    </row>
    <row r="3538" spans="1:11" ht="11.25" x14ac:dyDescent="0.15">
      <c r="A3538" s="326">
        <v>1.125</v>
      </c>
      <c r="B3538" s="327">
        <v>100</v>
      </c>
      <c r="C3538" s="327" t="s">
        <v>110</v>
      </c>
      <c r="D3538" s="327" t="s">
        <v>113</v>
      </c>
      <c r="E3538" s="328" t="s">
        <v>2878</v>
      </c>
      <c r="F3538" s="328">
        <v>97.498170000000002</v>
      </c>
      <c r="G3538" s="328">
        <v>6314.7105000000001</v>
      </c>
      <c r="H3538" s="328">
        <v>6802.9762499999997</v>
      </c>
      <c r="I3538" s="329">
        <v>2.9706753193855837E-2</v>
      </c>
      <c r="J3538" s="329">
        <v>0.67846649743228138</v>
      </c>
      <c r="K3538" s="329">
        <v>0.84995531515808442</v>
      </c>
    </row>
    <row r="3539" spans="1:11" ht="11.25" x14ac:dyDescent="0.15">
      <c r="A3539" s="326">
        <v>1.1499999999999999</v>
      </c>
      <c r="B3539" s="327">
        <v>100</v>
      </c>
      <c r="C3539" s="327" t="s">
        <v>110</v>
      </c>
      <c r="D3539" s="327" t="s">
        <v>79</v>
      </c>
      <c r="E3539" s="328" t="s">
        <v>2879</v>
      </c>
      <c r="F3539" s="328">
        <v>1193.6321499999997</v>
      </c>
      <c r="G3539" s="328">
        <v>7857.6463999999996</v>
      </c>
      <c r="H3539" s="328">
        <v>7312.3738999999987</v>
      </c>
      <c r="I3539" s="329">
        <v>0.3636882177819491</v>
      </c>
      <c r="J3539" s="329">
        <v>0.84424295160789631</v>
      </c>
      <c r="K3539" s="329">
        <v>0.9135988182713779</v>
      </c>
    </row>
    <row r="3540" spans="1:11" ht="11.25" x14ac:dyDescent="0.15">
      <c r="A3540" s="326">
        <v>1.1499999999999999</v>
      </c>
      <c r="B3540" s="327">
        <v>100</v>
      </c>
      <c r="C3540" s="327" t="s">
        <v>110</v>
      </c>
      <c r="D3540" s="327" t="s">
        <v>114</v>
      </c>
      <c r="E3540" s="328" t="s">
        <v>2880</v>
      </c>
      <c r="F3540" s="328">
        <v>287.87662499999999</v>
      </c>
      <c r="G3540" s="328">
        <v>7053.7917999999991</v>
      </c>
      <c r="H3540" s="328">
        <v>7216.2062999999998</v>
      </c>
      <c r="I3540" s="329">
        <v>8.7713234506403434E-2</v>
      </c>
      <c r="J3540" s="329">
        <v>0.75787503103468434</v>
      </c>
      <c r="K3540" s="329">
        <v>0.90158375901463039</v>
      </c>
    </row>
    <row r="3541" spans="1:11" ht="11.25" x14ac:dyDescent="0.15">
      <c r="A3541" s="326">
        <v>1.1499999999999999</v>
      </c>
      <c r="B3541" s="327">
        <v>100</v>
      </c>
      <c r="C3541" s="327" t="s">
        <v>110</v>
      </c>
      <c r="D3541" s="327" t="s">
        <v>113</v>
      </c>
      <c r="E3541" s="328" t="s">
        <v>2881</v>
      </c>
      <c r="F3541" s="328">
        <v>105.0052465</v>
      </c>
      <c r="G3541" s="328">
        <v>6636.2578499999991</v>
      </c>
      <c r="H3541" s="328">
        <v>7120.7563</v>
      </c>
      <c r="I3541" s="329">
        <v>3.1994087087331938E-2</v>
      </c>
      <c r="J3541" s="329">
        <v>0.71301425766818316</v>
      </c>
      <c r="K3541" s="329">
        <v>0.8896583558013178</v>
      </c>
    </row>
    <row r="3542" spans="1:11" ht="11.25" x14ac:dyDescent="0.15">
      <c r="A3542" s="326">
        <v>1.175</v>
      </c>
      <c r="B3542" s="327">
        <v>100</v>
      </c>
      <c r="C3542" s="327" t="s">
        <v>110</v>
      </c>
      <c r="D3542" s="327" t="s">
        <v>79</v>
      </c>
      <c r="E3542" s="328" t="s">
        <v>2882</v>
      </c>
      <c r="F3542" s="328">
        <v>1285.6720749999999</v>
      </c>
      <c r="G3542" s="328">
        <v>8337.7718000000004</v>
      </c>
      <c r="H3542" s="328">
        <v>7644.3490750000001</v>
      </c>
      <c r="I3542" s="329">
        <v>0.39173189630387428</v>
      </c>
      <c r="J3542" s="329">
        <v>0.89582868914349256</v>
      </c>
      <c r="K3542" s="329">
        <v>0.9550753800176851</v>
      </c>
    </row>
    <row r="3543" spans="1:11" ht="11.25" x14ac:dyDescent="0.15">
      <c r="A3543" s="326">
        <v>1.175</v>
      </c>
      <c r="B3543" s="327">
        <v>100</v>
      </c>
      <c r="C3543" s="327" t="s">
        <v>110</v>
      </c>
      <c r="D3543" s="327" t="s">
        <v>114</v>
      </c>
      <c r="E3543" s="328" t="s">
        <v>2883</v>
      </c>
      <c r="F3543" s="328">
        <v>309.92082000000005</v>
      </c>
      <c r="G3543" s="328">
        <v>7450.1110000000008</v>
      </c>
      <c r="H3543" s="328">
        <v>7544.6068500000001</v>
      </c>
      <c r="I3543" s="329">
        <v>9.4429888369980897E-2</v>
      </c>
      <c r="J3543" s="329">
        <v>0.80045644462271259</v>
      </c>
      <c r="K3543" s="329">
        <v>0.94261371159947716</v>
      </c>
    </row>
    <row r="3544" spans="1:11" ht="11.25" x14ac:dyDescent="0.15">
      <c r="A3544" s="326">
        <v>1.175</v>
      </c>
      <c r="B3544" s="327">
        <v>100</v>
      </c>
      <c r="C3544" s="327" t="s">
        <v>110</v>
      </c>
      <c r="D3544" s="327" t="s">
        <v>113</v>
      </c>
      <c r="E3544" s="328" t="s">
        <v>2884</v>
      </c>
      <c r="F3544" s="328">
        <v>113.03245025000001</v>
      </c>
      <c r="G3544" s="328">
        <v>6975.640124999999</v>
      </c>
      <c r="H3544" s="328">
        <v>7446.1160000000009</v>
      </c>
      <c r="I3544" s="329">
        <v>3.4439898743469116E-2</v>
      </c>
      <c r="J3544" s="329">
        <v>0.74947824179063016</v>
      </c>
      <c r="K3544" s="329">
        <v>0.93030838840333385</v>
      </c>
    </row>
    <row r="3545" spans="1:11" ht="11.25" x14ac:dyDescent="0.15">
      <c r="A3545" s="326">
        <v>1.2</v>
      </c>
      <c r="B3545" s="327">
        <v>100</v>
      </c>
      <c r="C3545" s="327" t="s">
        <v>110</v>
      </c>
      <c r="D3545" s="327" t="s">
        <v>79</v>
      </c>
      <c r="E3545" s="328" t="s">
        <v>2885</v>
      </c>
      <c r="F3545" s="328">
        <v>1383.8136000000002</v>
      </c>
      <c r="G3545" s="328">
        <v>8843.8463999999985</v>
      </c>
      <c r="H3545" s="328">
        <v>7983.8927999999996</v>
      </c>
      <c r="I3545" s="329">
        <v>0.42163467356875667</v>
      </c>
      <c r="J3545" s="329">
        <v>0.95020246626303617</v>
      </c>
      <c r="K3545" s="329">
        <v>0.99749754690270465</v>
      </c>
    </row>
    <row r="3546" spans="1:11" ht="11.25" x14ac:dyDescent="0.15">
      <c r="A3546" s="326">
        <v>1.2</v>
      </c>
      <c r="B3546" s="327">
        <v>100</v>
      </c>
      <c r="C3546" s="327" t="s">
        <v>110</v>
      </c>
      <c r="D3546" s="327" t="s">
        <v>114</v>
      </c>
      <c r="E3546" s="328" t="s">
        <v>2886</v>
      </c>
      <c r="F3546" s="328">
        <v>333.43271999999996</v>
      </c>
      <c r="G3546" s="328">
        <v>7868.2427999999991</v>
      </c>
      <c r="H3546" s="328">
        <v>7880.2403999999997</v>
      </c>
      <c r="I3546" s="329">
        <v>0.10159373780857668</v>
      </c>
      <c r="J3546" s="329">
        <v>0.84538145231879847</v>
      </c>
      <c r="K3546" s="329">
        <v>0.9845473461271409</v>
      </c>
    </row>
    <row r="3547" spans="1:11" ht="11.25" x14ac:dyDescent="0.15">
      <c r="A3547" s="326">
        <v>1.2</v>
      </c>
      <c r="B3547" s="327">
        <v>100</v>
      </c>
      <c r="C3547" s="327" t="s">
        <v>110</v>
      </c>
      <c r="D3547" s="327" t="s">
        <v>113</v>
      </c>
      <c r="E3547" s="328" t="s">
        <v>2887</v>
      </c>
      <c r="F3547" s="328">
        <v>121.61447999999999</v>
      </c>
      <c r="G3547" s="328">
        <v>7333.4507999999996</v>
      </c>
      <c r="H3547" s="328">
        <v>7778.9627999999993</v>
      </c>
      <c r="I3547" s="329">
        <v>3.7054760537137424E-2</v>
      </c>
      <c r="J3547" s="329">
        <v>0.78792221406950669</v>
      </c>
      <c r="K3547" s="329">
        <v>0.97189384988327931</v>
      </c>
    </row>
    <row r="3548" spans="1:11" ht="11.25" x14ac:dyDescent="0.15">
      <c r="A3548" s="326">
        <v>1.2250000000000001</v>
      </c>
      <c r="B3548" s="327">
        <v>100</v>
      </c>
      <c r="C3548" s="327" t="s">
        <v>110</v>
      </c>
      <c r="D3548" s="327" t="s">
        <v>79</v>
      </c>
      <c r="E3548" s="328" t="s">
        <v>2888</v>
      </c>
      <c r="F3548" s="328">
        <v>1488.4191000000001</v>
      </c>
      <c r="G3548" s="328">
        <v>9375.2373750000006</v>
      </c>
      <c r="H3548" s="328">
        <v>8330.520625000001</v>
      </c>
      <c r="I3548" s="329">
        <v>0.45350696174831823</v>
      </c>
      <c r="J3548" s="329">
        <v>1.0072962908453944</v>
      </c>
      <c r="K3548" s="329">
        <v>1.0408047923514061</v>
      </c>
    </row>
    <row r="3549" spans="1:11" ht="11.25" x14ac:dyDescent="0.15">
      <c r="A3549" s="326">
        <v>1.2250000000000001</v>
      </c>
      <c r="B3549" s="327">
        <v>100</v>
      </c>
      <c r="C3549" s="327" t="s">
        <v>110</v>
      </c>
      <c r="D3549" s="327" t="s">
        <v>114</v>
      </c>
      <c r="E3549" s="328" t="s">
        <v>2889</v>
      </c>
      <c r="F3549" s="328">
        <v>358.50396749999999</v>
      </c>
      <c r="G3549" s="328">
        <v>8309.7066500000001</v>
      </c>
      <c r="H3549" s="328">
        <v>8223.3576250000006</v>
      </c>
      <c r="I3549" s="329">
        <v>0.1092327054091437</v>
      </c>
      <c r="J3549" s="329">
        <v>0.89281330719994789</v>
      </c>
      <c r="K3549" s="329">
        <v>1.0274159816175328</v>
      </c>
    </row>
    <row r="3550" spans="1:11" ht="11.25" x14ac:dyDescent="0.15">
      <c r="A3550" s="326">
        <v>1.2250000000000001</v>
      </c>
      <c r="B3550" s="327">
        <v>100</v>
      </c>
      <c r="C3550" s="327" t="s">
        <v>110</v>
      </c>
      <c r="D3550" s="327" t="s">
        <v>113</v>
      </c>
      <c r="E3550" s="328" t="s">
        <v>2890</v>
      </c>
      <c r="F3550" s="328">
        <v>130.79178000000002</v>
      </c>
      <c r="G3550" s="328">
        <v>7710.5518000000002</v>
      </c>
      <c r="H3550" s="328">
        <v>8118.8614500000003</v>
      </c>
      <c r="I3550" s="329">
        <v>3.9850995441710238E-2</v>
      </c>
      <c r="J3550" s="329">
        <v>0.82843878163791873</v>
      </c>
      <c r="K3550" s="329">
        <v>1.0143603606523794</v>
      </c>
    </row>
    <row r="3551" spans="1:11" ht="11.25" x14ac:dyDescent="0.15">
      <c r="A3551" s="326">
        <v>1.25</v>
      </c>
      <c r="B3551" s="327">
        <v>100</v>
      </c>
      <c r="C3551" s="327" t="s">
        <v>110</v>
      </c>
      <c r="D3551" s="327" t="s">
        <v>79</v>
      </c>
      <c r="E3551" s="328" t="s">
        <v>2891</v>
      </c>
      <c r="F3551" s="328">
        <v>1599.8724999999999</v>
      </c>
      <c r="G3551" s="328">
        <v>9933.6474999999991</v>
      </c>
      <c r="H3551" s="328">
        <v>8685.0687499999985</v>
      </c>
      <c r="I3551" s="329">
        <v>0.48746573909168878</v>
      </c>
      <c r="J3551" s="329">
        <v>1.0672931128120502</v>
      </c>
      <c r="K3551" s="329">
        <v>1.0851015901423851</v>
      </c>
    </row>
    <row r="3552" spans="1:11" ht="11.25" x14ac:dyDescent="0.15">
      <c r="A3552" s="326">
        <v>1.25</v>
      </c>
      <c r="B3552" s="327">
        <v>100</v>
      </c>
      <c r="C3552" s="327" t="s">
        <v>110</v>
      </c>
      <c r="D3552" s="327" t="s">
        <v>114</v>
      </c>
      <c r="E3552" s="328" t="s">
        <v>2892</v>
      </c>
      <c r="F3552" s="328">
        <v>385.23162500000001</v>
      </c>
      <c r="G3552" s="328">
        <v>8775.31</v>
      </c>
      <c r="H3552" s="328">
        <v>8574.3512499999997</v>
      </c>
      <c r="I3552" s="329">
        <v>0.11737636518042363</v>
      </c>
      <c r="J3552" s="329">
        <v>0.9428387634844817</v>
      </c>
      <c r="K3552" s="329">
        <v>1.0712686846392951</v>
      </c>
    </row>
    <row r="3553" spans="1:11" ht="11.25" x14ac:dyDescent="0.15">
      <c r="A3553" s="326">
        <v>1.25</v>
      </c>
      <c r="B3553" s="327">
        <v>100</v>
      </c>
      <c r="C3553" s="327" t="s">
        <v>110</v>
      </c>
      <c r="D3553" s="327" t="s">
        <v>113</v>
      </c>
      <c r="E3553" s="328" t="s">
        <v>2893</v>
      </c>
      <c r="F3553" s="328">
        <v>140.60624999999999</v>
      </c>
      <c r="G3553" s="328">
        <v>8106.85</v>
      </c>
      <c r="H3553" s="328">
        <v>8465.9025000000001</v>
      </c>
      <c r="I3553" s="329">
        <v>4.2841369907389973E-2</v>
      </c>
      <c r="J3553" s="329">
        <v>0.87101793893938462</v>
      </c>
      <c r="K3553" s="329">
        <v>1.0577192339139967</v>
      </c>
    </row>
    <row r="3554" spans="1:11" ht="11.25" x14ac:dyDescent="0.15">
      <c r="A3554" s="326">
        <v>1.2749999999999999</v>
      </c>
      <c r="B3554" s="327">
        <v>100</v>
      </c>
      <c r="C3554" s="327" t="s">
        <v>110</v>
      </c>
      <c r="D3554" s="327" t="s">
        <v>79</v>
      </c>
      <c r="E3554" s="328" t="s">
        <v>2894</v>
      </c>
      <c r="F3554" s="328">
        <v>1718.5801499999998</v>
      </c>
      <c r="G3554" s="328">
        <v>10518.792074999999</v>
      </c>
      <c r="H3554" s="328">
        <v>9047.2253249999994</v>
      </c>
      <c r="I3554" s="329">
        <v>0.52363481652947674</v>
      </c>
      <c r="J3554" s="329">
        <v>1.1301623433637518</v>
      </c>
      <c r="K3554" s="329">
        <v>1.1303489781280034</v>
      </c>
    </row>
    <row r="3555" spans="1:11" ht="11.25" x14ac:dyDescent="0.15">
      <c r="A3555" s="326">
        <v>1.2749999999999999</v>
      </c>
      <c r="B3555" s="327">
        <v>100</v>
      </c>
      <c r="C3555" s="327" t="s">
        <v>110</v>
      </c>
      <c r="D3555" s="327" t="s">
        <v>114</v>
      </c>
      <c r="E3555" s="328" t="s">
        <v>2895</v>
      </c>
      <c r="F3555" s="328">
        <v>413.71710000000002</v>
      </c>
      <c r="G3555" s="328">
        <v>9264.2940749999998</v>
      </c>
      <c r="H3555" s="328">
        <v>8931.9563999999991</v>
      </c>
      <c r="I3555" s="329">
        <v>0.12605561501080251</v>
      </c>
      <c r="J3555" s="329">
        <v>0.99537629670400363</v>
      </c>
      <c r="K3555" s="329">
        <v>1.1159474232973059</v>
      </c>
    </row>
    <row r="3556" spans="1:11" ht="11.25" x14ac:dyDescent="0.15">
      <c r="A3556" s="326">
        <v>1.2749999999999999</v>
      </c>
      <c r="B3556" s="327">
        <v>100</v>
      </c>
      <c r="C3556" s="327" t="s">
        <v>110</v>
      </c>
      <c r="D3556" s="327" t="s">
        <v>113</v>
      </c>
      <c r="E3556" s="328" t="s">
        <v>2896</v>
      </c>
      <c r="F3556" s="328">
        <v>151.102035</v>
      </c>
      <c r="G3556" s="328">
        <v>8524.535249999999</v>
      </c>
      <c r="H3556" s="328">
        <v>8820.5430749999996</v>
      </c>
      <c r="I3556" s="329">
        <v>4.6039334490425472E-2</v>
      </c>
      <c r="J3556" s="329">
        <v>0.91589496831335604</v>
      </c>
      <c r="K3556" s="329">
        <v>1.1020275822919541</v>
      </c>
    </row>
    <row r="3557" spans="1:11" ht="11.25" x14ac:dyDescent="0.15">
      <c r="A3557" s="326">
        <v>1.3</v>
      </c>
      <c r="B3557" s="327">
        <v>100</v>
      </c>
      <c r="C3557" s="327" t="s">
        <v>110</v>
      </c>
      <c r="D3557" s="327" t="s">
        <v>79</v>
      </c>
      <c r="E3557" s="328" t="s">
        <v>2897</v>
      </c>
      <c r="F3557" s="328">
        <v>1844.9756</v>
      </c>
      <c r="G3557" s="328">
        <v>11131.0056</v>
      </c>
      <c r="H3557" s="328">
        <v>9416.6592000000001</v>
      </c>
      <c r="I3557" s="329">
        <v>0.56214629257027171</v>
      </c>
      <c r="J3557" s="329">
        <v>1.1959399219221705</v>
      </c>
      <c r="K3557" s="329">
        <v>1.1765055828428439</v>
      </c>
    </row>
    <row r="3558" spans="1:11" ht="11.25" x14ac:dyDescent="0.15">
      <c r="A3558" s="326">
        <v>1.3</v>
      </c>
      <c r="B3558" s="327">
        <v>100</v>
      </c>
      <c r="C3558" s="327" t="s">
        <v>110</v>
      </c>
      <c r="D3558" s="327" t="s">
        <v>114</v>
      </c>
      <c r="E3558" s="328" t="s">
        <v>2898</v>
      </c>
      <c r="F3558" s="328">
        <v>444.07298000000003</v>
      </c>
      <c r="G3558" s="328">
        <v>9778.9042000000009</v>
      </c>
      <c r="H3558" s="328">
        <v>9297.2983999999997</v>
      </c>
      <c r="I3558" s="329">
        <v>0.13530475922696886</v>
      </c>
      <c r="J3558" s="329">
        <v>1.050667149554968</v>
      </c>
      <c r="K3558" s="329">
        <v>1.1615927942848181</v>
      </c>
    </row>
    <row r="3559" spans="1:11" ht="11.25" x14ac:dyDescent="0.15">
      <c r="A3559" s="326">
        <v>1.3</v>
      </c>
      <c r="B3559" s="327">
        <v>100</v>
      </c>
      <c r="C3559" s="327" t="s">
        <v>110</v>
      </c>
      <c r="D3559" s="327" t="s">
        <v>113</v>
      </c>
      <c r="E3559" s="328" t="s">
        <v>2899</v>
      </c>
      <c r="F3559" s="328">
        <v>162.33073999999999</v>
      </c>
      <c r="G3559" s="328">
        <v>8964.2903999999999</v>
      </c>
      <c r="H3559" s="328">
        <v>9182.4641999999985</v>
      </c>
      <c r="I3559" s="329">
        <v>4.9460612737202973E-2</v>
      </c>
      <c r="J3559" s="329">
        <v>0.96314323667788493</v>
      </c>
      <c r="K3559" s="329">
        <v>1.1472455534500545</v>
      </c>
    </row>
    <row r="3560" spans="1:11" ht="11.25" x14ac:dyDescent="0.15">
      <c r="A3560" s="326">
        <v>1.325</v>
      </c>
      <c r="B3560" s="327">
        <v>100</v>
      </c>
      <c r="C3560" s="327" t="s">
        <v>110</v>
      </c>
      <c r="D3560" s="327" t="s">
        <v>79</v>
      </c>
      <c r="E3560" s="328" t="s">
        <v>2900</v>
      </c>
      <c r="F3560" s="328">
        <v>1979.5128999999999</v>
      </c>
      <c r="G3560" s="328">
        <v>11772.353375000001</v>
      </c>
      <c r="H3560" s="328">
        <v>9792.8722749999997</v>
      </c>
      <c r="I3560" s="329">
        <v>0.60313851187518519</v>
      </c>
      <c r="J3560" s="329">
        <v>1.2648477488985992</v>
      </c>
      <c r="K3560" s="329">
        <v>1.2235091722980058</v>
      </c>
    </row>
    <row r="3561" spans="1:11" ht="11.25" x14ac:dyDescent="0.15">
      <c r="A3561" s="326">
        <v>1.325</v>
      </c>
      <c r="B3561" s="327">
        <v>100</v>
      </c>
      <c r="C3561" s="327" t="s">
        <v>110</v>
      </c>
      <c r="D3561" s="327" t="s">
        <v>114</v>
      </c>
      <c r="E3561" s="328" t="s">
        <v>2901</v>
      </c>
      <c r="F3561" s="328">
        <v>476.41739749999994</v>
      </c>
      <c r="G3561" s="328">
        <v>10318.147325</v>
      </c>
      <c r="H3561" s="328">
        <v>9669.961299999999</v>
      </c>
      <c r="I3561" s="329">
        <v>0.14515979166369591</v>
      </c>
      <c r="J3561" s="329">
        <v>1.108604626543531</v>
      </c>
      <c r="K3561" s="329">
        <v>1.2081528293308357</v>
      </c>
    </row>
    <row r="3562" spans="1:11" ht="11.25" x14ac:dyDescent="0.15">
      <c r="A3562" s="326">
        <v>1.325</v>
      </c>
      <c r="B3562" s="327">
        <v>100</v>
      </c>
      <c r="C3562" s="327" t="s">
        <v>110</v>
      </c>
      <c r="D3562" s="327" t="s">
        <v>113</v>
      </c>
      <c r="E3562" s="328" t="s">
        <v>2902</v>
      </c>
      <c r="F3562" s="328">
        <v>174.34509</v>
      </c>
      <c r="G3562" s="328">
        <v>9425.6604499999994</v>
      </c>
      <c r="H3562" s="328">
        <v>9551.4612499999985</v>
      </c>
      <c r="I3562" s="329">
        <v>5.3121269447319708E-2</v>
      </c>
      <c r="J3562" s="329">
        <v>1.0127138578241206</v>
      </c>
      <c r="K3562" s="329">
        <v>1.1933475817975963</v>
      </c>
    </row>
    <row r="3563" spans="1:11" ht="11.25" x14ac:dyDescent="0.15">
      <c r="A3563" s="326">
        <v>1.35</v>
      </c>
      <c r="B3563" s="327">
        <v>100</v>
      </c>
      <c r="C3563" s="327" t="s">
        <v>110</v>
      </c>
      <c r="D3563" s="327" t="s">
        <v>79</v>
      </c>
      <c r="E3563" s="328" t="s">
        <v>2903</v>
      </c>
      <c r="F3563" s="328">
        <v>2122.6819500000001</v>
      </c>
      <c r="G3563" s="328">
        <v>12440.780550000001</v>
      </c>
      <c r="H3563" s="328">
        <v>10178.4735</v>
      </c>
      <c r="I3563" s="329">
        <v>0.64676074225498426</v>
      </c>
      <c r="J3563" s="329">
        <v>1.3366650466529151</v>
      </c>
      <c r="K3563" s="329">
        <v>1.2716857054323407</v>
      </c>
    </row>
    <row r="3564" spans="1:11" ht="11.25" x14ac:dyDescent="0.15">
      <c r="A3564" s="326">
        <v>1.35</v>
      </c>
      <c r="B3564" s="327">
        <v>100</v>
      </c>
      <c r="C3564" s="327" t="s">
        <v>110</v>
      </c>
      <c r="D3564" s="327" t="s">
        <v>114</v>
      </c>
      <c r="E3564" s="328" t="s">
        <v>2904</v>
      </c>
      <c r="F3564" s="328">
        <v>510.87415500000003</v>
      </c>
      <c r="G3564" s="328">
        <v>10884.349350000002</v>
      </c>
      <c r="H3564" s="328">
        <v>10049.97645</v>
      </c>
      <c r="I3564" s="329">
        <v>0.15565843375013758</v>
      </c>
      <c r="J3564" s="329">
        <v>1.1694386275228026</v>
      </c>
      <c r="K3564" s="329">
        <v>1.2556314452650157</v>
      </c>
    </row>
    <row r="3565" spans="1:11" ht="11.25" x14ac:dyDescent="0.15">
      <c r="A3565" s="326">
        <v>1.35</v>
      </c>
      <c r="B3565" s="327">
        <v>100</v>
      </c>
      <c r="C3565" s="327" t="s">
        <v>110</v>
      </c>
      <c r="D3565" s="327" t="s">
        <v>113</v>
      </c>
      <c r="E3565" s="328" t="s">
        <v>2905</v>
      </c>
      <c r="F3565" s="328">
        <v>187.20382500000002</v>
      </c>
      <c r="G3565" s="328">
        <v>9910.2663000000011</v>
      </c>
      <c r="H3565" s="328">
        <v>9927.7258500000007</v>
      </c>
      <c r="I3565" s="329">
        <v>5.7039202132930081E-2</v>
      </c>
      <c r="J3565" s="329">
        <v>1.0647809848420091</v>
      </c>
      <c r="K3565" s="329">
        <v>1.2403576087215962</v>
      </c>
    </row>
    <row r="3566" spans="1:11" ht="11.25" x14ac:dyDescent="0.15">
      <c r="A3566" s="326">
        <v>1.375</v>
      </c>
      <c r="B3566" s="327">
        <v>100</v>
      </c>
      <c r="C3566" s="327" t="s">
        <v>110</v>
      </c>
      <c r="D3566" s="327" t="s">
        <v>79</v>
      </c>
      <c r="E3566" s="328" t="s">
        <v>2906</v>
      </c>
      <c r="F3566" s="328">
        <v>2274.9993750000003</v>
      </c>
      <c r="G3566" s="328">
        <v>13138.66675</v>
      </c>
      <c r="H3566" s="328">
        <v>10569.479249999999</v>
      </c>
      <c r="I3566" s="329">
        <v>0.6931703943704921</v>
      </c>
      <c r="J3566" s="329">
        <v>1.4116474873713492</v>
      </c>
      <c r="K3566" s="329">
        <v>1.32053747313767</v>
      </c>
    </row>
    <row r="3567" spans="1:11" ht="11.25" x14ac:dyDescent="0.15">
      <c r="A3567" s="326">
        <v>1.375</v>
      </c>
      <c r="B3567" s="327">
        <v>100</v>
      </c>
      <c r="C3567" s="327" t="s">
        <v>110</v>
      </c>
      <c r="D3567" s="327" t="s">
        <v>114</v>
      </c>
      <c r="E3567" s="328" t="s">
        <v>2907</v>
      </c>
      <c r="F3567" s="328">
        <v>547.5795875</v>
      </c>
      <c r="G3567" s="328">
        <v>11475.743125000001</v>
      </c>
      <c r="H3567" s="328">
        <v>10437.535625</v>
      </c>
      <c r="I3567" s="329">
        <v>0.16684222544747132</v>
      </c>
      <c r="J3567" s="329">
        <v>1.2329792859785629</v>
      </c>
      <c r="K3567" s="329">
        <v>1.3040526022151862</v>
      </c>
    </row>
    <row r="3568" spans="1:11" ht="11.25" x14ac:dyDescent="0.15">
      <c r="A3568" s="326">
        <v>1.375</v>
      </c>
      <c r="B3568" s="327">
        <v>100</v>
      </c>
      <c r="C3568" s="327" t="s">
        <v>110</v>
      </c>
      <c r="D3568" s="327" t="s">
        <v>113</v>
      </c>
      <c r="E3568" s="328" t="s">
        <v>2908</v>
      </c>
      <c r="F3568" s="328">
        <v>200.97055</v>
      </c>
      <c r="G3568" s="328">
        <v>10418.7655</v>
      </c>
      <c r="H3568" s="328">
        <v>10311.096125</v>
      </c>
      <c r="I3568" s="329">
        <v>6.1233790624823661E-2</v>
      </c>
      <c r="J3568" s="329">
        <v>1.1194152663615049</v>
      </c>
      <c r="K3568" s="329">
        <v>1.2882554097627017</v>
      </c>
    </row>
    <row r="3569" spans="1:11" ht="11.25" x14ac:dyDescent="0.15">
      <c r="A3569" s="326">
        <v>1.4</v>
      </c>
      <c r="B3569" s="327">
        <v>100</v>
      </c>
      <c r="C3569" s="327" t="s">
        <v>110</v>
      </c>
      <c r="D3569" s="327" t="s">
        <v>79</v>
      </c>
      <c r="E3569" s="328" t="s">
        <v>2909</v>
      </c>
      <c r="F3569" s="328">
        <v>2437.0149999999999</v>
      </c>
      <c r="G3569" s="328">
        <v>13865.745599999998</v>
      </c>
      <c r="H3569" s="328">
        <v>10969.326199999998</v>
      </c>
      <c r="I3569" s="329">
        <v>0.74253499460271488</v>
      </c>
      <c r="J3569" s="329">
        <v>1.4897664511332809</v>
      </c>
      <c r="K3569" s="329">
        <v>1.3704938492755772</v>
      </c>
    </row>
    <row r="3570" spans="1:11" ht="11.25" x14ac:dyDescent="0.15">
      <c r="A3570" s="326">
        <v>1.4</v>
      </c>
      <c r="B3570" s="327">
        <v>100</v>
      </c>
      <c r="C3570" s="327" t="s">
        <v>110</v>
      </c>
      <c r="D3570" s="327" t="s">
        <v>114</v>
      </c>
      <c r="E3570" s="328" t="s">
        <v>2910</v>
      </c>
      <c r="F3570" s="328">
        <v>586.68007999999998</v>
      </c>
      <c r="G3570" s="328">
        <v>12094.717599999998</v>
      </c>
      <c r="H3570" s="328">
        <v>10832.362799999999</v>
      </c>
      <c r="I3570" s="329">
        <v>0.17875576885506256</v>
      </c>
      <c r="J3570" s="329">
        <v>1.2994832759957193</v>
      </c>
      <c r="K3570" s="329">
        <v>1.3533818139642497</v>
      </c>
    </row>
    <row r="3571" spans="1:11" ht="11.25" x14ac:dyDescent="0.15">
      <c r="A3571" s="326">
        <v>1.4</v>
      </c>
      <c r="B3571" s="327">
        <v>100</v>
      </c>
      <c r="C3571" s="327" t="s">
        <v>110</v>
      </c>
      <c r="D3571" s="327" t="s">
        <v>113</v>
      </c>
      <c r="E3571" s="328" t="s">
        <v>2911</v>
      </c>
      <c r="F3571" s="328">
        <v>215.71508</v>
      </c>
      <c r="G3571" s="328">
        <v>10952.461799999997</v>
      </c>
      <c r="H3571" s="328">
        <v>10702.508599999999</v>
      </c>
      <c r="I3571" s="329">
        <v>6.572630688096881E-2</v>
      </c>
      <c r="J3571" s="329">
        <v>1.1767567801733521</v>
      </c>
      <c r="K3571" s="329">
        <v>1.3371579931791042</v>
      </c>
    </row>
    <row r="3572" spans="1:11" ht="11.25" x14ac:dyDescent="0.15">
      <c r="A3572" s="326">
        <v>0.9</v>
      </c>
      <c r="B3572" s="327">
        <v>105</v>
      </c>
      <c r="C3572" s="327" t="s">
        <v>110</v>
      </c>
      <c r="D3572" s="327" t="s">
        <v>79</v>
      </c>
      <c r="E3572" s="328" t="s">
        <v>2912</v>
      </c>
      <c r="F3572" s="328">
        <v>626.98662000000013</v>
      </c>
      <c r="G3572" s="328">
        <v>4295.7489600000008</v>
      </c>
      <c r="H3572" s="328">
        <v>4401.8575200000005</v>
      </c>
      <c r="I3572" s="329">
        <v>0.19103678331798307</v>
      </c>
      <c r="J3572" s="329">
        <v>0.46154479302567647</v>
      </c>
      <c r="K3572" s="329">
        <v>0.54996255435884911</v>
      </c>
    </row>
    <row r="3573" spans="1:11" ht="11.25" x14ac:dyDescent="0.15">
      <c r="A3573" s="326">
        <v>0.9</v>
      </c>
      <c r="B3573" s="327">
        <v>105</v>
      </c>
      <c r="C3573" s="327" t="s">
        <v>110</v>
      </c>
      <c r="D3573" s="327" t="s">
        <v>114</v>
      </c>
      <c r="E3573" s="328" t="s">
        <v>2913</v>
      </c>
      <c r="F3573" s="328">
        <v>156.70524600000002</v>
      </c>
      <c r="G3573" s="328">
        <v>4086.4255200000002</v>
      </c>
      <c r="H3573" s="328">
        <v>4335.8895000000002</v>
      </c>
      <c r="I3573" s="329">
        <v>4.7746578906090902E-2</v>
      </c>
      <c r="J3573" s="329">
        <v>0.43905461850900201</v>
      </c>
      <c r="K3573" s="329">
        <v>0.54172059272779749</v>
      </c>
    </row>
    <row r="3574" spans="1:11" ht="11.25" x14ac:dyDescent="0.15">
      <c r="A3574" s="326">
        <v>0.9</v>
      </c>
      <c r="B3574" s="327">
        <v>105</v>
      </c>
      <c r="C3574" s="327" t="s">
        <v>110</v>
      </c>
      <c r="D3574" s="327" t="s">
        <v>113</v>
      </c>
      <c r="E3574" s="328" t="s">
        <v>2914</v>
      </c>
      <c r="F3574" s="328">
        <v>58.704512399999999</v>
      </c>
      <c r="G3574" s="328">
        <v>4006.0367999999999</v>
      </c>
      <c r="H3574" s="328">
        <v>4269.6372600000004</v>
      </c>
      <c r="I3574" s="329">
        <v>1.7886699424537397E-2</v>
      </c>
      <c r="J3574" s="329">
        <v>0.43041747619005255</v>
      </c>
      <c r="K3574" s="329">
        <v>0.53344312100663294</v>
      </c>
    </row>
    <row r="3575" spans="1:11" ht="11.25" x14ac:dyDescent="0.15">
      <c r="A3575" s="326">
        <v>0.92500000000000004</v>
      </c>
      <c r="B3575" s="327">
        <v>105</v>
      </c>
      <c r="C3575" s="327" t="s">
        <v>110</v>
      </c>
      <c r="D3575" s="327" t="s">
        <v>79</v>
      </c>
      <c r="E3575" s="328" t="s">
        <v>2915</v>
      </c>
      <c r="F3575" s="328">
        <v>680.73587900000007</v>
      </c>
      <c r="G3575" s="328">
        <v>4570.6362700000009</v>
      </c>
      <c r="H3575" s="328">
        <v>4659.9805400000005</v>
      </c>
      <c r="I3575" s="329">
        <v>0.20741366476576442</v>
      </c>
      <c r="J3575" s="329">
        <v>0.49107929510685372</v>
      </c>
      <c r="K3575" s="329">
        <v>0.58221212054154103</v>
      </c>
    </row>
    <row r="3576" spans="1:11" ht="11.25" x14ac:dyDescent="0.15">
      <c r="A3576" s="326">
        <v>0.92500000000000004</v>
      </c>
      <c r="B3576" s="327">
        <v>105</v>
      </c>
      <c r="C3576" s="327" t="s">
        <v>110</v>
      </c>
      <c r="D3576" s="327" t="s">
        <v>114</v>
      </c>
      <c r="E3576" s="328" t="s">
        <v>2916</v>
      </c>
      <c r="F3576" s="328">
        <v>169.97986850000001</v>
      </c>
      <c r="G3576" s="328">
        <v>4321.2209350000012</v>
      </c>
      <c r="H3576" s="328">
        <v>4591.2397199999996</v>
      </c>
      <c r="I3576" s="329">
        <v>5.1791228506684488E-2</v>
      </c>
      <c r="J3576" s="329">
        <v>0.46428155849749547</v>
      </c>
      <c r="K3576" s="329">
        <v>0.5736237287582644</v>
      </c>
    </row>
    <row r="3577" spans="1:11" ht="11.25" x14ac:dyDescent="0.15">
      <c r="A3577" s="326">
        <v>0.92500000000000004</v>
      </c>
      <c r="B3577" s="327">
        <v>105</v>
      </c>
      <c r="C3577" s="327" t="s">
        <v>110</v>
      </c>
      <c r="D3577" s="327" t="s">
        <v>113</v>
      </c>
      <c r="E3577" s="328" t="s">
        <v>2917</v>
      </c>
      <c r="F3577" s="328">
        <v>63.5623</v>
      </c>
      <c r="G3577" s="328">
        <v>4223.8197300000002</v>
      </c>
      <c r="H3577" s="328">
        <v>4522.4263799999999</v>
      </c>
      <c r="I3577" s="329">
        <v>1.9366820510926745E-2</v>
      </c>
      <c r="J3577" s="329">
        <v>0.45381655706915852</v>
      </c>
      <c r="K3577" s="329">
        <v>0.56502627641719827</v>
      </c>
    </row>
    <row r="3578" spans="1:11" ht="11.25" x14ac:dyDescent="0.15">
      <c r="A3578" s="326">
        <v>0.95</v>
      </c>
      <c r="B3578" s="327">
        <v>105</v>
      </c>
      <c r="C3578" s="327" t="s">
        <v>110</v>
      </c>
      <c r="D3578" s="327" t="s">
        <v>79</v>
      </c>
      <c r="E3578" s="328" t="s">
        <v>2918</v>
      </c>
      <c r="F3578" s="328">
        <v>738.27289199999996</v>
      </c>
      <c r="G3578" s="328">
        <v>4861.1995900000002</v>
      </c>
      <c r="H3578" s="328">
        <v>4925.3833000000004</v>
      </c>
      <c r="I3578" s="329">
        <v>0.22494463836970666</v>
      </c>
      <c r="J3578" s="329">
        <v>0.52229806246011479</v>
      </c>
      <c r="K3578" s="329">
        <v>0.61537120830399283</v>
      </c>
    </row>
    <row r="3579" spans="1:11" ht="11.25" x14ac:dyDescent="0.15">
      <c r="A3579" s="326">
        <v>0.95</v>
      </c>
      <c r="B3579" s="327">
        <v>105</v>
      </c>
      <c r="C3579" s="327" t="s">
        <v>110</v>
      </c>
      <c r="D3579" s="327" t="s">
        <v>114</v>
      </c>
      <c r="E3579" s="328" t="s">
        <v>2919</v>
      </c>
      <c r="F3579" s="328">
        <v>184.17800099999999</v>
      </c>
      <c r="G3579" s="328">
        <v>4567.9967199999992</v>
      </c>
      <c r="H3579" s="328">
        <v>4853.9385499999989</v>
      </c>
      <c r="I3579" s="329">
        <v>5.6117262708056295E-2</v>
      </c>
      <c r="J3579" s="329">
        <v>0.49079569600230277</v>
      </c>
      <c r="K3579" s="329">
        <v>0.60644499089986159</v>
      </c>
    </row>
    <row r="3580" spans="1:11" ht="11.25" x14ac:dyDescent="0.15">
      <c r="A3580" s="326">
        <v>0.95</v>
      </c>
      <c r="B3580" s="327">
        <v>105</v>
      </c>
      <c r="C3580" s="327" t="s">
        <v>110</v>
      </c>
      <c r="D3580" s="327" t="s">
        <v>113</v>
      </c>
      <c r="E3580" s="328" t="s">
        <v>2920</v>
      </c>
      <c r="F3580" s="328">
        <v>68.754346200000001</v>
      </c>
      <c r="G3580" s="328">
        <v>4449.2113799999997</v>
      </c>
      <c r="H3580" s="328">
        <v>4782.2578199999989</v>
      </c>
      <c r="I3580" s="329">
        <v>2.0948786972804924E-2</v>
      </c>
      <c r="J3580" s="329">
        <v>0.47803313569552347</v>
      </c>
      <c r="K3580" s="329">
        <v>0.59748929045067778</v>
      </c>
    </row>
    <row r="3581" spans="1:11" ht="11.25" x14ac:dyDescent="0.15">
      <c r="A3581" s="326">
        <v>0.97499999999999998</v>
      </c>
      <c r="B3581" s="327">
        <v>105</v>
      </c>
      <c r="C3581" s="327" t="s">
        <v>110</v>
      </c>
      <c r="D3581" s="327" t="s">
        <v>79</v>
      </c>
      <c r="E3581" s="328" t="s">
        <v>2921</v>
      </c>
      <c r="F3581" s="328">
        <v>799.834971</v>
      </c>
      <c r="G3581" s="328">
        <v>5170.0195949999998</v>
      </c>
      <c r="H3581" s="328">
        <v>5198.2070400000002</v>
      </c>
      <c r="I3581" s="329">
        <v>0.24370201081017048</v>
      </c>
      <c r="J3581" s="329">
        <v>0.55547836852946975</v>
      </c>
      <c r="K3581" s="329">
        <v>0.64945746399455284</v>
      </c>
    </row>
    <row r="3582" spans="1:11" ht="11.25" x14ac:dyDescent="0.15">
      <c r="A3582" s="326">
        <v>0.97499999999999998</v>
      </c>
      <c r="B3582" s="327">
        <v>105</v>
      </c>
      <c r="C3582" s="327" t="s">
        <v>110</v>
      </c>
      <c r="D3582" s="327" t="s">
        <v>114</v>
      </c>
      <c r="E3582" s="328" t="s">
        <v>2922</v>
      </c>
      <c r="F3582" s="328">
        <v>199.35871800000001</v>
      </c>
      <c r="G3582" s="328">
        <v>4826.4418799999994</v>
      </c>
      <c r="H3582" s="328">
        <v>5123.9643000000005</v>
      </c>
      <c r="I3582" s="329">
        <v>6.0742680941288485E-2</v>
      </c>
      <c r="J3582" s="329">
        <v>0.51856361703106979</v>
      </c>
      <c r="K3582" s="329">
        <v>0.64018166923120945</v>
      </c>
    </row>
    <row r="3583" spans="1:11" ht="11.25" x14ac:dyDescent="0.15">
      <c r="A3583" s="326">
        <v>0.97499999999999998</v>
      </c>
      <c r="B3583" s="327">
        <v>105</v>
      </c>
      <c r="C3583" s="327" t="s">
        <v>110</v>
      </c>
      <c r="D3583" s="327" t="s">
        <v>113</v>
      </c>
      <c r="E3583" s="328" t="s">
        <v>2923</v>
      </c>
      <c r="F3583" s="328">
        <v>74.3036697</v>
      </c>
      <c r="G3583" s="328">
        <v>4684.188404999999</v>
      </c>
      <c r="H3583" s="328">
        <v>5049.6180150000009</v>
      </c>
      <c r="I3583" s="329">
        <v>2.2639612386321548E-2</v>
      </c>
      <c r="J3583" s="329">
        <v>0.50327958826509211</v>
      </c>
      <c r="K3583" s="329">
        <v>0.63089293768551169</v>
      </c>
    </row>
    <row r="3584" spans="1:11" ht="11.25" x14ac:dyDescent="0.15">
      <c r="A3584" s="326">
        <v>1</v>
      </c>
      <c r="B3584" s="327">
        <v>105</v>
      </c>
      <c r="C3584" s="327" t="s">
        <v>110</v>
      </c>
      <c r="D3584" s="327" t="s">
        <v>79</v>
      </c>
      <c r="E3584" s="328" t="s">
        <v>2924</v>
      </c>
      <c r="F3584" s="328">
        <v>865.66503999999998</v>
      </c>
      <c r="G3584" s="328">
        <v>5496.7811999999994</v>
      </c>
      <c r="H3584" s="328">
        <v>5478.3019999999997</v>
      </c>
      <c r="I3584" s="329">
        <v>0.26375979868985577</v>
      </c>
      <c r="J3584" s="329">
        <v>0.5905863598838953</v>
      </c>
      <c r="K3584" s="329">
        <v>0.68445217678676507</v>
      </c>
    </row>
    <row r="3585" spans="1:11" ht="11.25" x14ac:dyDescent="0.15">
      <c r="A3585" s="326">
        <v>1</v>
      </c>
      <c r="B3585" s="327">
        <v>105</v>
      </c>
      <c r="C3585" s="327" t="s">
        <v>110</v>
      </c>
      <c r="D3585" s="327" t="s">
        <v>114</v>
      </c>
      <c r="E3585" s="328" t="s">
        <v>2925</v>
      </c>
      <c r="F3585" s="328">
        <v>215.58169999999998</v>
      </c>
      <c r="G3585" s="328">
        <v>5099.0247999999992</v>
      </c>
      <c r="H3585" s="328">
        <v>5401.4562000000005</v>
      </c>
      <c r="I3585" s="329">
        <v>6.5685667279825555E-2</v>
      </c>
      <c r="J3585" s="329">
        <v>0.54785053034123077</v>
      </c>
      <c r="K3585" s="329">
        <v>0.67485115897377845</v>
      </c>
    </row>
    <row r="3586" spans="1:11" ht="11.25" x14ac:dyDescent="0.15">
      <c r="A3586" s="326">
        <v>1</v>
      </c>
      <c r="B3586" s="327">
        <v>105</v>
      </c>
      <c r="C3586" s="327" t="s">
        <v>110</v>
      </c>
      <c r="D3586" s="327" t="s">
        <v>113</v>
      </c>
      <c r="E3586" s="328" t="s">
        <v>2926</v>
      </c>
      <c r="F3586" s="328">
        <v>80.23414799999999</v>
      </c>
      <c r="G3586" s="328">
        <v>4928.4249999999993</v>
      </c>
      <c r="H3586" s="328">
        <v>5324.1773999999996</v>
      </c>
      <c r="I3586" s="329">
        <v>2.444657199571337E-2</v>
      </c>
      <c r="J3586" s="329">
        <v>0.5295209095662724</v>
      </c>
      <c r="K3586" s="329">
        <v>0.66519604268419286</v>
      </c>
    </row>
    <row r="3587" spans="1:11" ht="11.25" x14ac:dyDescent="0.15">
      <c r="A3587" s="326">
        <v>1.0249999999999999</v>
      </c>
      <c r="B3587" s="327">
        <v>105</v>
      </c>
      <c r="C3587" s="327" t="s">
        <v>110</v>
      </c>
      <c r="D3587" s="327" t="s">
        <v>79</v>
      </c>
      <c r="E3587" s="328" t="s">
        <v>2927</v>
      </c>
      <c r="F3587" s="328">
        <v>936.00810599999988</v>
      </c>
      <c r="G3587" s="328">
        <v>5843.7117549999994</v>
      </c>
      <c r="H3587" s="328">
        <v>5766.0308999999997</v>
      </c>
      <c r="I3587" s="329">
        <v>0.28519265328149696</v>
      </c>
      <c r="J3587" s="329">
        <v>0.62786134794599047</v>
      </c>
      <c r="K3587" s="329">
        <v>0.7204006644622275</v>
      </c>
    </row>
    <row r="3588" spans="1:11" ht="11.25" x14ac:dyDescent="0.15">
      <c r="A3588" s="326">
        <v>1.0249999999999999</v>
      </c>
      <c r="B3588" s="327">
        <v>105</v>
      </c>
      <c r="C3588" s="327" t="s">
        <v>110</v>
      </c>
      <c r="D3588" s="327" t="s">
        <v>114</v>
      </c>
      <c r="E3588" s="328" t="s">
        <v>2928</v>
      </c>
      <c r="F3588" s="328">
        <v>232.906691</v>
      </c>
      <c r="G3588" s="328">
        <v>5386.2171499999995</v>
      </c>
      <c r="H3588" s="328">
        <v>5685.9398599999995</v>
      </c>
      <c r="I3588" s="329">
        <v>7.0964425144950355E-2</v>
      </c>
      <c r="J3588" s="329">
        <v>0.57870711320339785</v>
      </c>
      <c r="K3588" s="329">
        <v>0.71039419043631291</v>
      </c>
    </row>
    <row r="3589" spans="1:11" ht="11.25" x14ac:dyDescent="0.15">
      <c r="A3589" s="326">
        <v>1.0249999999999999</v>
      </c>
      <c r="B3589" s="327">
        <v>105</v>
      </c>
      <c r="C3589" s="327" t="s">
        <v>110</v>
      </c>
      <c r="D3589" s="327" t="s">
        <v>113</v>
      </c>
      <c r="E3589" s="328" t="s">
        <v>2929</v>
      </c>
      <c r="F3589" s="328">
        <v>86.567408200000003</v>
      </c>
      <c r="G3589" s="328">
        <v>5184.017859999999</v>
      </c>
      <c r="H3589" s="328">
        <v>5605.9267199999995</v>
      </c>
      <c r="I3589" s="329">
        <v>2.6376255370015374E-2</v>
      </c>
      <c r="J3589" s="329">
        <v>0.55698237315876797</v>
      </c>
      <c r="K3589" s="329">
        <v>0.70039744913863633</v>
      </c>
    </row>
    <row r="3590" spans="1:11" ht="11.25" x14ac:dyDescent="0.15">
      <c r="A3590" s="326">
        <v>1.05</v>
      </c>
      <c r="B3590" s="327">
        <v>105</v>
      </c>
      <c r="C3590" s="327" t="s">
        <v>110</v>
      </c>
      <c r="D3590" s="327" t="s">
        <v>79</v>
      </c>
      <c r="E3590" s="328" t="s">
        <v>2930</v>
      </c>
      <c r="F3590" s="328">
        <v>1011.1335779999999</v>
      </c>
      <c r="G3590" s="328">
        <v>6211.2676500000007</v>
      </c>
      <c r="H3590" s="328">
        <v>6061.0044600000001</v>
      </c>
      <c r="I3590" s="329">
        <v>0.30808266091216252</v>
      </c>
      <c r="J3590" s="329">
        <v>0.66735236826928768</v>
      </c>
      <c r="K3590" s="329">
        <v>0.75725429086627416</v>
      </c>
    </row>
    <row r="3591" spans="1:11" ht="11.25" x14ac:dyDescent="0.15">
      <c r="A3591" s="326">
        <v>1.05</v>
      </c>
      <c r="B3591" s="327">
        <v>105</v>
      </c>
      <c r="C3591" s="327" t="s">
        <v>110</v>
      </c>
      <c r="D3591" s="327" t="s">
        <v>114</v>
      </c>
      <c r="E3591" s="328" t="s">
        <v>2931</v>
      </c>
      <c r="F3591" s="328">
        <v>251.399169</v>
      </c>
      <c r="G3591" s="328">
        <v>5688.9363300000005</v>
      </c>
      <c r="H3591" s="328">
        <v>5977.7936399999999</v>
      </c>
      <c r="I3591" s="329">
        <v>7.6598905052509728E-2</v>
      </c>
      <c r="J3591" s="329">
        <v>0.61123193310767887</v>
      </c>
      <c r="K3591" s="329">
        <v>0.74685803544238338</v>
      </c>
    </row>
    <row r="3592" spans="1:11" ht="11.25" x14ac:dyDescent="0.15">
      <c r="A3592" s="326">
        <v>1.05</v>
      </c>
      <c r="B3592" s="327">
        <v>105</v>
      </c>
      <c r="C3592" s="327" t="s">
        <v>110</v>
      </c>
      <c r="D3592" s="327" t="s">
        <v>113</v>
      </c>
      <c r="E3592" s="328" t="s">
        <v>2932</v>
      </c>
      <c r="F3592" s="328">
        <v>93.329275199999998</v>
      </c>
      <c r="G3592" s="328">
        <v>5450.7213600000005</v>
      </c>
      <c r="H3592" s="328">
        <v>5894.8278900000005</v>
      </c>
      <c r="I3592" s="329">
        <v>2.843653110748489E-2</v>
      </c>
      <c r="J3592" s="329">
        <v>0.58563758854796621</v>
      </c>
      <c r="K3592" s="329">
        <v>0.73649239875673767</v>
      </c>
    </row>
    <row r="3593" spans="1:11" ht="11.25" x14ac:dyDescent="0.15">
      <c r="A3593" s="326">
        <v>1.075</v>
      </c>
      <c r="B3593" s="327">
        <v>105</v>
      </c>
      <c r="C3593" s="327" t="s">
        <v>110</v>
      </c>
      <c r="D3593" s="327" t="s">
        <v>79</v>
      </c>
      <c r="E3593" s="328" t="s">
        <v>2933</v>
      </c>
      <c r="F3593" s="328">
        <v>1091.32366</v>
      </c>
      <c r="G3593" s="328">
        <v>6600.393145</v>
      </c>
      <c r="H3593" s="328">
        <v>6363.3264049999989</v>
      </c>
      <c r="I3593" s="329">
        <v>0.33251580642216605</v>
      </c>
      <c r="J3593" s="329">
        <v>0.70916087424185004</v>
      </c>
      <c r="K3593" s="329">
        <v>0.79502601527023331</v>
      </c>
    </row>
    <row r="3594" spans="1:11" ht="11.25" x14ac:dyDescent="0.15">
      <c r="A3594" s="326">
        <v>1.075</v>
      </c>
      <c r="B3594" s="327">
        <v>105</v>
      </c>
      <c r="C3594" s="327" t="s">
        <v>110</v>
      </c>
      <c r="D3594" s="327" t="s">
        <v>114</v>
      </c>
      <c r="E3594" s="328" t="s">
        <v>2934</v>
      </c>
      <c r="F3594" s="328">
        <v>271.1297275</v>
      </c>
      <c r="G3594" s="328">
        <v>6009.4886500000002</v>
      </c>
      <c r="H3594" s="328">
        <v>6277.2167549999995</v>
      </c>
      <c r="I3594" s="329">
        <v>8.2610616161922695E-2</v>
      </c>
      <c r="J3594" s="329">
        <v>0.64567278511414727</v>
      </c>
      <c r="K3594" s="329">
        <v>0.78426758366408122</v>
      </c>
    </row>
    <row r="3595" spans="1:11" ht="11.25" x14ac:dyDescent="0.15">
      <c r="A3595" s="326">
        <v>1.075</v>
      </c>
      <c r="B3595" s="327">
        <v>105</v>
      </c>
      <c r="C3595" s="327" t="s">
        <v>110</v>
      </c>
      <c r="D3595" s="327" t="s">
        <v>113</v>
      </c>
      <c r="E3595" s="328" t="s">
        <v>2935</v>
      </c>
      <c r="F3595" s="328">
        <v>100.5467495</v>
      </c>
      <c r="G3595" s="328">
        <v>5729.8106299999999</v>
      </c>
      <c r="H3595" s="328">
        <v>6190.9209149999988</v>
      </c>
      <c r="I3595" s="329">
        <v>3.0635626000374651E-2</v>
      </c>
      <c r="J3595" s="329">
        <v>0.61562355852835271</v>
      </c>
      <c r="K3595" s="329">
        <v>0.77348588971299148</v>
      </c>
    </row>
    <row r="3596" spans="1:11" ht="11.25" x14ac:dyDescent="0.15">
      <c r="A3596" s="326">
        <v>1.1000000000000001</v>
      </c>
      <c r="B3596" s="327">
        <v>105</v>
      </c>
      <c r="C3596" s="327" t="s">
        <v>110</v>
      </c>
      <c r="D3596" s="327" t="s">
        <v>79</v>
      </c>
      <c r="E3596" s="328" t="s">
        <v>2936</v>
      </c>
      <c r="F3596" s="328">
        <v>1176.8760960000002</v>
      </c>
      <c r="G3596" s="328">
        <v>7012.3629400000009</v>
      </c>
      <c r="H3596" s="328">
        <v>6673.2267800000009</v>
      </c>
      <c r="I3596" s="329">
        <v>0.35858280954012356</v>
      </c>
      <c r="J3596" s="329">
        <v>0.75342382245801065</v>
      </c>
      <c r="K3596" s="329">
        <v>0.83374457920770628</v>
      </c>
    </row>
    <row r="3597" spans="1:11" ht="11.25" x14ac:dyDescent="0.15">
      <c r="A3597" s="326">
        <v>1.1000000000000001</v>
      </c>
      <c r="B3597" s="327">
        <v>105</v>
      </c>
      <c r="C3597" s="327" t="s">
        <v>110</v>
      </c>
      <c r="D3597" s="327" t="s">
        <v>114</v>
      </c>
      <c r="E3597" s="328" t="s">
        <v>2937</v>
      </c>
      <c r="F3597" s="328">
        <v>292.17214400000006</v>
      </c>
      <c r="G3597" s="328">
        <v>6347.7189600000002</v>
      </c>
      <c r="H3597" s="328">
        <v>6583.5446600000005</v>
      </c>
      <c r="I3597" s="329">
        <v>8.9022037766736631E-2</v>
      </c>
      <c r="J3597" s="329">
        <v>0.68201299956279615</v>
      </c>
      <c r="K3597" s="329">
        <v>0.82253980768308932</v>
      </c>
    </row>
    <row r="3598" spans="1:11" ht="11.25" x14ac:dyDescent="0.15">
      <c r="A3598" s="326">
        <v>1.1000000000000001</v>
      </c>
      <c r="B3598" s="327">
        <v>105</v>
      </c>
      <c r="C3598" s="327" t="s">
        <v>110</v>
      </c>
      <c r="D3598" s="327" t="s">
        <v>113</v>
      </c>
      <c r="E3598" s="328" t="s">
        <v>2938</v>
      </c>
      <c r="F3598" s="328">
        <v>108.25014640000002</v>
      </c>
      <c r="G3598" s="328">
        <v>6023.5841600000003</v>
      </c>
      <c r="H3598" s="328">
        <v>6494.7757600000014</v>
      </c>
      <c r="I3598" s="329">
        <v>3.2982776828565728E-2</v>
      </c>
      <c r="J3598" s="329">
        <v>0.64718723796186239</v>
      </c>
      <c r="K3598" s="329">
        <v>0.81144913271921071</v>
      </c>
    </row>
    <row r="3599" spans="1:11" ht="11.25" x14ac:dyDescent="0.15">
      <c r="A3599" s="326">
        <v>1.125</v>
      </c>
      <c r="B3599" s="327">
        <v>105</v>
      </c>
      <c r="C3599" s="327" t="s">
        <v>110</v>
      </c>
      <c r="D3599" s="327" t="s">
        <v>79</v>
      </c>
      <c r="E3599" s="328" t="s">
        <v>2939</v>
      </c>
      <c r="F3599" s="328">
        <v>1268.1052199999999</v>
      </c>
      <c r="G3599" s="328">
        <v>7447.7803500000009</v>
      </c>
      <c r="H3599" s="328">
        <v>6990.4925999999996</v>
      </c>
      <c r="I3599" s="329">
        <v>0.38637944480783848</v>
      </c>
      <c r="J3599" s="329">
        <v>0.80020603441907134</v>
      </c>
      <c r="K3599" s="329">
        <v>0.8733833726000817</v>
      </c>
    </row>
    <row r="3600" spans="1:11" ht="11.25" x14ac:dyDescent="0.15">
      <c r="A3600" s="326">
        <v>1.125</v>
      </c>
      <c r="B3600" s="327">
        <v>105</v>
      </c>
      <c r="C3600" s="327" t="s">
        <v>110</v>
      </c>
      <c r="D3600" s="327" t="s">
        <v>114</v>
      </c>
      <c r="E3600" s="328" t="s">
        <v>2940</v>
      </c>
      <c r="F3600" s="328">
        <v>314.60447249999999</v>
      </c>
      <c r="G3600" s="328">
        <v>6706.0914750000002</v>
      </c>
      <c r="H3600" s="328">
        <v>6897.4537499999997</v>
      </c>
      <c r="I3600" s="329">
        <v>9.5856952168853066E-2</v>
      </c>
      <c r="J3600" s="329">
        <v>0.72051733717701416</v>
      </c>
      <c r="K3600" s="329">
        <v>0.86175921544185319</v>
      </c>
    </row>
    <row r="3601" spans="1:11" ht="11.25" x14ac:dyDescent="0.15">
      <c r="A3601" s="326">
        <v>1.125</v>
      </c>
      <c r="B3601" s="327">
        <v>105</v>
      </c>
      <c r="C3601" s="327" t="s">
        <v>110</v>
      </c>
      <c r="D3601" s="327" t="s">
        <v>113</v>
      </c>
      <c r="E3601" s="328" t="s">
        <v>2941</v>
      </c>
      <c r="F3601" s="328">
        <v>116.47065600000001</v>
      </c>
      <c r="G3601" s="328">
        <v>6331.4468999999999</v>
      </c>
      <c r="H3601" s="328">
        <v>6805.7282249999998</v>
      </c>
      <c r="I3601" s="329">
        <v>3.5487486915072197E-2</v>
      </c>
      <c r="J3601" s="329">
        <v>0.68026469335711848</v>
      </c>
      <c r="K3601" s="329">
        <v>0.85029914346094404</v>
      </c>
    </row>
    <row r="3602" spans="1:11" ht="11.25" x14ac:dyDescent="0.15">
      <c r="A3602" s="326">
        <v>1.1499999999999999</v>
      </c>
      <c r="B3602" s="327">
        <v>105</v>
      </c>
      <c r="C3602" s="327" t="s">
        <v>110</v>
      </c>
      <c r="D3602" s="327" t="s">
        <v>79</v>
      </c>
      <c r="E3602" s="328" t="s">
        <v>2942</v>
      </c>
      <c r="F3602" s="328">
        <v>1365.3434799999998</v>
      </c>
      <c r="G3602" s="328">
        <v>7906.6497399999998</v>
      </c>
      <c r="H3602" s="328">
        <v>7314.8321399999986</v>
      </c>
      <c r="I3602" s="329">
        <v>0.41600700592842138</v>
      </c>
      <c r="J3602" s="329">
        <v>0.84950797911031051</v>
      </c>
      <c r="K3602" s="329">
        <v>0.91390594769196554</v>
      </c>
    </row>
    <row r="3603" spans="1:11" ht="11.25" x14ac:dyDescent="0.15">
      <c r="A3603" s="326">
        <v>1.1499999999999999</v>
      </c>
      <c r="B3603" s="327">
        <v>105</v>
      </c>
      <c r="C3603" s="327" t="s">
        <v>110</v>
      </c>
      <c r="D3603" s="327" t="s">
        <v>114</v>
      </c>
      <c r="E3603" s="328" t="s">
        <v>2943</v>
      </c>
      <c r="F3603" s="328">
        <v>338.51029699999998</v>
      </c>
      <c r="G3603" s="328">
        <v>7084.2529999999988</v>
      </c>
      <c r="H3603" s="328">
        <v>7218.8278399999999</v>
      </c>
      <c r="I3603" s="329">
        <v>0.10314082660790286</v>
      </c>
      <c r="J3603" s="329">
        <v>0.76114784990287854</v>
      </c>
      <c r="K3603" s="329">
        <v>0.90191129093228184</v>
      </c>
    </row>
    <row r="3604" spans="1:11" ht="11.25" x14ac:dyDescent="0.15">
      <c r="A3604" s="326">
        <v>1.1499999999999999</v>
      </c>
      <c r="B3604" s="327">
        <v>105</v>
      </c>
      <c r="C3604" s="327" t="s">
        <v>110</v>
      </c>
      <c r="D3604" s="327" t="s">
        <v>113</v>
      </c>
      <c r="E3604" s="328" t="s">
        <v>2944</v>
      </c>
      <c r="F3604" s="328">
        <v>125.24253019999999</v>
      </c>
      <c r="G3604" s="328">
        <v>6655.5677299999988</v>
      </c>
      <c r="H3604" s="328">
        <v>7123.6563699999997</v>
      </c>
      <c r="I3604" s="329">
        <v>3.8160192483873652E-2</v>
      </c>
      <c r="J3604" s="329">
        <v>0.71508895399027705</v>
      </c>
      <c r="K3604" s="329">
        <v>0.89002068690762304</v>
      </c>
    </row>
    <row r="3605" spans="1:11" ht="11.25" x14ac:dyDescent="0.15">
      <c r="A3605" s="326">
        <v>1.175</v>
      </c>
      <c r="B3605" s="327">
        <v>105</v>
      </c>
      <c r="C3605" s="327" t="s">
        <v>110</v>
      </c>
      <c r="D3605" s="327" t="s">
        <v>79</v>
      </c>
      <c r="E3605" s="328" t="s">
        <v>2945</v>
      </c>
      <c r="F3605" s="328">
        <v>1468.93894</v>
      </c>
      <c r="G3605" s="328">
        <v>8390.5713649999998</v>
      </c>
      <c r="H3605" s="328">
        <v>7646.849475</v>
      </c>
      <c r="I3605" s="329">
        <v>0.44757154464975296</v>
      </c>
      <c r="J3605" s="329">
        <v>0.90150159147709874</v>
      </c>
      <c r="K3605" s="329">
        <v>0.95538777685576326</v>
      </c>
    </row>
    <row r="3606" spans="1:11" ht="11.25" x14ac:dyDescent="0.15">
      <c r="A3606" s="326">
        <v>1.175</v>
      </c>
      <c r="B3606" s="327">
        <v>105</v>
      </c>
      <c r="C3606" s="327" t="s">
        <v>110</v>
      </c>
      <c r="D3606" s="327" t="s">
        <v>114</v>
      </c>
      <c r="E3606" s="328" t="s">
        <v>2946</v>
      </c>
      <c r="F3606" s="328">
        <v>363.97808150000003</v>
      </c>
      <c r="G3606" s="328">
        <v>7483.8165800000006</v>
      </c>
      <c r="H3606" s="328">
        <v>7547.3507100000006</v>
      </c>
      <c r="I3606" s="329">
        <v>0.11090061521250753</v>
      </c>
      <c r="J3606" s="329">
        <v>0.8040778468717189</v>
      </c>
      <c r="K3606" s="329">
        <v>0.94295652602442093</v>
      </c>
    </row>
    <row r="3607" spans="1:11" ht="11.25" x14ac:dyDescent="0.15">
      <c r="A3607" s="326">
        <v>1.175</v>
      </c>
      <c r="B3607" s="327">
        <v>105</v>
      </c>
      <c r="C3607" s="327" t="s">
        <v>110</v>
      </c>
      <c r="D3607" s="327" t="s">
        <v>113</v>
      </c>
      <c r="E3607" s="328" t="s">
        <v>2947</v>
      </c>
      <c r="F3607" s="328">
        <v>134.6024587</v>
      </c>
      <c r="G3607" s="328">
        <v>6997.2742249999992</v>
      </c>
      <c r="H3607" s="328">
        <v>7449.0069700000004</v>
      </c>
      <c r="I3607" s="329">
        <v>4.1012072533126241E-2</v>
      </c>
      <c r="J3607" s="329">
        <v>0.75180265746290831</v>
      </c>
      <c r="K3607" s="329">
        <v>0.93066958256705923</v>
      </c>
    </row>
    <row r="3608" spans="1:11" ht="11.25" x14ac:dyDescent="0.15">
      <c r="A3608" s="326">
        <v>1.2</v>
      </c>
      <c r="B3608" s="327">
        <v>105</v>
      </c>
      <c r="C3608" s="327" t="s">
        <v>110</v>
      </c>
      <c r="D3608" s="327" t="s">
        <v>79</v>
      </c>
      <c r="E3608" s="328" t="s">
        <v>2948</v>
      </c>
      <c r="F3608" s="328">
        <v>1579.2631200000001</v>
      </c>
      <c r="G3608" s="328">
        <v>8900.4679199999991</v>
      </c>
      <c r="H3608" s="328">
        <v>7986.4389599999995</v>
      </c>
      <c r="I3608" s="329">
        <v>0.48118625953696087</v>
      </c>
      <c r="J3608" s="329">
        <v>0.95628600791608454</v>
      </c>
      <c r="K3608" s="329">
        <v>0.99781566093775553</v>
      </c>
    </row>
    <row r="3609" spans="1:11" ht="11.25" x14ac:dyDescent="0.15">
      <c r="A3609" s="326">
        <v>1.2</v>
      </c>
      <c r="B3609" s="327">
        <v>105</v>
      </c>
      <c r="C3609" s="327" t="s">
        <v>110</v>
      </c>
      <c r="D3609" s="327" t="s">
        <v>114</v>
      </c>
      <c r="E3609" s="328" t="s">
        <v>2949</v>
      </c>
      <c r="F3609" s="328">
        <v>391.10049599999996</v>
      </c>
      <c r="G3609" s="328">
        <v>7905.2507999999989</v>
      </c>
      <c r="H3609" s="328">
        <v>7883.05152</v>
      </c>
      <c r="I3609" s="329">
        <v>0.1191645536389719</v>
      </c>
      <c r="J3609" s="329">
        <v>0.84935767389490613</v>
      </c>
      <c r="K3609" s="329">
        <v>0.98489856393207553</v>
      </c>
    </row>
    <row r="3610" spans="1:11" ht="11.25" x14ac:dyDescent="0.15">
      <c r="A3610" s="326">
        <v>1.2</v>
      </c>
      <c r="B3610" s="327">
        <v>105</v>
      </c>
      <c r="C3610" s="327" t="s">
        <v>110</v>
      </c>
      <c r="D3610" s="327" t="s">
        <v>113</v>
      </c>
      <c r="E3610" s="328" t="s">
        <v>2950</v>
      </c>
      <c r="F3610" s="328">
        <v>144.58848</v>
      </c>
      <c r="G3610" s="328">
        <v>7358.0263199999999</v>
      </c>
      <c r="H3610" s="328">
        <v>7781.9371199999996</v>
      </c>
      <c r="I3610" s="329">
        <v>4.405471702735303E-2</v>
      </c>
      <c r="J3610" s="329">
        <v>0.79056266242845796</v>
      </c>
      <c r="K3610" s="329">
        <v>0.97226545769140316</v>
      </c>
    </row>
    <row r="3611" spans="1:11" ht="11.25" x14ac:dyDescent="0.15">
      <c r="A3611" s="326">
        <v>1.2250000000000001</v>
      </c>
      <c r="B3611" s="327">
        <v>105</v>
      </c>
      <c r="C3611" s="327" t="s">
        <v>110</v>
      </c>
      <c r="D3611" s="327" t="s">
        <v>79</v>
      </c>
      <c r="E3611" s="328" t="s">
        <v>2951</v>
      </c>
      <c r="F3611" s="328">
        <v>1696.7056050000001</v>
      </c>
      <c r="G3611" s="328">
        <v>9436.0863100000006</v>
      </c>
      <c r="H3611" s="328">
        <v>8333.1482500000002</v>
      </c>
      <c r="I3611" s="329">
        <v>0.5169698533866518</v>
      </c>
      <c r="J3611" s="329">
        <v>1.0138340353392925</v>
      </c>
      <c r="K3611" s="329">
        <v>1.0411330845213211</v>
      </c>
    </row>
    <row r="3612" spans="1:11" ht="11.25" x14ac:dyDescent="0.15">
      <c r="A3612" s="326">
        <v>1.2250000000000001</v>
      </c>
      <c r="B3612" s="327">
        <v>105</v>
      </c>
      <c r="C3612" s="327" t="s">
        <v>110</v>
      </c>
      <c r="D3612" s="327" t="s">
        <v>114</v>
      </c>
      <c r="E3612" s="328" t="s">
        <v>2952</v>
      </c>
      <c r="F3612" s="328">
        <v>419.97757899999999</v>
      </c>
      <c r="G3612" s="328">
        <v>8350.0669699999999</v>
      </c>
      <c r="H3612" s="328">
        <v>8226.2496050000009</v>
      </c>
      <c r="I3612" s="329">
        <v>0.12796312265456972</v>
      </c>
      <c r="J3612" s="329">
        <v>0.897149709469798</v>
      </c>
      <c r="K3612" s="329">
        <v>1.0277773019693908</v>
      </c>
    </row>
    <row r="3613" spans="1:11" ht="11.25" x14ac:dyDescent="0.15">
      <c r="A3613" s="326">
        <v>1.2250000000000001</v>
      </c>
      <c r="B3613" s="327">
        <v>105</v>
      </c>
      <c r="C3613" s="327" t="s">
        <v>110</v>
      </c>
      <c r="D3613" s="327" t="s">
        <v>113</v>
      </c>
      <c r="E3613" s="328" t="s">
        <v>2953</v>
      </c>
      <c r="F3613" s="328">
        <v>155.24390700000001</v>
      </c>
      <c r="G3613" s="328">
        <v>7737.87518</v>
      </c>
      <c r="H3613" s="328">
        <v>8121.8955300000007</v>
      </c>
      <c r="I3613" s="329">
        <v>4.7301322989948512E-2</v>
      </c>
      <c r="J3613" s="329">
        <v>0.83137446616797139</v>
      </c>
      <c r="K3613" s="329">
        <v>1.0147394347999066</v>
      </c>
    </row>
    <row r="3614" spans="1:11" ht="11.25" x14ac:dyDescent="0.15">
      <c r="A3614" s="326">
        <v>1.25</v>
      </c>
      <c r="B3614" s="327">
        <v>105</v>
      </c>
      <c r="C3614" s="327" t="s">
        <v>110</v>
      </c>
      <c r="D3614" s="327" t="s">
        <v>79</v>
      </c>
      <c r="E3614" s="328" t="s">
        <v>2954</v>
      </c>
      <c r="F3614" s="328">
        <v>1821.6785</v>
      </c>
      <c r="G3614" s="328">
        <v>9998.49575</v>
      </c>
      <c r="H3614" s="328">
        <v>8687.771249999998</v>
      </c>
      <c r="I3614" s="329">
        <v>0.55504789062249582</v>
      </c>
      <c r="J3614" s="329">
        <v>1.0742605525770423</v>
      </c>
      <c r="K3614" s="329">
        <v>1.0854392371008341</v>
      </c>
    </row>
    <row r="3615" spans="1:11" ht="11.25" x14ac:dyDescent="0.15">
      <c r="A3615" s="326">
        <v>1.25</v>
      </c>
      <c r="B3615" s="327">
        <v>105</v>
      </c>
      <c r="C3615" s="327" t="s">
        <v>110</v>
      </c>
      <c r="D3615" s="327" t="s">
        <v>114</v>
      </c>
      <c r="E3615" s="328" t="s">
        <v>2955</v>
      </c>
      <c r="F3615" s="328">
        <v>450.7149</v>
      </c>
      <c r="G3615" s="328">
        <v>8819.0762500000001</v>
      </c>
      <c r="H3615" s="328">
        <v>8577.23675</v>
      </c>
      <c r="I3615" s="329">
        <v>0.1373284882689943</v>
      </c>
      <c r="J3615" s="329">
        <v>0.94754110642534106</v>
      </c>
      <c r="K3615" s="329">
        <v>1.0716291953880852</v>
      </c>
    </row>
    <row r="3616" spans="1:11" ht="11.25" x14ac:dyDescent="0.15">
      <c r="A3616" s="326">
        <v>1.25</v>
      </c>
      <c r="B3616" s="327">
        <v>105</v>
      </c>
      <c r="C3616" s="327" t="s">
        <v>110</v>
      </c>
      <c r="D3616" s="327" t="s">
        <v>113</v>
      </c>
      <c r="E3616" s="328" t="s">
        <v>2956</v>
      </c>
      <c r="F3616" s="328">
        <v>166.61392499999999</v>
      </c>
      <c r="G3616" s="328">
        <v>8137.1585000000005</v>
      </c>
      <c r="H3616" s="328">
        <v>8469.0062500000004</v>
      </c>
      <c r="I3616" s="329">
        <v>5.076565794655024E-2</v>
      </c>
      <c r="J3616" s="329">
        <v>0.87427435138100429</v>
      </c>
      <c r="K3616" s="329">
        <v>1.0581070125438901</v>
      </c>
    </row>
    <row r="3617" spans="1:11" ht="11.25" x14ac:dyDescent="0.15">
      <c r="A3617" s="326">
        <v>1.2749999999999999</v>
      </c>
      <c r="B3617" s="327">
        <v>105</v>
      </c>
      <c r="C3617" s="327" t="s">
        <v>110</v>
      </c>
      <c r="D3617" s="327" t="s">
        <v>79</v>
      </c>
      <c r="E3617" s="328" t="s">
        <v>2957</v>
      </c>
      <c r="F3617" s="328">
        <v>1954.6180949999998</v>
      </c>
      <c r="G3617" s="328">
        <v>10587.898859999999</v>
      </c>
      <c r="H3617" s="328">
        <v>9049.8893099999987</v>
      </c>
      <c r="I3617" s="329">
        <v>0.59555330460468803</v>
      </c>
      <c r="J3617" s="329">
        <v>1.1375873295713943</v>
      </c>
      <c r="K3617" s="329">
        <v>1.1306818130706877</v>
      </c>
    </row>
    <row r="3618" spans="1:11" ht="11.25" x14ac:dyDescent="0.15">
      <c r="A3618" s="326">
        <v>1.2749999999999999</v>
      </c>
      <c r="B3618" s="327">
        <v>105</v>
      </c>
      <c r="C3618" s="327" t="s">
        <v>110</v>
      </c>
      <c r="D3618" s="327" t="s">
        <v>114</v>
      </c>
      <c r="E3618" s="328" t="s">
        <v>2958</v>
      </c>
      <c r="F3618" s="328">
        <v>483.42316049999999</v>
      </c>
      <c r="G3618" s="328">
        <v>9311.5675049999991</v>
      </c>
      <c r="H3618" s="328">
        <v>8934.8605950000001</v>
      </c>
      <c r="I3618" s="329">
        <v>0.14729438016290211</v>
      </c>
      <c r="J3618" s="329">
        <v>1.0004554588403691</v>
      </c>
      <c r="K3618" s="329">
        <v>1.1163102697759344</v>
      </c>
    </row>
    <row r="3619" spans="1:11" ht="11.25" x14ac:dyDescent="0.15">
      <c r="A3619" s="326">
        <v>1.2749999999999999</v>
      </c>
      <c r="B3619" s="327">
        <v>105</v>
      </c>
      <c r="C3619" s="327" t="s">
        <v>110</v>
      </c>
      <c r="D3619" s="327" t="s">
        <v>113</v>
      </c>
      <c r="E3619" s="328" t="s">
        <v>2959</v>
      </c>
      <c r="F3619" s="328">
        <v>178.746432</v>
      </c>
      <c r="G3619" s="328">
        <v>8558.1008999999995</v>
      </c>
      <c r="H3619" s="328">
        <v>8823.7343999999994</v>
      </c>
      <c r="I3619" s="329">
        <v>5.4462315956354201E-2</v>
      </c>
      <c r="J3619" s="329">
        <v>0.91950133617290208</v>
      </c>
      <c r="K3619" s="329">
        <v>1.1024263024324434</v>
      </c>
    </row>
    <row r="3620" spans="1:11" ht="11.25" x14ac:dyDescent="0.15">
      <c r="A3620" s="326">
        <v>1.3</v>
      </c>
      <c r="B3620" s="327">
        <v>105</v>
      </c>
      <c r="C3620" s="327" t="s">
        <v>110</v>
      </c>
      <c r="D3620" s="327" t="s">
        <v>79</v>
      </c>
      <c r="E3620" s="328" t="s">
        <v>2960</v>
      </c>
      <c r="F3620" s="328">
        <v>2095.9874</v>
      </c>
      <c r="G3620" s="328">
        <v>11204.579880000001</v>
      </c>
      <c r="H3620" s="328">
        <v>9419.2942999999996</v>
      </c>
      <c r="I3620" s="329">
        <v>0.63862717002002789</v>
      </c>
      <c r="J3620" s="329">
        <v>1.2038449056981808</v>
      </c>
      <c r="K3620" s="329">
        <v>1.1768348089298779</v>
      </c>
    </row>
    <row r="3621" spans="1:11" ht="11.25" x14ac:dyDescent="0.15">
      <c r="A3621" s="326">
        <v>1.3</v>
      </c>
      <c r="B3621" s="327">
        <v>105</v>
      </c>
      <c r="C3621" s="327" t="s">
        <v>110</v>
      </c>
      <c r="D3621" s="327" t="s">
        <v>114</v>
      </c>
      <c r="E3621" s="328" t="s">
        <v>2961</v>
      </c>
      <c r="F3621" s="328">
        <v>518.22378400000002</v>
      </c>
      <c r="G3621" s="328">
        <v>9829.874600000001</v>
      </c>
      <c r="H3621" s="328">
        <v>9300.3110199999992</v>
      </c>
      <c r="I3621" s="329">
        <v>0.15789779490706396</v>
      </c>
      <c r="J3621" s="329">
        <v>1.0561435223452522</v>
      </c>
      <c r="K3621" s="329">
        <v>1.1619691872468767</v>
      </c>
    </row>
    <row r="3622" spans="1:11" ht="11.25" x14ac:dyDescent="0.15">
      <c r="A3622" s="326">
        <v>1.3</v>
      </c>
      <c r="B3622" s="327">
        <v>105</v>
      </c>
      <c r="C3622" s="327" t="s">
        <v>110</v>
      </c>
      <c r="D3622" s="327" t="s">
        <v>113</v>
      </c>
      <c r="E3622" s="328" t="s">
        <v>2962</v>
      </c>
      <c r="F3622" s="328">
        <v>191.69615400000001</v>
      </c>
      <c r="G3622" s="328">
        <v>9000.7442200000005</v>
      </c>
      <c r="H3622" s="328">
        <v>9185.6533599999984</v>
      </c>
      <c r="I3622" s="329">
        <v>5.840797150438188E-2</v>
      </c>
      <c r="J3622" s="329">
        <v>0.96705991592603524</v>
      </c>
      <c r="K3622" s="329">
        <v>1.1476440030981609</v>
      </c>
    </row>
    <row r="3623" spans="1:11" ht="11.25" x14ac:dyDescent="0.15">
      <c r="A3623" s="326">
        <v>1.325</v>
      </c>
      <c r="B3623" s="327">
        <v>105</v>
      </c>
      <c r="C3623" s="327" t="s">
        <v>110</v>
      </c>
      <c r="D3623" s="327" t="s">
        <v>79</v>
      </c>
      <c r="E3623" s="328" t="s">
        <v>2963</v>
      </c>
      <c r="F3623" s="328">
        <v>2246.2735600000001</v>
      </c>
      <c r="G3623" s="328">
        <v>11850.332539999999</v>
      </c>
      <c r="H3623" s="328">
        <v>9795.7504399999998</v>
      </c>
      <c r="I3623" s="329">
        <v>0.68441791525732143</v>
      </c>
      <c r="J3623" s="329">
        <v>1.2732260032857547</v>
      </c>
      <c r="K3623" s="329">
        <v>1.2238687666211012</v>
      </c>
    </row>
    <row r="3624" spans="1:11" ht="11.25" x14ac:dyDescent="0.15">
      <c r="A3624" s="326">
        <v>1.325</v>
      </c>
      <c r="B3624" s="327">
        <v>105</v>
      </c>
      <c r="C3624" s="327" t="s">
        <v>110</v>
      </c>
      <c r="D3624" s="327" t="s">
        <v>114</v>
      </c>
      <c r="E3624" s="328" t="s">
        <v>2964</v>
      </c>
      <c r="F3624" s="328">
        <v>555.24424449999992</v>
      </c>
      <c r="G3624" s="328">
        <v>10372.922295</v>
      </c>
      <c r="H3624" s="328">
        <v>9673.0779649999986</v>
      </c>
      <c r="I3624" s="329">
        <v>0.16917757260131594</v>
      </c>
      <c r="J3624" s="329">
        <v>1.1144897707703103</v>
      </c>
      <c r="K3624" s="329">
        <v>1.2085422215446211</v>
      </c>
    </row>
    <row r="3625" spans="1:11" ht="11.25" x14ac:dyDescent="0.15">
      <c r="A3625" s="326">
        <v>1.325</v>
      </c>
      <c r="B3625" s="327">
        <v>105</v>
      </c>
      <c r="C3625" s="327" t="s">
        <v>110</v>
      </c>
      <c r="D3625" s="327" t="s">
        <v>113</v>
      </c>
      <c r="E3625" s="328" t="s">
        <v>2965</v>
      </c>
      <c r="F3625" s="328">
        <v>205.51971650000002</v>
      </c>
      <c r="G3625" s="328">
        <v>9465.3659299999999</v>
      </c>
      <c r="H3625" s="328">
        <v>9554.6213749999988</v>
      </c>
      <c r="I3625" s="329">
        <v>6.2619877835006763E-2</v>
      </c>
      <c r="J3625" s="329">
        <v>1.0169799026324244</v>
      </c>
      <c r="K3625" s="329">
        <v>1.1937424038492408</v>
      </c>
    </row>
    <row r="3626" spans="1:11" ht="11.25" x14ac:dyDescent="0.15">
      <c r="A3626" s="326">
        <v>1.35</v>
      </c>
      <c r="B3626" s="327">
        <v>105</v>
      </c>
      <c r="C3626" s="327" t="s">
        <v>110</v>
      </c>
      <c r="D3626" s="327" t="s">
        <v>79</v>
      </c>
      <c r="E3626" s="328" t="s">
        <v>2966</v>
      </c>
      <c r="F3626" s="328">
        <v>2405.9975400000003</v>
      </c>
      <c r="G3626" s="328">
        <v>12523.296870000002</v>
      </c>
      <c r="H3626" s="328">
        <v>10181.163780000001</v>
      </c>
      <c r="I3626" s="329">
        <v>0.7330842733335845</v>
      </c>
      <c r="J3626" s="329">
        <v>1.3455307830332925</v>
      </c>
      <c r="K3626" s="329">
        <v>1.2720218256393259</v>
      </c>
    </row>
    <row r="3627" spans="1:11" ht="11.25" x14ac:dyDescent="0.15">
      <c r="A3627" s="326">
        <v>1.35</v>
      </c>
      <c r="B3627" s="327">
        <v>105</v>
      </c>
      <c r="C3627" s="327" t="s">
        <v>110</v>
      </c>
      <c r="D3627" s="327" t="s">
        <v>114</v>
      </c>
      <c r="E3627" s="328" t="s">
        <v>2967</v>
      </c>
      <c r="F3627" s="328">
        <v>594.618921</v>
      </c>
      <c r="G3627" s="328">
        <v>10942.906140000003</v>
      </c>
      <c r="H3627" s="328">
        <v>10053.06876</v>
      </c>
      <c r="I3627" s="329">
        <v>0.18117465723247791</v>
      </c>
      <c r="J3627" s="329">
        <v>1.1757300988756347</v>
      </c>
      <c r="K3627" s="329">
        <v>1.2560177945956659</v>
      </c>
    </row>
    <row r="3628" spans="1:11" ht="11.25" x14ac:dyDescent="0.15">
      <c r="A3628" s="326">
        <v>1.35</v>
      </c>
      <c r="B3628" s="327">
        <v>105</v>
      </c>
      <c r="C3628" s="327" t="s">
        <v>110</v>
      </c>
      <c r="D3628" s="327" t="s">
        <v>113</v>
      </c>
      <c r="E3628" s="328" t="s">
        <v>2968</v>
      </c>
      <c r="F3628" s="328">
        <v>220.27947300000002</v>
      </c>
      <c r="G3628" s="328">
        <v>9953.6558400000013</v>
      </c>
      <c r="H3628" s="328">
        <v>9931.0473900000015</v>
      </c>
      <c r="I3628" s="329">
        <v>6.7117033459024214E-2</v>
      </c>
      <c r="J3628" s="329">
        <v>1.0694428532252069</v>
      </c>
      <c r="K3628" s="329">
        <v>1.2407725977607702</v>
      </c>
    </row>
    <row r="3629" spans="1:11" ht="11.25" x14ac:dyDescent="0.15">
      <c r="A3629" s="326">
        <v>1.375</v>
      </c>
      <c r="B3629" s="327">
        <v>105</v>
      </c>
      <c r="C3629" s="327" t="s">
        <v>110</v>
      </c>
      <c r="D3629" s="327" t="s">
        <v>79</v>
      </c>
      <c r="E3629" s="328" t="s">
        <v>2969</v>
      </c>
      <c r="F3629" s="328">
        <v>2575.7096750000005</v>
      </c>
      <c r="G3629" s="328">
        <v>13225.749900000001</v>
      </c>
      <c r="H3629" s="328">
        <v>10572.468224999999</v>
      </c>
      <c r="I3629" s="329">
        <v>0.78479392602191034</v>
      </c>
      <c r="J3629" s="329">
        <v>1.4210038940927452</v>
      </c>
      <c r="K3629" s="329">
        <v>1.3209109119231024</v>
      </c>
    </row>
    <row r="3630" spans="1:11" ht="11.25" x14ac:dyDescent="0.15">
      <c r="A3630" s="326">
        <v>1.375</v>
      </c>
      <c r="B3630" s="327">
        <v>105</v>
      </c>
      <c r="C3630" s="327" t="s">
        <v>110</v>
      </c>
      <c r="D3630" s="327" t="s">
        <v>114</v>
      </c>
      <c r="E3630" s="328" t="s">
        <v>2970</v>
      </c>
      <c r="F3630" s="328">
        <v>636.49421000000007</v>
      </c>
      <c r="G3630" s="328">
        <v>11538.328725000001</v>
      </c>
      <c r="H3630" s="328">
        <v>10440.766874999999</v>
      </c>
      <c r="I3630" s="329">
        <v>0.19393365440385443</v>
      </c>
      <c r="J3630" s="329">
        <v>1.2397036216106869</v>
      </c>
      <c r="K3630" s="329">
        <v>1.3044563105350711</v>
      </c>
    </row>
    <row r="3631" spans="1:11" ht="11.25" x14ac:dyDescent="0.15">
      <c r="A3631" s="326">
        <v>1.375</v>
      </c>
      <c r="B3631" s="327">
        <v>105</v>
      </c>
      <c r="C3631" s="327" t="s">
        <v>110</v>
      </c>
      <c r="D3631" s="327" t="s">
        <v>113</v>
      </c>
      <c r="E3631" s="328" t="s">
        <v>2971</v>
      </c>
      <c r="F3631" s="328">
        <v>236.04333499999998</v>
      </c>
      <c r="G3631" s="328">
        <v>10465.865575</v>
      </c>
      <c r="H3631" s="328">
        <v>10314.59165</v>
      </c>
      <c r="I3631" s="329">
        <v>7.1920130356289066E-2</v>
      </c>
      <c r="J3631" s="329">
        <v>1.1244758028522985</v>
      </c>
      <c r="K3631" s="329">
        <v>1.2886921362694301</v>
      </c>
    </row>
    <row r="3632" spans="1:11" ht="11.25" x14ac:dyDescent="0.15">
      <c r="A3632" s="326">
        <v>1.4</v>
      </c>
      <c r="B3632" s="327">
        <v>105</v>
      </c>
      <c r="C3632" s="327" t="s">
        <v>110</v>
      </c>
      <c r="D3632" s="327" t="s">
        <v>79</v>
      </c>
      <c r="E3632" s="328" t="s">
        <v>2972</v>
      </c>
      <c r="F3632" s="328">
        <v>2755.9957599999998</v>
      </c>
      <c r="G3632" s="328">
        <v>13957.522879999999</v>
      </c>
      <c r="H3632" s="328">
        <v>10972.337879999997</v>
      </c>
      <c r="I3632" s="329">
        <v>0.83972535941580373</v>
      </c>
      <c r="J3632" s="329">
        <v>1.499627205589952</v>
      </c>
      <c r="K3632" s="329">
        <v>1.3708701247952153</v>
      </c>
    </row>
    <row r="3633" spans="1:11" ht="11.25" x14ac:dyDescent="0.15">
      <c r="A3633" s="326">
        <v>1.4</v>
      </c>
      <c r="B3633" s="327">
        <v>105</v>
      </c>
      <c r="C3633" s="327" t="s">
        <v>110</v>
      </c>
      <c r="D3633" s="327" t="s">
        <v>114</v>
      </c>
      <c r="E3633" s="328" t="s">
        <v>2973</v>
      </c>
      <c r="F3633" s="328">
        <v>681.02669600000002</v>
      </c>
      <c r="G3633" s="328">
        <v>12161.183999999997</v>
      </c>
      <c r="H3633" s="328">
        <v>10835.63264</v>
      </c>
      <c r="I3633" s="329">
        <v>0.20750227390420853</v>
      </c>
      <c r="J3633" s="329">
        <v>1.3066245733845598</v>
      </c>
      <c r="K3633" s="329">
        <v>1.3537903436703054</v>
      </c>
    </row>
    <row r="3634" spans="1:11" ht="11.25" x14ac:dyDescent="0.15">
      <c r="A3634" s="326">
        <v>1.4</v>
      </c>
      <c r="B3634" s="327">
        <v>105</v>
      </c>
      <c r="C3634" s="327" t="s">
        <v>110</v>
      </c>
      <c r="D3634" s="327" t="s">
        <v>113</v>
      </c>
      <c r="E3634" s="328" t="s">
        <v>2974</v>
      </c>
      <c r="F3634" s="328">
        <v>252.885276</v>
      </c>
      <c r="G3634" s="328">
        <v>11003.035399999997</v>
      </c>
      <c r="H3634" s="328">
        <v>10705.97668</v>
      </c>
      <c r="I3634" s="329">
        <v>7.7051707539660633E-2</v>
      </c>
      <c r="J3634" s="329">
        <v>1.1821905198918303</v>
      </c>
      <c r="K3634" s="329">
        <v>1.3375912907419751</v>
      </c>
    </row>
    <row r="3635" spans="1:11" ht="11.25" x14ac:dyDescent="0.15">
      <c r="A3635" s="326">
        <v>0.9</v>
      </c>
      <c r="B3635" s="327">
        <v>125</v>
      </c>
      <c r="C3635" s="327" t="s">
        <v>110</v>
      </c>
      <c r="D3635" s="327" t="s">
        <v>79</v>
      </c>
      <c r="E3635" s="328" t="s">
        <v>2975</v>
      </c>
      <c r="F3635" s="328">
        <v>967.9833000000001</v>
      </c>
      <c r="G3635" s="328">
        <v>4366.2348000000002</v>
      </c>
      <c r="H3635" s="328">
        <v>4409.6292000000003</v>
      </c>
      <c r="I3635" s="329">
        <v>0.29493518687452402</v>
      </c>
      <c r="J3635" s="329">
        <v>0.46911794796023315</v>
      </c>
      <c r="K3635" s="329">
        <v>0.55093353830484004</v>
      </c>
    </row>
    <row r="3636" spans="1:11" ht="11.25" x14ac:dyDescent="0.15">
      <c r="A3636" s="326">
        <v>0.9</v>
      </c>
      <c r="B3636" s="327">
        <v>125</v>
      </c>
      <c r="C3636" s="327" t="s">
        <v>110</v>
      </c>
      <c r="D3636" s="327" t="s">
        <v>114</v>
      </c>
      <c r="E3636" s="328" t="s">
        <v>2976</v>
      </c>
      <c r="F3636" s="328">
        <v>256.93011000000001</v>
      </c>
      <c r="G3636" s="328">
        <v>4117.1724000000004</v>
      </c>
      <c r="H3636" s="328">
        <v>4344.4647000000004</v>
      </c>
      <c r="I3636" s="329">
        <v>7.8284129495355972E-2</v>
      </c>
      <c r="J3636" s="329">
        <v>0.44235813146982117</v>
      </c>
      <c r="K3636" s="329">
        <v>0.54279196745419667</v>
      </c>
    </row>
    <row r="3637" spans="1:11" ht="11.25" x14ac:dyDescent="0.15">
      <c r="A3637" s="326">
        <v>0.9</v>
      </c>
      <c r="B3637" s="327">
        <v>125</v>
      </c>
      <c r="C3637" s="327" t="s">
        <v>110</v>
      </c>
      <c r="D3637" s="327" t="s">
        <v>113</v>
      </c>
      <c r="E3637" s="328" t="s">
        <v>2977</v>
      </c>
      <c r="F3637" s="328">
        <v>99.522270000000006</v>
      </c>
      <c r="G3637" s="328">
        <v>4017.0131999999999</v>
      </c>
      <c r="H3637" s="328">
        <v>4278.8258999999998</v>
      </c>
      <c r="I3637" s="329">
        <v>3.0323476965591074E-2</v>
      </c>
      <c r="J3637" s="329">
        <v>0.43159680494351094</v>
      </c>
      <c r="K3637" s="329">
        <v>0.5345911381567845</v>
      </c>
    </row>
    <row r="3638" spans="1:11" ht="11.25" x14ac:dyDescent="0.15">
      <c r="A3638" s="326">
        <v>0.92500000000000004</v>
      </c>
      <c r="B3638" s="327">
        <v>125</v>
      </c>
      <c r="C3638" s="327" t="s">
        <v>110</v>
      </c>
      <c r="D3638" s="327" t="s">
        <v>79</v>
      </c>
      <c r="E3638" s="328" t="s">
        <v>2978</v>
      </c>
      <c r="F3638" s="328">
        <v>1048.1295249999998</v>
      </c>
      <c r="G3638" s="328">
        <v>4650.6761500000002</v>
      </c>
      <c r="H3638" s="328">
        <v>4667.9533000000001</v>
      </c>
      <c r="I3638" s="329">
        <v>0.31935496957910436</v>
      </c>
      <c r="J3638" s="329">
        <v>0.49967895728273648</v>
      </c>
      <c r="K3638" s="329">
        <v>0.58320822717038301</v>
      </c>
    </row>
    <row r="3639" spans="1:11" ht="11.25" x14ac:dyDescent="0.15">
      <c r="A3639" s="326">
        <v>0.92500000000000004</v>
      </c>
      <c r="B3639" s="327">
        <v>125</v>
      </c>
      <c r="C3639" s="327" t="s">
        <v>110</v>
      </c>
      <c r="D3639" s="327" t="s">
        <v>114</v>
      </c>
      <c r="E3639" s="328" t="s">
        <v>2979</v>
      </c>
      <c r="F3639" s="328">
        <v>278.00366249999996</v>
      </c>
      <c r="G3639" s="328">
        <v>4358.469575000001</v>
      </c>
      <c r="H3639" s="328">
        <v>4600.0213000000003</v>
      </c>
      <c r="I3639" s="329">
        <v>8.4705037939435096E-2</v>
      </c>
      <c r="J3639" s="329">
        <v>0.46828363496876296</v>
      </c>
      <c r="K3639" s="329">
        <v>0.57472088834286339</v>
      </c>
    </row>
    <row r="3640" spans="1:11" ht="11.25" x14ac:dyDescent="0.15">
      <c r="A3640" s="326">
        <v>0.92500000000000004</v>
      </c>
      <c r="B3640" s="327">
        <v>125</v>
      </c>
      <c r="C3640" s="327" t="s">
        <v>110</v>
      </c>
      <c r="D3640" s="327" t="s">
        <v>113</v>
      </c>
      <c r="E3640" s="328" t="s">
        <v>2980</v>
      </c>
      <c r="F3640" s="328">
        <v>107.46520500000001</v>
      </c>
      <c r="G3640" s="328">
        <v>4238.5923500000008</v>
      </c>
      <c r="H3640" s="328">
        <v>4531.6896999999999</v>
      </c>
      <c r="I3640" s="329">
        <v>3.2743612745368682E-2</v>
      </c>
      <c r="J3640" s="329">
        <v>0.45540376011659811</v>
      </c>
      <c r="K3640" s="329">
        <v>0.56618362399282884</v>
      </c>
    </row>
    <row r="3641" spans="1:11" ht="11.25" x14ac:dyDescent="0.15">
      <c r="A3641" s="326">
        <v>0.95</v>
      </c>
      <c r="B3641" s="327">
        <v>125</v>
      </c>
      <c r="C3641" s="327" t="s">
        <v>110</v>
      </c>
      <c r="D3641" s="327" t="s">
        <v>79</v>
      </c>
      <c r="E3641" s="328" t="s">
        <v>2981</v>
      </c>
      <c r="F3641" s="328">
        <v>1133.6653999999999</v>
      </c>
      <c r="G3641" s="328">
        <v>4952.3661499999998</v>
      </c>
      <c r="H3641" s="328">
        <v>4933.5837000000001</v>
      </c>
      <c r="I3641" s="329">
        <v>0.34541692671989482</v>
      </c>
      <c r="J3641" s="329">
        <v>0.53209319980586478</v>
      </c>
      <c r="K3641" s="329">
        <v>0.61639575598875396</v>
      </c>
    </row>
    <row r="3642" spans="1:11" ht="11.25" x14ac:dyDescent="0.15">
      <c r="A3642" s="326">
        <v>0.95</v>
      </c>
      <c r="B3642" s="327">
        <v>125</v>
      </c>
      <c r="C3642" s="327" t="s">
        <v>110</v>
      </c>
      <c r="D3642" s="327" t="s">
        <v>114</v>
      </c>
      <c r="E3642" s="328" t="s">
        <v>2982</v>
      </c>
      <c r="F3642" s="328">
        <v>300.47578499999997</v>
      </c>
      <c r="G3642" s="328">
        <v>4611.1859999999997</v>
      </c>
      <c r="H3642" s="328">
        <v>4863.03575</v>
      </c>
      <c r="I3642" s="329">
        <v>9.1552077190013806E-2</v>
      </c>
      <c r="J3642" s="329">
        <v>0.49543604800707358</v>
      </c>
      <c r="K3642" s="329">
        <v>0.60758158365116754</v>
      </c>
    </row>
    <row r="3643" spans="1:11" ht="11.25" x14ac:dyDescent="0.15">
      <c r="A3643" s="326">
        <v>0.95</v>
      </c>
      <c r="B3643" s="327">
        <v>125</v>
      </c>
      <c r="C3643" s="327" t="s">
        <v>110</v>
      </c>
      <c r="D3643" s="327" t="s">
        <v>113</v>
      </c>
      <c r="E3643" s="328" t="s">
        <v>2983</v>
      </c>
      <c r="F3643" s="328">
        <v>115.92422499999999</v>
      </c>
      <c r="G3643" s="328">
        <v>4468.4484999999995</v>
      </c>
      <c r="H3643" s="328">
        <v>4791.9007000000001</v>
      </c>
      <c r="I3643" s="329">
        <v>3.5320994653171567E-2</v>
      </c>
      <c r="J3643" s="329">
        <v>0.48010001452189</v>
      </c>
      <c r="K3643" s="329">
        <v>0.59869405977637291</v>
      </c>
    </row>
    <row r="3644" spans="1:11" ht="11.25" x14ac:dyDescent="0.15">
      <c r="A3644" s="326">
        <v>0.97499999999999998</v>
      </c>
      <c r="B3644" s="327">
        <v>125</v>
      </c>
      <c r="C3644" s="327" t="s">
        <v>110</v>
      </c>
      <c r="D3644" s="327" t="s">
        <v>79</v>
      </c>
      <c r="E3644" s="328" t="s">
        <v>2984</v>
      </c>
      <c r="F3644" s="328">
        <v>1224.9032249999998</v>
      </c>
      <c r="G3644" s="328">
        <v>5271.9078749999999</v>
      </c>
      <c r="H3644" s="328">
        <v>5206.6677</v>
      </c>
      <c r="I3644" s="329">
        <v>0.37321621309849257</v>
      </c>
      <c r="J3644" s="329">
        <v>0.56642547124478815</v>
      </c>
      <c r="K3644" s="329">
        <v>0.65051452823709599</v>
      </c>
    </row>
    <row r="3645" spans="1:11" ht="11.25" x14ac:dyDescent="0.15">
      <c r="A3645" s="326">
        <v>0.97499999999999998</v>
      </c>
      <c r="B3645" s="327">
        <v>125</v>
      </c>
      <c r="C3645" s="327" t="s">
        <v>110</v>
      </c>
      <c r="D3645" s="327" t="s">
        <v>114</v>
      </c>
      <c r="E3645" s="328" t="s">
        <v>2985</v>
      </c>
      <c r="F3645" s="328">
        <v>324.42773999999997</v>
      </c>
      <c r="G3645" s="328">
        <v>4877.5232999999998</v>
      </c>
      <c r="H3645" s="328">
        <v>5133.0942000000005</v>
      </c>
      <c r="I3645" s="329">
        <v>9.8850007148036004E-2</v>
      </c>
      <c r="J3645" s="329">
        <v>0.52405191805631357</v>
      </c>
      <c r="K3645" s="329">
        <v>0.64132234747947792</v>
      </c>
    </row>
    <row r="3646" spans="1:11" ht="11.25" x14ac:dyDescent="0.15">
      <c r="A3646" s="326">
        <v>0.97499999999999998</v>
      </c>
      <c r="B3646" s="327">
        <v>125</v>
      </c>
      <c r="C3646" s="327" t="s">
        <v>110</v>
      </c>
      <c r="D3646" s="327" t="s">
        <v>113</v>
      </c>
      <c r="E3646" s="328" t="s">
        <v>2986</v>
      </c>
      <c r="F3646" s="328">
        <v>124.9305525</v>
      </c>
      <c r="G3646" s="328">
        <v>4708.6835249999995</v>
      </c>
      <c r="H3646" s="328">
        <v>5059.5177749999993</v>
      </c>
      <c r="I3646" s="329">
        <v>3.8065135883981714E-2</v>
      </c>
      <c r="J3646" s="329">
        <v>0.50591139826977627</v>
      </c>
      <c r="K3646" s="329">
        <v>0.63212980127603036</v>
      </c>
    </row>
    <row r="3647" spans="1:11" ht="11.25" x14ac:dyDescent="0.15">
      <c r="A3647" s="326">
        <v>1</v>
      </c>
      <c r="B3647" s="327">
        <v>125</v>
      </c>
      <c r="C3647" s="327" t="s">
        <v>110</v>
      </c>
      <c r="D3647" s="327" t="s">
        <v>79</v>
      </c>
      <c r="E3647" s="328" t="s">
        <v>2987</v>
      </c>
      <c r="F3647" s="328">
        <v>1322.1659999999999</v>
      </c>
      <c r="G3647" s="328">
        <v>5610.6779999999999</v>
      </c>
      <c r="H3647" s="328">
        <v>5487.098</v>
      </c>
      <c r="I3647" s="329">
        <v>0.40285124370342124</v>
      </c>
      <c r="J3647" s="329">
        <v>0.60282368461394353</v>
      </c>
      <c r="K3647" s="329">
        <v>0.68555113798806733</v>
      </c>
    </row>
    <row r="3648" spans="1:11" ht="11.25" x14ac:dyDescent="0.15">
      <c r="A3648" s="326">
        <v>1</v>
      </c>
      <c r="B3648" s="327">
        <v>125</v>
      </c>
      <c r="C3648" s="327" t="s">
        <v>110</v>
      </c>
      <c r="D3648" s="327" t="s">
        <v>114</v>
      </c>
      <c r="E3648" s="328" t="s">
        <v>2988</v>
      </c>
      <c r="F3648" s="328">
        <v>349.94409999999999</v>
      </c>
      <c r="G3648" s="328">
        <v>5158.4359999999997</v>
      </c>
      <c r="H3648" s="328">
        <v>5410.8609999999999</v>
      </c>
      <c r="I3648" s="329">
        <v>0.10662459623956025</v>
      </c>
      <c r="J3648" s="329">
        <v>0.55423380139890621</v>
      </c>
      <c r="K3648" s="329">
        <v>0.67602618288305616</v>
      </c>
    </row>
    <row r="3649" spans="1:11" ht="11.25" x14ac:dyDescent="0.15">
      <c r="A3649" s="326">
        <v>1</v>
      </c>
      <c r="B3649" s="327">
        <v>125</v>
      </c>
      <c r="C3649" s="327" t="s">
        <v>110</v>
      </c>
      <c r="D3649" s="327" t="s">
        <v>113</v>
      </c>
      <c r="E3649" s="328" t="s">
        <v>2989</v>
      </c>
      <c r="F3649" s="328">
        <v>134.51729999999998</v>
      </c>
      <c r="G3649" s="328">
        <v>4958.3849999999993</v>
      </c>
      <c r="H3649" s="328">
        <v>5334.1749999999993</v>
      </c>
      <c r="I3649" s="329">
        <v>4.0986125497574598E-2</v>
      </c>
      <c r="J3649" s="329">
        <v>0.53273987839517933</v>
      </c>
      <c r="K3649" s="329">
        <v>0.66644513028152552</v>
      </c>
    </row>
    <row r="3650" spans="1:11" ht="11.25" x14ac:dyDescent="0.15">
      <c r="A3650" s="326">
        <v>1.0249999999999999</v>
      </c>
      <c r="B3650" s="327">
        <v>125</v>
      </c>
      <c r="C3650" s="327" t="s">
        <v>110</v>
      </c>
      <c r="D3650" s="327" t="s">
        <v>79</v>
      </c>
      <c r="E3650" s="328" t="s">
        <v>2990</v>
      </c>
      <c r="F3650" s="328">
        <v>1425.7831999999996</v>
      </c>
      <c r="G3650" s="328">
        <v>5969.844975</v>
      </c>
      <c r="H3650" s="328">
        <v>5774.8991999999998</v>
      </c>
      <c r="I3650" s="329">
        <v>0.43442240639333007</v>
      </c>
      <c r="J3650" s="329">
        <v>0.64141338077208065</v>
      </c>
      <c r="K3650" s="329">
        <v>0.72150865873479553</v>
      </c>
    </row>
    <row r="3651" spans="1:11" ht="11.25" x14ac:dyDescent="0.15">
      <c r="A3651" s="326">
        <v>1.0249999999999999</v>
      </c>
      <c r="B3651" s="327">
        <v>125</v>
      </c>
      <c r="C3651" s="327" t="s">
        <v>110</v>
      </c>
      <c r="D3651" s="327" t="s">
        <v>114</v>
      </c>
      <c r="E3651" s="328" t="s">
        <v>2991</v>
      </c>
      <c r="F3651" s="328">
        <v>377.10877499999998</v>
      </c>
      <c r="G3651" s="328">
        <v>5454.3222499999993</v>
      </c>
      <c r="H3651" s="328">
        <v>5695.5600999999997</v>
      </c>
      <c r="I3651" s="329">
        <v>0.11490141103327695</v>
      </c>
      <c r="J3651" s="329">
        <v>0.58602447615365105</v>
      </c>
      <c r="K3651" s="329">
        <v>0.71159613114882037</v>
      </c>
    </row>
    <row r="3652" spans="1:11" ht="11.25" x14ac:dyDescent="0.15">
      <c r="A3652" s="326">
        <v>1.0249999999999999</v>
      </c>
      <c r="B3652" s="327">
        <v>125</v>
      </c>
      <c r="C3652" s="327" t="s">
        <v>110</v>
      </c>
      <c r="D3652" s="327" t="s">
        <v>113</v>
      </c>
      <c r="E3652" s="328" t="s">
        <v>2992</v>
      </c>
      <c r="F3652" s="328">
        <v>144.71524000000002</v>
      </c>
      <c r="G3652" s="328">
        <v>5219.4475999999995</v>
      </c>
      <c r="H3652" s="328">
        <v>5616.1348999999991</v>
      </c>
      <c r="I3652" s="329">
        <v>4.4093339578267103E-2</v>
      </c>
      <c r="J3652" s="329">
        <v>0.56078902298107369</v>
      </c>
      <c r="K3652" s="329">
        <v>0.70167284633689797</v>
      </c>
    </row>
    <row r="3653" spans="1:11" ht="11.25" x14ac:dyDescent="0.15">
      <c r="A3653" s="326">
        <v>1.05</v>
      </c>
      <c r="B3653" s="327">
        <v>125</v>
      </c>
      <c r="C3653" s="327" t="s">
        <v>110</v>
      </c>
      <c r="D3653" s="327" t="s">
        <v>79</v>
      </c>
      <c r="E3653" s="328" t="s">
        <v>2993</v>
      </c>
      <c r="F3653" s="328">
        <v>1536.1069499999999</v>
      </c>
      <c r="G3653" s="328">
        <v>6349.9054500000011</v>
      </c>
      <c r="H3653" s="328">
        <v>6070.0185000000001</v>
      </c>
      <c r="I3653" s="329">
        <v>0.46803699026368023</v>
      </c>
      <c r="J3653" s="329">
        <v>0.6822479208963983</v>
      </c>
      <c r="K3653" s="329">
        <v>0.75838049371154326</v>
      </c>
    </row>
    <row r="3654" spans="1:11" ht="11.25" x14ac:dyDescent="0.15">
      <c r="A3654" s="326">
        <v>1.05</v>
      </c>
      <c r="B3654" s="327">
        <v>125</v>
      </c>
      <c r="C3654" s="327" t="s">
        <v>110</v>
      </c>
      <c r="D3654" s="327" t="s">
        <v>114</v>
      </c>
      <c r="E3654" s="328" t="s">
        <v>2994</v>
      </c>
      <c r="F3654" s="328">
        <v>406.01368500000001</v>
      </c>
      <c r="G3654" s="328">
        <v>5766.5758500000002</v>
      </c>
      <c r="H3654" s="328">
        <v>5987.6081999999997</v>
      </c>
      <c r="I3654" s="329">
        <v>0.12370845866771578</v>
      </c>
      <c r="J3654" s="329">
        <v>0.61957369528295569</v>
      </c>
      <c r="K3654" s="329">
        <v>0.74808425425182545</v>
      </c>
    </row>
    <row r="3655" spans="1:11" ht="11.25" x14ac:dyDescent="0.15">
      <c r="A3655" s="326">
        <v>1.05</v>
      </c>
      <c r="B3655" s="327">
        <v>125</v>
      </c>
      <c r="C3655" s="327" t="s">
        <v>110</v>
      </c>
      <c r="D3655" s="327" t="s">
        <v>113</v>
      </c>
      <c r="E3655" s="328" t="s">
        <v>2995</v>
      </c>
      <c r="F3655" s="328">
        <v>155.56023000000002</v>
      </c>
      <c r="G3655" s="328">
        <v>5492.97</v>
      </c>
      <c r="H3655" s="328">
        <v>5905.4110500000006</v>
      </c>
      <c r="I3655" s="329">
        <v>4.739770356089195E-2</v>
      </c>
      <c r="J3655" s="329">
        <v>0.59017687610549985</v>
      </c>
      <c r="K3655" s="329">
        <v>0.73781464548561149</v>
      </c>
    </row>
    <row r="3656" spans="1:11" ht="11.25" x14ac:dyDescent="0.15">
      <c r="A3656" s="326">
        <v>1.075</v>
      </c>
      <c r="B3656" s="327">
        <v>125</v>
      </c>
      <c r="C3656" s="327" t="s">
        <v>110</v>
      </c>
      <c r="D3656" s="327" t="s">
        <v>79</v>
      </c>
      <c r="E3656" s="328" t="s">
        <v>2996</v>
      </c>
      <c r="F3656" s="328">
        <v>1653.5090999999998</v>
      </c>
      <c r="G3656" s="328">
        <v>6752.4566249999989</v>
      </c>
      <c r="H3656" s="328">
        <v>6372.4312250000003</v>
      </c>
      <c r="I3656" s="329">
        <v>0.50380829442742037</v>
      </c>
      <c r="J3656" s="329">
        <v>0.72549891169629288</v>
      </c>
      <c r="K3656" s="329">
        <v>0.79616356005477651</v>
      </c>
    </row>
    <row r="3657" spans="1:11" ht="11.25" x14ac:dyDescent="0.15">
      <c r="A3657" s="326">
        <v>1.075</v>
      </c>
      <c r="B3657" s="327">
        <v>125</v>
      </c>
      <c r="C3657" s="327" t="s">
        <v>110</v>
      </c>
      <c r="D3657" s="327" t="s">
        <v>114</v>
      </c>
      <c r="E3657" s="328" t="s">
        <v>2997</v>
      </c>
      <c r="F3657" s="328">
        <v>436.75583749999998</v>
      </c>
      <c r="G3657" s="328">
        <v>6097.88375</v>
      </c>
      <c r="H3657" s="328">
        <v>6287.177275</v>
      </c>
      <c r="I3657" s="329">
        <v>0.13307529639364826</v>
      </c>
      <c r="J3657" s="329">
        <v>0.65517015065246864</v>
      </c>
      <c r="K3657" s="329">
        <v>0.78551203853274831</v>
      </c>
    </row>
    <row r="3658" spans="1:11" ht="11.25" x14ac:dyDescent="0.15">
      <c r="A3658" s="326">
        <v>1.075</v>
      </c>
      <c r="B3658" s="327">
        <v>125</v>
      </c>
      <c r="C3658" s="327" t="s">
        <v>110</v>
      </c>
      <c r="D3658" s="327" t="s">
        <v>113</v>
      </c>
      <c r="E3658" s="328" t="s">
        <v>2998</v>
      </c>
      <c r="F3658" s="328">
        <v>167.08843250000001</v>
      </c>
      <c r="G3658" s="328">
        <v>5779.7095499999996</v>
      </c>
      <c r="H3658" s="328">
        <v>6201.6588749999992</v>
      </c>
      <c r="I3658" s="329">
        <v>5.0910235810843835E-2</v>
      </c>
      <c r="J3658" s="329">
        <v>0.62098480913169452</v>
      </c>
      <c r="K3658" s="329">
        <v>0.7748274769595962</v>
      </c>
    </row>
    <row r="3659" spans="1:11" ht="11.25" x14ac:dyDescent="0.15">
      <c r="A3659" s="326">
        <v>1.1000000000000001</v>
      </c>
      <c r="B3659" s="327">
        <v>125</v>
      </c>
      <c r="C3659" s="327" t="s">
        <v>110</v>
      </c>
      <c r="D3659" s="327" t="s">
        <v>79</v>
      </c>
      <c r="E3659" s="328" t="s">
        <v>2999</v>
      </c>
      <c r="F3659" s="328">
        <v>1778.3810000000001</v>
      </c>
      <c r="G3659" s="328">
        <v>7178.8651000000009</v>
      </c>
      <c r="H3659" s="328">
        <v>6682.6463000000003</v>
      </c>
      <c r="I3659" s="329">
        <v>0.5418555594596548</v>
      </c>
      <c r="J3659" s="329">
        <v>0.77131318370586355</v>
      </c>
      <c r="K3659" s="329">
        <v>0.83492144221531084</v>
      </c>
    </row>
    <row r="3660" spans="1:11" ht="11.25" x14ac:dyDescent="0.15">
      <c r="A3660" s="326">
        <v>1.1000000000000001</v>
      </c>
      <c r="B3660" s="327">
        <v>125</v>
      </c>
      <c r="C3660" s="327" t="s">
        <v>110</v>
      </c>
      <c r="D3660" s="327" t="s">
        <v>114</v>
      </c>
      <c r="E3660" s="328" t="s">
        <v>3000</v>
      </c>
      <c r="F3660" s="328">
        <v>469.43512000000004</v>
      </c>
      <c r="G3660" s="328">
        <v>6446.5412000000006</v>
      </c>
      <c r="H3660" s="328">
        <v>6593.830100000001</v>
      </c>
      <c r="I3660" s="329">
        <v>0.14303235897010269</v>
      </c>
      <c r="J3660" s="329">
        <v>0.69263068014232743</v>
      </c>
      <c r="K3660" s="329">
        <v>0.82382485764879221</v>
      </c>
    </row>
    <row r="3661" spans="1:11" ht="11.25" x14ac:dyDescent="0.15">
      <c r="A3661" s="326">
        <v>1.1000000000000001</v>
      </c>
      <c r="B3661" s="327">
        <v>125</v>
      </c>
      <c r="C3661" s="327" t="s">
        <v>110</v>
      </c>
      <c r="D3661" s="327" t="s">
        <v>113</v>
      </c>
      <c r="E3661" s="328" t="s">
        <v>3001</v>
      </c>
      <c r="F3661" s="328">
        <v>179.34114</v>
      </c>
      <c r="G3661" s="328">
        <v>6081.3104000000003</v>
      </c>
      <c r="H3661" s="328">
        <v>6505.8136000000004</v>
      </c>
      <c r="I3661" s="329">
        <v>5.4643517755099881E-2</v>
      </c>
      <c r="J3661" s="329">
        <v>0.65338947318115481</v>
      </c>
      <c r="K3661" s="329">
        <v>0.81282818659667555</v>
      </c>
    </row>
    <row r="3662" spans="1:11" ht="11.25" x14ac:dyDescent="0.15">
      <c r="A3662" s="326">
        <v>1.125</v>
      </c>
      <c r="B3662" s="327">
        <v>125</v>
      </c>
      <c r="C3662" s="327" t="s">
        <v>110</v>
      </c>
      <c r="D3662" s="327" t="s">
        <v>79</v>
      </c>
      <c r="E3662" s="328" t="s">
        <v>3002</v>
      </c>
      <c r="F3662" s="328">
        <v>1911.1297500000001</v>
      </c>
      <c r="G3662" s="328">
        <v>7628.3482500000009</v>
      </c>
      <c r="H3662" s="328">
        <v>6999.9119999999994</v>
      </c>
      <c r="I3662" s="329">
        <v>0.58230282480876727</v>
      </c>
      <c r="J3662" s="329">
        <v>0.81960664995983168</v>
      </c>
      <c r="K3662" s="329">
        <v>0.87456022061503691</v>
      </c>
    </row>
    <row r="3663" spans="1:11" ht="11.25" x14ac:dyDescent="0.15">
      <c r="A3663" s="326">
        <v>1.125</v>
      </c>
      <c r="B3663" s="327">
        <v>125</v>
      </c>
      <c r="C3663" s="327" t="s">
        <v>110</v>
      </c>
      <c r="D3663" s="327" t="s">
        <v>114</v>
      </c>
      <c r="E3663" s="328" t="s">
        <v>3003</v>
      </c>
      <c r="F3663" s="328">
        <v>504.16121250000003</v>
      </c>
      <c r="G3663" s="328">
        <v>6816.7158749999999</v>
      </c>
      <c r="H3663" s="328">
        <v>6907.9837500000003</v>
      </c>
      <c r="I3663" s="329">
        <v>0.1536130648365257</v>
      </c>
      <c r="J3663" s="329">
        <v>0.73240306799532284</v>
      </c>
      <c r="K3663" s="329">
        <v>0.8630748204270412</v>
      </c>
    </row>
    <row r="3664" spans="1:11" ht="11.25" x14ac:dyDescent="0.15">
      <c r="A3664" s="326">
        <v>1.125</v>
      </c>
      <c r="B3664" s="327">
        <v>125</v>
      </c>
      <c r="C3664" s="327" t="s">
        <v>110</v>
      </c>
      <c r="D3664" s="327" t="s">
        <v>113</v>
      </c>
      <c r="E3664" s="328" t="s">
        <v>3004</v>
      </c>
      <c r="F3664" s="328">
        <v>192.36060000000001</v>
      </c>
      <c r="G3664" s="328">
        <v>6398.3924999999999</v>
      </c>
      <c r="H3664" s="328">
        <v>6816.7361249999994</v>
      </c>
      <c r="I3664" s="329">
        <v>5.8610421799937626E-2</v>
      </c>
      <c r="J3664" s="329">
        <v>0.68745747705646654</v>
      </c>
      <c r="K3664" s="329">
        <v>0.85167445667238273</v>
      </c>
    </row>
    <row r="3665" spans="1:11" ht="11.25" x14ac:dyDescent="0.15">
      <c r="A3665" s="326">
        <v>1.1499999999999999</v>
      </c>
      <c r="B3665" s="327">
        <v>125</v>
      </c>
      <c r="C3665" s="327" t="s">
        <v>110</v>
      </c>
      <c r="D3665" s="327" t="s">
        <v>79</v>
      </c>
      <c r="E3665" s="328" t="s">
        <v>3005</v>
      </c>
      <c r="F3665" s="328">
        <v>2052.1887999999999</v>
      </c>
      <c r="G3665" s="328">
        <v>8102.6630999999988</v>
      </c>
      <c r="H3665" s="328">
        <v>7324.6650999999983</v>
      </c>
      <c r="I3665" s="329">
        <v>0.62528215851431024</v>
      </c>
      <c r="J3665" s="329">
        <v>0.87056808911996686</v>
      </c>
      <c r="K3665" s="329">
        <v>0.9151344653743162</v>
      </c>
    </row>
    <row r="3666" spans="1:11" ht="11.25" x14ac:dyDescent="0.15">
      <c r="A3666" s="326">
        <v>1.1499999999999999</v>
      </c>
      <c r="B3666" s="327">
        <v>125</v>
      </c>
      <c r="C3666" s="327" t="s">
        <v>110</v>
      </c>
      <c r="D3666" s="327" t="s">
        <v>114</v>
      </c>
      <c r="E3666" s="328" t="s">
        <v>3006</v>
      </c>
      <c r="F3666" s="328">
        <v>541.044985</v>
      </c>
      <c r="G3666" s="328">
        <v>7206.0977999999996</v>
      </c>
      <c r="H3666" s="328">
        <v>7229.3140000000003</v>
      </c>
      <c r="I3666" s="329">
        <v>0.16485119501390058</v>
      </c>
      <c r="J3666" s="329">
        <v>0.77423912537565553</v>
      </c>
      <c r="K3666" s="329">
        <v>0.90322141860288752</v>
      </c>
    </row>
    <row r="3667" spans="1:11" ht="11.25" x14ac:dyDescent="0.15">
      <c r="A3667" s="326">
        <v>1.1499999999999999</v>
      </c>
      <c r="B3667" s="327">
        <v>125</v>
      </c>
      <c r="C3667" s="327" t="s">
        <v>110</v>
      </c>
      <c r="D3667" s="327" t="s">
        <v>113</v>
      </c>
      <c r="E3667" s="328" t="s">
        <v>3007</v>
      </c>
      <c r="F3667" s="328">
        <v>206.19166499999997</v>
      </c>
      <c r="G3667" s="328">
        <v>6732.8072499999989</v>
      </c>
      <c r="H3667" s="328">
        <v>7135.2566499999994</v>
      </c>
      <c r="I3667" s="329">
        <v>6.2824614070040516E-2</v>
      </c>
      <c r="J3667" s="329">
        <v>0.72338773927865263</v>
      </c>
      <c r="K3667" s="329">
        <v>0.89147001133284376</v>
      </c>
    </row>
    <row r="3668" spans="1:11" ht="11.25" x14ac:dyDescent="0.15">
      <c r="A3668" s="326">
        <v>1.175</v>
      </c>
      <c r="B3668" s="327">
        <v>125</v>
      </c>
      <c r="C3668" s="327" t="s">
        <v>110</v>
      </c>
      <c r="D3668" s="327" t="s">
        <v>79</v>
      </c>
      <c r="E3668" s="328" t="s">
        <v>3008</v>
      </c>
      <c r="F3668" s="328">
        <v>2202.0064000000002</v>
      </c>
      <c r="G3668" s="328">
        <v>8601.7696250000008</v>
      </c>
      <c r="H3668" s="328">
        <v>7656.8510750000005</v>
      </c>
      <c r="I3668" s="329">
        <v>0.67093013803326762</v>
      </c>
      <c r="J3668" s="329">
        <v>0.92419320081152401</v>
      </c>
      <c r="K3668" s="329">
        <v>0.95663736420807621</v>
      </c>
    </row>
    <row r="3669" spans="1:11" ht="11.25" x14ac:dyDescent="0.15">
      <c r="A3669" s="326">
        <v>1.175</v>
      </c>
      <c r="B3669" s="327">
        <v>125</v>
      </c>
      <c r="C3669" s="327" t="s">
        <v>110</v>
      </c>
      <c r="D3669" s="327" t="s">
        <v>114</v>
      </c>
      <c r="E3669" s="328" t="s">
        <v>3009</v>
      </c>
      <c r="F3669" s="328">
        <v>580.20712749999996</v>
      </c>
      <c r="G3669" s="328">
        <v>7618.6389000000008</v>
      </c>
      <c r="H3669" s="328">
        <v>7558.3261500000008</v>
      </c>
      <c r="I3669" s="329">
        <v>0.17678352258261404</v>
      </c>
      <c r="J3669" s="329">
        <v>0.81856345586774404</v>
      </c>
      <c r="K3669" s="329">
        <v>0.9443277837241959</v>
      </c>
    </row>
    <row r="3670" spans="1:11" ht="11.25" x14ac:dyDescent="0.15">
      <c r="A3670" s="326">
        <v>1.175</v>
      </c>
      <c r="B3670" s="327">
        <v>125</v>
      </c>
      <c r="C3670" s="327" t="s">
        <v>110</v>
      </c>
      <c r="D3670" s="327" t="s">
        <v>113</v>
      </c>
      <c r="E3670" s="328" t="s">
        <v>3010</v>
      </c>
      <c r="F3670" s="328">
        <v>220.88249249999998</v>
      </c>
      <c r="G3670" s="328">
        <v>7083.8106250000001</v>
      </c>
      <c r="H3670" s="328">
        <v>7460.5708500000001</v>
      </c>
      <c r="I3670" s="329">
        <v>6.7300767691754748E-2</v>
      </c>
      <c r="J3670" s="329">
        <v>0.76110032015202123</v>
      </c>
      <c r="K3670" s="329">
        <v>0.93211435922196073</v>
      </c>
    </row>
    <row r="3671" spans="1:11" ht="11.25" x14ac:dyDescent="0.15">
      <c r="A3671" s="326">
        <v>1.2</v>
      </c>
      <c r="B3671" s="327">
        <v>125</v>
      </c>
      <c r="C3671" s="327" t="s">
        <v>110</v>
      </c>
      <c r="D3671" s="327" t="s">
        <v>79</v>
      </c>
      <c r="E3671" s="328" t="s">
        <v>3011</v>
      </c>
      <c r="F3671" s="328">
        <v>2361.0612000000001</v>
      </c>
      <c r="G3671" s="328">
        <v>9126.9539999999997</v>
      </c>
      <c r="H3671" s="328">
        <v>7996.623599999999</v>
      </c>
      <c r="I3671" s="329">
        <v>0.71939260340977773</v>
      </c>
      <c r="J3671" s="329">
        <v>0.9806201745282781</v>
      </c>
      <c r="K3671" s="329">
        <v>0.99908811707795897</v>
      </c>
    </row>
    <row r="3672" spans="1:11" ht="11.25" x14ac:dyDescent="0.15">
      <c r="A3672" s="326">
        <v>1.2</v>
      </c>
      <c r="B3672" s="327">
        <v>125</v>
      </c>
      <c r="C3672" s="327" t="s">
        <v>110</v>
      </c>
      <c r="D3672" s="327" t="s">
        <v>114</v>
      </c>
      <c r="E3672" s="328" t="s">
        <v>3012</v>
      </c>
      <c r="F3672" s="328">
        <v>621.77160000000003</v>
      </c>
      <c r="G3672" s="328">
        <v>8053.2828</v>
      </c>
      <c r="H3672" s="328">
        <v>7894.2959999999994</v>
      </c>
      <c r="I3672" s="329">
        <v>0.18944781696055274</v>
      </c>
      <c r="J3672" s="329">
        <v>0.86526256019933712</v>
      </c>
      <c r="K3672" s="329">
        <v>0.98630343515181385</v>
      </c>
    </row>
    <row r="3673" spans="1:11" ht="11.25" x14ac:dyDescent="0.15">
      <c r="A3673" s="326">
        <v>1.2</v>
      </c>
      <c r="B3673" s="327">
        <v>125</v>
      </c>
      <c r="C3673" s="327" t="s">
        <v>110</v>
      </c>
      <c r="D3673" s="327" t="s">
        <v>113</v>
      </c>
      <c r="E3673" s="328" t="s">
        <v>3013</v>
      </c>
      <c r="F3673" s="328">
        <v>236.48447999999999</v>
      </c>
      <c r="G3673" s="328">
        <v>7456.3283999999994</v>
      </c>
      <c r="H3673" s="328">
        <v>7793.8343999999997</v>
      </c>
      <c r="I3673" s="329">
        <v>7.2054542988215425E-2</v>
      </c>
      <c r="J3673" s="329">
        <v>0.80112445586426273</v>
      </c>
      <c r="K3673" s="329">
        <v>0.97375188892389852</v>
      </c>
    </row>
    <row r="3674" spans="1:11" ht="11.25" x14ac:dyDescent="0.15">
      <c r="A3674" s="326">
        <v>1.2250000000000001</v>
      </c>
      <c r="B3674" s="327">
        <v>125</v>
      </c>
      <c r="C3674" s="327" t="s">
        <v>110</v>
      </c>
      <c r="D3674" s="327" t="s">
        <v>79</v>
      </c>
      <c r="E3674" s="328" t="s">
        <v>3014</v>
      </c>
      <c r="F3674" s="328">
        <v>2529.8516250000002</v>
      </c>
      <c r="G3674" s="328">
        <v>9679.4820500000005</v>
      </c>
      <c r="H3674" s="328">
        <v>8343.6587500000005</v>
      </c>
      <c r="I3674" s="329">
        <v>0.77082141993998587</v>
      </c>
      <c r="J3674" s="329">
        <v>1.0399850133148842</v>
      </c>
      <c r="K3674" s="329">
        <v>1.0424462532009808</v>
      </c>
    </row>
    <row r="3675" spans="1:11" ht="11.25" x14ac:dyDescent="0.15">
      <c r="A3675" s="326">
        <v>1.2250000000000001</v>
      </c>
      <c r="B3675" s="327">
        <v>125</v>
      </c>
      <c r="C3675" s="327" t="s">
        <v>110</v>
      </c>
      <c r="D3675" s="327" t="s">
        <v>114</v>
      </c>
      <c r="E3675" s="328" t="s">
        <v>3015</v>
      </c>
      <c r="F3675" s="328">
        <v>665.87202500000001</v>
      </c>
      <c r="G3675" s="328">
        <v>8511.5082500000008</v>
      </c>
      <c r="H3675" s="328">
        <v>8237.8175250000004</v>
      </c>
      <c r="I3675" s="329">
        <v>0.20288479163627382</v>
      </c>
      <c r="J3675" s="329">
        <v>0.9144953185491983</v>
      </c>
      <c r="K3675" s="329">
        <v>1.0292225833768223</v>
      </c>
    </row>
    <row r="3676" spans="1:11" ht="11.25" x14ac:dyDescent="0.15">
      <c r="A3676" s="326">
        <v>1.2250000000000001</v>
      </c>
      <c r="B3676" s="327">
        <v>125</v>
      </c>
      <c r="C3676" s="327" t="s">
        <v>110</v>
      </c>
      <c r="D3676" s="327" t="s">
        <v>113</v>
      </c>
      <c r="E3676" s="328" t="s">
        <v>3016</v>
      </c>
      <c r="F3676" s="328">
        <v>253.052415</v>
      </c>
      <c r="G3676" s="328">
        <v>7847.1687000000002</v>
      </c>
      <c r="H3676" s="328">
        <v>8134.0318500000003</v>
      </c>
      <c r="I3676" s="329">
        <v>7.71026331829016E-2</v>
      </c>
      <c r="J3676" s="329">
        <v>0.84311720428818215</v>
      </c>
      <c r="K3676" s="329">
        <v>1.0162557313900142</v>
      </c>
    </row>
    <row r="3677" spans="1:11" ht="11.25" x14ac:dyDescent="0.15">
      <c r="A3677" s="326">
        <v>1.25</v>
      </c>
      <c r="B3677" s="327">
        <v>125</v>
      </c>
      <c r="C3677" s="327" t="s">
        <v>110</v>
      </c>
      <c r="D3677" s="327" t="s">
        <v>79</v>
      </c>
      <c r="E3677" s="328" t="s">
        <v>3017</v>
      </c>
      <c r="F3677" s="328">
        <v>2708.9025000000001</v>
      </c>
      <c r="G3677" s="328">
        <v>10257.88875</v>
      </c>
      <c r="H3677" s="328">
        <v>8698.5812499999993</v>
      </c>
      <c r="I3677" s="329">
        <v>0.82537649674572411</v>
      </c>
      <c r="J3677" s="329">
        <v>1.1021303116370107</v>
      </c>
      <c r="K3677" s="329">
        <v>1.0867898249346311</v>
      </c>
    </row>
    <row r="3678" spans="1:11" ht="11.25" x14ac:dyDescent="0.15">
      <c r="A3678" s="326">
        <v>1.25</v>
      </c>
      <c r="B3678" s="327">
        <v>125</v>
      </c>
      <c r="C3678" s="327" t="s">
        <v>110</v>
      </c>
      <c r="D3678" s="327" t="s">
        <v>114</v>
      </c>
      <c r="E3678" s="328" t="s">
        <v>3018</v>
      </c>
      <c r="F3678" s="328">
        <v>712.64799999999991</v>
      </c>
      <c r="G3678" s="328">
        <v>8994.1412500000006</v>
      </c>
      <c r="H3678" s="328">
        <v>8588.7787499999995</v>
      </c>
      <c r="I3678" s="329">
        <v>0.21713698062327702</v>
      </c>
      <c r="J3678" s="329">
        <v>0.96635047818877862</v>
      </c>
      <c r="K3678" s="329">
        <v>1.0730712383832455</v>
      </c>
    </row>
    <row r="3679" spans="1:11" ht="11.25" x14ac:dyDescent="0.15">
      <c r="A3679" s="326">
        <v>1.25</v>
      </c>
      <c r="B3679" s="327">
        <v>125</v>
      </c>
      <c r="C3679" s="327" t="s">
        <v>110</v>
      </c>
      <c r="D3679" s="327" t="s">
        <v>113</v>
      </c>
      <c r="E3679" s="328" t="s">
        <v>3019</v>
      </c>
      <c r="F3679" s="328">
        <v>270.64462500000002</v>
      </c>
      <c r="G3679" s="328">
        <v>8258.3924999999999</v>
      </c>
      <c r="H3679" s="328">
        <v>8481.4212499999994</v>
      </c>
      <c r="I3679" s="329">
        <v>8.2462810103191328E-2</v>
      </c>
      <c r="J3679" s="329">
        <v>0.88730000114748286</v>
      </c>
      <c r="K3679" s="329">
        <v>1.0596581270634633</v>
      </c>
    </row>
    <row r="3680" spans="1:11" ht="11.25" x14ac:dyDescent="0.15">
      <c r="A3680" s="326">
        <v>1.2749999999999999</v>
      </c>
      <c r="B3680" s="327">
        <v>125</v>
      </c>
      <c r="C3680" s="327" t="s">
        <v>110</v>
      </c>
      <c r="D3680" s="327" t="s">
        <v>79</v>
      </c>
      <c r="E3680" s="328" t="s">
        <v>3020</v>
      </c>
      <c r="F3680" s="328">
        <v>2898.769875</v>
      </c>
      <c r="G3680" s="328">
        <v>10864.325999999997</v>
      </c>
      <c r="H3680" s="328">
        <v>9060.5452499999992</v>
      </c>
      <c r="I3680" s="329">
        <v>0.88322725690553294</v>
      </c>
      <c r="J3680" s="329">
        <v>1.1672872744019644</v>
      </c>
      <c r="K3680" s="329">
        <v>1.132013152841425</v>
      </c>
    </row>
    <row r="3681" spans="1:11" ht="11.25" x14ac:dyDescent="0.15">
      <c r="A3681" s="326">
        <v>1.2749999999999999</v>
      </c>
      <c r="B3681" s="327">
        <v>125</v>
      </c>
      <c r="C3681" s="327" t="s">
        <v>110</v>
      </c>
      <c r="D3681" s="327" t="s">
        <v>114</v>
      </c>
      <c r="E3681" s="328" t="s">
        <v>3021</v>
      </c>
      <c r="F3681" s="328">
        <v>762.24740249999991</v>
      </c>
      <c r="G3681" s="328">
        <v>9500.6612249999998</v>
      </c>
      <c r="H3681" s="328">
        <v>8946.4773750000004</v>
      </c>
      <c r="I3681" s="329">
        <v>0.2322494407713005</v>
      </c>
      <c r="J3681" s="329">
        <v>1.0207721073858316</v>
      </c>
      <c r="K3681" s="329">
        <v>1.1177616556904484</v>
      </c>
    </row>
    <row r="3682" spans="1:11" ht="11.25" x14ac:dyDescent="0.15">
      <c r="A3682" s="326">
        <v>1.2749999999999999</v>
      </c>
      <c r="B3682" s="327">
        <v>125</v>
      </c>
      <c r="C3682" s="327" t="s">
        <v>110</v>
      </c>
      <c r="D3682" s="327" t="s">
        <v>113</v>
      </c>
      <c r="E3682" s="328" t="s">
        <v>3022</v>
      </c>
      <c r="F3682" s="328">
        <v>289.32402000000002</v>
      </c>
      <c r="G3682" s="328">
        <v>8692.3634999999995</v>
      </c>
      <c r="H3682" s="328">
        <v>8836.4996999999985</v>
      </c>
      <c r="I3682" s="329">
        <v>8.8154241820069132E-2</v>
      </c>
      <c r="J3682" s="329">
        <v>0.93392680761108626</v>
      </c>
      <c r="K3682" s="329">
        <v>1.1040211829944016</v>
      </c>
    </row>
    <row r="3683" spans="1:11" ht="11.25" x14ac:dyDescent="0.15">
      <c r="A3683" s="326">
        <v>1.3</v>
      </c>
      <c r="B3683" s="327">
        <v>125</v>
      </c>
      <c r="C3683" s="327" t="s">
        <v>110</v>
      </c>
      <c r="D3683" s="327" t="s">
        <v>79</v>
      </c>
      <c r="E3683" s="328" t="s">
        <v>3023</v>
      </c>
      <c r="F3683" s="328">
        <v>3100.0346</v>
      </c>
      <c r="G3683" s="328">
        <v>11498.877000000002</v>
      </c>
      <c r="H3683" s="328">
        <v>9429.8347000000012</v>
      </c>
      <c r="I3683" s="329">
        <v>0.94455067981905294</v>
      </c>
      <c r="J3683" s="329">
        <v>1.2354648408022222</v>
      </c>
      <c r="K3683" s="329">
        <v>1.1781517132780144</v>
      </c>
    </row>
    <row r="3684" spans="1:11" ht="11.25" x14ac:dyDescent="0.15">
      <c r="A3684" s="326">
        <v>1.3</v>
      </c>
      <c r="B3684" s="327">
        <v>125</v>
      </c>
      <c r="C3684" s="327" t="s">
        <v>110</v>
      </c>
      <c r="D3684" s="327" t="s">
        <v>114</v>
      </c>
      <c r="E3684" s="328" t="s">
        <v>3024</v>
      </c>
      <c r="F3684" s="328">
        <v>814.827</v>
      </c>
      <c r="G3684" s="328">
        <v>10033.756200000002</v>
      </c>
      <c r="H3684" s="328">
        <v>9312.3615000000009</v>
      </c>
      <c r="I3684" s="329">
        <v>0.24826993762744437</v>
      </c>
      <c r="J3684" s="329">
        <v>1.0780490135063894</v>
      </c>
      <c r="K3684" s="329">
        <v>1.1634747590951111</v>
      </c>
    </row>
    <row r="3685" spans="1:11" ht="11.25" x14ac:dyDescent="0.15">
      <c r="A3685" s="326">
        <v>1.3</v>
      </c>
      <c r="B3685" s="327">
        <v>125</v>
      </c>
      <c r="C3685" s="327" t="s">
        <v>110</v>
      </c>
      <c r="D3685" s="327" t="s">
        <v>113</v>
      </c>
      <c r="E3685" s="328" t="s">
        <v>3025</v>
      </c>
      <c r="F3685" s="328">
        <v>309.15781000000004</v>
      </c>
      <c r="G3685" s="328">
        <v>9146.5594999999994</v>
      </c>
      <c r="H3685" s="328">
        <v>9198.41</v>
      </c>
      <c r="I3685" s="329">
        <v>9.4197406573097484E-2</v>
      </c>
      <c r="J3685" s="329">
        <v>0.98272663291863638</v>
      </c>
      <c r="K3685" s="329">
        <v>1.1492378016905873</v>
      </c>
    </row>
    <row r="3686" spans="1:11" ht="11.25" x14ac:dyDescent="0.15">
      <c r="A3686" s="326">
        <v>1.325</v>
      </c>
      <c r="B3686" s="327">
        <v>125</v>
      </c>
      <c r="C3686" s="327" t="s">
        <v>110</v>
      </c>
      <c r="D3686" s="327" t="s">
        <v>79</v>
      </c>
      <c r="E3686" s="328" t="s">
        <v>3026</v>
      </c>
      <c r="F3686" s="328">
        <v>3313.3161999999998</v>
      </c>
      <c r="G3686" s="328">
        <v>12162.249199999998</v>
      </c>
      <c r="H3686" s="328">
        <v>9807.2630999999983</v>
      </c>
      <c r="I3686" s="329">
        <v>1.0095355287858661</v>
      </c>
      <c r="J3686" s="329">
        <v>1.3067390208343781</v>
      </c>
      <c r="K3686" s="329">
        <v>1.2253071439134819</v>
      </c>
    </row>
    <row r="3687" spans="1:11" ht="11.25" x14ac:dyDescent="0.15">
      <c r="A3687" s="326">
        <v>1.325</v>
      </c>
      <c r="B3687" s="327">
        <v>125</v>
      </c>
      <c r="C3687" s="327" t="s">
        <v>110</v>
      </c>
      <c r="D3687" s="327" t="s">
        <v>114</v>
      </c>
      <c r="E3687" s="328" t="s">
        <v>3027</v>
      </c>
      <c r="F3687" s="328">
        <v>870.55163249999987</v>
      </c>
      <c r="G3687" s="328">
        <v>10592.022174999998</v>
      </c>
      <c r="H3687" s="328">
        <v>9685.5446249999986</v>
      </c>
      <c r="I3687" s="329">
        <v>0.26524869635179593</v>
      </c>
      <c r="J3687" s="329">
        <v>1.1380303476774278</v>
      </c>
      <c r="K3687" s="329">
        <v>1.2100997903997628</v>
      </c>
    </row>
    <row r="3688" spans="1:11" ht="11.25" x14ac:dyDescent="0.15">
      <c r="A3688" s="326">
        <v>1.325</v>
      </c>
      <c r="B3688" s="327">
        <v>125</v>
      </c>
      <c r="C3688" s="327" t="s">
        <v>110</v>
      </c>
      <c r="D3688" s="327" t="s">
        <v>113</v>
      </c>
      <c r="E3688" s="328" t="s">
        <v>3028</v>
      </c>
      <c r="F3688" s="328">
        <v>330.21822250000002</v>
      </c>
      <c r="G3688" s="328">
        <v>9624.1878499999984</v>
      </c>
      <c r="H3688" s="328">
        <v>9567.2618750000001</v>
      </c>
      <c r="I3688" s="329">
        <v>0.10061431138575495</v>
      </c>
      <c r="J3688" s="329">
        <v>1.0340440818656402</v>
      </c>
      <c r="K3688" s="329">
        <v>1.195321692055819</v>
      </c>
    </row>
    <row r="3689" spans="1:11" ht="11.25" x14ac:dyDescent="0.15">
      <c r="A3689" s="326">
        <v>1.35</v>
      </c>
      <c r="B3689" s="327">
        <v>125</v>
      </c>
      <c r="C3689" s="327" t="s">
        <v>110</v>
      </c>
      <c r="D3689" s="327" t="s">
        <v>79</v>
      </c>
      <c r="E3689" s="328" t="s">
        <v>3029</v>
      </c>
      <c r="F3689" s="328">
        <v>3539.2599</v>
      </c>
      <c r="G3689" s="328">
        <v>12853.362150000001</v>
      </c>
      <c r="H3689" s="328">
        <v>10191.924900000002</v>
      </c>
      <c r="I3689" s="329">
        <v>1.0783783976479855</v>
      </c>
      <c r="J3689" s="329">
        <v>1.3809937285548022</v>
      </c>
      <c r="K3689" s="329">
        <v>1.2733663064672656</v>
      </c>
    </row>
    <row r="3690" spans="1:11" ht="11.25" x14ac:dyDescent="0.15">
      <c r="A3690" s="326">
        <v>1.35</v>
      </c>
      <c r="B3690" s="327">
        <v>125</v>
      </c>
      <c r="C3690" s="327" t="s">
        <v>110</v>
      </c>
      <c r="D3690" s="327" t="s">
        <v>114</v>
      </c>
      <c r="E3690" s="328" t="s">
        <v>3030</v>
      </c>
      <c r="F3690" s="328">
        <v>929.59798499999999</v>
      </c>
      <c r="G3690" s="328">
        <v>11177.133300000001</v>
      </c>
      <c r="H3690" s="328">
        <v>10065.438</v>
      </c>
      <c r="I3690" s="329">
        <v>0.28323955116183924</v>
      </c>
      <c r="J3690" s="329">
        <v>1.2008959842869626</v>
      </c>
      <c r="K3690" s="329">
        <v>1.2575631919182666</v>
      </c>
    </row>
    <row r="3691" spans="1:11" ht="11.25" x14ac:dyDescent="0.15">
      <c r="A3691" s="326">
        <v>1.35</v>
      </c>
      <c r="B3691" s="327">
        <v>125</v>
      </c>
      <c r="C3691" s="327" t="s">
        <v>110</v>
      </c>
      <c r="D3691" s="327" t="s">
        <v>113</v>
      </c>
      <c r="E3691" s="328" t="s">
        <v>3031</v>
      </c>
      <c r="F3691" s="328">
        <v>352.582065</v>
      </c>
      <c r="G3691" s="328">
        <v>10127.214</v>
      </c>
      <c r="H3691" s="328">
        <v>9944.3335500000012</v>
      </c>
      <c r="I3691" s="329">
        <v>0.10742835876340075</v>
      </c>
      <c r="J3691" s="329">
        <v>1.0880903267579984</v>
      </c>
      <c r="K3691" s="329">
        <v>1.2424325539174657</v>
      </c>
    </row>
    <row r="3692" spans="1:11" ht="11.25" x14ac:dyDescent="0.15">
      <c r="A3692" s="326">
        <v>1.375</v>
      </c>
      <c r="B3692" s="327">
        <v>125</v>
      </c>
      <c r="C3692" s="327" t="s">
        <v>110</v>
      </c>
      <c r="D3692" s="327" t="s">
        <v>79</v>
      </c>
      <c r="E3692" s="328" t="s">
        <v>3032</v>
      </c>
      <c r="F3692" s="328">
        <v>3778.5508750000004</v>
      </c>
      <c r="G3692" s="328">
        <v>13574.082500000002</v>
      </c>
      <c r="H3692" s="328">
        <v>10584.424125</v>
      </c>
      <c r="I3692" s="329">
        <v>1.1512880526275828</v>
      </c>
      <c r="J3692" s="329">
        <v>1.4584295209783296</v>
      </c>
      <c r="K3692" s="329">
        <v>1.3224046670648315</v>
      </c>
    </row>
    <row r="3693" spans="1:11" ht="11.25" x14ac:dyDescent="0.15">
      <c r="A3693" s="326">
        <v>1.375</v>
      </c>
      <c r="B3693" s="327">
        <v>125</v>
      </c>
      <c r="C3693" s="327" t="s">
        <v>110</v>
      </c>
      <c r="D3693" s="327" t="s">
        <v>114</v>
      </c>
      <c r="E3693" s="328" t="s">
        <v>3033</v>
      </c>
      <c r="F3693" s="328">
        <v>992.15269999999998</v>
      </c>
      <c r="G3693" s="328">
        <v>11788.671124999999</v>
      </c>
      <c r="H3693" s="328">
        <v>10453.691874999999</v>
      </c>
      <c r="I3693" s="329">
        <v>0.30229937022938674</v>
      </c>
      <c r="J3693" s="329">
        <v>1.2666009641391829</v>
      </c>
      <c r="K3693" s="329">
        <v>1.3060711438146106</v>
      </c>
    </row>
    <row r="3694" spans="1:11" ht="11.25" x14ac:dyDescent="0.15">
      <c r="A3694" s="326">
        <v>1.375</v>
      </c>
      <c r="B3694" s="327">
        <v>125</v>
      </c>
      <c r="C3694" s="327" t="s">
        <v>110</v>
      </c>
      <c r="D3694" s="327" t="s">
        <v>113</v>
      </c>
      <c r="E3694" s="328" t="s">
        <v>3034</v>
      </c>
      <c r="F3694" s="328">
        <v>376.33447499999994</v>
      </c>
      <c r="G3694" s="328">
        <v>10654.265874999999</v>
      </c>
      <c r="H3694" s="328">
        <v>10328.57375</v>
      </c>
      <c r="I3694" s="329">
        <v>0.1146654892821507</v>
      </c>
      <c r="J3694" s="329">
        <v>1.1447179488154731</v>
      </c>
      <c r="K3694" s="329">
        <v>1.290439042296343</v>
      </c>
    </row>
    <row r="3695" spans="1:11" ht="11.25" x14ac:dyDescent="0.15">
      <c r="A3695" s="326">
        <v>1.4</v>
      </c>
      <c r="B3695" s="327">
        <v>125</v>
      </c>
      <c r="C3695" s="327" t="s">
        <v>110</v>
      </c>
      <c r="D3695" s="327" t="s">
        <v>79</v>
      </c>
      <c r="E3695" s="328" t="s">
        <v>3035</v>
      </c>
      <c r="F3695" s="328">
        <v>4031.9187999999999</v>
      </c>
      <c r="G3695" s="328">
        <v>14324.631999999998</v>
      </c>
      <c r="H3695" s="328">
        <v>10984.384599999999</v>
      </c>
      <c r="I3695" s="329">
        <v>1.2284868186681595</v>
      </c>
      <c r="J3695" s="329">
        <v>1.5390702234166356</v>
      </c>
      <c r="K3695" s="329">
        <v>1.3723752268737683</v>
      </c>
    </row>
    <row r="3696" spans="1:11" ht="11.25" x14ac:dyDescent="0.15">
      <c r="A3696" s="326">
        <v>1.4</v>
      </c>
      <c r="B3696" s="327">
        <v>125</v>
      </c>
      <c r="C3696" s="327" t="s">
        <v>110</v>
      </c>
      <c r="D3696" s="327" t="s">
        <v>114</v>
      </c>
      <c r="E3696" s="328" t="s">
        <v>3036</v>
      </c>
      <c r="F3696" s="328">
        <v>1058.4131600000001</v>
      </c>
      <c r="G3696" s="328">
        <v>12427.049599999998</v>
      </c>
      <c r="H3696" s="328">
        <v>10848.712</v>
      </c>
      <c r="I3696" s="329">
        <v>0.32248829410079233</v>
      </c>
      <c r="J3696" s="329">
        <v>1.3351897629399214</v>
      </c>
      <c r="K3696" s="329">
        <v>1.3554244624945282</v>
      </c>
    </row>
    <row r="3697" spans="1:11" ht="11.25" x14ac:dyDescent="0.15">
      <c r="A3697" s="326">
        <v>1.4</v>
      </c>
      <c r="B3697" s="327">
        <v>125</v>
      </c>
      <c r="C3697" s="327" t="s">
        <v>110</v>
      </c>
      <c r="D3697" s="327" t="s">
        <v>113</v>
      </c>
      <c r="E3697" s="328" t="s">
        <v>3037</v>
      </c>
      <c r="F3697" s="328">
        <v>401.56605999999999</v>
      </c>
      <c r="G3697" s="328">
        <v>11205.3298</v>
      </c>
      <c r="H3697" s="328">
        <v>10719.849</v>
      </c>
      <c r="I3697" s="329">
        <v>0.12235331017442792</v>
      </c>
      <c r="J3697" s="329">
        <v>1.2039254787657432</v>
      </c>
      <c r="K3697" s="329">
        <v>1.3393244809934588</v>
      </c>
    </row>
    <row r="3698" spans="1:11" ht="11.25" x14ac:dyDescent="0.15">
      <c r="A3698" s="326">
        <v>0.9</v>
      </c>
      <c r="B3698" s="327">
        <v>140</v>
      </c>
      <c r="C3698" s="327" t="s">
        <v>110</v>
      </c>
      <c r="D3698" s="327" t="s">
        <v>79</v>
      </c>
      <c r="E3698" s="328" t="s">
        <v>3038</v>
      </c>
      <c r="F3698" s="328">
        <v>1402.3377</v>
      </c>
      <c r="G3698" s="328">
        <v>4429.9207800000004</v>
      </c>
      <c r="H3698" s="328">
        <v>4415.4671400000007</v>
      </c>
      <c r="I3698" s="329">
        <v>0.42727878839509958</v>
      </c>
      <c r="J3698" s="329">
        <v>0.47596051085937829</v>
      </c>
      <c r="K3698" s="329">
        <v>0.55166292320201271</v>
      </c>
    </row>
    <row r="3699" spans="1:11" ht="11.25" x14ac:dyDescent="0.15">
      <c r="A3699" s="326">
        <v>0.9</v>
      </c>
      <c r="B3699" s="327">
        <v>140</v>
      </c>
      <c r="C3699" s="327" t="s">
        <v>110</v>
      </c>
      <c r="D3699" s="327" t="s">
        <v>114</v>
      </c>
      <c r="E3699" s="328" t="s">
        <v>3039</v>
      </c>
      <c r="F3699" s="328">
        <v>383.265918</v>
      </c>
      <c r="G3699" s="328">
        <v>4148.46432</v>
      </c>
      <c r="H3699" s="328">
        <v>4350.7011600000005</v>
      </c>
      <c r="I3699" s="329">
        <v>0.11677743319328546</v>
      </c>
      <c r="J3699" s="329">
        <v>0.44572020473673196</v>
      </c>
      <c r="K3699" s="329">
        <v>0.5435711429400395</v>
      </c>
    </row>
    <row r="3700" spans="1:11" ht="11.25" x14ac:dyDescent="0.15">
      <c r="A3700" s="326">
        <v>0.9</v>
      </c>
      <c r="B3700" s="327">
        <v>140</v>
      </c>
      <c r="C3700" s="327" t="s">
        <v>110</v>
      </c>
      <c r="D3700" s="327" t="s">
        <v>113</v>
      </c>
      <c r="E3700" s="328" t="s">
        <v>3040</v>
      </c>
      <c r="F3700" s="328">
        <v>154.00773000000001</v>
      </c>
      <c r="G3700" s="328">
        <v>4030.8355799999999</v>
      </c>
      <c r="H3700" s="328">
        <v>4285.5397200000007</v>
      </c>
      <c r="I3700" s="329">
        <v>4.6924671766208403E-2</v>
      </c>
      <c r="J3700" s="329">
        <v>0.43308191209842772</v>
      </c>
      <c r="K3700" s="329">
        <v>0.53542995440195595</v>
      </c>
    </row>
    <row r="3701" spans="1:11" ht="11.25" x14ac:dyDescent="0.15">
      <c r="A3701" s="326">
        <v>0.92500000000000004</v>
      </c>
      <c r="B3701" s="327">
        <v>140</v>
      </c>
      <c r="C3701" s="327" t="s">
        <v>110</v>
      </c>
      <c r="D3701" s="327" t="s">
        <v>79</v>
      </c>
      <c r="E3701" s="328" t="s">
        <v>3041</v>
      </c>
      <c r="F3701" s="328">
        <v>1512.5868250000001</v>
      </c>
      <c r="G3701" s="328">
        <v>4721.9592400000001</v>
      </c>
      <c r="H3701" s="328">
        <v>4673.89624</v>
      </c>
      <c r="I3701" s="329">
        <v>0.46087063474681639</v>
      </c>
      <c r="J3701" s="329">
        <v>0.50733777052499829</v>
      </c>
      <c r="K3701" s="329">
        <v>0.58395073063578395</v>
      </c>
    </row>
    <row r="3702" spans="1:11" ht="11.25" x14ac:dyDescent="0.15">
      <c r="A3702" s="326">
        <v>0.92500000000000004</v>
      </c>
      <c r="B3702" s="327">
        <v>140</v>
      </c>
      <c r="C3702" s="327" t="s">
        <v>110</v>
      </c>
      <c r="D3702" s="327" t="s">
        <v>114</v>
      </c>
      <c r="E3702" s="328" t="s">
        <v>3042</v>
      </c>
      <c r="F3702" s="328">
        <v>413.70582450000001</v>
      </c>
      <c r="G3702" s="328">
        <v>4394.3836250000013</v>
      </c>
      <c r="H3702" s="328">
        <v>4606.4670700000006</v>
      </c>
      <c r="I3702" s="329">
        <v>0.12605217947457001</v>
      </c>
      <c r="J3702" s="329">
        <v>0.47214232013130653</v>
      </c>
      <c r="K3702" s="329">
        <v>0.57552621475742882</v>
      </c>
    </row>
    <row r="3703" spans="1:11" ht="11.25" x14ac:dyDescent="0.15">
      <c r="A3703" s="326">
        <v>0.92500000000000004</v>
      </c>
      <c r="B3703" s="327">
        <v>140</v>
      </c>
      <c r="C3703" s="327" t="s">
        <v>110</v>
      </c>
      <c r="D3703" s="327" t="s">
        <v>113</v>
      </c>
      <c r="E3703" s="328" t="s">
        <v>3043</v>
      </c>
      <c r="F3703" s="328">
        <v>165.89871299999999</v>
      </c>
      <c r="G3703" s="328">
        <v>4255.5376100000012</v>
      </c>
      <c r="H3703" s="328">
        <v>4538.6238700000004</v>
      </c>
      <c r="I3703" s="329">
        <v>5.0547739739826111E-2</v>
      </c>
      <c r="J3703" s="329">
        <v>0.45722439642293067</v>
      </c>
      <c r="K3703" s="329">
        <v>0.56704997049046801</v>
      </c>
    </row>
    <row r="3704" spans="1:11" ht="11.25" x14ac:dyDescent="0.15">
      <c r="A3704" s="326">
        <v>0.95</v>
      </c>
      <c r="B3704" s="327">
        <v>140</v>
      </c>
      <c r="C3704" s="327" t="s">
        <v>110</v>
      </c>
      <c r="D3704" s="327" t="s">
        <v>79</v>
      </c>
      <c r="E3704" s="328" t="s">
        <v>3044</v>
      </c>
      <c r="F3704" s="328">
        <v>1629.86636</v>
      </c>
      <c r="G3704" s="328">
        <v>5031.1458499999999</v>
      </c>
      <c r="H3704" s="328">
        <v>4939.5595800000001</v>
      </c>
      <c r="I3704" s="329">
        <v>0.49660457930121338</v>
      </c>
      <c r="J3704" s="329">
        <v>0.54055746544840944</v>
      </c>
      <c r="K3704" s="329">
        <v>0.61714237493641622</v>
      </c>
    </row>
    <row r="3705" spans="1:11" ht="11.25" x14ac:dyDescent="0.15">
      <c r="A3705" s="326">
        <v>0.95</v>
      </c>
      <c r="B3705" s="327">
        <v>140</v>
      </c>
      <c r="C3705" s="327" t="s">
        <v>110</v>
      </c>
      <c r="D3705" s="327" t="s">
        <v>114</v>
      </c>
      <c r="E3705" s="328" t="s">
        <v>3045</v>
      </c>
      <c r="F3705" s="328">
        <v>446.07789599999995</v>
      </c>
      <c r="G3705" s="328">
        <v>4652.8091100000001</v>
      </c>
      <c r="H3705" s="328">
        <v>4869.4556599999996</v>
      </c>
      <c r="I3705" s="329">
        <v>0.13591563781870458</v>
      </c>
      <c r="J3705" s="329">
        <v>0.49990812723444894</v>
      </c>
      <c r="K3705" s="329">
        <v>0.60838367914978653</v>
      </c>
    </row>
    <row r="3706" spans="1:11" ht="11.25" x14ac:dyDescent="0.15">
      <c r="A3706" s="326">
        <v>0.95</v>
      </c>
      <c r="B3706" s="327">
        <v>140</v>
      </c>
      <c r="C3706" s="327" t="s">
        <v>110</v>
      </c>
      <c r="D3706" s="327" t="s">
        <v>113</v>
      </c>
      <c r="E3706" s="328" t="s">
        <v>3046</v>
      </c>
      <c r="F3706" s="328">
        <v>178.52407599999998</v>
      </c>
      <c r="G3706" s="328">
        <v>4489.0921899999994</v>
      </c>
      <c r="H3706" s="328">
        <v>4798.9510299999993</v>
      </c>
      <c r="I3706" s="329">
        <v>5.4394566225121573E-2</v>
      </c>
      <c r="J3706" s="329">
        <v>0.48231801834777843</v>
      </c>
      <c r="K3706" s="329">
        <v>0.59957491915863492</v>
      </c>
    </row>
    <row r="3707" spans="1:11" ht="11.25" x14ac:dyDescent="0.15">
      <c r="A3707" s="326">
        <v>0.97499999999999998</v>
      </c>
      <c r="B3707" s="327">
        <v>140</v>
      </c>
      <c r="C3707" s="327" t="s">
        <v>110</v>
      </c>
      <c r="D3707" s="327" t="s">
        <v>79</v>
      </c>
      <c r="E3707" s="328" t="s">
        <v>3047</v>
      </c>
      <c r="F3707" s="328">
        <v>1754.5622250000001</v>
      </c>
      <c r="G3707" s="328">
        <v>5359.4080800000002</v>
      </c>
      <c r="H3707" s="328">
        <v>5212.8529049999997</v>
      </c>
      <c r="I3707" s="329">
        <v>0.53459820816470249</v>
      </c>
      <c r="J3707" s="329">
        <v>0.57582668728010067</v>
      </c>
      <c r="K3707" s="329">
        <v>0.65128729998756218</v>
      </c>
    </row>
    <row r="3708" spans="1:11" ht="11.25" x14ac:dyDescent="0.15">
      <c r="A3708" s="326">
        <v>0.97499999999999998</v>
      </c>
      <c r="B3708" s="327">
        <v>140</v>
      </c>
      <c r="C3708" s="327" t="s">
        <v>110</v>
      </c>
      <c r="D3708" s="327" t="s">
        <v>114</v>
      </c>
      <c r="E3708" s="328" t="s">
        <v>3048</v>
      </c>
      <c r="F3708" s="328">
        <v>480.48754650000001</v>
      </c>
      <c r="G3708" s="328">
        <v>4925.1475650000002</v>
      </c>
      <c r="H3708" s="328">
        <v>5140.0001249999996</v>
      </c>
      <c r="I3708" s="329">
        <v>0.14639992685603051</v>
      </c>
      <c r="J3708" s="329">
        <v>0.52916877468296919</v>
      </c>
      <c r="K3708" s="329">
        <v>0.64218516508226353</v>
      </c>
    </row>
    <row r="3709" spans="1:11" ht="11.25" x14ac:dyDescent="0.15">
      <c r="A3709" s="326">
        <v>0.97499999999999998</v>
      </c>
      <c r="B3709" s="327">
        <v>140</v>
      </c>
      <c r="C3709" s="327" t="s">
        <v>110</v>
      </c>
      <c r="D3709" s="327" t="s">
        <v>113</v>
      </c>
      <c r="E3709" s="328" t="s">
        <v>3049</v>
      </c>
      <c r="F3709" s="328">
        <v>191.92551299999997</v>
      </c>
      <c r="G3709" s="328">
        <v>4732.7948850000002</v>
      </c>
      <c r="H3709" s="328">
        <v>5066.7238049999996</v>
      </c>
      <c r="I3709" s="329">
        <v>5.8477854982254218E-2</v>
      </c>
      <c r="J3709" s="329">
        <v>0.50850197624916726</v>
      </c>
      <c r="K3709" s="329">
        <v>0.63303011362089401</v>
      </c>
    </row>
    <row r="3710" spans="1:11" ht="11.25" x14ac:dyDescent="0.15">
      <c r="A3710" s="326">
        <v>1</v>
      </c>
      <c r="B3710" s="327">
        <v>140</v>
      </c>
      <c r="C3710" s="327" t="s">
        <v>110</v>
      </c>
      <c r="D3710" s="327" t="s">
        <v>79</v>
      </c>
      <c r="E3710" s="328" t="s">
        <v>3050</v>
      </c>
      <c r="F3710" s="328">
        <v>1887.069</v>
      </c>
      <c r="G3710" s="328">
        <v>5706.7344000000003</v>
      </c>
      <c r="H3710" s="328">
        <v>5493.2948000000006</v>
      </c>
      <c r="I3710" s="329">
        <v>0.57497174606227308</v>
      </c>
      <c r="J3710" s="329">
        <v>0.6131441972113072</v>
      </c>
      <c r="K3710" s="329">
        <v>0.68632535840328224</v>
      </c>
    </row>
    <row r="3711" spans="1:11" ht="11.25" x14ac:dyDescent="0.15">
      <c r="A3711" s="326">
        <v>1</v>
      </c>
      <c r="B3711" s="327">
        <v>140</v>
      </c>
      <c r="C3711" s="327" t="s">
        <v>110</v>
      </c>
      <c r="D3711" s="327" t="s">
        <v>114</v>
      </c>
      <c r="E3711" s="328" t="s">
        <v>3051</v>
      </c>
      <c r="F3711" s="328">
        <v>517.04331999999999</v>
      </c>
      <c r="G3711" s="328">
        <v>5212.3928000000005</v>
      </c>
      <c r="H3711" s="328">
        <v>5417.7057999999997</v>
      </c>
      <c r="I3711" s="329">
        <v>0.1575381188977375</v>
      </c>
      <c r="J3711" s="329">
        <v>0.56003103962679568</v>
      </c>
      <c r="K3711" s="329">
        <v>0.6768813636050518</v>
      </c>
    </row>
    <row r="3712" spans="1:11" ht="11.25" x14ac:dyDescent="0.15">
      <c r="A3712" s="326">
        <v>1</v>
      </c>
      <c r="B3712" s="327">
        <v>140</v>
      </c>
      <c r="C3712" s="327" t="s">
        <v>110</v>
      </c>
      <c r="D3712" s="327" t="s">
        <v>113</v>
      </c>
      <c r="E3712" s="328" t="s">
        <v>3052</v>
      </c>
      <c r="F3712" s="328">
        <v>206.14439999999996</v>
      </c>
      <c r="G3712" s="328">
        <v>4987.2521999999999</v>
      </c>
      <c r="H3712" s="328">
        <v>5341.5663999999997</v>
      </c>
      <c r="I3712" s="329">
        <v>6.2810212879846811E-2</v>
      </c>
      <c r="J3712" s="329">
        <v>0.53584143436907195</v>
      </c>
      <c r="K3712" s="329">
        <v>0.66736860252155583</v>
      </c>
    </row>
    <row r="3713" spans="1:11" ht="11.25" x14ac:dyDescent="0.15">
      <c r="A3713" s="326">
        <v>1.0249999999999999</v>
      </c>
      <c r="B3713" s="327">
        <v>140</v>
      </c>
      <c r="C3713" s="327" t="s">
        <v>110</v>
      </c>
      <c r="D3713" s="327" t="s">
        <v>79</v>
      </c>
      <c r="E3713" s="328" t="s">
        <v>3053</v>
      </c>
      <c r="F3713" s="328">
        <v>2027.7943999999998</v>
      </c>
      <c r="G3713" s="328">
        <v>6075.1040699999994</v>
      </c>
      <c r="H3713" s="328">
        <v>5781.2269349999997</v>
      </c>
      <c r="I3713" s="329">
        <v>0.61784941982688468</v>
      </c>
      <c r="J3713" s="329">
        <v>0.65272265132494944</v>
      </c>
      <c r="K3713" s="329">
        <v>0.72229923800459117</v>
      </c>
    </row>
    <row r="3714" spans="1:11" ht="11.25" x14ac:dyDescent="0.15">
      <c r="A3714" s="326">
        <v>1.0249999999999999</v>
      </c>
      <c r="B3714" s="327">
        <v>140</v>
      </c>
      <c r="C3714" s="327" t="s">
        <v>110</v>
      </c>
      <c r="D3714" s="327" t="s">
        <v>114</v>
      </c>
      <c r="E3714" s="328" t="s">
        <v>3054</v>
      </c>
      <c r="F3714" s="328">
        <v>555.85508099999993</v>
      </c>
      <c r="G3714" s="328">
        <v>5514.8991349999997</v>
      </c>
      <c r="H3714" s="328">
        <v>5702.5225149999997</v>
      </c>
      <c r="I3714" s="329">
        <v>0.1693636885986449</v>
      </c>
      <c r="J3714" s="329">
        <v>0.59253299099234524</v>
      </c>
      <c r="K3714" s="329">
        <v>0.71246600654131298</v>
      </c>
    </row>
    <row r="3715" spans="1:11" ht="11.25" x14ac:dyDescent="0.15">
      <c r="A3715" s="326">
        <v>1.0249999999999999</v>
      </c>
      <c r="B3715" s="327">
        <v>140</v>
      </c>
      <c r="C3715" s="327" t="s">
        <v>110</v>
      </c>
      <c r="D3715" s="327" t="s">
        <v>113</v>
      </c>
      <c r="E3715" s="328" t="s">
        <v>3055</v>
      </c>
      <c r="F3715" s="328">
        <v>221.22290050000001</v>
      </c>
      <c r="G3715" s="328">
        <v>5253.1951099999997</v>
      </c>
      <c r="H3715" s="328">
        <v>5623.6176049999985</v>
      </c>
      <c r="I3715" s="329">
        <v>6.7404486730186078E-2</v>
      </c>
      <c r="J3715" s="329">
        <v>0.56441493028224932</v>
      </c>
      <c r="K3715" s="329">
        <v>0.70260772610904321</v>
      </c>
    </row>
    <row r="3716" spans="1:11" ht="11.25" x14ac:dyDescent="0.15">
      <c r="A3716" s="326">
        <v>1.05</v>
      </c>
      <c r="B3716" s="327">
        <v>140</v>
      </c>
      <c r="C3716" s="327" t="s">
        <v>110</v>
      </c>
      <c r="D3716" s="327" t="s">
        <v>79</v>
      </c>
      <c r="E3716" s="328" t="s">
        <v>3056</v>
      </c>
      <c r="F3716" s="328">
        <v>2177.17101</v>
      </c>
      <c r="G3716" s="328">
        <v>6465.0234600000013</v>
      </c>
      <c r="H3716" s="328">
        <v>6076.5389999999998</v>
      </c>
      <c r="I3716" s="329">
        <v>0.66336303394092255</v>
      </c>
      <c r="J3716" s="329">
        <v>0.69461645513657833</v>
      </c>
      <c r="K3716" s="329">
        <v>0.75919515679852489</v>
      </c>
    </row>
    <row r="3717" spans="1:11" ht="11.25" x14ac:dyDescent="0.15">
      <c r="A3717" s="326">
        <v>1.05</v>
      </c>
      <c r="B3717" s="327">
        <v>140</v>
      </c>
      <c r="C3717" s="327" t="s">
        <v>110</v>
      </c>
      <c r="D3717" s="327" t="s">
        <v>114</v>
      </c>
      <c r="E3717" s="328" t="s">
        <v>3057</v>
      </c>
      <c r="F3717" s="328">
        <v>597.03951299999994</v>
      </c>
      <c r="G3717" s="328">
        <v>5834.9421900000007</v>
      </c>
      <c r="H3717" s="328">
        <v>5994.81855</v>
      </c>
      <c r="I3717" s="329">
        <v>0.18191218829718425</v>
      </c>
      <c r="J3717" s="329">
        <v>0.62691912643804426</v>
      </c>
      <c r="K3717" s="329">
        <v>0.74898510633206761</v>
      </c>
    </row>
    <row r="3718" spans="1:11" ht="11.25" x14ac:dyDescent="0.15">
      <c r="A3718" s="326">
        <v>1.05</v>
      </c>
      <c r="B3718" s="327">
        <v>140</v>
      </c>
      <c r="C3718" s="327" t="s">
        <v>110</v>
      </c>
      <c r="D3718" s="327" t="s">
        <v>113</v>
      </c>
      <c r="E3718" s="328" t="s">
        <v>3058</v>
      </c>
      <c r="F3718" s="328">
        <v>237.20640299999999</v>
      </c>
      <c r="G3718" s="328">
        <v>5532.1931700000005</v>
      </c>
      <c r="H3718" s="328">
        <v>5913.0246000000006</v>
      </c>
      <c r="I3718" s="329">
        <v>7.2274505971992128E-2</v>
      </c>
      <c r="J3718" s="329">
        <v>0.59439110045800037</v>
      </c>
      <c r="K3718" s="329">
        <v>0.73876587286785056</v>
      </c>
    </row>
    <row r="3719" spans="1:11" ht="11.25" x14ac:dyDescent="0.15">
      <c r="A3719" s="326">
        <v>1.075</v>
      </c>
      <c r="B3719" s="327">
        <v>140</v>
      </c>
      <c r="C3719" s="327" t="s">
        <v>110</v>
      </c>
      <c r="D3719" s="327" t="s">
        <v>79</v>
      </c>
      <c r="E3719" s="328" t="s">
        <v>3059</v>
      </c>
      <c r="F3719" s="328">
        <v>2335.651425</v>
      </c>
      <c r="G3719" s="328">
        <v>6877.5247049999989</v>
      </c>
      <c r="H3719" s="328">
        <v>6379.078595</v>
      </c>
      <c r="I3719" s="329">
        <v>0.71165048974101441</v>
      </c>
      <c r="J3719" s="329">
        <v>0.73893650351909779</v>
      </c>
      <c r="K3719" s="329">
        <v>0.7969940741203404</v>
      </c>
    </row>
    <row r="3720" spans="1:11" ht="11.25" x14ac:dyDescent="0.15">
      <c r="A3720" s="326">
        <v>1.075</v>
      </c>
      <c r="B3720" s="327">
        <v>140</v>
      </c>
      <c r="C3720" s="327" t="s">
        <v>110</v>
      </c>
      <c r="D3720" s="327" t="s">
        <v>114</v>
      </c>
      <c r="E3720" s="328" t="s">
        <v>3060</v>
      </c>
      <c r="F3720" s="328">
        <v>640.721543</v>
      </c>
      <c r="G3720" s="328">
        <v>6173.8195999999998</v>
      </c>
      <c r="H3720" s="328">
        <v>6294.5077000000001</v>
      </c>
      <c r="I3720" s="329">
        <v>0.19522168204682702</v>
      </c>
      <c r="J3720" s="329">
        <v>0.66332886674547764</v>
      </c>
      <c r="K3720" s="329">
        <v>0.78642789263280011</v>
      </c>
    </row>
    <row r="3721" spans="1:11" ht="11.25" x14ac:dyDescent="0.15">
      <c r="A3721" s="326">
        <v>1.075</v>
      </c>
      <c r="B3721" s="327">
        <v>140</v>
      </c>
      <c r="C3721" s="327" t="s">
        <v>110</v>
      </c>
      <c r="D3721" s="327" t="s">
        <v>113</v>
      </c>
      <c r="E3721" s="328" t="s">
        <v>3061</v>
      </c>
      <c r="F3721" s="328">
        <v>254.14311499999997</v>
      </c>
      <c r="G3721" s="328">
        <v>5824.6841100000001</v>
      </c>
      <c r="H3721" s="328">
        <v>6209.5394849999993</v>
      </c>
      <c r="I3721" s="329">
        <v>7.7434958966129508E-2</v>
      </c>
      <c r="J3721" s="329">
        <v>0.62581697557808313</v>
      </c>
      <c r="K3721" s="329">
        <v>0.77581207048308354</v>
      </c>
    </row>
    <row r="3722" spans="1:11" ht="11.25" x14ac:dyDescent="0.15">
      <c r="A3722" s="326">
        <v>1.1000000000000001</v>
      </c>
      <c r="B3722" s="327">
        <v>140</v>
      </c>
      <c r="C3722" s="327" t="s">
        <v>110</v>
      </c>
      <c r="D3722" s="327" t="s">
        <v>79</v>
      </c>
      <c r="E3722" s="328" t="s">
        <v>3062</v>
      </c>
      <c r="F3722" s="328">
        <v>2503.7097800000001</v>
      </c>
      <c r="G3722" s="328">
        <v>7313.9176000000007</v>
      </c>
      <c r="H3722" s="328">
        <v>6689.375</v>
      </c>
      <c r="I3722" s="329">
        <v>0.76285625159429238</v>
      </c>
      <c r="J3722" s="329">
        <v>0.78582352375145592</v>
      </c>
      <c r="K3722" s="329">
        <v>0.8357621175490082</v>
      </c>
    </row>
    <row r="3723" spans="1:11" ht="11.25" x14ac:dyDescent="0.15">
      <c r="A3723" s="326">
        <v>1.1000000000000001</v>
      </c>
      <c r="B3723" s="327">
        <v>140</v>
      </c>
      <c r="C3723" s="327" t="s">
        <v>110</v>
      </c>
      <c r="D3723" s="327" t="s">
        <v>114</v>
      </c>
      <c r="E3723" s="328" t="s">
        <v>3063</v>
      </c>
      <c r="F3723" s="328">
        <v>687.02999199999999</v>
      </c>
      <c r="G3723" s="328">
        <v>6531.0165800000013</v>
      </c>
      <c r="H3723" s="328">
        <v>6601.3494800000008</v>
      </c>
      <c r="I3723" s="329">
        <v>0.2093314203653335</v>
      </c>
      <c r="J3723" s="329">
        <v>0.70170690227283705</v>
      </c>
      <c r="K3723" s="329">
        <v>0.82476431954941154</v>
      </c>
    </row>
    <row r="3724" spans="1:11" ht="11.25" x14ac:dyDescent="0.15">
      <c r="A3724" s="326">
        <v>1.1000000000000001</v>
      </c>
      <c r="B3724" s="327">
        <v>140</v>
      </c>
      <c r="C3724" s="327" t="s">
        <v>110</v>
      </c>
      <c r="D3724" s="327" t="s">
        <v>113</v>
      </c>
      <c r="E3724" s="328" t="s">
        <v>3064</v>
      </c>
      <c r="F3724" s="328">
        <v>272.08480199999997</v>
      </c>
      <c r="G3724" s="328">
        <v>6132.8280200000008</v>
      </c>
      <c r="H3724" s="328">
        <v>6513.7910200000006</v>
      </c>
      <c r="I3724" s="329">
        <v>8.2901618161788385E-2</v>
      </c>
      <c r="J3724" s="329">
        <v>0.65892464050156441</v>
      </c>
      <c r="K3724" s="329">
        <v>0.81382487544006943</v>
      </c>
    </row>
    <row r="3725" spans="1:11" ht="11.25" x14ac:dyDescent="0.15">
      <c r="A3725" s="326">
        <v>1.125</v>
      </c>
      <c r="B3725" s="327">
        <v>140</v>
      </c>
      <c r="C3725" s="327" t="s">
        <v>110</v>
      </c>
      <c r="D3725" s="327" t="s">
        <v>79</v>
      </c>
      <c r="E3725" s="328" t="s">
        <v>3065</v>
      </c>
      <c r="F3725" s="328">
        <v>2681.8434000000002</v>
      </c>
      <c r="G3725" s="328">
        <v>7774.1657999999998</v>
      </c>
      <c r="H3725" s="328">
        <v>7006.8023999999996</v>
      </c>
      <c r="I3725" s="329">
        <v>0.81713184963749774</v>
      </c>
      <c r="J3725" s="329">
        <v>0.83527361084626595</v>
      </c>
      <c r="K3725" s="329">
        <v>0.87542109854380601</v>
      </c>
    </row>
    <row r="3726" spans="1:11" ht="11.25" x14ac:dyDescent="0.15">
      <c r="A3726" s="326">
        <v>1.125</v>
      </c>
      <c r="B3726" s="327">
        <v>140</v>
      </c>
      <c r="C3726" s="327" t="s">
        <v>110</v>
      </c>
      <c r="D3726" s="327" t="s">
        <v>114</v>
      </c>
      <c r="E3726" s="328" t="s">
        <v>3066</v>
      </c>
      <c r="F3726" s="328">
        <v>736.1013375</v>
      </c>
      <c r="G3726" s="328">
        <v>6909.3603000000003</v>
      </c>
      <c r="H3726" s="328">
        <v>6915.5957250000001</v>
      </c>
      <c r="I3726" s="329">
        <v>0.2242829866322586</v>
      </c>
      <c r="J3726" s="329">
        <v>0.74235699043347392</v>
      </c>
      <c r="K3726" s="329">
        <v>0.8640258510307568</v>
      </c>
    </row>
    <row r="3727" spans="1:11" ht="11.25" x14ac:dyDescent="0.15">
      <c r="A3727" s="326">
        <v>1.125</v>
      </c>
      <c r="B3727" s="327">
        <v>140</v>
      </c>
      <c r="C3727" s="327" t="s">
        <v>110</v>
      </c>
      <c r="D3727" s="327" t="s">
        <v>113</v>
      </c>
      <c r="E3727" s="328" t="s">
        <v>3067</v>
      </c>
      <c r="F3727" s="328">
        <v>291.08501999999999</v>
      </c>
      <c r="G3727" s="328">
        <v>6457.1053499999998</v>
      </c>
      <c r="H3727" s="328">
        <v>6825.1095000000005</v>
      </c>
      <c r="I3727" s="329">
        <v>8.8690801556260898E-2</v>
      </c>
      <c r="J3727" s="329">
        <v>0.69376571584172309</v>
      </c>
      <c r="K3727" s="329">
        <v>0.85272061563656587</v>
      </c>
    </row>
    <row r="3728" spans="1:11" ht="11.25" x14ac:dyDescent="0.15">
      <c r="A3728" s="326">
        <v>1.1499999999999999</v>
      </c>
      <c r="B3728" s="327">
        <v>140</v>
      </c>
      <c r="C3728" s="327" t="s">
        <v>110</v>
      </c>
      <c r="D3728" s="327" t="s">
        <v>79</v>
      </c>
      <c r="E3728" s="328" t="s">
        <v>3068</v>
      </c>
      <c r="F3728" s="328">
        <v>2870.5722699999997</v>
      </c>
      <c r="G3728" s="328">
        <v>8259.5815199999997</v>
      </c>
      <c r="H3728" s="328">
        <v>7331.8548999999994</v>
      </c>
      <c r="I3728" s="329">
        <v>0.87463571829108677</v>
      </c>
      <c r="J3728" s="329">
        <v>0.88742775209264124</v>
      </c>
      <c r="K3728" s="329">
        <v>0.91603274996334805</v>
      </c>
    </row>
    <row r="3729" spans="1:11" ht="11.25" x14ac:dyDescent="0.15">
      <c r="A3729" s="326">
        <v>1.1499999999999999</v>
      </c>
      <c r="B3729" s="327">
        <v>140</v>
      </c>
      <c r="C3729" s="327" t="s">
        <v>110</v>
      </c>
      <c r="D3729" s="327" t="s">
        <v>114</v>
      </c>
      <c r="E3729" s="328" t="s">
        <v>3069</v>
      </c>
      <c r="F3729" s="328">
        <v>788.07816400000002</v>
      </c>
      <c r="G3729" s="328">
        <v>7307.8762499999993</v>
      </c>
      <c r="H3729" s="328">
        <v>7237.0509700000002</v>
      </c>
      <c r="I3729" s="329">
        <v>0.24011982497122811</v>
      </c>
      <c r="J3729" s="329">
        <v>0.78517442771225299</v>
      </c>
      <c r="K3729" s="329">
        <v>0.90418806592503842</v>
      </c>
    </row>
    <row r="3730" spans="1:11" ht="11.25" x14ac:dyDescent="0.15">
      <c r="A3730" s="326">
        <v>1.1499999999999999</v>
      </c>
      <c r="B3730" s="327">
        <v>140</v>
      </c>
      <c r="C3730" s="327" t="s">
        <v>110</v>
      </c>
      <c r="D3730" s="327" t="s">
        <v>113</v>
      </c>
      <c r="E3730" s="328" t="s">
        <v>3070</v>
      </c>
      <c r="F3730" s="328">
        <v>311.20131599999996</v>
      </c>
      <c r="G3730" s="328">
        <v>6798.8409399999991</v>
      </c>
      <c r="H3730" s="328">
        <v>7143.691209999999</v>
      </c>
      <c r="I3730" s="329">
        <v>9.4820043166093659E-2</v>
      </c>
      <c r="J3730" s="329">
        <v>0.73048254534566537</v>
      </c>
      <c r="K3730" s="329">
        <v>0.89252381467414155</v>
      </c>
    </row>
    <row r="3731" spans="1:11" ht="11.25" x14ac:dyDescent="0.15">
      <c r="A3731" s="326">
        <v>1.175</v>
      </c>
      <c r="B3731" s="327">
        <v>140</v>
      </c>
      <c r="C3731" s="327" t="s">
        <v>110</v>
      </c>
      <c r="D3731" s="327" t="s">
        <v>79</v>
      </c>
      <c r="E3731" s="328" t="s">
        <v>3071</v>
      </c>
      <c r="F3731" s="328">
        <v>3070.4409100000003</v>
      </c>
      <c r="G3731" s="328">
        <v>8770.1715650000006</v>
      </c>
      <c r="H3731" s="328">
        <v>7664.0963600000005</v>
      </c>
      <c r="I3731" s="329">
        <v>0.93553376755366924</v>
      </c>
      <c r="J3731" s="329">
        <v>0.94228667863487015</v>
      </c>
      <c r="K3731" s="329">
        <v>0.95754258102337608</v>
      </c>
    </row>
    <row r="3732" spans="1:11" ht="11.25" x14ac:dyDescent="0.15">
      <c r="A3732" s="326">
        <v>1.175</v>
      </c>
      <c r="B3732" s="327">
        <v>140</v>
      </c>
      <c r="C3732" s="327" t="s">
        <v>110</v>
      </c>
      <c r="D3732" s="327" t="s">
        <v>114</v>
      </c>
      <c r="E3732" s="328" t="s">
        <v>3072</v>
      </c>
      <c r="F3732" s="328">
        <v>843.11008749999996</v>
      </c>
      <c r="G3732" s="328">
        <v>7729.2188550000001</v>
      </c>
      <c r="H3732" s="328">
        <v>7566.1932450000004</v>
      </c>
      <c r="I3732" s="329">
        <v>0.25688752193618297</v>
      </c>
      <c r="J3732" s="329">
        <v>0.83044441141670688</v>
      </c>
      <c r="K3732" s="329">
        <v>0.94531068870054402</v>
      </c>
    </row>
    <row r="3733" spans="1:11" ht="11.25" x14ac:dyDescent="0.15">
      <c r="A3733" s="326">
        <v>1.175</v>
      </c>
      <c r="B3733" s="327">
        <v>140</v>
      </c>
      <c r="C3733" s="327" t="s">
        <v>110</v>
      </c>
      <c r="D3733" s="327" t="s">
        <v>113</v>
      </c>
      <c r="E3733" s="328" t="s">
        <v>3073</v>
      </c>
      <c r="F3733" s="328">
        <v>332.49407400000001</v>
      </c>
      <c r="G3733" s="328">
        <v>7157.5641999999998</v>
      </c>
      <c r="H3733" s="328">
        <v>7469.2367100000001</v>
      </c>
      <c r="I3733" s="329">
        <v>0.10130774141440438</v>
      </c>
      <c r="J3733" s="329">
        <v>0.76902456778037398</v>
      </c>
      <c r="K3733" s="329">
        <v>0.93319706089498455</v>
      </c>
    </row>
    <row r="3734" spans="1:11" ht="11.25" x14ac:dyDescent="0.15">
      <c r="A3734" s="330">
        <v>1.2</v>
      </c>
      <c r="B3734" s="331">
        <v>140</v>
      </c>
      <c r="C3734" s="331" t="s">
        <v>110</v>
      </c>
      <c r="D3734" s="331" t="s">
        <v>79</v>
      </c>
      <c r="E3734" s="328" t="s">
        <v>3074</v>
      </c>
      <c r="F3734" s="328">
        <v>3282.0203999999999</v>
      </c>
      <c r="G3734" s="328">
        <v>9307.3284000000003</v>
      </c>
      <c r="H3734" s="328">
        <v>8003.922239999999</v>
      </c>
      <c r="I3734" s="329">
        <v>1</v>
      </c>
      <c r="J3734" s="329">
        <v>1</v>
      </c>
      <c r="K3734" s="329">
        <v>1</v>
      </c>
    </row>
    <row r="3735" spans="1:11" ht="11.25" x14ac:dyDescent="0.15">
      <c r="A3735" s="326">
        <v>1.2</v>
      </c>
      <c r="B3735" s="327">
        <v>140</v>
      </c>
      <c r="C3735" s="327" t="s">
        <v>110</v>
      </c>
      <c r="D3735" s="327" t="s">
        <v>114</v>
      </c>
      <c r="E3735" s="328" t="s">
        <v>3075</v>
      </c>
      <c r="F3735" s="328">
        <v>901.35436800000002</v>
      </c>
      <c r="G3735" s="328">
        <v>8173.6005599999989</v>
      </c>
      <c r="H3735" s="328">
        <v>7902.3664799999988</v>
      </c>
      <c r="I3735" s="329">
        <v>0.27463399313422915</v>
      </c>
      <c r="J3735" s="329">
        <v>0.87818976710867946</v>
      </c>
      <c r="K3735" s="329">
        <v>0.98731175079482025</v>
      </c>
    </row>
    <row r="3736" spans="1:11" ht="11.25" x14ac:dyDescent="0.15">
      <c r="A3736" s="326">
        <v>1.2</v>
      </c>
      <c r="B3736" s="327">
        <v>140</v>
      </c>
      <c r="C3736" s="327" t="s">
        <v>110</v>
      </c>
      <c r="D3736" s="327" t="s">
        <v>113</v>
      </c>
      <c r="E3736" s="328" t="s">
        <v>3076</v>
      </c>
      <c r="F3736" s="328">
        <v>355.02744000000001</v>
      </c>
      <c r="G3736" s="328">
        <v>7537.67256</v>
      </c>
      <c r="H3736" s="328">
        <v>7802.46576</v>
      </c>
      <c r="I3736" s="329">
        <v>0.10817344096947112</v>
      </c>
      <c r="J3736" s="329">
        <v>0.80986425277526464</v>
      </c>
      <c r="K3736" s="329">
        <v>0.97483028021021867</v>
      </c>
    </row>
    <row r="3737" spans="1:11" ht="11.25" x14ac:dyDescent="0.15">
      <c r="A3737" s="326">
        <v>1.2250000000000001</v>
      </c>
      <c r="B3737" s="327">
        <v>140</v>
      </c>
      <c r="C3737" s="327" t="s">
        <v>110</v>
      </c>
      <c r="D3737" s="327" t="s">
        <v>79</v>
      </c>
      <c r="E3737" s="328" t="s">
        <v>3077</v>
      </c>
      <c r="F3737" s="328">
        <v>3505.9088400000001</v>
      </c>
      <c r="G3737" s="328">
        <v>9871.2619250000007</v>
      </c>
      <c r="H3737" s="328">
        <v>8351.0653450000009</v>
      </c>
      <c r="I3737" s="329">
        <v>1.06821665093855</v>
      </c>
      <c r="J3737" s="329">
        <v>1.0605902683094324</v>
      </c>
      <c r="K3737" s="329">
        <v>1.0433716238852417</v>
      </c>
    </row>
    <row r="3738" spans="1:11" ht="11.25" x14ac:dyDescent="0.15">
      <c r="A3738" s="326">
        <v>1.2250000000000001</v>
      </c>
      <c r="B3738" s="327">
        <v>140</v>
      </c>
      <c r="C3738" s="327" t="s">
        <v>110</v>
      </c>
      <c r="D3738" s="327" t="s">
        <v>114</v>
      </c>
      <c r="E3738" s="328" t="s">
        <v>3078</v>
      </c>
      <c r="F3738" s="328">
        <v>962.97651800000006</v>
      </c>
      <c r="G3738" s="328">
        <v>8642.3250200000002</v>
      </c>
      <c r="H3738" s="328">
        <v>8246.1884399999999</v>
      </c>
      <c r="I3738" s="329">
        <v>0.29340966862972578</v>
      </c>
      <c r="J3738" s="329">
        <v>0.9285505623719047</v>
      </c>
      <c r="K3738" s="329">
        <v>1.0302684349916924</v>
      </c>
    </row>
    <row r="3739" spans="1:11" ht="11.25" x14ac:dyDescent="0.15">
      <c r="A3739" s="326">
        <v>1.2250000000000001</v>
      </c>
      <c r="B3739" s="327">
        <v>140</v>
      </c>
      <c r="C3739" s="327" t="s">
        <v>110</v>
      </c>
      <c r="D3739" s="327" t="s">
        <v>113</v>
      </c>
      <c r="E3739" s="328" t="s">
        <v>3079</v>
      </c>
      <c r="F3739" s="328">
        <v>378.86949450000003</v>
      </c>
      <c r="G3739" s="328">
        <v>7936.9041150000012</v>
      </c>
      <c r="H3739" s="328">
        <v>8142.7489500000001</v>
      </c>
      <c r="I3739" s="329">
        <v>0.11543788530382079</v>
      </c>
      <c r="J3739" s="329">
        <v>0.85275857624192142</v>
      </c>
      <c r="K3739" s="329">
        <v>1.0173448349243335</v>
      </c>
    </row>
    <row r="3740" spans="1:11" ht="11.25" x14ac:dyDescent="0.15">
      <c r="A3740" s="326">
        <v>1.25</v>
      </c>
      <c r="B3740" s="327">
        <v>140</v>
      </c>
      <c r="C3740" s="327" t="s">
        <v>110</v>
      </c>
      <c r="D3740" s="327" t="s">
        <v>79</v>
      </c>
      <c r="E3740" s="328" t="s">
        <v>3080</v>
      </c>
      <c r="F3740" s="328">
        <v>3742.7340000000004</v>
      </c>
      <c r="G3740" s="328">
        <v>10462.194000000001</v>
      </c>
      <c r="H3740" s="328">
        <v>8706.0692500000005</v>
      </c>
      <c r="I3740" s="329">
        <v>1.1403749958409766</v>
      </c>
      <c r="J3740" s="329">
        <v>1.1240813206934872</v>
      </c>
      <c r="K3740" s="329">
        <v>1.0877253662574315</v>
      </c>
    </row>
    <row r="3741" spans="1:11" ht="11.25" x14ac:dyDescent="0.15">
      <c r="A3741" s="326">
        <v>1.25</v>
      </c>
      <c r="B3741" s="327">
        <v>140</v>
      </c>
      <c r="C3741" s="327" t="s">
        <v>110</v>
      </c>
      <c r="D3741" s="327" t="s">
        <v>114</v>
      </c>
      <c r="E3741" s="328" t="s">
        <v>3081</v>
      </c>
      <c r="F3741" s="328">
        <v>1028.1501250000001</v>
      </c>
      <c r="G3741" s="328">
        <v>9135.1487500000003</v>
      </c>
      <c r="H3741" s="328">
        <v>8597.2207500000004</v>
      </c>
      <c r="I3741" s="329">
        <v>0.31326743886174507</v>
      </c>
      <c r="J3741" s="329">
        <v>0.98150063663811415</v>
      </c>
      <c r="K3741" s="329">
        <v>1.0741259712688065</v>
      </c>
    </row>
    <row r="3742" spans="1:11" ht="11.25" x14ac:dyDescent="0.15">
      <c r="A3742" s="326">
        <v>1.25</v>
      </c>
      <c r="B3742" s="327">
        <v>140</v>
      </c>
      <c r="C3742" s="327" t="s">
        <v>110</v>
      </c>
      <c r="D3742" s="327" t="s">
        <v>113</v>
      </c>
      <c r="E3742" s="328" t="s">
        <v>3082</v>
      </c>
      <c r="F3742" s="328">
        <v>404.09257500000001</v>
      </c>
      <c r="G3742" s="328">
        <v>8357.2335000000003</v>
      </c>
      <c r="H3742" s="328">
        <v>8490.41</v>
      </c>
      <c r="I3742" s="329">
        <v>0.12312311495687231</v>
      </c>
      <c r="J3742" s="329">
        <v>0.8979196973430098</v>
      </c>
      <c r="K3742" s="329">
        <v>1.0607811702078707</v>
      </c>
    </row>
    <row r="3743" spans="1:11" ht="11.25" x14ac:dyDescent="0.15">
      <c r="A3743" s="326">
        <v>1.2749999999999999</v>
      </c>
      <c r="B3743" s="327">
        <v>140</v>
      </c>
      <c r="C3743" s="327" t="s">
        <v>110</v>
      </c>
      <c r="D3743" s="327" t="s">
        <v>79</v>
      </c>
      <c r="E3743" s="328" t="s">
        <v>3083</v>
      </c>
      <c r="F3743" s="328">
        <v>3993.1536299999998</v>
      </c>
      <c r="G3743" s="328">
        <v>11081.693099999999</v>
      </c>
      <c r="H3743" s="328">
        <v>9068.3757900000001</v>
      </c>
      <c r="I3743" s="329">
        <v>1.2166754447961383</v>
      </c>
      <c r="J3743" s="329">
        <v>1.1906416775838702</v>
      </c>
      <c r="K3743" s="329">
        <v>1.1329914906819487</v>
      </c>
    </row>
    <row r="3744" spans="1:11" ht="11.25" x14ac:dyDescent="0.15">
      <c r="A3744" s="326">
        <v>1.2749999999999999</v>
      </c>
      <c r="B3744" s="327">
        <v>140</v>
      </c>
      <c r="C3744" s="327" t="s">
        <v>110</v>
      </c>
      <c r="D3744" s="327" t="s">
        <v>114</v>
      </c>
      <c r="E3744" s="328" t="s">
        <v>3084</v>
      </c>
      <c r="F3744" s="328">
        <v>1097.0579909999997</v>
      </c>
      <c r="G3744" s="328">
        <v>9651.9453299999986</v>
      </c>
      <c r="H3744" s="328">
        <v>8955.2825249999987</v>
      </c>
      <c r="I3744" s="329">
        <v>0.33426300183874535</v>
      </c>
      <c r="J3744" s="329">
        <v>1.0370264070622026</v>
      </c>
      <c r="K3744" s="329">
        <v>1.1188617600812674</v>
      </c>
    </row>
    <row r="3745" spans="1:11" ht="11.25" x14ac:dyDescent="0.15">
      <c r="A3745" s="326">
        <v>1.2749999999999999</v>
      </c>
      <c r="B3745" s="327">
        <v>140</v>
      </c>
      <c r="C3745" s="327" t="s">
        <v>110</v>
      </c>
      <c r="D3745" s="327" t="s">
        <v>113</v>
      </c>
      <c r="E3745" s="328" t="s">
        <v>3085</v>
      </c>
      <c r="F3745" s="328">
        <v>430.77320850000001</v>
      </c>
      <c r="G3745" s="328">
        <v>8799.6784649999991</v>
      </c>
      <c r="H3745" s="328">
        <v>8845.4999250000001</v>
      </c>
      <c r="I3745" s="329">
        <v>0.13125244696833696</v>
      </c>
      <c r="J3745" s="329">
        <v>0.94545696539513946</v>
      </c>
      <c r="K3745" s="329">
        <v>1.105145659810908</v>
      </c>
    </row>
    <row r="3746" spans="1:11" ht="11.25" x14ac:dyDescent="0.15">
      <c r="A3746" s="326">
        <v>1.3</v>
      </c>
      <c r="B3746" s="327">
        <v>140</v>
      </c>
      <c r="C3746" s="327" t="s">
        <v>110</v>
      </c>
      <c r="D3746" s="327" t="s">
        <v>79</v>
      </c>
      <c r="E3746" s="328" t="s">
        <v>3086</v>
      </c>
      <c r="F3746" s="328">
        <v>4257.8588</v>
      </c>
      <c r="G3746" s="328">
        <v>11728.74144</v>
      </c>
      <c r="H3746" s="328">
        <v>9438.0137800000011</v>
      </c>
      <c r="I3746" s="329">
        <v>1.297328560175921</v>
      </c>
      <c r="J3746" s="329">
        <v>1.2601619859034952</v>
      </c>
      <c r="K3746" s="329">
        <v>1.1791735972687314</v>
      </c>
    </row>
    <row r="3747" spans="1:11" ht="11.25" x14ac:dyDescent="0.15">
      <c r="A3747" s="326">
        <v>1.3</v>
      </c>
      <c r="B3747" s="327">
        <v>140</v>
      </c>
      <c r="C3747" s="327" t="s">
        <v>110</v>
      </c>
      <c r="D3747" s="327" t="s">
        <v>114</v>
      </c>
      <c r="E3747" s="328" t="s">
        <v>3087</v>
      </c>
      <c r="F3747" s="328">
        <v>1169.8923599999998</v>
      </c>
      <c r="G3747" s="328">
        <v>10195.543800000001</v>
      </c>
      <c r="H3747" s="328">
        <v>9321.1255799999999</v>
      </c>
      <c r="I3747" s="329">
        <v>0.35645493245563004</v>
      </c>
      <c r="J3747" s="329">
        <v>1.0954318319744687</v>
      </c>
      <c r="K3747" s="329">
        <v>1.1645697322516717</v>
      </c>
    </row>
    <row r="3748" spans="1:11" ht="11.25" x14ac:dyDescent="0.15">
      <c r="A3748" s="326">
        <v>1.3</v>
      </c>
      <c r="B3748" s="327">
        <v>140</v>
      </c>
      <c r="C3748" s="327" t="s">
        <v>110</v>
      </c>
      <c r="D3748" s="327" t="s">
        <v>113</v>
      </c>
      <c r="E3748" s="328" t="s">
        <v>3088</v>
      </c>
      <c r="F3748" s="328">
        <v>458.99401599999999</v>
      </c>
      <c r="G3748" s="328">
        <v>9263.7498200000009</v>
      </c>
      <c r="H3748" s="328">
        <v>9207.5398999999998</v>
      </c>
      <c r="I3748" s="329">
        <v>0.13985105516102217</v>
      </c>
      <c r="J3748" s="329">
        <v>0.99531782074005259</v>
      </c>
      <c r="K3748" s="329">
        <v>1.1503784799388557</v>
      </c>
    </row>
    <row r="3749" spans="1:11" ht="11.25" x14ac:dyDescent="0.15">
      <c r="A3749" s="326">
        <v>1.325</v>
      </c>
      <c r="B3749" s="327">
        <v>140</v>
      </c>
      <c r="C3749" s="327" t="s">
        <v>110</v>
      </c>
      <c r="D3749" s="327" t="s">
        <v>79</v>
      </c>
      <c r="E3749" s="328" t="s">
        <v>3089</v>
      </c>
      <c r="F3749" s="328">
        <v>4537.5788350000003</v>
      </c>
      <c r="G3749" s="328">
        <v>12405.153499999999</v>
      </c>
      <c r="H3749" s="328">
        <v>9815.3021399999998</v>
      </c>
      <c r="I3749" s="329">
        <v>1.382556560282197</v>
      </c>
      <c r="J3749" s="329">
        <v>1.3328371974067228</v>
      </c>
      <c r="K3749" s="329">
        <v>1.226311531482345</v>
      </c>
    </row>
    <row r="3750" spans="1:11" ht="11.25" x14ac:dyDescent="0.15">
      <c r="A3750" s="326">
        <v>1.325</v>
      </c>
      <c r="B3750" s="327">
        <v>140</v>
      </c>
      <c r="C3750" s="327" t="s">
        <v>110</v>
      </c>
      <c r="D3750" s="327" t="s">
        <v>114</v>
      </c>
      <c r="E3750" s="328" t="s">
        <v>3090</v>
      </c>
      <c r="F3750" s="328">
        <v>1246.8568529999998</v>
      </c>
      <c r="G3750" s="328">
        <v>10765.087314999999</v>
      </c>
      <c r="H3750" s="328">
        <v>9694.3293749999993</v>
      </c>
      <c r="I3750" s="329">
        <v>0.37990527206960684</v>
      </c>
      <c r="J3750" s="329">
        <v>1.1566248500482694</v>
      </c>
      <c r="K3750" s="329">
        <v>1.2111973460401835</v>
      </c>
    </row>
    <row r="3751" spans="1:11" ht="11.25" x14ac:dyDescent="0.15">
      <c r="A3751" s="326">
        <v>1.325</v>
      </c>
      <c r="B3751" s="327">
        <v>140</v>
      </c>
      <c r="C3751" s="327" t="s">
        <v>110</v>
      </c>
      <c r="D3751" s="327" t="s">
        <v>113</v>
      </c>
      <c r="E3751" s="328" t="s">
        <v>3091</v>
      </c>
      <c r="F3751" s="328">
        <v>488.84218750000002</v>
      </c>
      <c r="G3751" s="328">
        <v>9752.1120950000004</v>
      </c>
      <c r="H3751" s="328">
        <v>9577.1246449999999</v>
      </c>
      <c r="I3751" s="329">
        <v>0.14894550548802196</v>
      </c>
      <c r="J3751" s="329">
        <v>1.0477885463888865</v>
      </c>
      <c r="K3751" s="329">
        <v>1.1965539341621592</v>
      </c>
    </row>
    <row r="3752" spans="1:11" ht="11.25" x14ac:dyDescent="0.15">
      <c r="A3752" s="326">
        <v>1.35</v>
      </c>
      <c r="B3752" s="327">
        <v>140</v>
      </c>
      <c r="C3752" s="327" t="s">
        <v>110</v>
      </c>
      <c r="D3752" s="327" t="s">
        <v>79</v>
      </c>
      <c r="E3752" s="328" t="s">
        <v>3092</v>
      </c>
      <c r="F3752" s="328">
        <v>4833.0745200000001</v>
      </c>
      <c r="G3752" s="328">
        <v>13110.237450000001</v>
      </c>
      <c r="H3752" s="328">
        <v>10200.127770000001</v>
      </c>
      <c r="I3752" s="329">
        <v>1.4725912489757835</v>
      </c>
      <c r="J3752" s="329">
        <v>1.408592980344392</v>
      </c>
      <c r="K3752" s="329">
        <v>1.2743911627507269</v>
      </c>
    </row>
    <row r="3753" spans="1:11" ht="11.25" x14ac:dyDescent="0.15">
      <c r="A3753" s="326">
        <v>1.35</v>
      </c>
      <c r="B3753" s="327">
        <v>140</v>
      </c>
      <c r="C3753" s="327" t="s">
        <v>110</v>
      </c>
      <c r="D3753" s="327" t="s">
        <v>114</v>
      </c>
      <c r="E3753" s="328" t="s">
        <v>3093</v>
      </c>
      <c r="F3753" s="328">
        <v>1328.1648840000003</v>
      </c>
      <c r="G3753" s="328">
        <v>11360.930400000001</v>
      </c>
      <c r="H3753" s="328">
        <v>10074.55941</v>
      </c>
      <c r="I3753" s="329">
        <v>0.40467904587064735</v>
      </c>
      <c r="J3753" s="329">
        <v>1.2206435522356771</v>
      </c>
      <c r="K3753" s="329">
        <v>1.2587028094365895</v>
      </c>
    </row>
    <row r="3754" spans="1:11" ht="11.25" x14ac:dyDescent="0.15">
      <c r="A3754" s="326">
        <v>1.35</v>
      </c>
      <c r="B3754" s="327">
        <v>140</v>
      </c>
      <c r="C3754" s="327" t="s">
        <v>110</v>
      </c>
      <c r="D3754" s="327" t="s">
        <v>113</v>
      </c>
      <c r="E3754" s="328" t="s">
        <v>3094</v>
      </c>
      <c r="F3754" s="328">
        <v>520.41131100000007</v>
      </c>
      <c r="G3754" s="328">
        <v>10264.952880000001</v>
      </c>
      <c r="H3754" s="328">
        <v>9954.1944900000017</v>
      </c>
      <c r="I3754" s="329">
        <v>0.15856431331139809</v>
      </c>
      <c r="J3754" s="329">
        <v>1.1028892974271758</v>
      </c>
      <c r="K3754" s="329">
        <v>1.2436645673859024</v>
      </c>
    </row>
    <row r="3755" spans="1:11" ht="11.25" x14ac:dyDescent="0.15">
      <c r="A3755" s="326">
        <v>1.375</v>
      </c>
      <c r="B3755" s="327">
        <v>140</v>
      </c>
      <c r="C3755" s="327" t="s">
        <v>110</v>
      </c>
      <c r="D3755" s="327" t="s">
        <v>79</v>
      </c>
      <c r="E3755" s="328" t="s">
        <v>3095</v>
      </c>
      <c r="F3755" s="328">
        <v>5145.1501749999998</v>
      </c>
      <c r="G3755" s="328">
        <v>13844.6165</v>
      </c>
      <c r="H3755" s="328">
        <v>10592.742600000001</v>
      </c>
      <c r="I3755" s="329">
        <v>1.5676776948126221</v>
      </c>
      <c r="J3755" s="329">
        <v>1.4874962937807159</v>
      </c>
      <c r="K3755" s="329">
        <v>1.3234439668919127</v>
      </c>
    </row>
    <row r="3756" spans="1:11" ht="11.25" x14ac:dyDescent="0.15">
      <c r="A3756" s="326">
        <v>1.375</v>
      </c>
      <c r="B3756" s="327">
        <v>140</v>
      </c>
      <c r="C3756" s="327" t="s">
        <v>110</v>
      </c>
      <c r="D3756" s="327" t="s">
        <v>114</v>
      </c>
      <c r="E3756" s="328" t="s">
        <v>3096</v>
      </c>
      <c r="F3756" s="328">
        <v>1414.042355</v>
      </c>
      <c r="G3756" s="328">
        <v>11984.324825</v>
      </c>
      <c r="H3756" s="328">
        <v>10462.686024999999</v>
      </c>
      <c r="I3756" s="329">
        <v>0.43084508402202498</v>
      </c>
      <c r="J3756" s="329">
        <v>1.2876224314809821</v>
      </c>
      <c r="K3756" s="329">
        <v>1.3071948616282409</v>
      </c>
    </row>
    <row r="3757" spans="1:11" ht="11.25" x14ac:dyDescent="0.15">
      <c r="A3757" s="326">
        <v>1.375</v>
      </c>
      <c r="B3757" s="327">
        <v>140</v>
      </c>
      <c r="C3757" s="327" t="s">
        <v>110</v>
      </c>
      <c r="D3757" s="327" t="s">
        <v>113</v>
      </c>
      <c r="E3757" s="328" t="s">
        <v>3097</v>
      </c>
      <c r="F3757" s="328">
        <v>553.80071999999996</v>
      </c>
      <c r="G3757" s="328">
        <v>10801.792374999999</v>
      </c>
      <c r="H3757" s="328">
        <v>10338.48365</v>
      </c>
      <c r="I3757" s="329">
        <v>0.1687377445917155</v>
      </c>
      <c r="J3757" s="329">
        <v>1.1605685230790823</v>
      </c>
      <c r="K3757" s="329">
        <v>1.2916771727657366</v>
      </c>
    </row>
    <row r="3758" spans="1:11" ht="11.25" x14ac:dyDescent="0.15">
      <c r="A3758" s="326">
        <v>1.4</v>
      </c>
      <c r="B3758" s="327">
        <v>140</v>
      </c>
      <c r="C3758" s="327" t="s">
        <v>110</v>
      </c>
      <c r="D3758" s="327" t="s">
        <v>79</v>
      </c>
      <c r="E3758" s="328" t="s">
        <v>3098</v>
      </c>
      <c r="F3758" s="328">
        <v>5474.6540800000002</v>
      </c>
      <c r="G3758" s="328">
        <v>14609.039199999999</v>
      </c>
      <c r="H3758" s="328">
        <v>10992.908079999999</v>
      </c>
      <c r="I3758" s="329">
        <v>1.6680743605371864</v>
      </c>
      <c r="J3758" s="329">
        <v>1.5696275635874199</v>
      </c>
      <c r="K3758" s="329">
        <v>1.3734401397682745</v>
      </c>
    </row>
    <row r="3759" spans="1:11" ht="11.25" x14ac:dyDescent="0.15">
      <c r="A3759" s="326">
        <v>1.4</v>
      </c>
      <c r="B3759" s="327">
        <v>140</v>
      </c>
      <c r="C3759" s="327" t="s">
        <v>110</v>
      </c>
      <c r="D3759" s="327" t="s">
        <v>114</v>
      </c>
      <c r="E3759" s="328" t="s">
        <v>3099</v>
      </c>
      <c r="F3759" s="328">
        <v>1504.729184</v>
      </c>
      <c r="G3759" s="328">
        <v>12634.7564</v>
      </c>
      <c r="H3759" s="328">
        <v>10858.107399999999</v>
      </c>
      <c r="I3759" s="329">
        <v>0.45847648722719703</v>
      </c>
      <c r="J3759" s="329">
        <v>1.3575062420704957</v>
      </c>
      <c r="K3759" s="329">
        <v>1.3565983119796028</v>
      </c>
    </row>
    <row r="3760" spans="1:11" ht="11.25" x14ac:dyDescent="0.15">
      <c r="A3760" s="326">
        <v>1.4</v>
      </c>
      <c r="B3760" s="327">
        <v>140</v>
      </c>
      <c r="C3760" s="327" t="s">
        <v>110</v>
      </c>
      <c r="D3760" s="327" t="s">
        <v>113</v>
      </c>
      <c r="E3760" s="328" t="s">
        <v>3100</v>
      </c>
      <c r="F3760" s="328">
        <v>589.119328</v>
      </c>
      <c r="G3760" s="328">
        <v>11363.137239999998</v>
      </c>
      <c r="H3760" s="328">
        <v>10729.842479999999</v>
      </c>
      <c r="I3760" s="329">
        <v>0.17949898422325469</v>
      </c>
      <c r="J3760" s="329">
        <v>1.2208806600183999</v>
      </c>
      <c r="K3760" s="329">
        <v>1.3405730538431619</v>
      </c>
    </row>
    <row r="3761" spans="1:11" ht="11.25" x14ac:dyDescent="0.15">
      <c r="A3761" s="326">
        <v>0.9</v>
      </c>
      <c r="B3761" s="327">
        <v>150</v>
      </c>
      <c r="C3761" s="327" t="s">
        <v>110</v>
      </c>
      <c r="D3761" s="327" t="s">
        <v>79</v>
      </c>
      <c r="E3761" s="328" t="s">
        <v>3101</v>
      </c>
      <c r="F3761" s="328">
        <v>1691.9073000000001</v>
      </c>
      <c r="G3761" s="328">
        <v>4472.3780999999999</v>
      </c>
      <c r="H3761" s="328">
        <v>4419.3591000000006</v>
      </c>
      <c r="I3761" s="329">
        <v>0.51550785607548333</v>
      </c>
      <c r="J3761" s="329">
        <v>0.48052221945880835</v>
      </c>
      <c r="K3761" s="329">
        <v>0.55214917980012779</v>
      </c>
    </row>
    <row r="3762" spans="1:11" ht="11.25" x14ac:dyDescent="0.15">
      <c r="A3762" s="326">
        <v>0.9</v>
      </c>
      <c r="B3762" s="327">
        <v>150</v>
      </c>
      <c r="C3762" s="327" t="s">
        <v>110</v>
      </c>
      <c r="D3762" s="327" t="s">
        <v>114</v>
      </c>
      <c r="E3762" s="328" t="s">
        <v>3102</v>
      </c>
      <c r="F3762" s="328">
        <v>467.48978999999997</v>
      </c>
      <c r="G3762" s="328">
        <v>4169.3256000000001</v>
      </c>
      <c r="H3762" s="328">
        <v>4354.8588</v>
      </c>
      <c r="I3762" s="329">
        <v>0.14243963565857176</v>
      </c>
      <c r="J3762" s="329">
        <v>0.44796158691467253</v>
      </c>
      <c r="K3762" s="329">
        <v>0.54409059326393461</v>
      </c>
    </row>
    <row r="3763" spans="1:11" ht="11.25" x14ac:dyDescent="0.15">
      <c r="A3763" s="326">
        <v>0.9</v>
      </c>
      <c r="B3763" s="327">
        <v>150</v>
      </c>
      <c r="C3763" s="327" t="s">
        <v>110</v>
      </c>
      <c r="D3763" s="327" t="s">
        <v>113</v>
      </c>
      <c r="E3763" s="328" t="s">
        <v>3103</v>
      </c>
      <c r="F3763" s="328">
        <v>190.33136999999999</v>
      </c>
      <c r="G3763" s="328">
        <v>4040.0504999999998</v>
      </c>
      <c r="H3763" s="328">
        <v>4290.0156000000006</v>
      </c>
      <c r="I3763" s="329">
        <v>5.7992134966619951E-2</v>
      </c>
      <c r="J3763" s="329">
        <v>0.4340719835350389</v>
      </c>
      <c r="K3763" s="329">
        <v>0.53598916523207019</v>
      </c>
    </row>
    <row r="3764" spans="1:11" ht="11.25" x14ac:dyDescent="0.15">
      <c r="A3764" s="326">
        <v>0.92500000000000004</v>
      </c>
      <c r="B3764" s="327">
        <v>150</v>
      </c>
      <c r="C3764" s="327" t="s">
        <v>110</v>
      </c>
      <c r="D3764" s="327" t="s">
        <v>79</v>
      </c>
      <c r="E3764" s="328" t="s">
        <v>3104</v>
      </c>
      <c r="F3764" s="328">
        <v>1822.2250250000002</v>
      </c>
      <c r="G3764" s="328">
        <v>4769.4813000000004</v>
      </c>
      <c r="H3764" s="328">
        <v>4677.8581999999997</v>
      </c>
      <c r="I3764" s="329">
        <v>0.55521441152529105</v>
      </c>
      <c r="J3764" s="329">
        <v>0.5124436460198396</v>
      </c>
      <c r="K3764" s="329">
        <v>0.58444573294605129</v>
      </c>
    </row>
    <row r="3765" spans="1:11" ht="11.25" x14ac:dyDescent="0.15">
      <c r="A3765" s="326">
        <v>0.92500000000000004</v>
      </c>
      <c r="B3765" s="327">
        <v>150</v>
      </c>
      <c r="C3765" s="327" t="s">
        <v>110</v>
      </c>
      <c r="D3765" s="327" t="s">
        <v>114</v>
      </c>
      <c r="E3765" s="328" t="s">
        <v>3105</v>
      </c>
      <c r="F3765" s="328">
        <v>504.17393250000003</v>
      </c>
      <c r="G3765" s="328">
        <v>4418.3263250000009</v>
      </c>
      <c r="H3765" s="328">
        <v>4610.7642500000011</v>
      </c>
      <c r="I3765" s="329">
        <v>0.15361694049799327</v>
      </c>
      <c r="J3765" s="329">
        <v>0.47471477690633551</v>
      </c>
      <c r="K3765" s="329">
        <v>0.57606309903380593</v>
      </c>
    </row>
    <row r="3766" spans="1:11" ht="11.25" x14ac:dyDescent="0.15">
      <c r="A3766" s="326">
        <v>0.92500000000000004</v>
      </c>
      <c r="B3766" s="327">
        <v>150</v>
      </c>
      <c r="C3766" s="327" t="s">
        <v>110</v>
      </c>
      <c r="D3766" s="327" t="s">
        <v>113</v>
      </c>
      <c r="E3766" s="328" t="s">
        <v>3106</v>
      </c>
      <c r="F3766" s="328">
        <v>204.85438499999998</v>
      </c>
      <c r="G3766" s="328">
        <v>4266.8344500000012</v>
      </c>
      <c r="H3766" s="328">
        <v>4543.24665</v>
      </c>
      <c r="I3766" s="329">
        <v>6.2417157736131067E-2</v>
      </c>
      <c r="J3766" s="329">
        <v>0.45843815396048571</v>
      </c>
      <c r="K3766" s="329">
        <v>0.56762753482222739</v>
      </c>
    </row>
    <row r="3767" spans="1:11" ht="11.25" x14ac:dyDescent="0.15">
      <c r="A3767" s="326">
        <v>0.95</v>
      </c>
      <c r="B3767" s="327">
        <v>150</v>
      </c>
      <c r="C3767" s="327" t="s">
        <v>110</v>
      </c>
      <c r="D3767" s="327" t="s">
        <v>79</v>
      </c>
      <c r="E3767" s="328" t="s">
        <v>3107</v>
      </c>
      <c r="F3767" s="328">
        <v>1960.6669999999999</v>
      </c>
      <c r="G3767" s="328">
        <v>5083.6656499999999</v>
      </c>
      <c r="H3767" s="328">
        <v>4943.5434999999998</v>
      </c>
      <c r="I3767" s="329">
        <v>0.59739634768875904</v>
      </c>
      <c r="J3767" s="329">
        <v>0.54620030921010587</v>
      </c>
      <c r="K3767" s="329">
        <v>0.61764012090152443</v>
      </c>
    </row>
    <row r="3768" spans="1:11" ht="11.25" x14ac:dyDescent="0.15">
      <c r="A3768" s="326">
        <v>0.95</v>
      </c>
      <c r="B3768" s="327">
        <v>150</v>
      </c>
      <c r="C3768" s="327" t="s">
        <v>110</v>
      </c>
      <c r="D3768" s="327" t="s">
        <v>114</v>
      </c>
      <c r="E3768" s="328" t="s">
        <v>3108</v>
      </c>
      <c r="F3768" s="328">
        <v>543.14596999999992</v>
      </c>
      <c r="G3768" s="328">
        <v>4680.5578500000001</v>
      </c>
      <c r="H3768" s="328">
        <v>4873.7356</v>
      </c>
      <c r="I3768" s="329">
        <v>0.16549134490449843</v>
      </c>
      <c r="J3768" s="329">
        <v>0.50288951338603249</v>
      </c>
      <c r="K3768" s="329">
        <v>0.60891840948219911</v>
      </c>
    </row>
    <row r="3769" spans="1:11" ht="11.25" x14ac:dyDescent="0.15">
      <c r="A3769" s="326">
        <v>0.95</v>
      </c>
      <c r="B3769" s="327">
        <v>150</v>
      </c>
      <c r="C3769" s="327" t="s">
        <v>110</v>
      </c>
      <c r="D3769" s="327" t="s">
        <v>113</v>
      </c>
      <c r="E3769" s="328" t="s">
        <v>3109</v>
      </c>
      <c r="F3769" s="328">
        <v>220.25730999999999</v>
      </c>
      <c r="G3769" s="328">
        <v>4502.8546499999993</v>
      </c>
      <c r="H3769" s="328">
        <v>4803.651249999999</v>
      </c>
      <c r="I3769" s="329">
        <v>6.7110280606421574E-2</v>
      </c>
      <c r="J3769" s="329">
        <v>0.48379668756503735</v>
      </c>
      <c r="K3769" s="329">
        <v>0.60016215874680956</v>
      </c>
    </row>
    <row r="3770" spans="1:11" ht="11.25" x14ac:dyDescent="0.15">
      <c r="A3770" s="326">
        <v>0.97499999999999998</v>
      </c>
      <c r="B3770" s="327">
        <v>150</v>
      </c>
      <c r="C3770" s="327" t="s">
        <v>110</v>
      </c>
      <c r="D3770" s="327" t="s">
        <v>79</v>
      </c>
      <c r="E3770" s="328" t="s">
        <v>3110</v>
      </c>
      <c r="F3770" s="328">
        <v>2107.6682250000003</v>
      </c>
      <c r="G3770" s="328">
        <v>5417.7415499999997</v>
      </c>
      <c r="H3770" s="328">
        <v>5216.9763750000002</v>
      </c>
      <c r="I3770" s="329">
        <v>0.64218620487550915</v>
      </c>
      <c r="J3770" s="329">
        <v>0.58209416463697572</v>
      </c>
      <c r="K3770" s="329">
        <v>0.65180248115453965</v>
      </c>
    </row>
    <row r="3771" spans="1:11" ht="11.25" x14ac:dyDescent="0.15">
      <c r="A3771" s="326">
        <v>0.97499999999999998</v>
      </c>
      <c r="B3771" s="327">
        <v>150</v>
      </c>
      <c r="C3771" s="327" t="s">
        <v>110</v>
      </c>
      <c r="D3771" s="327" t="s">
        <v>114</v>
      </c>
      <c r="E3771" s="328" t="s">
        <v>3111</v>
      </c>
      <c r="F3771" s="328">
        <v>584.52741749999996</v>
      </c>
      <c r="G3771" s="328">
        <v>4956.8970749999999</v>
      </c>
      <c r="H3771" s="328">
        <v>5144.6040749999993</v>
      </c>
      <c r="I3771" s="329">
        <v>0.17809987332802685</v>
      </c>
      <c r="J3771" s="329">
        <v>0.53258001243407294</v>
      </c>
      <c r="K3771" s="329">
        <v>0.6427603768174539</v>
      </c>
    </row>
    <row r="3772" spans="1:11" ht="11.25" x14ac:dyDescent="0.15">
      <c r="A3772" s="326">
        <v>0.97499999999999998</v>
      </c>
      <c r="B3772" s="327">
        <v>150</v>
      </c>
      <c r="C3772" s="327" t="s">
        <v>110</v>
      </c>
      <c r="D3772" s="327" t="s">
        <v>113</v>
      </c>
      <c r="E3772" s="328" t="s">
        <v>3112</v>
      </c>
      <c r="F3772" s="328">
        <v>236.58881999999997</v>
      </c>
      <c r="G3772" s="328">
        <v>4748.8691250000002</v>
      </c>
      <c r="H3772" s="328">
        <v>5071.5278250000001</v>
      </c>
      <c r="I3772" s="329">
        <v>7.2086334381102554E-2</v>
      </c>
      <c r="J3772" s="329">
        <v>0.51022902823542793</v>
      </c>
      <c r="K3772" s="329">
        <v>0.63363032185080304</v>
      </c>
    </row>
    <row r="3773" spans="1:11" ht="11.25" x14ac:dyDescent="0.15">
      <c r="A3773" s="326">
        <v>1</v>
      </c>
      <c r="B3773" s="327">
        <v>150</v>
      </c>
      <c r="C3773" s="327" t="s">
        <v>110</v>
      </c>
      <c r="D3773" s="327" t="s">
        <v>79</v>
      </c>
      <c r="E3773" s="328" t="s">
        <v>3113</v>
      </c>
      <c r="F3773" s="328">
        <v>2263.6709999999998</v>
      </c>
      <c r="G3773" s="328">
        <v>5770.7719999999999</v>
      </c>
      <c r="H3773" s="328">
        <v>5497.4260000000004</v>
      </c>
      <c r="I3773" s="329">
        <v>0.68971874763484098</v>
      </c>
      <c r="J3773" s="329">
        <v>0.6200245389428829</v>
      </c>
      <c r="K3773" s="329">
        <v>0.6868415053467587</v>
      </c>
    </row>
    <row r="3774" spans="1:11" ht="11.25" x14ac:dyDescent="0.15">
      <c r="A3774" s="326">
        <v>1</v>
      </c>
      <c r="B3774" s="327">
        <v>150</v>
      </c>
      <c r="C3774" s="327" t="s">
        <v>110</v>
      </c>
      <c r="D3774" s="327" t="s">
        <v>114</v>
      </c>
      <c r="E3774" s="328" t="s">
        <v>3114</v>
      </c>
      <c r="F3774" s="328">
        <v>628.44280000000003</v>
      </c>
      <c r="G3774" s="328">
        <v>5248.3640000000005</v>
      </c>
      <c r="H3774" s="328">
        <v>5422.2690000000002</v>
      </c>
      <c r="I3774" s="329">
        <v>0.19148046733652235</v>
      </c>
      <c r="J3774" s="329">
        <v>0.56389586511205514</v>
      </c>
      <c r="K3774" s="329">
        <v>0.67745148408638223</v>
      </c>
    </row>
    <row r="3775" spans="1:11" ht="11.25" x14ac:dyDescent="0.15">
      <c r="A3775" s="326">
        <v>1</v>
      </c>
      <c r="B3775" s="327">
        <v>150</v>
      </c>
      <c r="C3775" s="327" t="s">
        <v>110</v>
      </c>
      <c r="D3775" s="327" t="s">
        <v>113</v>
      </c>
      <c r="E3775" s="328" t="s">
        <v>3115</v>
      </c>
      <c r="F3775" s="328">
        <v>253.89579999999998</v>
      </c>
      <c r="G3775" s="328">
        <v>5006.4970000000003</v>
      </c>
      <c r="H3775" s="328">
        <v>5346.4939999999997</v>
      </c>
      <c r="I3775" s="329">
        <v>7.7359604468028281E-2</v>
      </c>
      <c r="J3775" s="329">
        <v>0.53790913835166709</v>
      </c>
      <c r="K3775" s="329">
        <v>0.66798425068157585</v>
      </c>
    </row>
    <row r="3776" spans="1:11" ht="11.25" x14ac:dyDescent="0.15">
      <c r="A3776" s="326">
        <v>1.0249999999999999</v>
      </c>
      <c r="B3776" s="327">
        <v>150</v>
      </c>
      <c r="C3776" s="327" t="s">
        <v>110</v>
      </c>
      <c r="D3776" s="327" t="s">
        <v>79</v>
      </c>
      <c r="E3776" s="328" t="s">
        <v>3116</v>
      </c>
      <c r="F3776" s="328">
        <v>2429.1351999999997</v>
      </c>
      <c r="G3776" s="328">
        <v>6145.2767999999996</v>
      </c>
      <c r="H3776" s="328">
        <v>5785.445424999999</v>
      </c>
      <c r="I3776" s="329">
        <v>0.74013409544925435</v>
      </c>
      <c r="J3776" s="329">
        <v>0.66026216502686197</v>
      </c>
      <c r="K3776" s="329">
        <v>0.72282629085112149</v>
      </c>
    </row>
    <row r="3777" spans="1:11" ht="11.25" x14ac:dyDescent="0.15">
      <c r="A3777" s="326">
        <v>1.0249999999999999</v>
      </c>
      <c r="B3777" s="327">
        <v>150</v>
      </c>
      <c r="C3777" s="327" t="s">
        <v>110</v>
      </c>
      <c r="D3777" s="327" t="s">
        <v>114</v>
      </c>
      <c r="E3777" s="328" t="s">
        <v>3117</v>
      </c>
      <c r="F3777" s="328">
        <v>675.01928499999997</v>
      </c>
      <c r="G3777" s="328">
        <v>5555.2837249999993</v>
      </c>
      <c r="H3777" s="328">
        <v>5707.1641249999993</v>
      </c>
      <c r="I3777" s="329">
        <v>0.20567187364222356</v>
      </c>
      <c r="J3777" s="329">
        <v>0.59687200088480807</v>
      </c>
      <c r="K3777" s="329">
        <v>0.71304592346964135</v>
      </c>
    </row>
    <row r="3778" spans="1:11" ht="11.25" x14ac:dyDescent="0.15">
      <c r="A3778" s="326">
        <v>1.0249999999999999</v>
      </c>
      <c r="B3778" s="327">
        <v>150</v>
      </c>
      <c r="C3778" s="327" t="s">
        <v>110</v>
      </c>
      <c r="D3778" s="327" t="s">
        <v>113</v>
      </c>
      <c r="E3778" s="328" t="s">
        <v>3118</v>
      </c>
      <c r="F3778" s="328">
        <v>272.22800749999999</v>
      </c>
      <c r="G3778" s="328">
        <v>5275.6934499999998</v>
      </c>
      <c r="H3778" s="328">
        <v>5628.6060749999988</v>
      </c>
      <c r="I3778" s="329">
        <v>8.2945251498132061E-2</v>
      </c>
      <c r="J3778" s="329">
        <v>0.56683220181636651</v>
      </c>
      <c r="K3778" s="329">
        <v>0.7032309792904734</v>
      </c>
    </row>
    <row r="3779" spans="1:11" ht="11.25" x14ac:dyDescent="0.15">
      <c r="A3779" s="326">
        <v>1.05</v>
      </c>
      <c r="B3779" s="327">
        <v>150</v>
      </c>
      <c r="C3779" s="327" t="s">
        <v>110</v>
      </c>
      <c r="D3779" s="327" t="s">
        <v>79</v>
      </c>
      <c r="E3779" s="328" t="s">
        <v>3119</v>
      </c>
      <c r="F3779" s="328">
        <v>2604.5470500000001</v>
      </c>
      <c r="G3779" s="328">
        <v>6541.7688000000007</v>
      </c>
      <c r="H3779" s="328">
        <v>6080.8859999999995</v>
      </c>
      <c r="I3779" s="329">
        <v>0.7935803963924174</v>
      </c>
      <c r="J3779" s="329">
        <v>0.7028621446300316</v>
      </c>
      <c r="K3779" s="329">
        <v>0.75973826552317936</v>
      </c>
    </row>
    <row r="3780" spans="1:11" ht="11.25" x14ac:dyDescent="0.15">
      <c r="A3780" s="326">
        <v>1.05</v>
      </c>
      <c r="B3780" s="327">
        <v>150</v>
      </c>
      <c r="C3780" s="327" t="s">
        <v>110</v>
      </c>
      <c r="D3780" s="327" t="s">
        <v>114</v>
      </c>
      <c r="E3780" s="328" t="s">
        <v>3120</v>
      </c>
      <c r="F3780" s="328">
        <v>724.39006499999994</v>
      </c>
      <c r="G3780" s="328">
        <v>5880.5197500000004</v>
      </c>
      <c r="H3780" s="328">
        <v>5999.6254500000005</v>
      </c>
      <c r="I3780" s="329">
        <v>0.2207146747168299</v>
      </c>
      <c r="J3780" s="329">
        <v>0.63181608054143656</v>
      </c>
      <c r="K3780" s="329">
        <v>0.74958567438556245</v>
      </c>
    </row>
    <row r="3781" spans="1:11" ht="11.25" x14ac:dyDescent="0.15">
      <c r="A3781" s="326">
        <v>1.05</v>
      </c>
      <c r="B3781" s="327">
        <v>150</v>
      </c>
      <c r="C3781" s="327" t="s">
        <v>110</v>
      </c>
      <c r="D3781" s="327" t="s">
        <v>113</v>
      </c>
      <c r="E3781" s="328" t="s">
        <v>3121</v>
      </c>
      <c r="F3781" s="328">
        <v>291.63718499999999</v>
      </c>
      <c r="G3781" s="328">
        <v>5558.3419500000009</v>
      </c>
      <c r="H3781" s="328">
        <v>5918.1003000000001</v>
      </c>
      <c r="I3781" s="329">
        <v>8.885904091272559E-2</v>
      </c>
      <c r="J3781" s="329">
        <v>0.59720058335966753</v>
      </c>
      <c r="K3781" s="329">
        <v>0.73940002445600983</v>
      </c>
    </row>
    <row r="3782" spans="1:11" ht="11.25" x14ac:dyDescent="0.15">
      <c r="A3782" s="326">
        <v>1.075</v>
      </c>
      <c r="B3782" s="327">
        <v>150</v>
      </c>
      <c r="C3782" s="327" t="s">
        <v>110</v>
      </c>
      <c r="D3782" s="327" t="s">
        <v>79</v>
      </c>
      <c r="E3782" s="328" t="s">
        <v>3122</v>
      </c>
      <c r="F3782" s="328">
        <v>2790.4129749999997</v>
      </c>
      <c r="G3782" s="328">
        <v>6960.9034249999995</v>
      </c>
      <c r="H3782" s="328">
        <v>6383.5101749999994</v>
      </c>
      <c r="I3782" s="329">
        <v>0.85021195328341037</v>
      </c>
      <c r="J3782" s="329">
        <v>0.74789489806763443</v>
      </c>
      <c r="K3782" s="329">
        <v>0.79754775016404955</v>
      </c>
    </row>
    <row r="3783" spans="1:11" ht="11.25" x14ac:dyDescent="0.15">
      <c r="A3783" s="326">
        <v>1.075</v>
      </c>
      <c r="B3783" s="327">
        <v>150</v>
      </c>
      <c r="C3783" s="327" t="s">
        <v>110</v>
      </c>
      <c r="D3783" s="327" t="s">
        <v>114</v>
      </c>
      <c r="E3783" s="328" t="s">
        <v>3123</v>
      </c>
      <c r="F3783" s="328">
        <v>776.69867999999997</v>
      </c>
      <c r="G3783" s="328">
        <v>6224.4435000000003</v>
      </c>
      <c r="H3783" s="328">
        <v>6299.3946500000002</v>
      </c>
      <c r="I3783" s="329">
        <v>0.23665260581561284</v>
      </c>
      <c r="J3783" s="329">
        <v>0.66876801080748371</v>
      </c>
      <c r="K3783" s="329">
        <v>0.78703846203283467</v>
      </c>
    </row>
    <row r="3784" spans="1:11" ht="11.25" x14ac:dyDescent="0.15">
      <c r="A3784" s="326">
        <v>1.075</v>
      </c>
      <c r="B3784" s="327">
        <v>150</v>
      </c>
      <c r="C3784" s="327" t="s">
        <v>110</v>
      </c>
      <c r="D3784" s="327" t="s">
        <v>113</v>
      </c>
      <c r="E3784" s="328" t="s">
        <v>3124</v>
      </c>
      <c r="F3784" s="328">
        <v>312.17956999999996</v>
      </c>
      <c r="G3784" s="328">
        <v>5854.6671500000002</v>
      </c>
      <c r="H3784" s="328">
        <v>6214.7932249999994</v>
      </c>
      <c r="I3784" s="329">
        <v>9.5118107736319971E-2</v>
      </c>
      <c r="J3784" s="329">
        <v>0.62903841987567566</v>
      </c>
      <c r="K3784" s="329">
        <v>0.77646846616540843</v>
      </c>
    </row>
    <row r="3785" spans="1:11" ht="11.25" x14ac:dyDescent="0.15">
      <c r="A3785" s="326">
        <v>1.1000000000000001</v>
      </c>
      <c r="B3785" s="327">
        <v>150</v>
      </c>
      <c r="C3785" s="327" t="s">
        <v>110</v>
      </c>
      <c r="D3785" s="327" t="s">
        <v>79</v>
      </c>
      <c r="E3785" s="328" t="s">
        <v>3125</v>
      </c>
      <c r="F3785" s="328">
        <v>2987.2623000000003</v>
      </c>
      <c r="G3785" s="328">
        <v>7403.9526000000005</v>
      </c>
      <c r="H3785" s="328">
        <v>6693.8608000000004</v>
      </c>
      <c r="I3785" s="329">
        <v>0.91019004635071754</v>
      </c>
      <c r="J3785" s="329">
        <v>0.79549708378185091</v>
      </c>
      <c r="K3785" s="329">
        <v>0.83632256777147318</v>
      </c>
    </row>
    <row r="3786" spans="1:11" ht="11.25" x14ac:dyDescent="0.15">
      <c r="A3786" s="326">
        <v>1.1000000000000001</v>
      </c>
      <c r="B3786" s="327">
        <v>150</v>
      </c>
      <c r="C3786" s="327" t="s">
        <v>110</v>
      </c>
      <c r="D3786" s="327" t="s">
        <v>114</v>
      </c>
      <c r="E3786" s="328" t="s">
        <v>3126</v>
      </c>
      <c r="F3786" s="328">
        <v>832.09324000000004</v>
      </c>
      <c r="G3786" s="328">
        <v>6587.3335000000015</v>
      </c>
      <c r="H3786" s="328">
        <v>6606.3624</v>
      </c>
      <c r="I3786" s="329">
        <v>0.25353079462882072</v>
      </c>
      <c r="J3786" s="329">
        <v>0.70775771702651014</v>
      </c>
      <c r="K3786" s="329">
        <v>0.82539062748315761</v>
      </c>
    </row>
    <row r="3787" spans="1:11" ht="11.25" x14ac:dyDescent="0.15">
      <c r="A3787" s="326">
        <v>1.1000000000000001</v>
      </c>
      <c r="B3787" s="327">
        <v>150</v>
      </c>
      <c r="C3787" s="327" t="s">
        <v>110</v>
      </c>
      <c r="D3787" s="327" t="s">
        <v>113</v>
      </c>
      <c r="E3787" s="328" t="s">
        <v>3127</v>
      </c>
      <c r="F3787" s="328">
        <v>333.91390999999999</v>
      </c>
      <c r="G3787" s="328">
        <v>6167.1731000000009</v>
      </c>
      <c r="H3787" s="328">
        <v>6519.109300000001</v>
      </c>
      <c r="I3787" s="329">
        <v>0.10174035176624741</v>
      </c>
      <c r="J3787" s="329">
        <v>0.66261475204850417</v>
      </c>
      <c r="K3787" s="329">
        <v>0.81448933466899875</v>
      </c>
    </row>
    <row r="3788" spans="1:11" ht="11.25" x14ac:dyDescent="0.15">
      <c r="A3788" s="326">
        <v>1.125</v>
      </c>
      <c r="B3788" s="327">
        <v>150</v>
      </c>
      <c r="C3788" s="327" t="s">
        <v>110</v>
      </c>
      <c r="D3788" s="327" t="s">
        <v>79</v>
      </c>
      <c r="E3788" s="328" t="s">
        <v>3128</v>
      </c>
      <c r="F3788" s="328">
        <v>3195.6525000000001</v>
      </c>
      <c r="G3788" s="328">
        <v>7871.3774999999996</v>
      </c>
      <c r="H3788" s="328">
        <v>7011.3959999999997</v>
      </c>
      <c r="I3788" s="329">
        <v>0.97368453285665146</v>
      </c>
      <c r="J3788" s="329">
        <v>0.84571825143722223</v>
      </c>
      <c r="K3788" s="329">
        <v>0.87599501716298545</v>
      </c>
    </row>
    <row r="3789" spans="1:11" ht="11.25" x14ac:dyDescent="0.15">
      <c r="A3789" s="326">
        <v>1.125</v>
      </c>
      <c r="B3789" s="327">
        <v>150</v>
      </c>
      <c r="C3789" s="327" t="s">
        <v>110</v>
      </c>
      <c r="D3789" s="327" t="s">
        <v>114</v>
      </c>
      <c r="E3789" s="328" t="s">
        <v>3129</v>
      </c>
      <c r="F3789" s="328">
        <v>890.7280874999999</v>
      </c>
      <c r="G3789" s="328">
        <v>6971.1232500000006</v>
      </c>
      <c r="H3789" s="328">
        <v>6920.6703750000006</v>
      </c>
      <c r="I3789" s="329">
        <v>0.27139626782941384</v>
      </c>
      <c r="J3789" s="329">
        <v>0.7489929387255746</v>
      </c>
      <c r="K3789" s="329">
        <v>0.86465987143323386</v>
      </c>
    </row>
    <row r="3790" spans="1:11" ht="11.25" x14ac:dyDescent="0.15">
      <c r="A3790" s="326">
        <v>1.125</v>
      </c>
      <c r="B3790" s="327">
        <v>150</v>
      </c>
      <c r="C3790" s="327" t="s">
        <v>110</v>
      </c>
      <c r="D3790" s="327" t="s">
        <v>113</v>
      </c>
      <c r="E3790" s="328" t="s">
        <v>3130</v>
      </c>
      <c r="F3790" s="328">
        <v>356.90129999999999</v>
      </c>
      <c r="G3790" s="328">
        <v>6496.2472500000003</v>
      </c>
      <c r="H3790" s="328">
        <v>6830.6917500000009</v>
      </c>
      <c r="I3790" s="329">
        <v>0.10874438806047641</v>
      </c>
      <c r="J3790" s="329">
        <v>0.69797120836522752</v>
      </c>
      <c r="K3790" s="329">
        <v>0.8534180549460213</v>
      </c>
    </row>
    <row r="3791" spans="1:11" ht="11.25" x14ac:dyDescent="0.15">
      <c r="A3791" s="326">
        <v>1.1499999999999999</v>
      </c>
      <c r="B3791" s="327">
        <v>150</v>
      </c>
      <c r="C3791" s="327" t="s">
        <v>110</v>
      </c>
      <c r="D3791" s="327" t="s">
        <v>79</v>
      </c>
      <c r="E3791" s="328" t="s">
        <v>3131</v>
      </c>
      <c r="F3791" s="328">
        <v>3416.1612499999997</v>
      </c>
      <c r="G3791" s="328">
        <v>8364.1937999999991</v>
      </c>
      <c r="H3791" s="328">
        <v>7336.6481000000003</v>
      </c>
      <c r="I3791" s="329">
        <v>1.0408714248089377</v>
      </c>
      <c r="J3791" s="329">
        <v>0.89866752740775735</v>
      </c>
      <c r="K3791" s="329">
        <v>0.91663160635603591</v>
      </c>
    </row>
    <row r="3792" spans="1:11" ht="11.25" x14ac:dyDescent="0.15">
      <c r="A3792" s="326">
        <v>1.1499999999999999</v>
      </c>
      <c r="B3792" s="327">
        <v>150</v>
      </c>
      <c r="C3792" s="327" t="s">
        <v>110</v>
      </c>
      <c r="D3792" s="327" t="s">
        <v>114</v>
      </c>
      <c r="E3792" s="328" t="s">
        <v>3132</v>
      </c>
      <c r="F3792" s="328">
        <v>952.76694999999995</v>
      </c>
      <c r="G3792" s="328">
        <v>7375.7285499999989</v>
      </c>
      <c r="H3792" s="328">
        <v>7242.2089500000002</v>
      </c>
      <c r="I3792" s="329">
        <v>0.29029891160944643</v>
      </c>
      <c r="J3792" s="329">
        <v>0.79246462926998462</v>
      </c>
      <c r="K3792" s="329">
        <v>0.90483249747313899</v>
      </c>
    </row>
    <row r="3793" spans="1:11" ht="11.25" x14ac:dyDescent="0.15">
      <c r="A3793" s="326">
        <v>1.1499999999999999</v>
      </c>
      <c r="B3793" s="327">
        <v>150</v>
      </c>
      <c r="C3793" s="327" t="s">
        <v>110</v>
      </c>
      <c r="D3793" s="327" t="s">
        <v>113</v>
      </c>
      <c r="E3793" s="328" t="s">
        <v>3133</v>
      </c>
      <c r="F3793" s="328">
        <v>381.20774999999992</v>
      </c>
      <c r="G3793" s="328">
        <v>6842.8633999999993</v>
      </c>
      <c r="H3793" s="328">
        <v>7149.3142499999994</v>
      </c>
      <c r="I3793" s="329">
        <v>0.11615032923012908</v>
      </c>
      <c r="J3793" s="329">
        <v>0.73521241605700716</v>
      </c>
      <c r="K3793" s="329">
        <v>0.89322635023500685</v>
      </c>
    </row>
    <row r="3794" spans="1:11" ht="11.25" x14ac:dyDescent="0.15">
      <c r="A3794" s="326">
        <v>1.175</v>
      </c>
      <c r="B3794" s="327">
        <v>150</v>
      </c>
      <c r="C3794" s="327" t="s">
        <v>110</v>
      </c>
      <c r="D3794" s="327" t="s">
        <v>79</v>
      </c>
      <c r="E3794" s="328" t="s">
        <v>3134</v>
      </c>
      <c r="F3794" s="328">
        <v>3649.39725</v>
      </c>
      <c r="G3794" s="328">
        <v>8882.4395249999998</v>
      </c>
      <c r="H3794" s="328">
        <v>7668.9265500000001</v>
      </c>
      <c r="I3794" s="329">
        <v>1.1119361872339368</v>
      </c>
      <c r="J3794" s="329">
        <v>0.95434899718376753</v>
      </c>
      <c r="K3794" s="329">
        <v>0.95814605890024251</v>
      </c>
    </row>
    <row r="3795" spans="1:11" ht="11.25" x14ac:dyDescent="0.15">
      <c r="A3795" s="326">
        <v>1.175</v>
      </c>
      <c r="B3795" s="327">
        <v>150</v>
      </c>
      <c r="C3795" s="327" t="s">
        <v>110</v>
      </c>
      <c r="D3795" s="327" t="s">
        <v>114</v>
      </c>
      <c r="E3795" s="328" t="s">
        <v>3135</v>
      </c>
      <c r="F3795" s="328">
        <v>1018.3787275</v>
      </c>
      <c r="G3795" s="328">
        <v>7802.9388250000002</v>
      </c>
      <c r="H3795" s="328">
        <v>7571.4379750000007</v>
      </c>
      <c r="I3795" s="329">
        <v>0.31029018817189558</v>
      </c>
      <c r="J3795" s="329">
        <v>0.83836504844934878</v>
      </c>
      <c r="K3795" s="329">
        <v>0.94596595868477629</v>
      </c>
    </row>
    <row r="3796" spans="1:11" ht="11.25" x14ac:dyDescent="0.15">
      <c r="A3796" s="326">
        <v>1.175</v>
      </c>
      <c r="B3796" s="327">
        <v>150</v>
      </c>
      <c r="C3796" s="327" t="s">
        <v>110</v>
      </c>
      <c r="D3796" s="327" t="s">
        <v>113</v>
      </c>
      <c r="E3796" s="328" t="s">
        <v>3136</v>
      </c>
      <c r="F3796" s="328">
        <v>406.90179499999999</v>
      </c>
      <c r="G3796" s="328">
        <v>7206.7332499999993</v>
      </c>
      <c r="H3796" s="328">
        <v>7475.0139500000005</v>
      </c>
      <c r="I3796" s="329">
        <v>0.12397905722950413</v>
      </c>
      <c r="J3796" s="329">
        <v>0.77430739953260908</v>
      </c>
      <c r="K3796" s="329">
        <v>0.93391886201033381</v>
      </c>
    </row>
    <row r="3797" spans="1:11" ht="11.25" x14ac:dyDescent="0.15">
      <c r="A3797" s="326">
        <v>1.2</v>
      </c>
      <c r="B3797" s="327">
        <v>150</v>
      </c>
      <c r="C3797" s="327" t="s">
        <v>110</v>
      </c>
      <c r="D3797" s="327" t="s">
        <v>79</v>
      </c>
      <c r="E3797" s="328" t="s">
        <v>3137</v>
      </c>
      <c r="F3797" s="328">
        <v>3895.9931999999999</v>
      </c>
      <c r="G3797" s="328">
        <v>9427.5779999999995</v>
      </c>
      <c r="H3797" s="328">
        <v>8008.7879999999996</v>
      </c>
      <c r="I3797" s="329">
        <v>1.1870715977268149</v>
      </c>
      <c r="J3797" s="329">
        <v>1.0129198836478144</v>
      </c>
      <c r="K3797" s="329">
        <v>1.0006079219480275</v>
      </c>
    </row>
    <row r="3798" spans="1:11" ht="11.25" x14ac:dyDescent="0.15">
      <c r="A3798" s="326">
        <v>1.2</v>
      </c>
      <c r="B3798" s="327">
        <v>150</v>
      </c>
      <c r="C3798" s="327" t="s">
        <v>110</v>
      </c>
      <c r="D3798" s="327" t="s">
        <v>114</v>
      </c>
      <c r="E3798" s="328" t="s">
        <v>3138</v>
      </c>
      <c r="F3798" s="328">
        <v>1087.74288</v>
      </c>
      <c r="G3798" s="328">
        <v>8253.8123999999989</v>
      </c>
      <c r="H3798" s="328">
        <v>7907.746799999999</v>
      </c>
      <c r="I3798" s="329">
        <v>0.33142477725001346</v>
      </c>
      <c r="J3798" s="329">
        <v>0.88680790504824114</v>
      </c>
      <c r="K3798" s="329">
        <v>0.9879839612234913</v>
      </c>
    </row>
    <row r="3799" spans="1:11" ht="11.25" x14ac:dyDescent="0.15">
      <c r="A3799" s="326">
        <v>1.2</v>
      </c>
      <c r="B3799" s="327">
        <v>150</v>
      </c>
      <c r="C3799" s="327" t="s">
        <v>110</v>
      </c>
      <c r="D3799" s="327" t="s">
        <v>113</v>
      </c>
      <c r="E3799" s="328" t="s">
        <v>3139</v>
      </c>
      <c r="F3799" s="328">
        <v>434.05608000000001</v>
      </c>
      <c r="G3799" s="328">
        <v>7591.902</v>
      </c>
      <c r="H3799" s="328">
        <v>7808.22</v>
      </c>
      <c r="I3799" s="329">
        <v>0.13225270629030825</v>
      </c>
      <c r="J3799" s="329">
        <v>0.81569078404926598</v>
      </c>
      <c r="K3799" s="329">
        <v>0.9755492077344321</v>
      </c>
    </row>
    <row r="3800" spans="1:11" ht="11.25" x14ac:dyDescent="0.15">
      <c r="A3800" s="326">
        <v>1.2250000000000001</v>
      </c>
      <c r="B3800" s="327">
        <v>150</v>
      </c>
      <c r="C3800" s="327" t="s">
        <v>110</v>
      </c>
      <c r="D3800" s="327" t="s">
        <v>79</v>
      </c>
      <c r="E3800" s="328" t="s">
        <v>3140</v>
      </c>
      <c r="F3800" s="328">
        <v>4156.6136500000002</v>
      </c>
      <c r="G3800" s="328">
        <v>9999.1151750000008</v>
      </c>
      <c r="H3800" s="328">
        <v>8356.0030750000005</v>
      </c>
      <c r="I3800" s="329">
        <v>1.2664801382709261</v>
      </c>
      <c r="J3800" s="329">
        <v>1.0743271049724645</v>
      </c>
      <c r="K3800" s="329">
        <v>1.0439885376747491</v>
      </c>
    </row>
    <row r="3801" spans="1:11" ht="11.25" x14ac:dyDescent="0.15">
      <c r="A3801" s="326">
        <v>1.2250000000000001</v>
      </c>
      <c r="B3801" s="327">
        <v>150</v>
      </c>
      <c r="C3801" s="327" t="s">
        <v>110</v>
      </c>
      <c r="D3801" s="327" t="s">
        <v>114</v>
      </c>
      <c r="E3801" s="328" t="s">
        <v>3141</v>
      </c>
      <c r="F3801" s="328">
        <v>1161.04618</v>
      </c>
      <c r="G3801" s="328">
        <v>8729.5362000000005</v>
      </c>
      <c r="H3801" s="328">
        <v>8251.7690500000008</v>
      </c>
      <c r="I3801" s="329">
        <v>0.35375958662536044</v>
      </c>
      <c r="J3801" s="329">
        <v>0.9379207249203757</v>
      </c>
      <c r="K3801" s="329">
        <v>1.0309656694016061</v>
      </c>
    </row>
    <row r="3802" spans="1:11" ht="11.25" x14ac:dyDescent="0.15">
      <c r="A3802" s="326">
        <v>1.2250000000000001</v>
      </c>
      <c r="B3802" s="327">
        <v>150</v>
      </c>
      <c r="C3802" s="327" t="s">
        <v>110</v>
      </c>
      <c r="D3802" s="327" t="s">
        <v>113</v>
      </c>
      <c r="E3802" s="328" t="s">
        <v>3142</v>
      </c>
      <c r="F3802" s="328">
        <v>462.74754750000005</v>
      </c>
      <c r="G3802" s="328">
        <v>7996.7277250000016</v>
      </c>
      <c r="H3802" s="328">
        <v>8148.5603499999997</v>
      </c>
      <c r="I3802" s="329">
        <v>0.14099472005110025</v>
      </c>
      <c r="J3802" s="329">
        <v>0.8591861575444143</v>
      </c>
      <c r="K3802" s="329">
        <v>1.0180709039472129</v>
      </c>
    </row>
    <row r="3803" spans="1:11" ht="11.25" x14ac:dyDescent="0.15">
      <c r="A3803" s="326">
        <v>1.25</v>
      </c>
      <c r="B3803" s="327">
        <v>150</v>
      </c>
      <c r="C3803" s="327" t="s">
        <v>110</v>
      </c>
      <c r="D3803" s="327" t="s">
        <v>79</v>
      </c>
      <c r="E3803" s="328" t="s">
        <v>3143</v>
      </c>
      <c r="F3803" s="328">
        <v>4431.9549999999999</v>
      </c>
      <c r="G3803" s="328">
        <v>10598.397500000001</v>
      </c>
      <c r="H3803" s="328">
        <v>8711.0612500000007</v>
      </c>
      <c r="I3803" s="329">
        <v>1.3503739952378115</v>
      </c>
      <c r="J3803" s="329">
        <v>1.1387153267311381</v>
      </c>
      <c r="K3803" s="329">
        <v>1.0883490604726318</v>
      </c>
    </row>
    <row r="3804" spans="1:11" ht="11.25" x14ac:dyDescent="0.15">
      <c r="A3804" s="326">
        <v>1.25</v>
      </c>
      <c r="B3804" s="327">
        <v>150</v>
      </c>
      <c r="C3804" s="327" t="s">
        <v>110</v>
      </c>
      <c r="D3804" s="327" t="s">
        <v>114</v>
      </c>
      <c r="E3804" s="328" t="s">
        <v>3144</v>
      </c>
      <c r="F3804" s="328">
        <v>1238.4848750000001</v>
      </c>
      <c r="G3804" s="328">
        <v>9229.1537499999995</v>
      </c>
      <c r="H3804" s="328">
        <v>8602.848750000001</v>
      </c>
      <c r="I3804" s="329">
        <v>0.37735441102072376</v>
      </c>
      <c r="J3804" s="329">
        <v>0.99160074227100437</v>
      </c>
      <c r="K3804" s="329">
        <v>1.0748291265258472</v>
      </c>
    </row>
    <row r="3805" spans="1:11" ht="11.25" x14ac:dyDescent="0.15">
      <c r="A3805" s="326">
        <v>1.25</v>
      </c>
      <c r="B3805" s="327">
        <v>150</v>
      </c>
      <c r="C3805" s="327" t="s">
        <v>110</v>
      </c>
      <c r="D3805" s="327" t="s">
        <v>113</v>
      </c>
      <c r="E3805" s="328" t="s">
        <v>3145</v>
      </c>
      <c r="F3805" s="328">
        <v>493.05787500000002</v>
      </c>
      <c r="G3805" s="328">
        <v>8423.1275000000005</v>
      </c>
      <c r="H3805" s="328">
        <v>8496.4025000000001</v>
      </c>
      <c r="I3805" s="329">
        <v>0.15022998485932629</v>
      </c>
      <c r="J3805" s="329">
        <v>0.9049994948066945</v>
      </c>
      <c r="K3805" s="329">
        <v>1.0615298656374754</v>
      </c>
    </row>
    <row r="3806" spans="1:11" ht="11.25" x14ac:dyDescent="0.15">
      <c r="A3806" s="326">
        <v>1.2749999999999999</v>
      </c>
      <c r="B3806" s="327">
        <v>150</v>
      </c>
      <c r="C3806" s="327" t="s">
        <v>110</v>
      </c>
      <c r="D3806" s="327" t="s">
        <v>79</v>
      </c>
      <c r="E3806" s="328" t="s">
        <v>3146</v>
      </c>
      <c r="F3806" s="328">
        <v>4722.7428</v>
      </c>
      <c r="G3806" s="328">
        <v>11226.604499999999</v>
      </c>
      <c r="H3806" s="328">
        <v>9073.5961499999994</v>
      </c>
      <c r="I3806" s="329">
        <v>1.4389742367232088</v>
      </c>
      <c r="J3806" s="329">
        <v>1.2062112797051405</v>
      </c>
      <c r="K3806" s="329">
        <v>1.1336437159089643</v>
      </c>
    </row>
    <row r="3807" spans="1:11" ht="11.25" x14ac:dyDescent="0.15">
      <c r="A3807" s="326">
        <v>1.2749999999999999</v>
      </c>
      <c r="B3807" s="327">
        <v>150</v>
      </c>
      <c r="C3807" s="327" t="s">
        <v>110</v>
      </c>
      <c r="D3807" s="327" t="s">
        <v>114</v>
      </c>
      <c r="E3807" s="328" t="s">
        <v>3147</v>
      </c>
      <c r="F3807" s="328">
        <v>1320.2650499999997</v>
      </c>
      <c r="G3807" s="328">
        <v>9752.8013999999985</v>
      </c>
      <c r="H3807" s="328">
        <v>8961.1526249999988</v>
      </c>
      <c r="I3807" s="329">
        <v>0.4022720425503753</v>
      </c>
      <c r="J3807" s="329">
        <v>1.0478626068464501</v>
      </c>
      <c r="K3807" s="329">
        <v>1.1195951630084802</v>
      </c>
    </row>
    <row r="3808" spans="1:11" ht="11.25" x14ac:dyDescent="0.15">
      <c r="A3808" s="326">
        <v>1.2749999999999999</v>
      </c>
      <c r="B3808" s="327">
        <v>150</v>
      </c>
      <c r="C3808" s="327" t="s">
        <v>110</v>
      </c>
      <c r="D3808" s="327" t="s">
        <v>113</v>
      </c>
      <c r="E3808" s="328" t="s">
        <v>3148</v>
      </c>
      <c r="F3808" s="328">
        <v>525.07266749999997</v>
      </c>
      <c r="G3808" s="328">
        <v>8871.221775</v>
      </c>
      <c r="H3808" s="328">
        <v>8851.5000749999999</v>
      </c>
      <c r="I3808" s="329">
        <v>0.15998458373384883</v>
      </c>
      <c r="J3808" s="329">
        <v>0.95314373725117507</v>
      </c>
      <c r="K3808" s="329">
        <v>1.1058953110219123</v>
      </c>
    </row>
    <row r="3809" spans="1:11" ht="11.25" x14ac:dyDescent="0.15">
      <c r="A3809" s="326">
        <v>1.3</v>
      </c>
      <c r="B3809" s="327">
        <v>150</v>
      </c>
      <c r="C3809" s="327" t="s">
        <v>110</v>
      </c>
      <c r="D3809" s="327" t="s">
        <v>79</v>
      </c>
      <c r="E3809" s="328" t="s">
        <v>3149</v>
      </c>
      <c r="F3809" s="328">
        <v>5029.7415999999994</v>
      </c>
      <c r="G3809" s="328">
        <v>11881.984399999999</v>
      </c>
      <c r="H3809" s="328">
        <v>9443.4665000000005</v>
      </c>
      <c r="I3809" s="329">
        <v>1.5325138137471661</v>
      </c>
      <c r="J3809" s="329">
        <v>1.2766267493043437</v>
      </c>
      <c r="K3809" s="329">
        <v>1.1798548532625426</v>
      </c>
    </row>
    <row r="3810" spans="1:11" ht="11.25" x14ac:dyDescent="0.15">
      <c r="A3810" s="326">
        <v>1.3</v>
      </c>
      <c r="B3810" s="327">
        <v>150</v>
      </c>
      <c r="C3810" s="327" t="s">
        <v>110</v>
      </c>
      <c r="D3810" s="327" t="s">
        <v>114</v>
      </c>
      <c r="E3810" s="328" t="s">
        <v>3150</v>
      </c>
      <c r="F3810" s="328">
        <v>1406.6025999999999</v>
      </c>
      <c r="G3810" s="328">
        <v>10303.4022</v>
      </c>
      <c r="H3810" s="328">
        <v>9326.9683000000005</v>
      </c>
      <c r="I3810" s="329">
        <v>0.4285782623410872</v>
      </c>
      <c r="J3810" s="329">
        <v>1.1070203776198548</v>
      </c>
      <c r="K3810" s="329">
        <v>1.1652997143560457</v>
      </c>
    </row>
    <row r="3811" spans="1:11" ht="11.25" x14ac:dyDescent="0.15">
      <c r="A3811" s="326">
        <v>1.3</v>
      </c>
      <c r="B3811" s="327">
        <v>150</v>
      </c>
      <c r="C3811" s="327" t="s">
        <v>110</v>
      </c>
      <c r="D3811" s="327" t="s">
        <v>113</v>
      </c>
      <c r="E3811" s="328" t="s">
        <v>3151</v>
      </c>
      <c r="F3811" s="328">
        <v>558.88481999999999</v>
      </c>
      <c r="G3811" s="328">
        <v>9341.8767000000007</v>
      </c>
      <c r="H3811" s="328">
        <v>9213.6265000000003</v>
      </c>
      <c r="I3811" s="329">
        <v>0.17028682088630528</v>
      </c>
      <c r="J3811" s="329">
        <v>1.00371194595433</v>
      </c>
      <c r="K3811" s="329">
        <v>1.1511389321043681</v>
      </c>
    </row>
    <row r="3812" spans="1:11" ht="11.25" x14ac:dyDescent="0.15">
      <c r="A3812" s="326">
        <v>1.325</v>
      </c>
      <c r="B3812" s="327">
        <v>150</v>
      </c>
      <c r="C3812" s="327" t="s">
        <v>110</v>
      </c>
      <c r="D3812" s="327" t="s">
        <v>79</v>
      </c>
      <c r="E3812" s="328" t="s">
        <v>3152</v>
      </c>
      <c r="F3812" s="328">
        <v>5353.753925</v>
      </c>
      <c r="G3812" s="328">
        <v>12567.089699999999</v>
      </c>
      <c r="H3812" s="328">
        <v>9820.6615000000002</v>
      </c>
      <c r="I3812" s="329">
        <v>1.6312372479464174</v>
      </c>
      <c r="J3812" s="329">
        <v>1.3502359817882861</v>
      </c>
      <c r="K3812" s="329">
        <v>1.2269811231949201</v>
      </c>
    </row>
    <row r="3813" spans="1:11" ht="11.25" x14ac:dyDescent="0.15">
      <c r="A3813" s="326">
        <v>1.325</v>
      </c>
      <c r="B3813" s="327">
        <v>150</v>
      </c>
      <c r="C3813" s="327" t="s">
        <v>110</v>
      </c>
      <c r="D3813" s="327" t="s">
        <v>114</v>
      </c>
      <c r="E3813" s="328" t="s">
        <v>3153</v>
      </c>
      <c r="F3813" s="328">
        <v>1497.7269999999999</v>
      </c>
      <c r="G3813" s="328">
        <v>10880.464075</v>
      </c>
      <c r="H3813" s="328">
        <v>9700.185875000001</v>
      </c>
      <c r="I3813" s="329">
        <v>0.45634298921481414</v>
      </c>
      <c r="J3813" s="329">
        <v>1.1690211849621637</v>
      </c>
      <c r="K3813" s="329">
        <v>1.211929049800464</v>
      </c>
    </row>
    <row r="3814" spans="1:11" ht="11.25" x14ac:dyDescent="0.15">
      <c r="A3814" s="326">
        <v>1.325</v>
      </c>
      <c r="B3814" s="327">
        <v>150</v>
      </c>
      <c r="C3814" s="327" t="s">
        <v>110</v>
      </c>
      <c r="D3814" s="327" t="s">
        <v>113</v>
      </c>
      <c r="E3814" s="328" t="s">
        <v>3154</v>
      </c>
      <c r="F3814" s="328">
        <v>594.59149750000006</v>
      </c>
      <c r="G3814" s="328">
        <v>9837.3949250000005</v>
      </c>
      <c r="H3814" s="328">
        <v>9583.6998249999997</v>
      </c>
      <c r="I3814" s="329">
        <v>0.18116630155619998</v>
      </c>
      <c r="J3814" s="329">
        <v>1.0569515227377171</v>
      </c>
      <c r="K3814" s="329">
        <v>1.1973754288997192</v>
      </c>
    </row>
    <row r="3815" spans="1:11" ht="11.25" x14ac:dyDescent="0.15">
      <c r="A3815" s="326">
        <v>1.35</v>
      </c>
      <c r="B3815" s="327">
        <v>150</v>
      </c>
      <c r="C3815" s="327" t="s">
        <v>110</v>
      </c>
      <c r="D3815" s="327" t="s">
        <v>79</v>
      </c>
      <c r="E3815" s="328" t="s">
        <v>3155</v>
      </c>
      <c r="F3815" s="328">
        <v>5695.6175999999996</v>
      </c>
      <c r="G3815" s="328">
        <v>13281.487649999999</v>
      </c>
      <c r="H3815" s="328">
        <v>10205.59635</v>
      </c>
      <c r="I3815" s="329">
        <v>1.7353998165276485</v>
      </c>
      <c r="J3815" s="329">
        <v>1.4269924815374515</v>
      </c>
      <c r="K3815" s="329">
        <v>1.2750744002730343</v>
      </c>
    </row>
    <row r="3816" spans="1:11" ht="11.25" x14ac:dyDescent="0.15">
      <c r="A3816" s="326">
        <v>1.35</v>
      </c>
      <c r="B3816" s="327">
        <v>150</v>
      </c>
      <c r="C3816" s="327" t="s">
        <v>110</v>
      </c>
      <c r="D3816" s="327" t="s">
        <v>114</v>
      </c>
      <c r="E3816" s="328" t="s">
        <v>3156</v>
      </c>
      <c r="F3816" s="328">
        <v>1593.8761500000003</v>
      </c>
      <c r="G3816" s="328">
        <v>11483.461800000001</v>
      </c>
      <c r="H3816" s="328">
        <v>10080.64035</v>
      </c>
      <c r="I3816" s="329">
        <v>0.48563870900985268</v>
      </c>
      <c r="J3816" s="329">
        <v>1.2338085975348201</v>
      </c>
      <c r="K3816" s="329">
        <v>1.2594625544488049</v>
      </c>
    </row>
    <row r="3817" spans="1:11" ht="11.25" x14ac:dyDescent="0.15">
      <c r="A3817" s="326">
        <v>1.35</v>
      </c>
      <c r="B3817" s="327">
        <v>150</v>
      </c>
      <c r="C3817" s="327" t="s">
        <v>110</v>
      </c>
      <c r="D3817" s="327" t="s">
        <v>113</v>
      </c>
      <c r="E3817" s="328" t="s">
        <v>3157</v>
      </c>
      <c r="F3817" s="328">
        <v>632.29747500000008</v>
      </c>
      <c r="G3817" s="328">
        <v>10356.7788</v>
      </c>
      <c r="H3817" s="328">
        <v>9960.7684500000014</v>
      </c>
      <c r="I3817" s="329">
        <v>0.19265494967672964</v>
      </c>
      <c r="J3817" s="329">
        <v>1.1127552778732939</v>
      </c>
      <c r="K3817" s="329">
        <v>1.2444859096981935</v>
      </c>
    </row>
    <row r="3818" spans="1:11" ht="11.25" x14ac:dyDescent="0.15">
      <c r="A3818" s="326">
        <v>1.375</v>
      </c>
      <c r="B3818" s="327">
        <v>150</v>
      </c>
      <c r="C3818" s="327" t="s">
        <v>110</v>
      </c>
      <c r="D3818" s="327" t="s">
        <v>79</v>
      </c>
      <c r="E3818" s="328" t="s">
        <v>3158</v>
      </c>
      <c r="F3818" s="328">
        <v>6056.216375</v>
      </c>
      <c r="G3818" s="328">
        <v>14024.9725</v>
      </c>
      <c r="H3818" s="328">
        <v>10598.288250000001</v>
      </c>
      <c r="I3818" s="329">
        <v>1.8452707896026486</v>
      </c>
      <c r="J3818" s="329">
        <v>1.5068741423156402</v>
      </c>
      <c r="K3818" s="329">
        <v>1.3241368334432997</v>
      </c>
    </row>
    <row r="3819" spans="1:11" ht="11.25" x14ac:dyDescent="0.15">
      <c r="A3819" s="326">
        <v>1.375</v>
      </c>
      <c r="B3819" s="327">
        <v>150</v>
      </c>
      <c r="C3819" s="327" t="s">
        <v>110</v>
      </c>
      <c r="D3819" s="327" t="s">
        <v>114</v>
      </c>
      <c r="E3819" s="328" t="s">
        <v>3159</v>
      </c>
      <c r="F3819" s="328">
        <v>1695.3021249999999</v>
      </c>
      <c r="G3819" s="328">
        <v>12114.760624999999</v>
      </c>
      <c r="H3819" s="328">
        <v>10468.682124999999</v>
      </c>
      <c r="I3819" s="329">
        <v>0.51654222655045046</v>
      </c>
      <c r="J3819" s="329">
        <v>1.3016367430421816</v>
      </c>
      <c r="K3819" s="329">
        <v>1.3079440068373278</v>
      </c>
    </row>
    <row r="3820" spans="1:11" ht="11.25" x14ac:dyDescent="0.15">
      <c r="A3820" s="326">
        <v>1.375</v>
      </c>
      <c r="B3820" s="327">
        <v>150</v>
      </c>
      <c r="C3820" s="327" t="s">
        <v>110</v>
      </c>
      <c r="D3820" s="327" t="s">
        <v>113</v>
      </c>
      <c r="E3820" s="328" t="s">
        <v>3160</v>
      </c>
      <c r="F3820" s="328">
        <v>672.11154999999997</v>
      </c>
      <c r="G3820" s="328">
        <v>10900.143375</v>
      </c>
      <c r="H3820" s="328">
        <v>10345.090250000001</v>
      </c>
      <c r="I3820" s="329">
        <v>0.20478591479809205</v>
      </c>
      <c r="J3820" s="329">
        <v>1.1711355725881554</v>
      </c>
      <c r="K3820" s="329">
        <v>1.2925025930786658</v>
      </c>
    </row>
    <row r="3821" spans="1:11" ht="11.25" x14ac:dyDescent="0.15">
      <c r="A3821" s="326">
        <v>1.4</v>
      </c>
      <c r="B3821" s="327">
        <v>150</v>
      </c>
      <c r="C3821" s="327" t="s">
        <v>110</v>
      </c>
      <c r="D3821" s="327" t="s">
        <v>79</v>
      </c>
      <c r="E3821" s="328" t="s">
        <v>3161</v>
      </c>
      <c r="F3821" s="328">
        <v>6436.4776000000002</v>
      </c>
      <c r="G3821" s="328">
        <v>14798.644</v>
      </c>
      <c r="H3821" s="328">
        <v>10998.590399999999</v>
      </c>
      <c r="I3821" s="329">
        <v>1.9611327217832042</v>
      </c>
      <c r="J3821" s="329">
        <v>1.5899991237012761</v>
      </c>
      <c r="K3821" s="329">
        <v>1.3741500816979453</v>
      </c>
    </row>
    <row r="3822" spans="1:11" ht="11.25" x14ac:dyDescent="0.15">
      <c r="A3822" s="326">
        <v>1.4</v>
      </c>
      <c r="B3822" s="327">
        <v>150</v>
      </c>
      <c r="C3822" s="327" t="s">
        <v>110</v>
      </c>
      <c r="D3822" s="327" t="s">
        <v>114</v>
      </c>
      <c r="E3822" s="328" t="s">
        <v>3162</v>
      </c>
      <c r="F3822" s="328">
        <v>1802.2731999999999</v>
      </c>
      <c r="G3822" s="328">
        <v>12773.2276</v>
      </c>
      <c r="H3822" s="328">
        <v>10864.370999999999</v>
      </c>
      <c r="I3822" s="329">
        <v>0.54913528264480016</v>
      </c>
      <c r="J3822" s="329">
        <v>1.3723838948242117</v>
      </c>
      <c r="K3822" s="329">
        <v>1.3573808783029857</v>
      </c>
    </row>
    <row r="3823" spans="1:11" ht="11.25" x14ac:dyDescent="0.15">
      <c r="A3823" s="326">
        <v>1.4</v>
      </c>
      <c r="B3823" s="327">
        <v>150</v>
      </c>
      <c r="C3823" s="327" t="s">
        <v>110</v>
      </c>
      <c r="D3823" s="327" t="s">
        <v>113</v>
      </c>
      <c r="E3823" s="328" t="s">
        <v>3163</v>
      </c>
      <c r="F3823" s="328">
        <v>714.15484000000004</v>
      </c>
      <c r="G3823" s="328">
        <v>11468.342199999997</v>
      </c>
      <c r="H3823" s="328">
        <v>10736.504799999999</v>
      </c>
      <c r="I3823" s="329">
        <v>0.21759610025580586</v>
      </c>
      <c r="J3823" s="329">
        <v>1.2321841141868377</v>
      </c>
      <c r="K3823" s="329">
        <v>1.3414054357429639</v>
      </c>
    </row>
    <row r="3824" spans="1:11" ht="11.25" x14ac:dyDescent="0.15">
      <c r="A3824" s="326">
        <v>0.9</v>
      </c>
      <c r="B3824" s="327">
        <v>-40</v>
      </c>
      <c r="C3824" s="327" t="s">
        <v>116</v>
      </c>
      <c r="D3824" s="327" t="s">
        <v>79</v>
      </c>
      <c r="E3824" s="328" t="s">
        <v>3164</v>
      </c>
      <c r="F3824" s="328">
        <v>66.078755999999998</v>
      </c>
      <c r="G3824" s="328">
        <v>3861.3492000000001</v>
      </c>
      <c r="H3824" s="328">
        <v>5135.9372999999996</v>
      </c>
      <c r="I3824" s="329">
        <v>2.6232993768466862E-3</v>
      </c>
      <c r="J3824" s="329">
        <v>0.32222454320853144</v>
      </c>
      <c r="K3824" s="329">
        <v>0.53426012993914229</v>
      </c>
    </row>
    <row r="3825" spans="1:11" ht="11.25" x14ac:dyDescent="0.15">
      <c r="A3825" s="326">
        <v>0.9</v>
      </c>
      <c r="B3825" s="327">
        <v>-40</v>
      </c>
      <c r="C3825" s="327" t="s">
        <v>116</v>
      </c>
      <c r="D3825" s="327" t="s">
        <v>114</v>
      </c>
      <c r="E3825" s="328" t="s">
        <v>3165</v>
      </c>
      <c r="F3825" s="328">
        <v>7.5665825999999994</v>
      </c>
      <c r="G3825" s="328">
        <v>4111.4781000000003</v>
      </c>
      <c r="H3825" s="328">
        <v>5042.8989000000001</v>
      </c>
      <c r="I3825" s="329">
        <v>3.0039021042464807E-4</v>
      </c>
      <c r="J3825" s="329">
        <v>0.34309747294660137</v>
      </c>
      <c r="K3825" s="329">
        <v>0.52458191449961011</v>
      </c>
    </row>
    <row r="3826" spans="1:11" ht="11.25" x14ac:dyDescent="0.15">
      <c r="A3826" s="326">
        <v>0.9</v>
      </c>
      <c r="B3826" s="327">
        <v>-40</v>
      </c>
      <c r="C3826" s="327" t="s">
        <v>116</v>
      </c>
      <c r="D3826" s="327" t="s">
        <v>113</v>
      </c>
      <c r="E3826" s="328" t="s">
        <v>3166</v>
      </c>
      <c r="F3826" s="328">
        <v>3.8860785000000004</v>
      </c>
      <c r="G3826" s="328">
        <v>4469.9310000000005</v>
      </c>
      <c r="H3826" s="328">
        <v>4952.3517000000002</v>
      </c>
      <c r="I3826" s="329">
        <v>1.5427571468547784E-4</v>
      </c>
      <c r="J3826" s="329">
        <v>0.37300989888421759</v>
      </c>
      <c r="K3826" s="329">
        <v>0.51516284335214391</v>
      </c>
    </row>
    <row r="3827" spans="1:11" ht="11.25" x14ac:dyDescent="0.15">
      <c r="A3827" s="326">
        <v>0.92500000000000004</v>
      </c>
      <c r="B3827" s="327">
        <v>-40</v>
      </c>
      <c r="C3827" s="327" t="s">
        <v>116</v>
      </c>
      <c r="D3827" s="327" t="s">
        <v>79</v>
      </c>
      <c r="E3827" s="328" t="s">
        <v>3167</v>
      </c>
      <c r="F3827" s="328">
        <v>73.714230500000014</v>
      </c>
      <c r="G3827" s="328">
        <v>4115.6413499999999</v>
      </c>
      <c r="H3827" s="328">
        <v>5445.2752</v>
      </c>
      <c r="I3827" s="329">
        <v>2.9264245673054595E-3</v>
      </c>
      <c r="J3827" s="329">
        <v>0.34344489071692708</v>
      </c>
      <c r="K3827" s="329">
        <v>0.56643865880262778</v>
      </c>
    </row>
    <row r="3828" spans="1:11" ht="11.25" x14ac:dyDescent="0.15">
      <c r="A3828" s="326">
        <v>0.92500000000000004</v>
      </c>
      <c r="B3828" s="327">
        <v>-40</v>
      </c>
      <c r="C3828" s="327" t="s">
        <v>116</v>
      </c>
      <c r="D3828" s="327" t="s">
        <v>114</v>
      </c>
      <c r="E3828" s="328" t="s">
        <v>3168</v>
      </c>
      <c r="F3828" s="328">
        <v>8.5602136249999994</v>
      </c>
      <c r="G3828" s="328">
        <v>4346.0144500000006</v>
      </c>
      <c r="H3828" s="328">
        <v>5348.6404499999999</v>
      </c>
      <c r="I3828" s="329">
        <v>3.398369525621368E-4</v>
      </c>
      <c r="J3828" s="329">
        <v>0.36266922476965496</v>
      </c>
      <c r="K3828" s="329">
        <v>0.55638633707906693</v>
      </c>
    </row>
    <row r="3829" spans="1:11" ht="11.25" x14ac:dyDescent="0.15">
      <c r="A3829" s="326">
        <v>0.92500000000000004</v>
      </c>
      <c r="B3829" s="327">
        <v>-40</v>
      </c>
      <c r="C3829" s="327" t="s">
        <v>116</v>
      </c>
      <c r="D3829" s="327" t="s">
        <v>113</v>
      </c>
      <c r="E3829" s="328" t="s">
        <v>3169</v>
      </c>
      <c r="F3829" s="328">
        <v>4.4577442749999996</v>
      </c>
      <c r="G3829" s="328">
        <v>4708.4942000000001</v>
      </c>
      <c r="H3829" s="328">
        <v>5254.3589000000002</v>
      </c>
      <c r="I3829" s="329">
        <v>1.7697061032367773E-4</v>
      </c>
      <c r="J3829" s="329">
        <v>0.392917686075898</v>
      </c>
      <c r="K3829" s="329">
        <v>0.54657880435200978</v>
      </c>
    </row>
    <row r="3830" spans="1:11" ht="11.25" x14ac:dyDescent="0.15">
      <c r="A3830" s="326">
        <v>0.95</v>
      </c>
      <c r="B3830" s="327">
        <v>-40</v>
      </c>
      <c r="C3830" s="327" t="s">
        <v>116</v>
      </c>
      <c r="D3830" s="327" t="s">
        <v>79</v>
      </c>
      <c r="E3830" s="328" t="s">
        <v>3170</v>
      </c>
      <c r="F3830" s="328">
        <v>82.119139999999987</v>
      </c>
      <c r="G3830" s="328">
        <v>4388.5401999999995</v>
      </c>
      <c r="H3830" s="328">
        <v>5763.5046500000008</v>
      </c>
      <c r="I3830" s="329">
        <v>3.2600960101183767E-3</v>
      </c>
      <c r="J3830" s="329">
        <v>0.36621794301776101</v>
      </c>
      <c r="K3830" s="329">
        <v>0.59954212120421557</v>
      </c>
    </row>
    <row r="3831" spans="1:11" ht="11.25" x14ac:dyDescent="0.15">
      <c r="A3831" s="326">
        <v>0.95</v>
      </c>
      <c r="B3831" s="327">
        <v>-40</v>
      </c>
      <c r="C3831" s="327" t="s">
        <v>116</v>
      </c>
      <c r="D3831" s="327" t="s">
        <v>114</v>
      </c>
      <c r="E3831" s="328" t="s">
        <v>3171</v>
      </c>
      <c r="F3831" s="328">
        <v>9.6766430000000003</v>
      </c>
      <c r="G3831" s="328">
        <v>4592.6467499999999</v>
      </c>
      <c r="H3831" s="328">
        <v>5663.0155499999992</v>
      </c>
      <c r="I3831" s="329">
        <v>3.8415873857957993E-4</v>
      </c>
      <c r="J3831" s="329">
        <v>0.38325036780845839</v>
      </c>
      <c r="K3831" s="329">
        <v>0.58908885503535713</v>
      </c>
    </row>
    <row r="3832" spans="1:11" ht="11.25" x14ac:dyDescent="0.15">
      <c r="A3832" s="326">
        <v>0.95</v>
      </c>
      <c r="B3832" s="327">
        <v>-40</v>
      </c>
      <c r="C3832" s="327" t="s">
        <v>116</v>
      </c>
      <c r="D3832" s="327" t="s">
        <v>113</v>
      </c>
      <c r="E3832" s="328" t="s">
        <v>3172</v>
      </c>
      <c r="F3832" s="328">
        <v>5.1076066000000004</v>
      </c>
      <c r="G3832" s="328">
        <v>4954.3050999999996</v>
      </c>
      <c r="H3832" s="328">
        <v>5565.5056500000001</v>
      </c>
      <c r="I3832" s="329">
        <v>2.0276987676580991E-4</v>
      </c>
      <c r="J3832" s="329">
        <v>0.41343028435843038</v>
      </c>
      <c r="K3832" s="329">
        <v>0.5789454968124379</v>
      </c>
    </row>
    <row r="3833" spans="1:11" ht="11.25" x14ac:dyDescent="0.15">
      <c r="A3833" s="326">
        <v>0.97499999999999998</v>
      </c>
      <c r="B3833" s="327">
        <v>-40</v>
      </c>
      <c r="C3833" s="327" t="s">
        <v>116</v>
      </c>
      <c r="D3833" s="327" t="s">
        <v>79</v>
      </c>
      <c r="E3833" s="328" t="s">
        <v>3173</v>
      </c>
      <c r="F3833" s="328">
        <v>91.361789999999985</v>
      </c>
      <c r="G3833" s="328">
        <v>4681.6302000000005</v>
      </c>
      <c r="H3833" s="328">
        <v>6090.8620500000006</v>
      </c>
      <c r="I3833" s="329">
        <v>3.6270254054812678E-3</v>
      </c>
      <c r="J3833" s="329">
        <v>0.39067592039235044</v>
      </c>
      <c r="K3833" s="329">
        <v>0.63359510838934729</v>
      </c>
    </row>
    <row r="3834" spans="1:11" ht="11.25" x14ac:dyDescent="0.15">
      <c r="A3834" s="326">
        <v>0.97499999999999998</v>
      </c>
      <c r="B3834" s="327">
        <v>-40</v>
      </c>
      <c r="C3834" s="327" t="s">
        <v>116</v>
      </c>
      <c r="D3834" s="327" t="s">
        <v>114</v>
      </c>
      <c r="E3834" s="328" t="s">
        <v>3174</v>
      </c>
      <c r="F3834" s="328">
        <v>10.930315500000001</v>
      </c>
      <c r="G3834" s="328">
        <v>4852.8762750000005</v>
      </c>
      <c r="H3834" s="328">
        <v>5986.6384499999995</v>
      </c>
      <c r="I3834" s="329">
        <v>4.3392902009062757E-4</v>
      </c>
      <c r="J3834" s="329">
        <v>0.40496618149930469</v>
      </c>
      <c r="K3834" s="329">
        <v>0.62275336503731571</v>
      </c>
    </row>
    <row r="3835" spans="1:11" ht="11.25" x14ac:dyDescent="0.15">
      <c r="A3835" s="326">
        <v>0.97499999999999998</v>
      </c>
      <c r="B3835" s="327">
        <v>-40</v>
      </c>
      <c r="C3835" s="327" t="s">
        <v>116</v>
      </c>
      <c r="D3835" s="327" t="s">
        <v>113</v>
      </c>
      <c r="E3835" s="328" t="s">
        <v>3175</v>
      </c>
      <c r="F3835" s="328">
        <v>5.845576425</v>
      </c>
      <c r="G3835" s="328">
        <v>5209.9768500000009</v>
      </c>
      <c r="H3835" s="328">
        <v>5885.223825</v>
      </c>
      <c r="I3835" s="329">
        <v>2.3206697464177715E-4</v>
      </c>
      <c r="J3835" s="329">
        <v>0.43476575768342163</v>
      </c>
      <c r="K3835" s="329">
        <v>0.61220382216609937</v>
      </c>
    </row>
    <row r="3836" spans="1:11" ht="11.25" x14ac:dyDescent="0.15">
      <c r="A3836" s="326">
        <v>1</v>
      </c>
      <c r="B3836" s="327">
        <v>-40</v>
      </c>
      <c r="C3836" s="327" t="s">
        <v>116</v>
      </c>
      <c r="D3836" s="327" t="s">
        <v>79</v>
      </c>
      <c r="E3836" s="328" t="s">
        <v>3176</v>
      </c>
      <c r="F3836" s="328">
        <v>101.5164</v>
      </c>
      <c r="G3836" s="328">
        <v>4997.6959999999999</v>
      </c>
      <c r="H3836" s="328">
        <v>6427.4749999999995</v>
      </c>
      <c r="I3836" s="329">
        <v>4.030159236952326E-3</v>
      </c>
      <c r="J3836" s="329">
        <v>0.41705119824311793</v>
      </c>
      <c r="K3836" s="329">
        <v>0.66861089380522398</v>
      </c>
    </row>
    <row r="3837" spans="1:11" ht="11.25" x14ac:dyDescent="0.15">
      <c r="A3837" s="326">
        <v>1</v>
      </c>
      <c r="B3837" s="327">
        <v>-40</v>
      </c>
      <c r="C3837" s="327" t="s">
        <v>116</v>
      </c>
      <c r="D3837" s="327" t="s">
        <v>114</v>
      </c>
      <c r="E3837" s="328" t="s">
        <v>3177</v>
      </c>
      <c r="F3837" s="328">
        <v>12.33737</v>
      </c>
      <c r="G3837" s="328">
        <v>5128.79</v>
      </c>
      <c r="H3837" s="328">
        <v>6318.8329999999996</v>
      </c>
      <c r="I3837" s="329">
        <v>4.8978850378065533E-4</v>
      </c>
      <c r="J3837" s="329">
        <v>0.42799082117786291</v>
      </c>
      <c r="K3837" s="329">
        <v>0.65730953133788073</v>
      </c>
    </row>
    <row r="3838" spans="1:11" ht="11.25" x14ac:dyDescent="0.15">
      <c r="A3838" s="326">
        <v>1</v>
      </c>
      <c r="B3838" s="327">
        <v>-40</v>
      </c>
      <c r="C3838" s="327" t="s">
        <v>116</v>
      </c>
      <c r="D3838" s="327" t="s">
        <v>113</v>
      </c>
      <c r="E3838" s="328" t="s">
        <v>3178</v>
      </c>
      <c r="F3838" s="328">
        <v>6.6827900000000007</v>
      </c>
      <c r="G3838" s="328">
        <v>5475.1810000000005</v>
      </c>
      <c r="H3838" s="328">
        <v>6213.732</v>
      </c>
      <c r="I3838" s="329">
        <v>2.6530400848643801E-4</v>
      </c>
      <c r="J3838" s="329">
        <v>0.4568966973277192</v>
      </c>
      <c r="K3838" s="329">
        <v>0.64637651743275892</v>
      </c>
    </row>
    <row r="3839" spans="1:11" ht="11.25" x14ac:dyDescent="0.15">
      <c r="A3839" s="326">
        <v>1.0249999999999999</v>
      </c>
      <c r="B3839" s="327">
        <v>-40</v>
      </c>
      <c r="C3839" s="327" t="s">
        <v>116</v>
      </c>
      <c r="D3839" s="327" t="s">
        <v>79</v>
      </c>
      <c r="E3839" s="328" t="s">
        <v>3179</v>
      </c>
      <c r="F3839" s="328">
        <v>112.66328499999999</v>
      </c>
      <c r="G3839" s="328">
        <v>5338.5648999999994</v>
      </c>
      <c r="H3839" s="328">
        <v>6772.6987749999989</v>
      </c>
      <c r="I3839" s="329">
        <v>4.4726859769272983E-3</v>
      </c>
      <c r="J3839" s="329">
        <v>0.44549626236642864</v>
      </c>
      <c r="K3839" s="329">
        <v>0.70452241065524102</v>
      </c>
    </row>
    <row r="3840" spans="1:11" ht="11.25" x14ac:dyDescent="0.15">
      <c r="A3840" s="326">
        <v>1.0249999999999999</v>
      </c>
      <c r="B3840" s="327">
        <v>-40</v>
      </c>
      <c r="C3840" s="327" t="s">
        <v>116</v>
      </c>
      <c r="D3840" s="327" t="s">
        <v>114</v>
      </c>
      <c r="E3840" s="328" t="s">
        <v>3180</v>
      </c>
      <c r="F3840" s="328">
        <v>13.915748499999999</v>
      </c>
      <c r="G3840" s="328">
        <v>5422.2264249999998</v>
      </c>
      <c r="H3840" s="328">
        <v>6660.1117499999991</v>
      </c>
      <c r="I3840" s="329">
        <v>5.5244947965432656E-4</v>
      </c>
      <c r="J3840" s="329">
        <v>0.45247770726585762</v>
      </c>
      <c r="K3840" s="329">
        <v>0.69281067137720087</v>
      </c>
    </row>
    <row r="3841" spans="1:11" ht="11.25" x14ac:dyDescent="0.15">
      <c r="A3841" s="326">
        <v>1.0249999999999999</v>
      </c>
      <c r="B3841" s="327">
        <v>-40</v>
      </c>
      <c r="C3841" s="327" t="s">
        <v>116</v>
      </c>
      <c r="D3841" s="327" t="s">
        <v>113</v>
      </c>
      <c r="E3841" s="328" t="s">
        <v>3181</v>
      </c>
      <c r="F3841" s="328">
        <v>7.631689774999999</v>
      </c>
      <c r="G3841" s="328">
        <v>5753.9430749999992</v>
      </c>
      <c r="H3841" s="328">
        <v>6551.5242749999989</v>
      </c>
      <c r="I3841" s="329">
        <v>3.0297493843626117E-4</v>
      </c>
      <c r="J3841" s="329">
        <v>0.48015902809043215</v>
      </c>
      <c r="K3841" s="329">
        <v>0.68151498081196293</v>
      </c>
    </row>
    <row r="3842" spans="1:11" ht="11.25" x14ac:dyDescent="0.15">
      <c r="A3842" s="326">
        <v>1.05</v>
      </c>
      <c r="B3842" s="327">
        <v>-40</v>
      </c>
      <c r="C3842" s="327" t="s">
        <v>116</v>
      </c>
      <c r="D3842" s="327" t="s">
        <v>79</v>
      </c>
      <c r="E3842" s="328" t="s">
        <v>3182</v>
      </c>
      <c r="F3842" s="328">
        <v>124.88931000000001</v>
      </c>
      <c r="G3842" s="328">
        <v>5706.1704</v>
      </c>
      <c r="H3842" s="328">
        <v>7127.4378000000006</v>
      </c>
      <c r="I3842" s="329">
        <v>4.9580541301021564E-3</v>
      </c>
      <c r="J3842" s="329">
        <v>0.47617246080982351</v>
      </c>
      <c r="K3842" s="329">
        <v>0.74142374073786987</v>
      </c>
    </row>
    <row r="3843" spans="1:11" ht="11.25" x14ac:dyDescent="0.15">
      <c r="A3843" s="326">
        <v>1.05</v>
      </c>
      <c r="B3843" s="327">
        <v>-40</v>
      </c>
      <c r="C3843" s="327" t="s">
        <v>116</v>
      </c>
      <c r="D3843" s="327" t="s">
        <v>114</v>
      </c>
      <c r="E3843" s="328" t="s">
        <v>3183</v>
      </c>
      <c r="F3843" s="328">
        <v>15.685414499999998</v>
      </c>
      <c r="G3843" s="328">
        <v>5735.4905999999992</v>
      </c>
      <c r="H3843" s="328">
        <v>7010.4751500000002</v>
      </c>
      <c r="I3843" s="329">
        <v>6.2270449043308213E-4</v>
      </c>
      <c r="J3843" s="329">
        <v>0.47861919317264179</v>
      </c>
      <c r="K3843" s="329">
        <v>0.72925683196602276</v>
      </c>
    </row>
    <row r="3844" spans="1:11" ht="11.25" x14ac:dyDescent="0.15">
      <c r="A3844" s="326">
        <v>1.05</v>
      </c>
      <c r="B3844" s="327">
        <v>-40</v>
      </c>
      <c r="C3844" s="327" t="s">
        <v>116</v>
      </c>
      <c r="D3844" s="327" t="s">
        <v>113</v>
      </c>
      <c r="E3844" s="328" t="s">
        <v>3184</v>
      </c>
      <c r="F3844" s="328">
        <v>8.7061884000000003</v>
      </c>
      <c r="G3844" s="328">
        <v>6044.9340000000002</v>
      </c>
      <c r="H3844" s="328">
        <v>6898.1104500000001</v>
      </c>
      <c r="I3844" s="329">
        <v>3.4563209096172829E-4</v>
      </c>
      <c r="J3844" s="329">
        <v>0.50444184040016915</v>
      </c>
      <c r="K3844" s="329">
        <v>0.7175682197973009</v>
      </c>
    </row>
    <row r="3845" spans="1:11" ht="11.25" x14ac:dyDescent="0.15">
      <c r="A3845" s="326">
        <v>1.075</v>
      </c>
      <c r="B3845" s="327">
        <v>-40</v>
      </c>
      <c r="C3845" s="327" t="s">
        <v>116</v>
      </c>
      <c r="D3845" s="327" t="s">
        <v>79</v>
      </c>
      <c r="E3845" s="328" t="s">
        <v>3185</v>
      </c>
      <c r="F3845" s="328">
        <v>138.288645</v>
      </c>
      <c r="G3845" s="328">
        <v>6101.915</v>
      </c>
      <c r="H3845" s="328">
        <v>7491.3180999999995</v>
      </c>
      <c r="I3845" s="329">
        <v>5.4900022066618898E-3</v>
      </c>
      <c r="J3845" s="329">
        <v>0.50919683036496322</v>
      </c>
      <c r="K3845" s="329">
        <v>0.77927598172225521</v>
      </c>
    </row>
    <row r="3846" spans="1:11" ht="11.25" x14ac:dyDescent="0.15">
      <c r="A3846" s="326">
        <v>1.075</v>
      </c>
      <c r="B3846" s="327">
        <v>-40</v>
      </c>
      <c r="C3846" s="327" t="s">
        <v>116</v>
      </c>
      <c r="D3846" s="327" t="s">
        <v>114</v>
      </c>
      <c r="E3846" s="328" t="s">
        <v>3186</v>
      </c>
      <c r="F3846" s="328">
        <v>17.668613999999998</v>
      </c>
      <c r="G3846" s="328">
        <v>6069.6628499999988</v>
      </c>
      <c r="H3846" s="328">
        <v>7369.9710249999998</v>
      </c>
      <c r="I3846" s="329">
        <v>7.0143669314756219E-4</v>
      </c>
      <c r="J3846" s="329">
        <v>0.50650543060727138</v>
      </c>
      <c r="K3846" s="329">
        <v>0.76665298804644955</v>
      </c>
    </row>
    <row r="3847" spans="1:11" ht="11.25" x14ac:dyDescent="0.15">
      <c r="A3847" s="326">
        <v>1.075</v>
      </c>
      <c r="B3847" s="327">
        <v>-40</v>
      </c>
      <c r="C3847" s="327" t="s">
        <v>116</v>
      </c>
      <c r="D3847" s="327" t="s">
        <v>113</v>
      </c>
      <c r="E3847" s="328" t="s">
        <v>3187</v>
      </c>
      <c r="F3847" s="328">
        <v>9.9218662249999987</v>
      </c>
      <c r="G3847" s="328">
        <v>6351.1913749999994</v>
      </c>
      <c r="H3847" s="328">
        <v>7253.6291499999998</v>
      </c>
      <c r="I3847" s="329">
        <v>3.9389399953592769E-4</v>
      </c>
      <c r="J3847" s="329">
        <v>0.52999861800619841</v>
      </c>
      <c r="K3847" s="329">
        <v>0.75455065469926019</v>
      </c>
    </row>
    <row r="3848" spans="1:11" ht="11.25" x14ac:dyDescent="0.15">
      <c r="A3848" s="326">
        <v>1.1000000000000001</v>
      </c>
      <c r="B3848" s="327">
        <v>-40</v>
      </c>
      <c r="C3848" s="327" t="s">
        <v>116</v>
      </c>
      <c r="D3848" s="327" t="s">
        <v>79</v>
      </c>
      <c r="E3848" s="328" t="s">
        <v>3188</v>
      </c>
      <c r="F3848" s="328">
        <v>152.96314000000001</v>
      </c>
      <c r="G3848" s="328">
        <v>6526.5629000000008</v>
      </c>
      <c r="H3848" s="328">
        <v>7864.4588000000003</v>
      </c>
      <c r="I3848" s="329">
        <v>6.0725736096259508E-3</v>
      </c>
      <c r="J3848" s="329">
        <v>0.54463314252289041</v>
      </c>
      <c r="K3848" s="329">
        <v>0.81809152545320829</v>
      </c>
    </row>
    <row r="3849" spans="1:11" ht="11.25" x14ac:dyDescent="0.15">
      <c r="A3849" s="326">
        <v>1.1000000000000001</v>
      </c>
      <c r="B3849" s="327">
        <v>-40</v>
      </c>
      <c r="C3849" s="327" t="s">
        <v>116</v>
      </c>
      <c r="D3849" s="327" t="s">
        <v>114</v>
      </c>
      <c r="E3849" s="328" t="s">
        <v>3189</v>
      </c>
      <c r="F3849" s="328">
        <v>19.890079000000004</v>
      </c>
      <c r="G3849" s="328">
        <v>6427.7147000000014</v>
      </c>
      <c r="H3849" s="328">
        <v>7738.1788000000006</v>
      </c>
      <c r="I3849" s="329">
        <v>7.8962793800372644E-4</v>
      </c>
      <c r="J3849" s="329">
        <v>0.5363843894466378</v>
      </c>
      <c r="K3849" s="329">
        <v>0.80495538977477732</v>
      </c>
    </row>
    <row r="3850" spans="1:11" ht="11.25" x14ac:dyDescent="0.15">
      <c r="A3850" s="326">
        <v>1.1000000000000001</v>
      </c>
      <c r="B3850" s="327">
        <v>-40</v>
      </c>
      <c r="C3850" s="327" t="s">
        <v>116</v>
      </c>
      <c r="D3850" s="327" t="s">
        <v>113</v>
      </c>
      <c r="E3850" s="328" t="s">
        <v>3190</v>
      </c>
      <c r="F3850" s="328">
        <v>11.29612</v>
      </c>
      <c r="G3850" s="328">
        <v>6673.5448999999999</v>
      </c>
      <c r="H3850" s="328">
        <v>7617.8740000000007</v>
      </c>
      <c r="I3850" s="329">
        <v>4.4845130796326415E-4</v>
      </c>
      <c r="J3850" s="329">
        <v>0.55689859828894128</v>
      </c>
      <c r="K3850" s="329">
        <v>0.7924408175894232</v>
      </c>
    </row>
    <row r="3851" spans="1:11" ht="11.25" x14ac:dyDescent="0.15">
      <c r="A3851" s="326">
        <v>1.125</v>
      </c>
      <c r="B3851" s="327">
        <v>-40</v>
      </c>
      <c r="C3851" s="327" t="s">
        <v>116</v>
      </c>
      <c r="D3851" s="327" t="s">
        <v>79</v>
      </c>
      <c r="E3851" s="328" t="s">
        <v>3191</v>
      </c>
      <c r="F3851" s="328">
        <v>169.02314999999999</v>
      </c>
      <c r="G3851" s="328">
        <v>6983.5893750000005</v>
      </c>
      <c r="H3851" s="328">
        <v>8246.5863750000008</v>
      </c>
      <c r="I3851" s="329">
        <v>6.7101493870081923E-3</v>
      </c>
      <c r="J3851" s="329">
        <v>0.58277140443949715</v>
      </c>
      <c r="K3851" s="329">
        <v>0.85784191879870919</v>
      </c>
    </row>
    <row r="3852" spans="1:11" ht="11.25" x14ac:dyDescent="0.15">
      <c r="A3852" s="326">
        <v>1.125</v>
      </c>
      <c r="B3852" s="327">
        <v>-40</v>
      </c>
      <c r="C3852" s="327" t="s">
        <v>116</v>
      </c>
      <c r="D3852" s="327" t="s">
        <v>114</v>
      </c>
      <c r="E3852" s="328" t="s">
        <v>3192</v>
      </c>
      <c r="F3852" s="328">
        <v>22.377330000000001</v>
      </c>
      <c r="G3852" s="328">
        <v>6810.8782500000007</v>
      </c>
      <c r="H3852" s="328">
        <v>8115.6824999999999</v>
      </c>
      <c r="I3852" s="329">
        <v>8.8837077750817002E-4</v>
      </c>
      <c r="J3852" s="329">
        <v>0.56835888682514712</v>
      </c>
      <c r="K3852" s="329">
        <v>0.84422478969804082</v>
      </c>
    </row>
    <row r="3853" spans="1:11" ht="11.25" x14ac:dyDescent="0.15">
      <c r="A3853" s="326">
        <v>1.125</v>
      </c>
      <c r="B3853" s="327">
        <v>-40</v>
      </c>
      <c r="C3853" s="327" t="s">
        <v>116</v>
      </c>
      <c r="D3853" s="327" t="s">
        <v>113</v>
      </c>
      <c r="E3853" s="328" t="s">
        <v>3193</v>
      </c>
      <c r="F3853" s="328">
        <v>12.848411250000002</v>
      </c>
      <c r="G3853" s="328">
        <v>7013.9891249999991</v>
      </c>
      <c r="H3853" s="328">
        <v>7990.8727499999995</v>
      </c>
      <c r="I3853" s="329">
        <v>5.1007663076458275E-4</v>
      </c>
      <c r="J3853" s="329">
        <v>0.58530822383863446</v>
      </c>
      <c r="K3853" s="329">
        <v>0.83124159513048412</v>
      </c>
    </row>
    <row r="3854" spans="1:11" ht="11.25" x14ac:dyDescent="0.15">
      <c r="A3854" s="326">
        <v>1.1499999999999999</v>
      </c>
      <c r="B3854" s="327">
        <v>-40</v>
      </c>
      <c r="C3854" s="327" t="s">
        <v>116</v>
      </c>
      <c r="D3854" s="327" t="s">
        <v>79</v>
      </c>
      <c r="E3854" s="328" t="s">
        <v>3194</v>
      </c>
      <c r="F3854" s="328">
        <v>186.58818999999997</v>
      </c>
      <c r="G3854" s="328">
        <v>7470.9094500000001</v>
      </c>
      <c r="H3854" s="328">
        <v>8637.8443499999994</v>
      </c>
      <c r="I3854" s="329">
        <v>7.4074742350469036E-3</v>
      </c>
      <c r="J3854" s="329">
        <v>0.62343762767650002</v>
      </c>
      <c r="K3854" s="329">
        <v>0.89854209178626199</v>
      </c>
    </row>
    <row r="3855" spans="1:11" ht="11.25" x14ac:dyDescent="0.15">
      <c r="A3855" s="326">
        <v>1.1499999999999999</v>
      </c>
      <c r="B3855" s="327">
        <v>-40</v>
      </c>
      <c r="C3855" s="327" t="s">
        <v>116</v>
      </c>
      <c r="D3855" s="327" t="s">
        <v>114</v>
      </c>
      <c r="E3855" s="328" t="s">
        <v>3195</v>
      </c>
      <c r="F3855" s="328">
        <v>25.161068499999999</v>
      </c>
      <c r="G3855" s="328">
        <v>7221.1029999999982</v>
      </c>
      <c r="H3855" s="328">
        <v>8501.951149999999</v>
      </c>
      <c r="I3855" s="329">
        <v>9.9888404855634364E-4</v>
      </c>
      <c r="J3855" s="329">
        <v>0.60259160596942529</v>
      </c>
      <c r="K3855" s="329">
        <v>0.88440595373608644</v>
      </c>
    </row>
    <row r="3856" spans="1:11" ht="11.25" x14ac:dyDescent="0.15">
      <c r="A3856" s="326">
        <v>1.1499999999999999</v>
      </c>
      <c r="B3856" s="327">
        <v>-40</v>
      </c>
      <c r="C3856" s="327" t="s">
        <v>116</v>
      </c>
      <c r="D3856" s="327" t="s">
        <v>113</v>
      </c>
      <c r="E3856" s="328" t="s">
        <v>3196</v>
      </c>
      <c r="F3856" s="328">
        <v>14.600434499999999</v>
      </c>
      <c r="G3856" s="328">
        <v>7374.3807499999994</v>
      </c>
      <c r="H3856" s="328">
        <v>8372.9326499999988</v>
      </c>
      <c r="I3856" s="329">
        <v>5.7963123164033012E-4</v>
      </c>
      <c r="J3856" s="329">
        <v>0.61538243384321145</v>
      </c>
      <c r="K3856" s="329">
        <v>0.87098494865984577</v>
      </c>
    </row>
    <row r="3857" spans="1:11" ht="11.25" x14ac:dyDescent="0.15">
      <c r="A3857" s="326">
        <v>1.175</v>
      </c>
      <c r="B3857" s="327">
        <v>-40</v>
      </c>
      <c r="C3857" s="327" t="s">
        <v>116</v>
      </c>
      <c r="D3857" s="327" t="s">
        <v>79</v>
      </c>
      <c r="E3857" s="328" t="s">
        <v>3197</v>
      </c>
      <c r="F3857" s="328">
        <v>205.78785500000001</v>
      </c>
      <c r="G3857" s="328">
        <v>7992.6331749999999</v>
      </c>
      <c r="H3857" s="328">
        <v>9038.0717999999997</v>
      </c>
      <c r="I3857" s="329">
        <v>8.1696930218255956E-3</v>
      </c>
      <c r="J3857" s="329">
        <v>0.66697479053376718</v>
      </c>
      <c r="K3857" s="329">
        <v>0.94017530437283536</v>
      </c>
    </row>
    <row r="3858" spans="1:11" ht="11.25" x14ac:dyDescent="0.15">
      <c r="A3858" s="326">
        <v>1.175</v>
      </c>
      <c r="B3858" s="327">
        <v>-40</v>
      </c>
      <c r="C3858" s="327" t="s">
        <v>116</v>
      </c>
      <c r="D3858" s="327" t="s">
        <v>114</v>
      </c>
      <c r="E3858" s="328" t="s">
        <v>3198</v>
      </c>
      <c r="F3858" s="328">
        <v>28.275035500000005</v>
      </c>
      <c r="G3858" s="328">
        <v>7660.7039000000004</v>
      </c>
      <c r="H3858" s="328">
        <v>8897.2785999999996</v>
      </c>
      <c r="I3858" s="329">
        <v>1.1225072549408762E-3</v>
      </c>
      <c r="J3858" s="329">
        <v>0.63927572643088471</v>
      </c>
      <c r="K3858" s="329">
        <v>0.92552944930631276</v>
      </c>
    </row>
    <row r="3859" spans="1:11" ht="11.25" x14ac:dyDescent="0.15">
      <c r="A3859" s="326">
        <v>1.175</v>
      </c>
      <c r="B3859" s="327">
        <v>-40</v>
      </c>
      <c r="C3859" s="327" t="s">
        <v>116</v>
      </c>
      <c r="D3859" s="327" t="s">
        <v>113</v>
      </c>
      <c r="E3859" s="328" t="s">
        <v>3199</v>
      </c>
      <c r="F3859" s="328">
        <v>16.576477000000001</v>
      </c>
      <c r="G3859" s="328">
        <v>7756.2384500000007</v>
      </c>
      <c r="H3859" s="328">
        <v>8764.6563500000011</v>
      </c>
      <c r="I3859" s="329">
        <v>6.5807930440478371E-4</v>
      </c>
      <c r="J3859" s="329">
        <v>0.64724795974621985</v>
      </c>
      <c r="K3859" s="329">
        <v>0.91173356816932516</v>
      </c>
    </row>
    <row r="3860" spans="1:11" ht="11.25" x14ac:dyDescent="0.15">
      <c r="A3860" s="326">
        <v>1.2</v>
      </c>
      <c r="B3860" s="327">
        <v>-40</v>
      </c>
      <c r="C3860" s="327" t="s">
        <v>116</v>
      </c>
      <c r="D3860" s="327" t="s">
        <v>79</v>
      </c>
      <c r="E3860" s="328" t="s">
        <v>3200</v>
      </c>
      <c r="F3860" s="328">
        <v>226.76244</v>
      </c>
      <c r="G3860" s="328">
        <v>8547.9239999999991</v>
      </c>
      <c r="H3860" s="328">
        <v>9448.3176000000003</v>
      </c>
      <c r="I3860" s="329">
        <v>9.0023754010174466E-3</v>
      </c>
      <c r="J3860" s="329">
        <v>0.71331308400733162</v>
      </c>
      <c r="K3860" s="329">
        <v>0.98285066460649473</v>
      </c>
    </row>
    <row r="3861" spans="1:11" ht="11.25" x14ac:dyDescent="0.15">
      <c r="A3861" s="326">
        <v>1.2</v>
      </c>
      <c r="B3861" s="327">
        <v>-40</v>
      </c>
      <c r="C3861" s="327" t="s">
        <v>116</v>
      </c>
      <c r="D3861" s="327" t="s">
        <v>114</v>
      </c>
      <c r="E3861" s="328" t="s">
        <v>3201</v>
      </c>
      <c r="F3861" s="328">
        <v>31.757315999999999</v>
      </c>
      <c r="G3861" s="328">
        <v>8130.4668000000001</v>
      </c>
      <c r="H3861" s="328">
        <v>9301.5852000000014</v>
      </c>
      <c r="I3861" s="329">
        <v>1.2607523554638846E-3</v>
      </c>
      <c r="J3861" s="329">
        <v>0.67847682636476669</v>
      </c>
      <c r="K3861" s="329">
        <v>0.96758699090660716</v>
      </c>
    </row>
    <row r="3862" spans="1:11" ht="11.25" x14ac:dyDescent="0.15">
      <c r="A3862" s="326">
        <v>1.2</v>
      </c>
      <c r="B3862" s="327">
        <v>-40</v>
      </c>
      <c r="C3862" s="327" t="s">
        <v>116</v>
      </c>
      <c r="D3862" s="327" t="s">
        <v>113</v>
      </c>
      <c r="E3862" s="328" t="s">
        <v>3202</v>
      </c>
      <c r="F3862" s="328">
        <v>18.803507999999997</v>
      </c>
      <c r="G3862" s="328">
        <v>8162.8763999999992</v>
      </c>
      <c r="H3862" s="328">
        <v>9164.6243999999988</v>
      </c>
      <c r="I3862" s="329">
        <v>7.4649151716675284E-4</v>
      </c>
      <c r="J3862" s="329">
        <v>0.68118136511914062</v>
      </c>
      <c r="K3862" s="329">
        <v>0.9533397969611962</v>
      </c>
    </row>
    <row r="3863" spans="1:11" ht="11.25" x14ac:dyDescent="0.15">
      <c r="A3863" s="326">
        <v>1.2250000000000001</v>
      </c>
      <c r="B3863" s="327">
        <v>-40</v>
      </c>
      <c r="C3863" s="327" t="s">
        <v>116</v>
      </c>
      <c r="D3863" s="327" t="s">
        <v>79</v>
      </c>
      <c r="E3863" s="328" t="s">
        <v>3203</v>
      </c>
      <c r="F3863" s="328">
        <v>249.66431000000003</v>
      </c>
      <c r="G3863" s="328">
        <v>9137.1855750000013</v>
      </c>
      <c r="H3863" s="328">
        <v>9867.4203249999991</v>
      </c>
      <c r="I3863" s="329">
        <v>9.9115702003206296E-3</v>
      </c>
      <c r="J3863" s="329">
        <v>0.76248619216204494</v>
      </c>
      <c r="K3863" s="329">
        <v>1.0264473565513805</v>
      </c>
    </row>
    <row r="3864" spans="1:11" ht="11.25" x14ac:dyDescent="0.15">
      <c r="A3864" s="326">
        <v>1.2250000000000001</v>
      </c>
      <c r="B3864" s="327">
        <v>-40</v>
      </c>
      <c r="C3864" s="327" t="s">
        <v>116</v>
      </c>
      <c r="D3864" s="327" t="s">
        <v>114</v>
      </c>
      <c r="E3864" s="328" t="s">
        <v>3204</v>
      </c>
      <c r="F3864" s="328">
        <v>35.648957750000008</v>
      </c>
      <c r="G3864" s="328">
        <v>8631.9429</v>
      </c>
      <c r="H3864" s="328">
        <v>9715.1381250000013</v>
      </c>
      <c r="I3864" s="329">
        <v>1.4152489288813013E-3</v>
      </c>
      <c r="J3864" s="329">
        <v>0.72032435138335227</v>
      </c>
      <c r="K3864" s="329">
        <v>1.0106063711173454</v>
      </c>
    </row>
    <row r="3865" spans="1:11" ht="11.25" x14ac:dyDescent="0.15">
      <c r="A3865" s="326">
        <v>1.2250000000000001</v>
      </c>
      <c r="B3865" s="327">
        <v>-40</v>
      </c>
      <c r="C3865" s="327" t="s">
        <v>116</v>
      </c>
      <c r="D3865" s="327" t="s">
        <v>113</v>
      </c>
      <c r="E3865" s="328" t="s">
        <v>3205</v>
      </c>
      <c r="F3865" s="328">
        <v>21.31177825</v>
      </c>
      <c r="G3865" s="328">
        <v>8594.0573249999998</v>
      </c>
      <c r="H3865" s="328">
        <v>9573.5501750000003</v>
      </c>
      <c r="I3865" s="329">
        <v>8.4606881223247849E-4</v>
      </c>
      <c r="J3865" s="329">
        <v>0.71716284967338839</v>
      </c>
      <c r="K3865" s="329">
        <v>0.99587784307148752</v>
      </c>
    </row>
    <row r="3866" spans="1:11" ht="11.25" x14ac:dyDescent="0.15">
      <c r="A3866" s="326">
        <v>1.25</v>
      </c>
      <c r="B3866" s="327">
        <v>-40</v>
      </c>
      <c r="C3866" s="327" t="s">
        <v>116</v>
      </c>
      <c r="D3866" s="327" t="s">
        <v>79</v>
      </c>
      <c r="E3866" s="328" t="s">
        <v>3206</v>
      </c>
      <c r="F3866" s="328">
        <v>274.65837499999998</v>
      </c>
      <c r="G3866" s="328">
        <v>9761.0037500000017</v>
      </c>
      <c r="H3866" s="328">
        <v>10296.19375</v>
      </c>
      <c r="I3866" s="329">
        <v>1.0903824278762502E-2</v>
      </c>
      <c r="J3866" s="329">
        <v>0.81454300341458707</v>
      </c>
      <c r="K3866" s="329">
        <v>1.0710500322411618</v>
      </c>
    </row>
    <row r="3867" spans="1:11" ht="11.25" x14ac:dyDescent="0.15">
      <c r="A3867" s="326">
        <v>1.25</v>
      </c>
      <c r="B3867" s="327">
        <v>-40</v>
      </c>
      <c r="C3867" s="327" t="s">
        <v>116</v>
      </c>
      <c r="D3867" s="327" t="s">
        <v>114</v>
      </c>
      <c r="E3867" s="328" t="s">
        <v>3207</v>
      </c>
      <c r="F3867" s="328">
        <v>39.999387499999997</v>
      </c>
      <c r="G3867" s="328">
        <v>9166.4937499999996</v>
      </c>
      <c r="H3867" s="328">
        <v>10138.443750000002</v>
      </c>
      <c r="I3867" s="329">
        <v>1.5879591967953985E-3</v>
      </c>
      <c r="J3867" s="329">
        <v>0.76493192105433216</v>
      </c>
      <c r="K3867" s="329">
        <v>1.0546402650312119</v>
      </c>
    </row>
    <row r="3868" spans="1:11" ht="11.25" x14ac:dyDescent="0.15">
      <c r="A3868" s="326">
        <v>1.25</v>
      </c>
      <c r="B3868" s="327">
        <v>-40</v>
      </c>
      <c r="C3868" s="327" t="s">
        <v>116</v>
      </c>
      <c r="D3868" s="327" t="s">
        <v>113</v>
      </c>
      <c r="E3868" s="328" t="s">
        <v>3208</v>
      </c>
      <c r="F3868" s="328">
        <v>24.1349625</v>
      </c>
      <c r="G3868" s="328">
        <v>9053.1262500000012</v>
      </c>
      <c r="H3868" s="328">
        <v>9991.46875</v>
      </c>
      <c r="I3868" s="329">
        <v>9.5814806329689586E-4</v>
      </c>
      <c r="J3868" s="329">
        <v>0.75547155137261757</v>
      </c>
      <c r="K3868" s="329">
        <v>1.0393513551378208</v>
      </c>
    </row>
    <row r="3869" spans="1:11" ht="11.25" x14ac:dyDescent="0.15">
      <c r="A3869" s="326">
        <v>1.2749999999999999</v>
      </c>
      <c r="B3869" s="327">
        <v>-40</v>
      </c>
      <c r="C3869" s="327" t="s">
        <v>116</v>
      </c>
      <c r="D3869" s="327" t="s">
        <v>79</v>
      </c>
      <c r="E3869" s="328" t="s">
        <v>3209</v>
      </c>
      <c r="F3869" s="328">
        <v>301.92369749999995</v>
      </c>
      <c r="G3869" s="328">
        <v>10419.362475</v>
      </c>
      <c r="H3869" s="328">
        <v>10734.297674999998</v>
      </c>
      <c r="I3869" s="329">
        <v>1.198624634378706E-2</v>
      </c>
      <c r="J3869" s="329">
        <v>0.86948217841343867</v>
      </c>
      <c r="K3869" s="329">
        <v>1.1166233027515606</v>
      </c>
    </row>
    <row r="3870" spans="1:11" ht="11.25" x14ac:dyDescent="0.15">
      <c r="A3870" s="326">
        <v>1.2749999999999999</v>
      </c>
      <c r="B3870" s="327">
        <v>-40</v>
      </c>
      <c r="C3870" s="327" t="s">
        <v>116</v>
      </c>
      <c r="D3870" s="327" t="s">
        <v>114</v>
      </c>
      <c r="E3870" s="328" t="s">
        <v>3210</v>
      </c>
      <c r="F3870" s="328">
        <v>44.85772575</v>
      </c>
      <c r="G3870" s="328">
        <v>9736.0810499999989</v>
      </c>
      <c r="H3870" s="328">
        <v>10569.892799999998</v>
      </c>
      <c r="I3870" s="329">
        <v>1.780833222809681E-3</v>
      </c>
      <c r="J3870" s="329">
        <v>0.81246323667838405</v>
      </c>
      <c r="K3870" s="329">
        <v>1.0995212696172916</v>
      </c>
    </row>
    <row r="3871" spans="1:11" ht="11.25" x14ac:dyDescent="0.15">
      <c r="A3871" s="326">
        <v>1.2749999999999999</v>
      </c>
      <c r="B3871" s="327">
        <v>-40</v>
      </c>
      <c r="C3871" s="327" t="s">
        <v>116</v>
      </c>
      <c r="D3871" s="327" t="s">
        <v>113</v>
      </c>
      <c r="E3871" s="328" t="s">
        <v>3211</v>
      </c>
      <c r="F3871" s="328">
        <v>27.310550999999997</v>
      </c>
      <c r="G3871" s="328">
        <v>9540.6260999999995</v>
      </c>
      <c r="H3871" s="328">
        <v>10418.719874999999</v>
      </c>
      <c r="I3871" s="329">
        <v>1.0842176178322673E-3</v>
      </c>
      <c r="J3871" s="329">
        <v>0.79615277659836947</v>
      </c>
      <c r="K3871" s="329">
        <v>1.0837956752737274</v>
      </c>
    </row>
    <row r="3872" spans="1:11" ht="11.25" x14ac:dyDescent="0.15">
      <c r="A3872" s="326">
        <v>1.3</v>
      </c>
      <c r="B3872" s="327">
        <v>-40</v>
      </c>
      <c r="C3872" s="327" t="s">
        <v>116</v>
      </c>
      <c r="D3872" s="327" t="s">
        <v>79</v>
      </c>
      <c r="E3872" s="328" t="s">
        <v>3212</v>
      </c>
      <c r="F3872" s="328">
        <v>331.65483</v>
      </c>
      <c r="G3872" s="328">
        <v>11114.806300000002</v>
      </c>
      <c r="H3872" s="328">
        <v>11181.301300000001</v>
      </c>
      <c r="I3872" s="329">
        <v>1.3166560049453619E-2</v>
      </c>
      <c r="J3872" s="329">
        <v>0.92751605652988034</v>
      </c>
      <c r="K3872" s="329">
        <v>1.1631223545946914</v>
      </c>
    </row>
    <row r="3873" spans="1:11" ht="11.25" x14ac:dyDescent="0.15">
      <c r="A3873" s="326">
        <v>1.3</v>
      </c>
      <c r="B3873" s="327">
        <v>-40</v>
      </c>
      <c r="C3873" s="327" t="s">
        <v>116</v>
      </c>
      <c r="D3873" s="327" t="s">
        <v>114</v>
      </c>
      <c r="E3873" s="328" t="s">
        <v>3213</v>
      </c>
      <c r="F3873" s="328">
        <v>50.282544000000001</v>
      </c>
      <c r="G3873" s="328">
        <v>10337.852200000001</v>
      </c>
      <c r="H3873" s="328">
        <v>11011.2197</v>
      </c>
      <c r="I3873" s="329">
        <v>1.9961962713321373E-3</v>
      </c>
      <c r="J3873" s="329">
        <v>0.86268025251440927</v>
      </c>
      <c r="K3873" s="329">
        <v>1.1454298064951931</v>
      </c>
    </row>
    <row r="3874" spans="1:11" ht="11.25" x14ac:dyDescent="0.15">
      <c r="A3874" s="326">
        <v>1.3</v>
      </c>
      <c r="B3874" s="327">
        <v>-40</v>
      </c>
      <c r="C3874" s="327" t="s">
        <v>116</v>
      </c>
      <c r="D3874" s="327" t="s">
        <v>113</v>
      </c>
      <c r="E3874" s="328" t="s">
        <v>3214</v>
      </c>
      <c r="F3874" s="328">
        <v>30.880382000000001</v>
      </c>
      <c r="G3874" s="328">
        <v>10059.385699999999</v>
      </c>
      <c r="H3874" s="328">
        <v>10854.832300000002</v>
      </c>
      <c r="I3874" s="329">
        <v>1.2259384371186956E-3</v>
      </c>
      <c r="J3874" s="329">
        <v>0.83944258709907227</v>
      </c>
      <c r="K3874" s="329">
        <v>1.1291617822253399</v>
      </c>
    </row>
    <row r="3875" spans="1:11" ht="11.25" x14ac:dyDescent="0.15">
      <c r="A3875" s="326">
        <v>1.325</v>
      </c>
      <c r="B3875" s="327">
        <v>-40</v>
      </c>
      <c r="C3875" s="327" t="s">
        <v>116</v>
      </c>
      <c r="D3875" s="327" t="s">
        <v>79</v>
      </c>
      <c r="E3875" s="328" t="s">
        <v>3215</v>
      </c>
      <c r="F3875" s="328">
        <v>364.06190249999997</v>
      </c>
      <c r="G3875" s="328">
        <v>11845.448325000001</v>
      </c>
      <c r="H3875" s="328">
        <v>11637.977175</v>
      </c>
      <c r="I3875" s="329">
        <v>1.4453107470150753E-2</v>
      </c>
      <c r="J3875" s="329">
        <v>0.98848717842545542</v>
      </c>
      <c r="K3875" s="329">
        <v>1.2106275514197327</v>
      </c>
    </row>
    <row r="3876" spans="1:11" ht="11.25" x14ac:dyDescent="0.15">
      <c r="A3876" s="326">
        <v>1.325</v>
      </c>
      <c r="B3876" s="327">
        <v>-40</v>
      </c>
      <c r="C3876" s="327" t="s">
        <v>116</v>
      </c>
      <c r="D3876" s="327" t="s">
        <v>114</v>
      </c>
      <c r="E3876" s="328" t="s">
        <v>3216</v>
      </c>
      <c r="F3876" s="328">
        <v>56.337714749999996</v>
      </c>
      <c r="G3876" s="328">
        <v>10977.82375</v>
      </c>
      <c r="H3876" s="328">
        <v>11460.704099999999</v>
      </c>
      <c r="I3876" s="329">
        <v>2.2365840542857883E-3</v>
      </c>
      <c r="J3876" s="329">
        <v>0.91608504179511085</v>
      </c>
      <c r="K3876" s="329">
        <v>1.1921869181814313</v>
      </c>
    </row>
    <row r="3877" spans="1:11" ht="11.25" x14ac:dyDescent="0.15">
      <c r="A3877" s="326">
        <v>1.325</v>
      </c>
      <c r="B3877" s="327">
        <v>-40</v>
      </c>
      <c r="C3877" s="327" t="s">
        <v>116</v>
      </c>
      <c r="D3877" s="327" t="s">
        <v>113</v>
      </c>
      <c r="E3877" s="328" t="s">
        <v>3217</v>
      </c>
      <c r="F3877" s="328">
        <v>34.891026250000003</v>
      </c>
      <c r="G3877" s="328">
        <v>10608.943749999999</v>
      </c>
      <c r="H3877" s="328">
        <v>11299.899450000001</v>
      </c>
      <c r="I3877" s="329">
        <v>1.3851593607356405E-3</v>
      </c>
      <c r="J3877" s="329">
        <v>0.88530248799273437</v>
      </c>
      <c r="K3877" s="329">
        <v>1.1754593944237295</v>
      </c>
    </row>
    <row r="3878" spans="1:11" ht="11.25" x14ac:dyDescent="0.15">
      <c r="A3878" s="326">
        <v>1.35</v>
      </c>
      <c r="B3878" s="327">
        <v>-40</v>
      </c>
      <c r="C3878" s="327" t="s">
        <v>116</v>
      </c>
      <c r="D3878" s="327" t="s">
        <v>79</v>
      </c>
      <c r="E3878" s="328" t="s">
        <v>3218</v>
      </c>
      <c r="F3878" s="328">
        <v>399.37455000000006</v>
      </c>
      <c r="G3878" s="328">
        <v>12612.554550000001</v>
      </c>
      <c r="H3878" s="328">
        <v>12104.563050000002</v>
      </c>
      <c r="I3878" s="329">
        <v>1.5855005020727477E-2</v>
      </c>
      <c r="J3878" s="329">
        <v>1.0525011901452568</v>
      </c>
      <c r="K3878" s="329">
        <v>1.2591636249043661</v>
      </c>
    </row>
    <row r="3879" spans="1:11" ht="11.25" x14ac:dyDescent="0.15">
      <c r="A3879" s="326">
        <v>1.35</v>
      </c>
      <c r="B3879" s="327">
        <v>-40</v>
      </c>
      <c r="C3879" s="327" t="s">
        <v>116</v>
      </c>
      <c r="D3879" s="327" t="s">
        <v>114</v>
      </c>
      <c r="E3879" s="328" t="s">
        <v>3219</v>
      </c>
      <c r="F3879" s="328">
        <v>63.094220999999997</v>
      </c>
      <c r="G3879" s="328">
        <v>11651.369400000001</v>
      </c>
      <c r="H3879" s="328">
        <v>11920.717350000001</v>
      </c>
      <c r="I3879" s="329">
        <v>2.5048145675128494E-3</v>
      </c>
      <c r="J3879" s="329">
        <v>0.97229154583295951</v>
      </c>
      <c r="K3879" s="329">
        <v>1.2400392817059487</v>
      </c>
    </row>
    <row r="3880" spans="1:11" ht="11.25" x14ac:dyDescent="0.15">
      <c r="A3880" s="326">
        <v>1.35</v>
      </c>
      <c r="B3880" s="327">
        <v>-40</v>
      </c>
      <c r="C3880" s="327" t="s">
        <v>116</v>
      </c>
      <c r="D3880" s="327" t="s">
        <v>113</v>
      </c>
      <c r="E3880" s="328" t="s">
        <v>3220</v>
      </c>
      <c r="F3880" s="328">
        <v>39.394349999999996</v>
      </c>
      <c r="G3880" s="328">
        <v>11191.693050000002</v>
      </c>
      <c r="H3880" s="328">
        <v>11754.412200000001</v>
      </c>
      <c r="I3880" s="329">
        <v>1.5639394574298621E-3</v>
      </c>
      <c r="J3880" s="329">
        <v>0.93393215531150275</v>
      </c>
      <c r="K3880" s="329">
        <v>1.2227395745914267</v>
      </c>
    </row>
    <row r="3881" spans="1:11" ht="11.25" x14ac:dyDescent="0.15">
      <c r="A3881" s="326">
        <v>1.375</v>
      </c>
      <c r="B3881" s="327">
        <v>-40</v>
      </c>
      <c r="C3881" s="327" t="s">
        <v>116</v>
      </c>
      <c r="D3881" s="327" t="s">
        <v>79</v>
      </c>
      <c r="E3881" s="328" t="s">
        <v>3221</v>
      </c>
      <c r="F3881" s="328">
        <v>437.84138750000005</v>
      </c>
      <c r="G3881" s="328">
        <v>13416.224249999999</v>
      </c>
      <c r="H3881" s="328">
        <v>12580.572124999999</v>
      </c>
      <c r="I3881" s="329">
        <v>1.7382122614209603E-2</v>
      </c>
      <c r="J3881" s="329">
        <v>1.1195663760582628</v>
      </c>
      <c r="K3881" s="329">
        <v>1.3086799362233748</v>
      </c>
    </row>
    <row r="3882" spans="1:11" ht="11.25" x14ac:dyDescent="0.15">
      <c r="A3882" s="326">
        <v>1.375</v>
      </c>
      <c r="B3882" s="327">
        <v>-40</v>
      </c>
      <c r="C3882" s="327" t="s">
        <v>116</v>
      </c>
      <c r="D3882" s="327" t="s">
        <v>114</v>
      </c>
      <c r="E3882" s="328" t="s">
        <v>3222</v>
      </c>
      <c r="F3882" s="328">
        <v>70.631027500000002</v>
      </c>
      <c r="G3882" s="328">
        <v>12360.690375000002</v>
      </c>
      <c r="H3882" s="328">
        <v>12389.387999999999</v>
      </c>
      <c r="I3882" s="329">
        <v>2.8040226790406156E-3</v>
      </c>
      <c r="J3882" s="329">
        <v>1.0314834539767777</v>
      </c>
      <c r="K3882" s="329">
        <v>1.2887922215768581</v>
      </c>
    </row>
    <row r="3883" spans="1:11" ht="11.25" x14ac:dyDescent="0.15">
      <c r="A3883" s="326">
        <v>1.375</v>
      </c>
      <c r="B3883" s="327">
        <v>-40</v>
      </c>
      <c r="C3883" s="327" t="s">
        <v>116</v>
      </c>
      <c r="D3883" s="327" t="s">
        <v>113</v>
      </c>
      <c r="E3883" s="328" t="s">
        <v>3223</v>
      </c>
      <c r="F3883" s="328">
        <v>44.448112500000008</v>
      </c>
      <c r="G3883" s="328">
        <v>11808.127375</v>
      </c>
      <c r="H3883" s="328">
        <v>12218.020375</v>
      </c>
      <c r="I3883" s="329">
        <v>1.764571745619143E-3</v>
      </c>
      <c r="J3883" s="329">
        <v>0.98537279393366717</v>
      </c>
      <c r="K3883" s="329">
        <v>1.270965896165942</v>
      </c>
    </row>
    <row r="3884" spans="1:11" ht="11.25" x14ac:dyDescent="0.15">
      <c r="A3884" s="326">
        <v>1.4</v>
      </c>
      <c r="B3884" s="327">
        <v>-40</v>
      </c>
      <c r="C3884" s="327" t="s">
        <v>116</v>
      </c>
      <c r="D3884" s="327" t="s">
        <v>79</v>
      </c>
      <c r="E3884" s="328" t="s">
        <v>3224</v>
      </c>
      <c r="F3884" s="328">
        <v>479.73309999999992</v>
      </c>
      <c r="G3884" s="328">
        <v>14255.359999999999</v>
      </c>
      <c r="H3884" s="328">
        <v>13066.369399999998</v>
      </c>
      <c r="I3884" s="329">
        <v>1.9045206333526146E-2</v>
      </c>
      <c r="J3884" s="329">
        <v>1.1895911574827707</v>
      </c>
      <c r="K3884" s="329">
        <v>1.3592144540932836</v>
      </c>
    </row>
    <row r="3885" spans="1:11" ht="11.25" x14ac:dyDescent="0.15">
      <c r="A3885" s="326">
        <v>1.4</v>
      </c>
      <c r="B3885" s="327">
        <v>-40</v>
      </c>
      <c r="C3885" s="327" t="s">
        <v>116</v>
      </c>
      <c r="D3885" s="327" t="s">
        <v>114</v>
      </c>
      <c r="E3885" s="328" t="s">
        <v>3225</v>
      </c>
      <c r="F3885" s="328">
        <v>79.035235999999998</v>
      </c>
      <c r="G3885" s="328">
        <v>13105.0808</v>
      </c>
      <c r="H3885" s="328">
        <v>12867.7248</v>
      </c>
      <c r="I3885" s="329">
        <v>3.1376662924424725E-3</v>
      </c>
      <c r="J3885" s="329">
        <v>1.0936018618805303</v>
      </c>
      <c r="K3885" s="329">
        <v>1.3385506718840054</v>
      </c>
    </row>
    <row r="3886" spans="1:11" ht="11.25" x14ac:dyDescent="0.15">
      <c r="A3886" s="326">
        <v>1.4</v>
      </c>
      <c r="B3886" s="327">
        <v>-40</v>
      </c>
      <c r="C3886" s="327" t="s">
        <v>116</v>
      </c>
      <c r="D3886" s="327" t="s">
        <v>113</v>
      </c>
      <c r="E3886" s="328" t="s">
        <v>3226</v>
      </c>
      <c r="F3886" s="328">
        <v>50.116597999999996</v>
      </c>
      <c r="G3886" s="328">
        <v>12458.420800000002</v>
      </c>
      <c r="H3886" s="328">
        <v>12690.314</v>
      </c>
      <c r="I3886" s="329">
        <v>1.9896082835317887E-3</v>
      </c>
      <c r="J3886" s="329">
        <v>1.0396389301904287</v>
      </c>
      <c r="K3886" s="329">
        <v>1.3200957119567089</v>
      </c>
    </row>
    <row r="3887" spans="1:11" ht="11.25" x14ac:dyDescent="0.15">
      <c r="A3887" s="326">
        <v>0.9</v>
      </c>
      <c r="B3887" s="327">
        <v>-20</v>
      </c>
      <c r="C3887" s="327" t="s">
        <v>116</v>
      </c>
      <c r="D3887" s="327" t="s">
        <v>79</v>
      </c>
      <c r="E3887" s="328" t="s">
        <v>3227</v>
      </c>
      <c r="F3887" s="328">
        <v>155.87748000000002</v>
      </c>
      <c r="G3887" s="328">
        <v>3947.7689999999998</v>
      </c>
      <c r="H3887" s="328">
        <v>5152.1850000000004</v>
      </c>
      <c r="I3887" s="329">
        <v>6.1882717063927754E-3</v>
      </c>
      <c r="J3887" s="329">
        <v>0.32943616255111063</v>
      </c>
      <c r="K3887" s="329">
        <v>0.53595027874863277</v>
      </c>
    </row>
    <row r="3888" spans="1:11" ht="11.25" x14ac:dyDescent="0.15">
      <c r="A3888" s="326">
        <v>0.9</v>
      </c>
      <c r="B3888" s="327">
        <v>-20</v>
      </c>
      <c r="C3888" s="327" t="s">
        <v>116</v>
      </c>
      <c r="D3888" s="327" t="s">
        <v>114</v>
      </c>
      <c r="E3888" s="328" t="s">
        <v>3228</v>
      </c>
      <c r="F3888" s="328">
        <v>15.662142000000001</v>
      </c>
      <c r="G3888" s="328">
        <v>4142.7233999999999</v>
      </c>
      <c r="H3888" s="328">
        <v>5059.6452000000008</v>
      </c>
      <c r="I3888" s="329">
        <v>6.2178058177554544E-4</v>
      </c>
      <c r="J3888" s="329">
        <v>0.34570485238794108</v>
      </c>
      <c r="K3888" s="329">
        <v>0.52632392961611085</v>
      </c>
    </row>
    <row r="3889" spans="1:11" ht="11.25" x14ac:dyDescent="0.15">
      <c r="A3889" s="326">
        <v>0.9</v>
      </c>
      <c r="B3889" s="327">
        <v>-20</v>
      </c>
      <c r="C3889" s="327" t="s">
        <v>116</v>
      </c>
      <c r="D3889" s="327" t="s">
        <v>113</v>
      </c>
      <c r="E3889" s="328" t="s">
        <v>3229</v>
      </c>
      <c r="F3889" s="328">
        <v>5.8886181000000004</v>
      </c>
      <c r="G3889" s="328">
        <v>4474.2357000000002</v>
      </c>
      <c r="H3889" s="328">
        <v>4969.2474000000002</v>
      </c>
      <c r="I3889" s="329">
        <v>2.3377571139835196E-4</v>
      </c>
      <c r="J3889" s="329">
        <v>0.37336912047214071</v>
      </c>
      <c r="K3889" s="329">
        <v>0.51692039963644909</v>
      </c>
    </row>
    <row r="3890" spans="1:11" ht="11.25" x14ac:dyDescent="0.15">
      <c r="A3890" s="326">
        <v>0.92500000000000004</v>
      </c>
      <c r="B3890" s="327">
        <v>-20</v>
      </c>
      <c r="C3890" s="327" t="s">
        <v>116</v>
      </c>
      <c r="D3890" s="327" t="s">
        <v>79</v>
      </c>
      <c r="E3890" s="328" t="s">
        <v>3230</v>
      </c>
      <c r="F3890" s="328">
        <v>172.22602750000001</v>
      </c>
      <c r="G3890" s="328">
        <v>4218.9989999999998</v>
      </c>
      <c r="H3890" s="328">
        <v>5461.8918999999996</v>
      </c>
      <c r="I3890" s="329">
        <v>6.8373023035955801E-3</v>
      </c>
      <c r="J3890" s="329">
        <v>0.35206995150095488</v>
      </c>
      <c r="K3890" s="329">
        <v>0.56816719242416547</v>
      </c>
    </row>
    <row r="3891" spans="1:11" ht="11.25" x14ac:dyDescent="0.15">
      <c r="A3891" s="326">
        <v>0.92500000000000004</v>
      </c>
      <c r="B3891" s="327">
        <v>-20</v>
      </c>
      <c r="C3891" s="327" t="s">
        <v>116</v>
      </c>
      <c r="D3891" s="327" t="s">
        <v>114</v>
      </c>
      <c r="E3891" s="328" t="s">
        <v>3231</v>
      </c>
      <c r="F3891" s="328">
        <v>17.389223000000001</v>
      </c>
      <c r="G3891" s="328">
        <v>4387.9724500000002</v>
      </c>
      <c r="H3891" s="328">
        <v>5365.7511000000004</v>
      </c>
      <c r="I3891" s="329">
        <v>6.9034498560699398E-4</v>
      </c>
      <c r="J3891" s="329">
        <v>0.36617056502242035</v>
      </c>
      <c r="K3891" s="329">
        <v>0.55816625329656899</v>
      </c>
    </row>
    <row r="3892" spans="1:11" ht="11.25" x14ac:dyDescent="0.15">
      <c r="A3892" s="326">
        <v>0.92500000000000004</v>
      </c>
      <c r="B3892" s="327">
        <v>-20</v>
      </c>
      <c r="C3892" s="327" t="s">
        <v>116</v>
      </c>
      <c r="D3892" s="327" t="s">
        <v>113</v>
      </c>
      <c r="E3892" s="328" t="s">
        <v>3232</v>
      </c>
      <c r="F3892" s="328">
        <v>6.6399811499999997</v>
      </c>
      <c r="G3892" s="328">
        <v>4717.1290750000007</v>
      </c>
      <c r="H3892" s="328">
        <v>5271.7794250000006</v>
      </c>
      <c r="I3892" s="329">
        <v>2.6360451478639734E-4</v>
      </c>
      <c r="J3892" s="329">
        <v>0.39363825510719358</v>
      </c>
      <c r="K3892" s="329">
        <v>0.54839095496960166</v>
      </c>
    </row>
    <row r="3893" spans="1:11" ht="11.25" x14ac:dyDescent="0.15">
      <c r="A3893" s="326">
        <v>0.95</v>
      </c>
      <c r="B3893" s="327">
        <v>-20</v>
      </c>
      <c r="C3893" s="327" t="s">
        <v>116</v>
      </c>
      <c r="D3893" s="327" t="s">
        <v>79</v>
      </c>
      <c r="E3893" s="328" t="s">
        <v>3233</v>
      </c>
      <c r="F3893" s="328">
        <v>190.03780999999998</v>
      </c>
      <c r="G3893" s="328">
        <v>4510.4936000000007</v>
      </c>
      <c r="H3893" s="328">
        <v>5780.8212500000009</v>
      </c>
      <c r="I3893" s="329">
        <v>7.5444227271819235E-3</v>
      </c>
      <c r="J3893" s="329">
        <v>0.37639479483104116</v>
      </c>
      <c r="K3893" s="329">
        <v>0.60134346113998627</v>
      </c>
    </row>
    <row r="3894" spans="1:11" ht="11.25" x14ac:dyDescent="0.15">
      <c r="A3894" s="326">
        <v>0.95</v>
      </c>
      <c r="B3894" s="327">
        <v>-20</v>
      </c>
      <c r="C3894" s="327" t="s">
        <v>116</v>
      </c>
      <c r="D3894" s="327" t="s">
        <v>114</v>
      </c>
      <c r="E3894" s="328" t="s">
        <v>3234</v>
      </c>
      <c r="F3894" s="328">
        <v>19.294908499999998</v>
      </c>
      <c r="G3894" s="328">
        <v>4646.5478499999999</v>
      </c>
      <c r="H3894" s="328">
        <v>5680.7092999999995</v>
      </c>
      <c r="I3894" s="329">
        <v>7.6599991447120802E-4</v>
      </c>
      <c r="J3894" s="329">
        <v>0.38774834414427839</v>
      </c>
      <c r="K3894" s="329">
        <v>0.59092942757780442</v>
      </c>
    </row>
    <row r="3895" spans="1:11" ht="11.25" x14ac:dyDescent="0.15">
      <c r="A3895" s="326">
        <v>0.95</v>
      </c>
      <c r="B3895" s="327">
        <v>-20</v>
      </c>
      <c r="C3895" s="327" t="s">
        <v>116</v>
      </c>
      <c r="D3895" s="327" t="s">
        <v>113</v>
      </c>
      <c r="E3895" s="328" t="s">
        <v>3235</v>
      </c>
      <c r="F3895" s="328">
        <v>7.4833399999999992</v>
      </c>
      <c r="G3895" s="328">
        <v>4969.8309499999996</v>
      </c>
      <c r="H3895" s="328">
        <v>5583.2164999999995</v>
      </c>
      <c r="I3895" s="329">
        <v>2.9708551351559766E-4</v>
      </c>
      <c r="J3895" s="329">
        <v>0.4147258962456366</v>
      </c>
      <c r="K3895" s="329">
        <v>0.58078784816324835</v>
      </c>
    </row>
    <row r="3896" spans="1:11" ht="11.25" x14ac:dyDescent="0.15">
      <c r="A3896" s="326">
        <v>0.97499999999999998</v>
      </c>
      <c r="B3896" s="327">
        <v>-20</v>
      </c>
      <c r="C3896" s="327" t="s">
        <v>116</v>
      </c>
      <c r="D3896" s="327" t="s">
        <v>79</v>
      </c>
      <c r="E3896" s="328" t="s">
        <v>3236</v>
      </c>
      <c r="F3896" s="328">
        <v>209.42453999999998</v>
      </c>
      <c r="G3896" s="328">
        <v>4824.1927499999993</v>
      </c>
      <c r="H3896" s="328">
        <v>6108.4413000000004</v>
      </c>
      <c r="I3896" s="329">
        <v>8.3140679173561299E-3</v>
      </c>
      <c r="J3896" s="329">
        <v>0.40257257883297864</v>
      </c>
      <c r="K3896" s="329">
        <v>0.6354237701974329</v>
      </c>
    </row>
    <row r="3897" spans="1:11" ht="11.25" x14ac:dyDescent="0.15">
      <c r="A3897" s="326">
        <v>0.97499999999999998</v>
      </c>
      <c r="B3897" s="327">
        <v>-20</v>
      </c>
      <c r="C3897" s="327" t="s">
        <v>116</v>
      </c>
      <c r="D3897" s="327" t="s">
        <v>114</v>
      </c>
      <c r="E3897" s="328" t="s">
        <v>3237</v>
      </c>
      <c r="F3897" s="328">
        <v>21.397340250000003</v>
      </c>
      <c r="G3897" s="328">
        <v>4920.7460249999995</v>
      </c>
      <c r="H3897" s="328">
        <v>6004.5755249999993</v>
      </c>
      <c r="I3897" s="329">
        <v>8.4946558836551829E-4</v>
      </c>
      <c r="J3897" s="329">
        <v>0.41062982341789284</v>
      </c>
      <c r="K3897" s="329">
        <v>0.62461924919057987</v>
      </c>
    </row>
    <row r="3898" spans="1:11" ht="11.25" x14ac:dyDescent="0.15">
      <c r="A3898" s="326">
        <v>0.97499999999999998</v>
      </c>
      <c r="B3898" s="327">
        <v>-20</v>
      </c>
      <c r="C3898" s="327" t="s">
        <v>116</v>
      </c>
      <c r="D3898" s="327" t="s">
        <v>113</v>
      </c>
      <c r="E3898" s="328" t="s">
        <v>3238</v>
      </c>
      <c r="F3898" s="328">
        <v>8.4295857749999996</v>
      </c>
      <c r="G3898" s="328">
        <v>5233.8507</v>
      </c>
      <c r="H3898" s="328">
        <v>5903.4153749999996</v>
      </c>
      <c r="I3898" s="329">
        <v>3.3465108075934706E-4</v>
      </c>
      <c r="J3898" s="329">
        <v>0.43675799925817449</v>
      </c>
      <c r="K3898" s="329">
        <v>0.6140961777964522</v>
      </c>
    </row>
    <row r="3899" spans="1:11" ht="11.25" x14ac:dyDescent="0.15">
      <c r="A3899" s="326">
        <v>1</v>
      </c>
      <c r="B3899" s="327">
        <v>-20</v>
      </c>
      <c r="C3899" s="327" t="s">
        <v>116</v>
      </c>
      <c r="D3899" s="327" t="s">
        <v>79</v>
      </c>
      <c r="E3899" s="328" t="s">
        <v>3239</v>
      </c>
      <c r="F3899" s="328">
        <v>230.5102</v>
      </c>
      <c r="G3899" s="328">
        <v>5161.8789999999999</v>
      </c>
      <c r="H3899" s="328">
        <v>6445.2359999999999</v>
      </c>
      <c r="I3899" s="329">
        <v>9.1511599282650697E-3</v>
      </c>
      <c r="J3899" s="329">
        <v>0.43075205497412955</v>
      </c>
      <c r="K3899" s="329">
        <v>0.67045846195366099</v>
      </c>
    </row>
    <row r="3900" spans="1:11" ht="11.25" x14ac:dyDescent="0.15">
      <c r="A3900" s="326">
        <v>1</v>
      </c>
      <c r="B3900" s="327">
        <v>-20</v>
      </c>
      <c r="C3900" s="327" t="s">
        <v>116</v>
      </c>
      <c r="D3900" s="327" t="s">
        <v>114</v>
      </c>
      <c r="E3900" s="328" t="s">
        <v>3240</v>
      </c>
      <c r="F3900" s="328">
        <v>23.716670000000001</v>
      </c>
      <c r="G3900" s="328">
        <v>5212.8999999999996</v>
      </c>
      <c r="H3900" s="328">
        <v>6337.2790000000005</v>
      </c>
      <c r="I3900" s="329">
        <v>9.4154202345877243E-4</v>
      </c>
      <c r="J3900" s="329">
        <v>0.43500969072979817</v>
      </c>
      <c r="K3900" s="329">
        <v>0.6592283558447255</v>
      </c>
    </row>
    <row r="3901" spans="1:11" ht="11.25" x14ac:dyDescent="0.15">
      <c r="A3901" s="326">
        <v>1</v>
      </c>
      <c r="B3901" s="327">
        <v>-20</v>
      </c>
      <c r="C3901" s="327" t="s">
        <v>116</v>
      </c>
      <c r="D3901" s="327" t="s">
        <v>113</v>
      </c>
      <c r="E3901" s="328" t="s">
        <v>3241</v>
      </c>
      <c r="F3901" s="328">
        <v>9.4908830000000002</v>
      </c>
      <c r="G3901" s="328">
        <v>5509.8450000000003</v>
      </c>
      <c r="H3901" s="328">
        <v>6232.4719999999998</v>
      </c>
      <c r="I3901" s="329">
        <v>3.7678414314616952E-4</v>
      </c>
      <c r="J3901" s="329">
        <v>0.4597893628151557</v>
      </c>
      <c r="K3901" s="329">
        <v>0.64832592496058439</v>
      </c>
    </row>
    <row r="3902" spans="1:11" ht="11.25" x14ac:dyDescent="0.15">
      <c r="A3902" s="326">
        <v>1.0249999999999999</v>
      </c>
      <c r="B3902" s="327">
        <v>-20</v>
      </c>
      <c r="C3902" s="327" t="s">
        <v>116</v>
      </c>
      <c r="D3902" s="327" t="s">
        <v>79</v>
      </c>
      <c r="E3902" s="328" t="s">
        <v>3242</v>
      </c>
      <c r="F3902" s="328">
        <v>253.42294749999996</v>
      </c>
      <c r="G3902" s="328">
        <v>5525.0923499999999</v>
      </c>
      <c r="H3902" s="328">
        <v>6791.0780499999992</v>
      </c>
      <c r="I3902" s="329">
        <v>1.0060786559834759E-2</v>
      </c>
      <c r="J3902" s="329">
        <v>0.46106173424141533</v>
      </c>
      <c r="K3902" s="329">
        <v>0.70643429416863346</v>
      </c>
    </row>
    <row r="3903" spans="1:11" ht="11.25" x14ac:dyDescent="0.15">
      <c r="A3903" s="326">
        <v>1.0249999999999999</v>
      </c>
      <c r="B3903" s="327">
        <v>-20</v>
      </c>
      <c r="C3903" s="327" t="s">
        <v>116</v>
      </c>
      <c r="D3903" s="327" t="s">
        <v>114</v>
      </c>
      <c r="E3903" s="328" t="s">
        <v>3243</v>
      </c>
      <c r="F3903" s="328">
        <v>26.275013999999999</v>
      </c>
      <c r="G3903" s="328">
        <v>5523.5220499999996</v>
      </c>
      <c r="H3903" s="328">
        <v>6678.9737999999998</v>
      </c>
      <c r="I3903" s="329">
        <v>1.0431072257600907E-3</v>
      </c>
      <c r="J3903" s="329">
        <v>0.46093069475910159</v>
      </c>
      <c r="K3903" s="329">
        <v>0.6947727750196887</v>
      </c>
    </row>
    <row r="3904" spans="1:11" ht="11.25" x14ac:dyDescent="0.15">
      <c r="A3904" s="326">
        <v>1.0249999999999999</v>
      </c>
      <c r="B3904" s="327">
        <v>-20</v>
      </c>
      <c r="C3904" s="327" t="s">
        <v>116</v>
      </c>
      <c r="D3904" s="327" t="s">
        <v>113</v>
      </c>
      <c r="E3904" s="328" t="s">
        <v>3244</v>
      </c>
      <c r="F3904" s="328">
        <v>10.680797249999999</v>
      </c>
      <c r="G3904" s="328">
        <v>5799.0861249999989</v>
      </c>
      <c r="H3904" s="328">
        <v>6570.5902999999998</v>
      </c>
      <c r="I3904" s="329">
        <v>4.2402324841210386E-4</v>
      </c>
      <c r="J3904" s="329">
        <v>0.48392615660222016</v>
      </c>
      <c r="K3904" s="329">
        <v>0.68349830272555478</v>
      </c>
    </row>
    <row r="3905" spans="1:11" ht="11.25" x14ac:dyDescent="0.15">
      <c r="A3905" s="326">
        <v>1.05</v>
      </c>
      <c r="B3905" s="327">
        <v>-20</v>
      </c>
      <c r="C3905" s="327" t="s">
        <v>116</v>
      </c>
      <c r="D3905" s="327" t="s">
        <v>79</v>
      </c>
      <c r="E3905" s="328" t="s">
        <v>3245</v>
      </c>
      <c r="F3905" s="328">
        <v>278.30354999999997</v>
      </c>
      <c r="G3905" s="328">
        <v>5915.5236000000004</v>
      </c>
      <c r="H3905" s="328">
        <v>7146.1929</v>
      </c>
      <c r="I3905" s="329">
        <v>1.1048536223793627E-2</v>
      </c>
      <c r="J3905" s="329">
        <v>0.49364271168463286</v>
      </c>
      <c r="K3905" s="329">
        <v>0.7433747190262967</v>
      </c>
    </row>
    <row r="3906" spans="1:11" ht="11.25" x14ac:dyDescent="0.15">
      <c r="A3906" s="326">
        <v>1.05</v>
      </c>
      <c r="B3906" s="327">
        <v>-20</v>
      </c>
      <c r="C3906" s="327" t="s">
        <v>116</v>
      </c>
      <c r="D3906" s="327" t="s">
        <v>114</v>
      </c>
      <c r="E3906" s="328" t="s">
        <v>3246</v>
      </c>
      <c r="F3906" s="328">
        <v>29.096812500000002</v>
      </c>
      <c r="G3906" s="328">
        <v>5855.87835</v>
      </c>
      <c r="H3906" s="328">
        <v>7030.1815500000002</v>
      </c>
      <c r="I3906" s="329">
        <v>1.155131463120687E-3</v>
      </c>
      <c r="J3906" s="329">
        <v>0.48866539354002969</v>
      </c>
      <c r="K3906" s="329">
        <v>0.73130676817233764</v>
      </c>
    </row>
    <row r="3907" spans="1:11" ht="11.25" x14ac:dyDescent="0.15">
      <c r="A3907" s="326">
        <v>1.05</v>
      </c>
      <c r="B3907" s="327">
        <v>-20</v>
      </c>
      <c r="C3907" s="327" t="s">
        <v>116</v>
      </c>
      <c r="D3907" s="327" t="s">
        <v>113</v>
      </c>
      <c r="E3907" s="328" t="s">
        <v>3247</v>
      </c>
      <c r="F3907" s="328">
        <v>12.014425500000002</v>
      </c>
      <c r="G3907" s="328">
        <v>6103.0557000000008</v>
      </c>
      <c r="H3907" s="328">
        <v>6917.2845000000007</v>
      </c>
      <c r="I3907" s="329">
        <v>4.769677402419764E-4</v>
      </c>
      <c r="J3907" s="329">
        <v>0.50929202028884735</v>
      </c>
      <c r="K3907" s="329">
        <v>0.71956277889062548</v>
      </c>
    </row>
    <row r="3908" spans="1:11" ht="11.25" x14ac:dyDescent="0.15">
      <c r="A3908" s="326">
        <v>1.075</v>
      </c>
      <c r="B3908" s="327">
        <v>-20</v>
      </c>
      <c r="C3908" s="327" t="s">
        <v>116</v>
      </c>
      <c r="D3908" s="327" t="s">
        <v>79</v>
      </c>
      <c r="E3908" s="328" t="s">
        <v>3248</v>
      </c>
      <c r="F3908" s="328">
        <v>305.30010749999997</v>
      </c>
      <c r="G3908" s="328">
        <v>6334.9921999999997</v>
      </c>
      <c r="H3908" s="328">
        <v>7510.3541999999998</v>
      </c>
      <c r="I3908" s="329">
        <v>1.212028842909779E-2</v>
      </c>
      <c r="J3908" s="329">
        <v>0.52864681802790836</v>
      </c>
      <c r="K3908" s="329">
        <v>0.78125619072121144</v>
      </c>
    </row>
    <row r="3909" spans="1:11" ht="11.25" x14ac:dyDescent="0.15">
      <c r="A3909" s="326">
        <v>1.075</v>
      </c>
      <c r="B3909" s="327">
        <v>-20</v>
      </c>
      <c r="C3909" s="327" t="s">
        <v>116</v>
      </c>
      <c r="D3909" s="327" t="s">
        <v>114</v>
      </c>
      <c r="E3909" s="328" t="s">
        <v>3249</v>
      </c>
      <c r="F3909" s="328">
        <v>32.209031749999994</v>
      </c>
      <c r="G3909" s="328">
        <v>6210.9995499999995</v>
      </c>
      <c r="H3909" s="328">
        <v>7390.052024999999</v>
      </c>
      <c r="I3909" s="329">
        <v>1.2786852845506067E-3</v>
      </c>
      <c r="J3909" s="329">
        <v>0.51829979346782318</v>
      </c>
      <c r="K3909" s="329">
        <v>0.76874189159854456</v>
      </c>
    </row>
    <row r="3910" spans="1:11" ht="11.25" x14ac:dyDescent="0.15">
      <c r="A3910" s="326">
        <v>1.075</v>
      </c>
      <c r="B3910" s="327">
        <v>-20</v>
      </c>
      <c r="C3910" s="327" t="s">
        <v>116</v>
      </c>
      <c r="D3910" s="327" t="s">
        <v>113</v>
      </c>
      <c r="E3910" s="328" t="s">
        <v>3250</v>
      </c>
      <c r="F3910" s="328">
        <v>13.508632749999999</v>
      </c>
      <c r="G3910" s="328">
        <v>6423.1486500000001</v>
      </c>
      <c r="H3910" s="328">
        <v>7273.6359749999992</v>
      </c>
      <c r="I3910" s="329">
        <v>5.3628715218436817E-4</v>
      </c>
      <c r="J3910" s="329">
        <v>0.53600335854284964</v>
      </c>
      <c r="K3910" s="329">
        <v>0.75663184227999047</v>
      </c>
    </row>
    <row r="3911" spans="1:11" ht="11.25" x14ac:dyDescent="0.15">
      <c r="A3911" s="326">
        <v>1.1000000000000001</v>
      </c>
      <c r="B3911" s="327">
        <v>-20</v>
      </c>
      <c r="C3911" s="327" t="s">
        <v>116</v>
      </c>
      <c r="D3911" s="327" t="s">
        <v>79</v>
      </c>
      <c r="E3911" s="328" t="s">
        <v>3251</v>
      </c>
      <c r="F3911" s="328">
        <v>334.57347000000004</v>
      </c>
      <c r="G3911" s="328">
        <v>6784.2577000000001</v>
      </c>
      <c r="H3911" s="328">
        <v>7883.8155000000006</v>
      </c>
      <c r="I3911" s="329">
        <v>1.328242885444807E-2</v>
      </c>
      <c r="J3911" s="329">
        <v>0.56613743672586314</v>
      </c>
      <c r="K3911" s="329">
        <v>0.82010508450837694</v>
      </c>
    </row>
    <row r="3912" spans="1:11" ht="11.25" x14ac:dyDescent="0.15">
      <c r="A3912" s="326">
        <v>1.1000000000000001</v>
      </c>
      <c r="B3912" s="327">
        <v>-20</v>
      </c>
      <c r="C3912" s="327" t="s">
        <v>116</v>
      </c>
      <c r="D3912" s="327" t="s">
        <v>114</v>
      </c>
      <c r="E3912" s="328" t="s">
        <v>3252</v>
      </c>
      <c r="F3912" s="328">
        <v>35.641441000000007</v>
      </c>
      <c r="G3912" s="328">
        <v>6590.6170000000002</v>
      </c>
      <c r="H3912" s="328">
        <v>7758.7906000000003</v>
      </c>
      <c r="I3912" s="329">
        <v>1.4149505170045567E-3</v>
      </c>
      <c r="J3912" s="329">
        <v>0.54997837343677236</v>
      </c>
      <c r="K3912" s="329">
        <v>0.80709950920284723</v>
      </c>
    </row>
    <row r="3913" spans="1:11" ht="11.25" x14ac:dyDescent="0.15">
      <c r="A3913" s="326">
        <v>1.1000000000000001</v>
      </c>
      <c r="B3913" s="327">
        <v>-20</v>
      </c>
      <c r="C3913" s="327" t="s">
        <v>116</v>
      </c>
      <c r="D3913" s="327" t="s">
        <v>113</v>
      </c>
      <c r="E3913" s="328" t="s">
        <v>3253</v>
      </c>
      <c r="F3913" s="328">
        <v>15.182244000000001</v>
      </c>
      <c r="G3913" s="328">
        <v>6760.8276999999998</v>
      </c>
      <c r="H3913" s="328">
        <v>7638.0172000000002</v>
      </c>
      <c r="I3913" s="329">
        <v>6.0272882897998781E-4</v>
      </c>
      <c r="J3913" s="329">
        <v>0.56418223385341226</v>
      </c>
      <c r="K3913" s="329">
        <v>0.79453619142690945</v>
      </c>
    </row>
    <row r="3914" spans="1:11" ht="11.25" x14ac:dyDescent="0.15">
      <c r="A3914" s="326">
        <v>1.125</v>
      </c>
      <c r="B3914" s="327">
        <v>-20</v>
      </c>
      <c r="C3914" s="327" t="s">
        <v>116</v>
      </c>
      <c r="D3914" s="327" t="s">
        <v>79</v>
      </c>
      <c r="E3914" s="328" t="s">
        <v>3254</v>
      </c>
      <c r="F3914" s="328">
        <v>366.2940375</v>
      </c>
      <c r="G3914" s="328">
        <v>7263.9967500000002</v>
      </c>
      <c r="H3914" s="328">
        <v>8266.7182499999999</v>
      </c>
      <c r="I3914" s="329">
        <v>1.4541722309608957E-2</v>
      </c>
      <c r="J3914" s="329">
        <v>0.60617103333648437</v>
      </c>
      <c r="K3914" s="329">
        <v>0.85993611456574437</v>
      </c>
    </row>
    <row r="3915" spans="1:11" ht="11.25" x14ac:dyDescent="0.15">
      <c r="A3915" s="326">
        <v>1.125</v>
      </c>
      <c r="B3915" s="327">
        <v>-20</v>
      </c>
      <c r="C3915" s="327" t="s">
        <v>116</v>
      </c>
      <c r="D3915" s="327" t="s">
        <v>114</v>
      </c>
      <c r="E3915" s="328" t="s">
        <v>3255</v>
      </c>
      <c r="F3915" s="328">
        <v>39.426896249999999</v>
      </c>
      <c r="G3915" s="328">
        <v>6997.2558750000007</v>
      </c>
      <c r="H3915" s="328">
        <v>8136.4522500000003</v>
      </c>
      <c r="I3915" s="329">
        <v>1.5652315301399431E-3</v>
      </c>
      <c r="J3915" s="329">
        <v>0.58391185599973405</v>
      </c>
      <c r="K3915" s="329">
        <v>0.84638533969809704</v>
      </c>
    </row>
    <row r="3916" spans="1:11" ht="11.25" x14ac:dyDescent="0.15">
      <c r="A3916" s="326">
        <v>1.125</v>
      </c>
      <c r="B3916" s="327">
        <v>-20</v>
      </c>
      <c r="C3916" s="327" t="s">
        <v>116</v>
      </c>
      <c r="D3916" s="327" t="s">
        <v>113</v>
      </c>
      <c r="E3916" s="328" t="s">
        <v>3256</v>
      </c>
      <c r="F3916" s="328">
        <v>17.056023749999998</v>
      </c>
      <c r="G3916" s="328">
        <v>7118.7873749999999</v>
      </c>
      <c r="H3916" s="328">
        <v>8011.8933749999997</v>
      </c>
      <c r="I3916" s="329">
        <v>6.7711711272011956E-4</v>
      </c>
      <c r="J3916" s="329">
        <v>0.59405350080951902</v>
      </c>
      <c r="K3916" s="329">
        <v>0.83342824212165789</v>
      </c>
    </row>
    <row r="3917" spans="1:11" ht="11.25" x14ac:dyDescent="0.15">
      <c r="A3917" s="326">
        <v>1.1499999999999999</v>
      </c>
      <c r="B3917" s="327">
        <v>-20</v>
      </c>
      <c r="C3917" s="327" t="s">
        <v>116</v>
      </c>
      <c r="D3917" s="327" t="s">
        <v>79</v>
      </c>
      <c r="E3917" s="328" t="s">
        <v>3257</v>
      </c>
      <c r="F3917" s="328">
        <v>400.64320999999995</v>
      </c>
      <c r="G3917" s="328">
        <v>7777.3614499999994</v>
      </c>
      <c r="H3917" s="328">
        <v>8658.5489499999985</v>
      </c>
      <c r="I3917" s="329">
        <v>1.590537029981097E-2</v>
      </c>
      <c r="J3917" s="329">
        <v>0.64901064648436657</v>
      </c>
      <c r="K3917" s="329">
        <v>0.90069586463047824</v>
      </c>
    </row>
    <row r="3918" spans="1:11" ht="11.25" x14ac:dyDescent="0.15">
      <c r="A3918" s="326">
        <v>1.1499999999999999</v>
      </c>
      <c r="B3918" s="327">
        <v>-20</v>
      </c>
      <c r="C3918" s="327" t="s">
        <v>116</v>
      </c>
      <c r="D3918" s="327" t="s">
        <v>114</v>
      </c>
      <c r="E3918" s="328" t="s">
        <v>3258</v>
      </c>
      <c r="F3918" s="328">
        <v>43.6016865</v>
      </c>
      <c r="G3918" s="328">
        <v>7431.7473499999996</v>
      </c>
      <c r="H3918" s="328">
        <v>8523.0571</v>
      </c>
      <c r="I3918" s="329">
        <v>1.7309689822991609E-3</v>
      </c>
      <c r="J3918" s="329">
        <v>0.62016960162395152</v>
      </c>
      <c r="K3918" s="329">
        <v>0.88660147656489696</v>
      </c>
    </row>
    <row r="3919" spans="1:11" ht="11.25" x14ac:dyDescent="0.15">
      <c r="A3919" s="326">
        <v>1.1499999999999999</v>
      </c>
      <c r="B3919" s="327">
        <v>-20</v>
      </c>
      <c r="C3919" s="327" t="s">
        <v>116</v>
      </c>
      <c r="D3919" s="327" t="s">
        <v>113</v>
      </c>
      <c r="E3919" s="328" t="s">
        <v>3259</v>
      </c>
      <c r="F3919" s="328">
        <v>19.153410999999998</v>
      </c>
      <c r="G3919" s="328">
        <v>7497.4951499999997</v>
      </c>
      <c r="H3919" s="328">
        <v>8394.5204499999982</v>
      </c>
      <c r="I3919" s="329">
        <v>7.603825220436726E-4</v>
      </c>
      <c r="J3919" s="329">
        <v>0.62565616958883952</v>
      </c>
      <c r="K3919" s="329">
        <v>0.87323059539566161</v>
      </c>
    </row>
    <row r="3920" spans="1:11" ht="11.25" x14ac:dyDescent="0.15">
      <c r="A3920" s="326">
        <v>1.175</v>
      </c>
      <c r="B3920" s="327">
        <v>-20</v>
      </c>
      <c r="C3920" s="327" t="s">
        <v>116</v>
      </c>
      <c r="D3920" s="327" t="s">
        <v>79</v>
      </c>
      <c r="E3920" s="328" t="s">
        <v>3260</v>
      </c>
      <c r="F3920" s="328">
        <v>437.8206275</v>
      </c>
      <c r="G3920" s="328">
        <v>8323.3298750000013</v>
      </c>
      <c r="H3920" s="328">
        <v>9059.0502500000021</v>
      </c>
      <c r="I3920" s="329">
        <v>1.7381298450766462E-2</v>
      </c>
      <c r="J3920" s="329">
        <v>0.69457099786411414</v>
      </c>
      <c r="K3920" s="329">
        <v>0.94235756415683292</v>
      </c>
    </row>
    <row r="3921" spans="1:11" ht="11.25" x14ac:dyDescent="0.15">
      <c r="A3921" s="326">
        <v>1.175</v>
      </c>
      <c r="B3921" s="327">
        <v>-20</v>
      </c>
      <c r="C3921" s="327" t="s">
        <v>116</v>
      </c>
      <c r="D3921" s="327" t="s">
        <v>114</v>
      </c>
      <c r="E3921" s="328" t="s">
        <v>3261</v>
      </c>
      <c r="F3921" s="328">
        <v>48.205855500000006</v>
      </c>
      <c r="G3921" s="328">
        <v>7896.2197249999999</v>
      </c>
      <c r="H3921" s="328">
        <v>8919.1806000000015</v>
      </c>
      <c r="I3921" s="329">
        <v>1.9137525938519699E-3</v>
      </c>
      <c r="J3921" s="329">
        <v>0.65892921416232464</v>
      </c>
      <c r="K3921" s="329">
        <v>0.9278077803455036</v>
      </c>
    </row>
    <row r="3922" spans="1:11" ht="11.25" x14ac:dyDescent="0.15">
      <c r="A3922" s="326">
        <v>1.175</v>
      </c>
      <c r="B3922" s="327">
        <v>-20</v>
      </c>
      <c r="C3922" s="327" t="s">
        <v>116</v>
      </c>
      <c r="D3922" s="327" t="s">
        <v>113</v>
      </c>
      <c r="E3922" s="328" t="s">
        <v>3262</v>
      </c>
      <c r="F3922" s="328">
        <v>21.500302750000003</v>
      </c>
      <c r="G3922" s="328">
        <v>7900.1172000000006</v>
      </c>
      <c r="H3922" s="328">
        <v>8786.1024500000003</v>
      </c>
      <c r="I3922" s="329">
        <v>8.5355315717641691E-4</v>
      </c>
      <c r="J3922" s="329">
        <v>0.65925445335631983</v>
      </c>
      <c r="K3922" s="329">
        <v>0.91396447472121933</v>
      </c>
    </row>
    <row r="3923" spans="1:11" ht="11.25" x14ac:dyDescent="0.15">
      <c r="A3923" s="326">
        <v>1.2</v>
      </c>
      <c r="B3923" s="327">
        <v>-20</v>
      </c>
      <c r="C3923" s="327" t="s">
        <v>116</v>
      </c>
      <c r="D3923" s="327" t="s">
        <v>79</v>
      </c>
      <c r="E3923" s="328" t="s">
        <v>3263</v>
      </c>
      <c r="F3923" s="328">
        <v>478.03427999999997</v>
      </c>
      <c r="G3923" s="328">
        <v>8901.5603999999985</v>
      </c>
      <c r="H3923" s="328">
        <v>9469.6919999999991</v>
      </c>
      <c r="I3923" s="329">
        <v>1.8977763879746076E-2</v>
      </c>
      <c r="J3923" s="329">
        <v>0.74282357931604637</v>
      </c>
      <c r="K3923" s="329">
        <v>0.98507411264612921</v>
      </c>
    </row>
    <row r="3924" spans="1:11" ht="11.25" x14ac:dyDescent="0.15">
      <c r="A3924" s="326">
        <v>1.2</v>
      </c>
      <c r="B3924" s="327">
        <v>-20</v>
      </c>
      <c r="C3924" s="327" t="s">
        <v>116</v>
      </c>
      <c r="D3924" s="327" t="s">
        <v>114</v>
      </c>
      <c r="E3924" s="328" t="s">
        <v>3264</v>
      </c>
      <c r="F3924" s="328">
        <v>53.283623999999996</v>
      </c>
      <c r="G3924" s="328">
        <v>8391.4679999999989</v>
      </c>
      <c r="H3924" s="328">
        <v>9323.8739999999998</v>
      </c>
      <c r="I3924" s="329">
        <v>2.1153379103464529E-3</v>
      </c>
      <c r="J3924" s="329">
        <v>0.70025703532563399</v>
      </c>
      <c r="K3924" s="329">
        <v>0.9699055583829248</v>
      </c>
    </row>
    <row r="3925" spans="1:11" ht="11.25" x14ac:dyDescent="0.15">
      <c r="A3925" s="326">
        <v>1.2</v>
      </c>
      <c r="B3925" s="327">
        <v>-20</v>
      </c>
      <c r="C3925" s="327" t="s">
        <v>116</v>
      </c>
      <c r="D3925" s="327" t="s">
        <v>113</v>
      </c>
      <c r="E3925" s="328" t="s">
        <v>3265</v>
      </c>
      <c r="F3925" s="328">
        <v>24.125592000000001</v>
      </c>
      <c r="G3925" s="328">
        <v>8328.4715999999989</v>
      </c>
      <c r="H3925" s="328">
        <v>9187.0403999999999</v>
      </c>
      <c r="I3925" s="329">
        <v>9.577760583092303E-4</v>
      </c>
      <c r="J3925" s="329">
        <v>0.69500006809413317</v>
      </c>
      <c r="K3925" s="329">
        <v>0.95567159627516296</v>
      </c>
    </row>
    <row r="3926" spans="1:11" ht="11.25" x14ac:dyDescent="0.15">
      <c r="A3926" s="326">
        <v>1.2250000000000001</v>
      </c>
      <c r="B3926" s="327">
        <v>-20</v>
      </c>
      <c r="C3926" s="327" t="s">
        <v>116</v>
      </c>
      <c r="D3926" s="327" t="s">
        <v>79</v>
      </c>
      <c r="E3926" s="328" t="s">
        <v>3266</v>
      </c>
      <c r="F3926" s="328">
        <v>521.50920499999995</v>
      </c>
      <c r="G3926" s="328">
        <v>9515.0882750000001</v>
      </c>
      <c r="H3926" s="328">
        <v>9889.4397000000008</v>
      </c>
      <c r="I3926" s="329">
        <v>2.0703700482743812E-2</v>
      </c>
      <c r="J3926" s="329">
        <v>0.79402167848500427</v>
      </c>
      <c r="K3926" s="329">
        <v>1.0287378973935903</v>
      </c>
    </row>
    <row r="3927" spans="1:11" ht="11.25" x14ac:dyDescent="0.15">
      <c r="A3927" s="326">
        <v>1.2250000000000001</v>
      </c>
      <c r="B3927" s="327">
        <v>-20</v>
      </c>
      <c r="C3927" s="327" t="s">
        <v>116</v>
      </c>
      <c r="D3927" s="327" t="s">
        <v>114</v>
      </c>
      <c r="E3927" s="328" t="s">
        <v>3267</v>
      </c>
      <c r="F3927" s="328">
        <v>58.883826750000004</v>
      </c>
      <c r="G3927" s="328">
        <v>8918.6651750000019</v>
      </c>
      <c r="H3927" s="328">
        <v>9738.1926250000015</v>
      </c>
      <c r="I3927" s="329">
        <v>2.3376636512288948E-3</v>
      </c>
      <c r="J3927" s="329">
        <v>0.74425095043054201</v>
      </c>
      <c r="K3927" s="329">
        <v>1.0130045896792585</v>
      </c>
    </row>
    <row r="3928" spans="1:11" ht="11.25" x14ac:dyDescent="0.15">
      <c r="A3928" s="326">
        <v>1.2250000000000001</v>
      </c>
      <c r="B3928" s="327">
        <v>-20</v>
      </c>
      <c r="C3928" s="327" t="s">
        <v>116</v>
      </c>
      <c r="D3928" s="327" t="s">
        <v>113</v>
      </c>
      <c r="E3928" s="328" t="s">
        <v>3268</v>
      </c>
      <c r="F3928" s="328">
        <v>27.061389250000001</v>
      </c>
      <c r="G3928" s="328">
        <v>8782.4721250000002</v>
      </c>
      <c r="H3928" s="328">
        <v>9596.5275000000001</v>
      </c>
      <c r="I3928" s="329">
        <v>1.0743259990568016E-3</v>
      </c>
      <c r="J3928" s="329">
        <v>0.73288581843874301</v>
      </c>
      <c r="K3928" s="329">
        <v>0.99826803359039318</v>
      </c>
    </row>
    <row r="3929" spans="1:11" ht="11.25" x14ac:dyDescent="0.15">
      <c r="A3929" s="326">
        <v>1.25</v>
      </c>
      <c r="B3929" s="327">
        <v>-20</v>
      </c>
      <c r="C3929" s="327" t="s">
        <v>116</v>
      </c>
      <c r="D3929" s="327" t="s">
        <v>79</v>
      </c>
      <c r="E3929" s="328" t="s">
        <v>3269</v>
      </c>
      <c r="F3929" s="328">
        <v>568.48900000000003</v>
      </c>
      <c r="G3929" s="328">
        <v>10160.9275</v>
      </c>
      <c r="H3929" s="328">
        <v>10318.797500000001</v>
      </c>
      <c r="I3929" s="329">
        <v>2.2568778980103617E-2</v>
      </c>
      <c r="J3929" s="329">
        <v>0.84791611757426799</v>
      </c>
      <c r="K3929" s="329">
        <v>1.0734013620387652</v>
      </c>
    </row>
    <row r="3930" spans="1:11" ht="11.25" x14ac:dyDescent="0.15">
      <c r="A3930" s="326">
        <v>1.25</v>
      </c>
      <c r="B3930" s="327">
        <v>-20</v>
      </c>
      <c r="C3930" s="327" t="s">
        <v>116</v>
      </c>
      <c r="D3930" s="327" t="s">
        <v>114</v>
      </c>
      <c r="E3930" s="328" t="s">
        <v>3270</v>
      </c>
      <c r="F3930" s="328">
        <v>65.060400000000001</v>
      </c>
      <c r="G3930" s="328">
        <v>9478.78125</v>
      </c>
      <c r="H3930" s="328">
        <v>10161.37125</v>
      </c>
      <c r="I3930" s="329">
        <v>2.5828710633928422E-3</v>
      </c>
      <c r="J3930" s="329">
        <v>0.79099190470906977</v>
      </c>
      <c r="K3930" s="329">
        <v>1.0570252725602522</v>
      </c>
    </row>
    <row r="3931" spans="1:11" ht="11.25" x14ac:dyDescent="0.15">
      <c r="A3931" s="326">
        <v>1.25</v>
      </c>
      <c r="B3931" s="327">
        <v>-20</v>
      </c>
      <c r="C3931" s="327" t="s">
        <v>116</v>
      </c>
      <c r="D3931" s="327" t="s">
        <v>113</v>
      </c>
      <c r="E3931" s="328" t="s">
        <v>3271</v>
      </c>
      <c r="F3931" s="328">
        <v>30.343499999999999</v>
      </c>
      <c r="G3931" s="328">
        <v>9264.8937499999993</v>
      </c>
      <c r="H3931" s="328">
        <v>10015.141249999999</v>
      </c>
      <c r="I3931" s="329">
        <v>1.204624443010813E-3</v>
      </c>
      <c r="J3931" s="329">
        <v>0.77314327242646896</v>
      </c>
      <c r="K3931" s="329">
        <v>1.041813860458122</v>
      </c>
    </row>
    <row r="3932" spans="1:11" ht="11.25" x14ac:dyDescent="0.15">
      <c r="A3932" s="326">
        <v>1.2749999999999999</v>
      </c>
      <c r="B3932" s="327">
        <v>-20</v>
      </c>
      <c r="C3932" s="327" t="s">
        <v>116</v>
      </c>
      <c r="D3932" s="327" t="s">
        <v>79</v>
      </c>
      <c r="E3932" s="328" t="s">
        <v>3272</v>
      </c>
      <c r="F3932" s="328">
        <v>619.23192749999998</v>
      </c>
      <c r="G3932" s="328">
        <v>10844.833799999997</v>
      </c>
      <c r="H3932" s="328">
        <v>10756.781025</v>
      </c>
      <c r="I3932" s="329">
        <v>2.45832522866248E-2</v>
      </c>
      <c r="J3932" s="329">
        <v>0.90498720431123958</v>
      </c>
      <c r="K3932" s="329">
        <v>1.1189621080739052</v>
      </c>
    </row>
    <row r="3933" spans="1:11" ht="11.25" x14ac:dyDescent="0.15">
      <c r="A3933" s="326">
        <v>1.2749999999999999</v>
      </c>
      <c r="B3933" s="327">
        <v>-20</v>
      </c>
      <c r="C3933" s="327" t="s">
        <v>116</v>
      </c>
      <c r="D3933" s="327" t="s">
        <v>114</v>
      </c>
      <c r="E3933" s="328" t="s">
        <v>3273</v>
      </c>
      <c r="F3933" s="328">
        <v>71.872833749999998</v>
      </c>
      <c r="G3933" s="328">
        <v>10073.211449999999</v>
      </c>
      <c r="H3933" s="328">
        <v>10593.806699999999</v>
      </c>
      <c r="I3933" s="329">
        <v>2.8533218753176962E-3</v>
      </c>
      <c r="J3933" s="329">
        <v>0.84059632786363858</v>
      </c>
      <c r="K3933" s="329">
        <v>1.1020088863024393</v>
      </c>
    </row>
    <row r="3934" spans="1:11" ht="11.25" x14ac:dyDescent="0.15">
      <c r="A3934" s="326">
        <v>1.2749999999999999</v>
      </c>
      <c r="B3934" s="327">
        <v>-20</v>
      </c>
      <c r="C3934" s="327" t="s">
        <v>116</v>
      </c>
      <c r="D3934" s="327" t="s">
        <v>113</v>
      </c>
      <c r="E3934" s="328" t="s">
        <v>3274</v>
      </c>
      <c r="F3934" s="328">
        <v>34.011708749999997</v>
      </c>
      <c r="G3934" s="328">
        <v>9776.8772250000002</v>
      </c>
      <c r="H3934" s="328">
        <v>10442.465474999999</v>
      </c>
      <c r="I3934" s="329">
        <v>1.3502508184228827E-3</v>
      </c>
      <c r="J3934" s="329">
        <v>0.81586762415363001</v>
      </c>
      <c r="K3934" s="329">
        <v>1.0862657847397217</v>
      </c>
    </row>
    <row r="3935" spans="1:11" ht="11.25" x14ac:dyDescent="0.15">
      <c r="A3935" s="326">
        <v>1.3</v>
      </c>
      <c r="B3935" s="327">
        <v>-20</v>
      </c>
      <c r="C3935" s="327" t="s">
        <v>116</v>
      </c>
      <c r="D3935" s="327" t="s">
        <v>79</v>
      </c>
      <c r="E3935" s="328" t="s">
        <v>3275</v>
      </c>
      <c r="F3935" s="328">
        <v>674.01711</v>
      </c>
      <c r="G3935" s="328">
        <v>11562.4067</v>
      </c>
      <c r="H3935" s="328">
        <v>11204.8482</v>
      </c>
      <c r="I3935" s="329">
        <v>2.6758201450508608E-2</v>
      </c>
      <c r="J3935" s="329">
        <v>0.96486772480944316</v>
      </c>
      <c r="K3935" s="329">
        <v>1.1655717945155533</v>
      </c>
    </row>
    <row r="3936" spans="1:11" ht="11.25" x14ac:dyDescent="0.15">
      <c r="A3936" s="326">
        <v>1.3</v>
      </c>
      <c r="B3936" s="327">
        <v>-20</v>
      </c>
      <c r="C3936" s="327" t="s">
        <v>116</v>
      </c>
      <c r="D3936" s="327" t="s">
        <v>114</v>
      </c>
      <c r="E3936" s="328" t="s">
        <v>3276</v>
      </c>
      <c r="F3936" s="328">
        <v>79.386944000000014</v>
      </c>
      <c r="G3936" s="328">
        <v>10701.252900000001</v>
      </c>
      <c r="H3936" s="328">
        <v>11035.134499999998</v>
      </c>
      <c r="I3936" s="329">
        <v>3.1516289550754073E-3</v>
      </c>
      <c r="J3936" s="329">
        <v>0.89300556589429236</v>
      </c>
      <c r="K3936" s="329">
        <v>1.1479175168018332</v>
      </c>
    </row>
    <row r="3937" spans="1:11" ht="11.25" x14ac:dyDescent="0.15">
      <c r="A3937" s="326">
        <v>1.3</v>
      </c>
      <c r="B3937" s="327">
        <v>-20</v>
      </c>
      <c r="C3937" s="327" t="s">
        <v>116</v>
      </c>
      <c r="D3937" s="327" t="s">
        <v>113</v>
      </c>
      <c r="E3937" s="328" t="s">
        <v>3277</v>
      </c>
      <c r="F3937" s="328">
        <v>38.110267</v>
      </c>
      <c r="G3937" s="328">
        <v>10320.4413</v>
      </c>
      <c r="H3937" s="328">
        <v>10879.122799999999</v>
      </c>
      <c r="I3937" s="329">
        <v>1.51296189160342E-3</v>
      </c>
      <c r="J3937" s="329">
        <v>0.86122733566882859</v>
      </c>
      <c r="K3937" s="329">
        <v>1.1316885743040295</v>
      </c>
    </row>
    <row r="3938" spans="1:11" ht="11.25" x14ac:dyDescent="0.15">
      <c r="A3938" s="326">
        <v>1.325</v>
      </c>
      <c r="B3938" s="327">
        <v>-20</v>
      </c>
      <c r="C3938" s="327" t="s">
        <v>116</v>
      </c>
      <c r="D3938" s="327" t="s">
        <v>79</v>
      </c>
      <c r="E3938" s="328" t="s">
        <v>3278</v>
      </c>
      <c r="F3938" s="328">
        <v>733.14144750000003</v>
      </c>
      <c r="G3938" s="328">
        <v>12316.149275</v>
      </c>
      <c r="H3938" s="328">
        <v>11662.110724999999</v>
      </c>
      <c r="I3938" s="329">
        <v>2.9105413279378739E-2</v>
      </c>
      <c r="J3938" s="329">
        <v>1.0277665574056241</v>
      </c>
      <c r="K3938" s="329">
        <v>1.213138016950317</v>
      </c>
    </row>
    <row r="3939" spans="1:11" ht="11.25" x14ac:dyDescent="0.15">
      <c r="A3939" s="326">
        <v>1.325</v>
      </c>
      <c r="B3939" s="327">
        <v>-20</v>
      </c>
      <c r="C3939" s="327" t="s">
        <v>116</v>
      </c>
      <c r="D3939" s="327" t="s">
        <v>114</v>
      </c>
      <c r="E3939" s="328" t="s">
        <v>3279</v>
      </c>
      <c r="F3939" s="328">
        <v>87.675329499999989</v>
      </c>
      <c r="G3939" s="328">
        <v>11365.6857</v>
      </c>
      <c r="H3939" s="328">
        <v>11485.566400000002</v>
      </c>
      <c r="I3939" s="329">
        <v>3.4806744431172079E-3</v>
      </c>
      <c r="J3939" s="329">
        <v>0.94845161451190119</v>
      </c>
      <c r="K3939" s="329">
        <v>1.1947731911152126</v>
      </c>
    </row>
    <row r="3940" spans="1:11" ht="11.25" x14ac:dyDescent="0.15">
      <c r="A3940" s="326">
        <v>1.325</v>
      </c>
      <c r="B3940" s="327">
        <v>-20</v>
      </c>
      <c r="C3940" s="327" t="s">
        <v>116</v>
      </c>
      <c r="D3940" s="327" t="s">
        <v>113</v>
      </c>
      <c r="E3940" s="328" t="s">
        <v>3280</v>
      </c>
      <c r="F3940" s="328">
        <v>42.688386250000001</v>
      </c>
      <c r="G3940" s="328">
        <v>10894.838999999998</v>
      </c>
      <c r="H3940" s="328">
        <v>11324.627924999999</v>
      </c>
      <c r="I3940" s="329">
        <v>1.6947113388184191E-3</v>
      </c>
      <c r="J3940" s="329">
        <v>0.90916007288475564</v>
      </c>
      <c r="K3940" s="329">
        <v>1.1780317463616505</v>
      </c>
    </row>
    <row r="3941" spans="1:11" ht="11.25" x14ac:dyDescent="0.15">
      <c r="A3941" s="326">
        <v>1.35</v>
      </c>
      <c r="B3941" s="327">
        <v>-20</v>
      </c>
      <c r="C3941" s="327" t="s">
        <v>116</v>
      </c>
      <c r="D3941" s="327" t="s">
        <v>79</v>
      </c>
      <c r="E3941" s="328" t="s">
        <v>3281</v>
      </c>
      <c r="F3941" s="328">
        <v>796.92768000000012</v>
      </c>
      <c r="G3941" s="328">
        <v>13106.0106</v>
      </c>
      <c r="H3941" s="328">
        <v>12128.652450000001</v>
      </c>
      <c r="I3941" s="329">
        <v>3.1637700418208167E-2</v>
      </c>
      <c r="J3941" s="329">
        <v>1.0936794524751015</v>
      </c>
      <c r="K3941" s="329">
        <v>1.2616694977806093</v>
      </c>
    </row>
    <row r="3942" spans="1:11" ht="11.25" x14ac:dyDescent="0.15">
      <c r="A3942" s="326">
        <v>1.35</v>
      </c>
      <c r="B3942" s="327">
        <v>-20</v>
      </c>
      <c r="C3942" s="327" t="s">
        <v>116</v>
      </c>
      <c r="D3942" s="327" t="s">
        <v>114</v>
      </c>
      <c r="E3942" s="328" t="s">
        <v>3282</v>
      </c>
      <c r="F3942" s="328">
        <v>96.818247</v>
      </c>
      <c r="G3942" s="328">
        <v>12064.874400000001</v>
      </c>
      <c r="H3942" s="328">
        <v>11945.400750000001</v>
      </c>
      <c r="I3942" s="329">
        <v>3.843644499337859E-3</v>
      </c>
      <c r="J3942" s="329">
        <v>1.0067979975518155</v>
      </c>
      <c r="K3942" s="329">
        <v>1.2426069447674388</v>
      </c>
    </row>
    <row r="3943" spans="1:11" ht="11.25" x14ac:dyDescent="0.15">
      <c r="A3943" s="326">
        <v>1.35</v>
      </c>
      <c r="B3943" s="327">
        <v>-20</v>
      </c>
      <c r="C3943" s="327" t="s">
        <v>116</v>
      </c>
      <c r="D3943" s="327" t="s">
        <v>113</v>
      </c>
      <c r="E3943" s="328" t="s">
        <v>3283</v>
      </c>
      <c r="F3943" s="328">
        <v>47.800800000000002</v>
      </c>
      <c r="G3943" s="328">
        <v>11502.660150000003</v>
      </c>
      <c r="H3943" s="328">
        <v>11779.601849999999</v>
      </c>
      <c r="I3943" s="329">
        <v>1.8976720574578171E-3</v>
      </c>
      <c r="J3943" s="329">
        <v>0.95988195331225912</v>
      </c>
      <c r="K3943" s="329">
        <v>1.2253598997426158</v>
      </c>
    </row>
    <row r="3944" spans="1:11" ht="11.25" x14ac:dyDescent="0.15">
      <c r="A3944" s="326">
        <v>1.375</v>
      </c>
      <c r="B3944" s="327">
        <v>-20</v>
      </c>
      <c r="C3944" s="327" t="s">
        <v>116</v>
      </c>
      <c r="D3944" s="327" t="s">
        <v>79</v>
      </c>
      <c r="E3944" s="328" t="s">
        <v>3284</v>
      </c>
      <c r="F3944" s="328">
        <v>865.7192500000001</v>
      </c>
      <c r="G3944" s="328">
        <v>13932.655000000001</v>
      </c>
      <c r="H3944" s="328">
        <v>12605.260249999999</v>
      </c>
      <c r="I3944" s="329">
        <v>3.4368697392686699E-2</v>
      </c>
      <c r="J3944" s="329">
        <v>1.162661847070724</v>
      </c>
      <c r="K3944" s="329">
        <v>1.3112480907977022</v>
      </c>
    </row>
    <row r="3945" spans="1:11" ht="11.25" x14ac:dyDescent="0.15">
      <c r="A3945" s="326">
        <v>1.375</v>
      </c>
      <c r="B3945" s="327">
        <v>-20</v>
      </c>
      <c r="C3945" s="327" t="s">
        <v>116</v>
      </c>
      <c r="D3945" s="327" t="s">
        <v>114</v>
      </c>
      <c r="E3945" s="328" t="s">
        <v>3285</v>
      </c>
      <c r="F3945" s="328">
        <v>106.90437999999999</v>
      </c>
      <c r="G3945" s="328">
        <v>12798.263500000001</v>
      </c>
      <c r="H3945" s="328">
        <v>12414.755375000001</v>
      </c>
      <c r="I3945" s="329">
        <v>4.2440598221337783E-3</v>
      </c>
      <c r="J3945" s="329">
        <v>1.0679983592651816</v>
      </c>
      <c r="K3945" s="329">
        <v>1.2914310343722784</v>
      </c>
    </row>
    <row r="3946" spans="1:11" ht="11.25" x14ac:dyDescent="0.15">
      <c r="A3946" s="326">
        <v>1.375</v>
      </c>
      <c r="B3946" s="327">
        <v>-20</v>
      </c>
      <c r="C3946" s="327" t="s">
        <v>116</v>
      </c>
      <c r="D3946" s="327" t="s">
        <v>113</v>
      </c>
      <c r="E3946" s="328" t="s">
        <v>3286</v>
      </c>
      <c r="F3946" s="328">
        <v>53.508290000000002</v>
      </c>
      <c r="G3946" s="328">
        <v>12143.478874999999</v>
      </c>
      <c r="H3946" s="328">
        <v>12244.354374999999</v>
      </c>
      <c r="I3946" s="329">
        <v>2.1242570579435814E-3</v>
      </c>
      <c r="J3946" s="329">
        <v>1.0133574382392885</v>
      </c>
      <c r="K3946" s="329">
        <v>1.2737052610452246</v>
      </c>
    </row>
    <row r="3947" spans="1:11" ht="11.25" x14ac:dyDescent="0.15">
      <c r="A3947" s="326">
        <v>1.4</v>
      </c>
      <c r="B3947" s="327">
        <v>-20</v>
      </c>
      <c r="C3947" s="327" t="s">
        <v>116</v>
      </c>
      <c r="D3947" s="327" t="s">
        <v>79</v>
      </c>
      <c r="E3947" s="328" t="s">
        <v>3287</v>
      </c>
      <c r="F3947" s="328">
        <v>939.88733999999999</v>
      </c>
      <c r="G3947" s="328">
        <v>14794.849999999999</v>
      </c>
      <c r="H3947" s="328">
        <v>13091.285199999998</v>
      </c>
      <c r="I3947" s="329">
        <v>3.7313139995070271E-2</v>
      </c>
      <c r="J3947" s="329">
        <v>1.2346108927648245</v>
      </c>
      <c r="K3947" s="329">
        <v>1.3618062923046921</v>
      </c>
    </row>
    <row r="3948" spans="1:11" ht="11.25" x14ac:dyDescent="0.15">
      <c r="A3948" s="326">
        <v>1.4</v>
      </c>
      <c r="B3948" s="327">
        <v>-20</v>
      </c>
      <c r="C3948" s="327" t="s">
        <v>116</v>
      </c>
      <c r="D3948" s="327" t="s">
        <v>114</v>
      </c>
      <c r="E3948" s="328" t="s">
        <v>3288</v>
      </c>
      <c r="F3948" s="328">
        <v>118.030878</v>
      </c>
      <c r="G3948" s="328">
        <v>13568.681</v>
      </c>
      <c r="H3948" s="328">
        <v>12893.336399999998</v>
      </c>
      <c r="I3948" s="329">
        <v>4.6857772066118686E-3</v>
      </c>
      <c r="J3948" s="329">
        <v>1.1322886925552551</v>
      </c>
      <c r="K3948" s="329">
        <v>1.3412148899117349</v>
      </c>
    </row>
    <row r="3949" spans="1:11" ht="11.25" x14ac:dyDescent="0.15">
      <c r="A3949" s="326">
        <v>1.4</v>
      </c>
      <c r="B3949" s="327">
        <v>-20</v>
      </c>
      <c r="C3949" s="327" t="s">
        <v>116</v>
      </c>
      <c r="D3949" s="327" t="s">
        <v>113</v>
      </c>
      <c r="E3949" s="328" t="s">
        <v>3289</v>
      </c>
      <c r="F3949" s="328">
        <v>59.878433999999991</v>
      </c>
      <c r="G3949" s="328">
        <v>12820.322199999999</v>
      </c>
      <c r="H3949" s="328">
        <v>12717.080599999998</v>
      </c>
      <c r="I3949" s="329">
        <v>2.3771491490965023E-3</v>
      </c>
      <c r="J3949" s="329">
        <v>1.069839128945187</v>
      </c>
      <c r="K3949" s="329">
        <v>1.322880077566863</v>
      </c>
    </row>
    <row r="3950" spans="1:11" ht="11.25" x14ac:dyDescent="0.15">
      <c r="A3950" s="326">
        <v>0.9</v>
      </c>
      <c r="B3950" s="327">
        <v>0</v>
      </c>
      <c r="C3950" s="327" t="s">
        <v>116</v>
      </c>
      <c r="D3950" s="327" t="s">
        <v>79</v>
      </c>
      <c r="E3950" s="328" t="s">
        <v>3290</v>
      </c>
      <c r="F3950" s="328">
        <v>341.65611000000001</v>
      </c>
      <c r="G3950" s="328">
        <v>4051.2177000000001</v>
      </c>
      <c r="H3950" s="328">
        <v>5168.1312000000007</v>
      </c>
      <c r="I3950" s="329">
        <v>1.3563606743124264E-2</v>
      </c>
      <c r="J3950" s="329">
        <v>0.33806882133861849</v>
      </c>
      <c r="K3950" s="329">
        <v>0.53760906435803568</v>
      </c>
    </row>
    <row r="3951" spans="1:11" ht="11.25" x14ac:dyDescent="0.15">
      <c r="A3951" s="326">
        <v>0.9</v>
      </c>
      <c r="B3951" s="327">
        <v>0</v>
      </c>
      <c r="C3951" s="327" t="s">
        <v>116</v>
      </c>
      <c r="D3951" s="327" t="s">
        <v>114</v>
      </c>
      <c r="E3951" s="328" t="s">
        <v>3291</v>
      </c>
      <c r="F3951" s="328">
        <v>36.978858000000002</v>
      </c>
      <c r="G3951" s="328">
        <v>4189.1877000000004</v>
      </c>
      <c r="H3951" s="328">
        <v>5076.5805</v>
      </c>
      <c r="I3951" s="329">
        <v>1.4680454206477812E-3</v>
      </c>
      <c r="J3951" s="329">
        <v>0.34958223748509942</v>
      </c>
      <c r="K3951" s="329">
        <v>0.52808560524609915</v>
      </c>
    </row>
    <row r="3952" spans="1:11" ht="11.25" x14ac:dyDescent="0.15">
      <c r="A3952" s="326">
        <v>0.9</v>
      </c>
      <c r="B3952" s="327">
        <v>0</v>
      </c>
      <c r="C3952" s="327" t="s">
        <v>116</v>
      </c>
      <c r="D3952" s="327" t="s">
        <v>113</v>
      </c>
      <c r="E3952" s="328" t="s">
        <v>3292</v>
      </c>
      <c r="F3952" s="328">
        <v>11.670777000000001</v>
      </c>
      <c r="G3952" s="328">
        <v>4486.8366000000005</v>
      </c>
      <c r="H3952" s="328">
        <v>4986.2744999999995</v>
      </c>
      <c r="I3952" s="329">
        <v>4.633250364370758E-4</v>
      </c>
      <c r="J3952" s="329">
        <v>0.37442064910532324</v>
      </c>
      <c r="K3952" s="329">
        <v>0.51869162465870289</v>
      </c>
    </row>
    <row r="3953" spans="1:11" ht="11.25" x14ac:dyDescent="0.15">
      <c r="A3953" s="326">
        <v>0.92500000000000004</v>
      </c>
      <c r="B3953" s="327">
        <v>0</v>
      </c>
      <c r="C3953" s="327" t="s">
        <v>116</v>
      </c>
      <c r="D3953" s="327" t="s">
        <v>79</v>
      </c>
      <c r="E3953" s="328" t="s">
        <v>3293</v>
      </c>
      <c r="F3953" s="328">
        <v>374.88890250000003</v>
      </c>
      <c r="G3953" s="328">
        <v>4340.1869500000003</v>
      </c>
      <c r="H3953" s="328">
        <v>5478.2422000000006</v>
      </c>
      <c r="I3953" s="329">
        <v>1.4882934907475985E-2</v>
      </c>
      <c r="J3953" s="329">
        <v>0.36218292751232639</v>
      </c>
      <c r="K3953" s="329">
        <v>0.56986801408383503</v>
      </c>
    </row>
    <row r="3954" spans="1:11" ht="11.25" x14ac:dyDescent="0.15">
      <c r="A3954" s="326">
        <v>0.92500000000000004</v>
      </c>
      <c r="B3954" s="327">
        <v>0</v>
      </c>
      <c r="C3954" s="327" t="s">
        <v>116</v>
      </c>
      <c r="D3954" s="327" t="s">
        <v>114</v>
      </c>
      <c r="E3954" s="328" t="s">
        <v>3294</v>
      </c>
      <c r="F3954" s="328">
        <v>40.544165250000006</v>
      </c>
      <c r="G3954" s="328">
        <v>4445.9403499999999</v>
      </c>
      <c r="H3954" s="328">
        <v>5382.7082</v>
      </c>
      <c r="I3954" s="329">
        <v>1.6095866489238097E-3</v>
      </c>
      <c r="J3954" s="329">
        <v>0.37100791050214482</v>
      </c>
      <c r="K3954" s="329">
        <v>0.55993019664716059</v>
      </c>
    </row>
    <row r="3955" spans="1:11" ht="11.25" x14ac:dyDescent="0.15">
      <c r="A3955" s="326">
        <v>0.92500000000000004</v>
      </c>
      <c r="B3955" s="327">
        <v>0</v>
      </c>
      <c r="C3955" s="327" t="s">
        <v>116</v>
      </c>
      <c r="D3955" s="327" t="s">
        <v>113</v>
      </c>
      <c r="E3955" s="328" t="s">
        <v>3295</v>
      </c>
      <c r="F3955" s="328">
        <v>12.910669</v>
      </c>
      <c r="G3955" s="328">
        <v>4737.0970500000012</v>
      </c>
      <c r="H3955" s="328">
        <v>5289.0121749999998</v>
      </c>
      <c r="I3955" s="329">
        <v>5.125482377781723E-4</v>
      </c>
      <c r="J3955" s="329">
        <v>0.39530455651893187</v>
      </c>
      <c r="K3955" s="329">
        <v>0.55018357250295991</v>
      </c>
    </row>
    <row r="3956" spans="1:11" ht="11.25" x14ac:dyDescent="0.15">
      <c r="A3956" s="326">
        <v>0.95</v>
      </c>
      <c r="B3956" s="327">
        <v>0</v>
      </c>
      <c r="C3956" s="327" t="s">
        <v>116</v>
      </c>
      <c r="D3956" s="327" t="s">
        <v>79</v>
      </c>
      <c r="E3956" s="328" t="s">
        <v>3296</v>
      </c>
      <c r="F3956" s="328">
        <v>410.81619499999999</v>
      </c>
      <c r="G3956" s="328">
        <v>4650.9330499999996</v>
      </c>
      <c r="H3956" s="328">
        <v>5797.6039499999997</v>
      </c>
      <c r="I3956" s="329">
        <v>1.6309233611208219E-2</v>
      </c>
      <c r="J3956" s="329">
        <v>0.3881142833519724</v>
      </c>
      <c r="K3956" s="329">
        <v>0.60308926272575114</v>
      </c>
    </row>
    <row r="3957" spans="1:11" ht="11.25" x14ac:dyDescent="0.15">
      <c r="A3957" s="326">
        <v>0.95</v>
      </c>
      <c r="B3957" s="327">
        <v>0</v>
      </c>
      <c r="C3957" s="327" t="s">
        <v>116</v>
      </c>
      <c r="D3957" s="327" t="s">
        <v>114</v>
      </c>
      <c r="E3957" s="328" t="s">
        <v>3297</v>
      </c>
      <c r="F3957" s="328">
        <v>44.418551499999992</v>
      </c>
      <c r="G3957" s="328">
        <v>4718.8922499999999</v>
      </c>
      <c r="H3957" s="328">
        <v>5698.0515499999992</v>
      </c>
      <c r="I3957" s="329">
        <v>1.7633981861036006E-3</v>
      </c>
      <c r="J3957" s="329">
        <v>0.3937853897561322</v>
      </c>
      <c r="K3957" s="329">
        <v>0.59273343572611981</v>
      </c>
    </row>
    <row r="3958" spans="1:11" ht="11.25" x14ac:dyDescent="0.15">
      <c r="A3958" s="326">
        <v>0.95</v>
      </c>
      <c r="B3958" s="327">
        <v>0</v>
      </c>
      <c r="C3958" s="327" t="s">
        <v>116</v>
      </c>
      <c r="D3958" s="327" t="s">
        <v>113</v>
      </c>
      <c r="E3958" s="328" t="s">
        <v>3298</v>
      </c>
      <c r="F3958" s="328">
        <v>14.276543</v>
      </c>
      <c r="G3958" s="328">
        <v>4997.1871499999997</v>
      </c>
      <c r="H3958" s="328">
        <v>5600.8389999999999</v>
      </c>
      <c r="I3958" s="329">
        <v>5.6677287259198586E-4</v>
      </c>
      <c r="J3958" s="329">
        <v>0.41700873537578342</v>
      </c>
      <c r="K3958" s="329">
        <v>0.58262100900418246</v>
      </c>
    </row>
    <row r="3959" spans="1:11" ht="11.25" x14ac:dyDescent="0.15">
      <c r="A3959" s="326">
        <v>0.97499999999999998</v>
      </c>
      <c r="B3959" s="327">
        <v>0</v>
      </c>
      <c r="C3959" s="327" t="s">
        <v>116</v>
      </c>
      <c r="D3959" s="327" t="s">
        <v>79</v>
      </c>
      <c r="E3959" s="328" t="s">
        <v>3299</v>
      </c>
      <c r="F3959" s="328">
        <v>449.62320000000005</v>
      </c>
      <c r="G3959" s="328">
        <v>4984.8629999999994</v>
      </c>
      <c r="H3959" s="328">
        <v>6125.5847249999997</v>
      </c>
      <c r="I3959" s="329">
        <v>1.7849855714230048E-2</v>
      </c>
      <c r="J3959" s="329">
        <v>0.41598030116833506</v>
      </c>
      <c r="K3959" s="329">
        <v>0.63720709579763091</v>
      </c>
    </row>
    <row r="3960" spans="1:11" ht="11.25" x14ac:dyDescent="0.15">
      <c r="A3960" s="326">
        <v>0.97499999999999998</v>
      </c>
      <c r="B3960" s="327">
        <v>0</v>
      </c>
      <c r="C3960" s="327" t="s">
        <v>116</v>
      </c>
      <c r="D3960" s="327" t="s">
        <v>114</v>
      </c>
      <c r="E3960" s="328" t="s">
        <v>3300</v>
      </c>
      <c r="F3960" s="328">
        <v>48.628163999999998</v>
      </c>
      <c r="G3960" s="328">
        <v>5008.227899999999</v>
      </c>
      <c r="H3960" s="328">
        <v>6022.4014500000003</v>
      </c>
      <c r="I3960" s="329">
        <v>1.9305180672347774E-3</v>
      </c>
      <c r="J3960" s="329">
        <v>0.41793007153088418</v>
      </c>
      <c r="K3960" s="329">
        <v>0.62647357108948343</v>
      </c>
    </row>
    <row r="3961" spans="1:11" ht="11.25" x14ac:dyDescent="0.15">
      <c r="A3961" s="326">
        <v>0.97499999999999998</v>
      </c>
      <c r="B3961" s="327">
        <v>0</v>
      </c>
      <c r="C3961" s="327" t="s">
        <v>116</v>
      </c>
      <c r="D3961" s="327" t="s">
        <v>113</v>
      </c>
      <c r="E3961" s="328" t="s">
        <v>3301</v>
      </c>
      <c r="F3961" s="328">
        <v>15.781525499999999</v>
      </c>
      <c r="G3961" s="328">
        <v>5270.73495</v>
      </c>
      <c r="H3961" s="328">
        <v>5921.3378250000005</v>
      </c>
      <c r="I3961" s="329">
        <v>6.2652005751803329E-4</v>
      </c>
      <c r="J3961" s="329">
        <v>0.43983594170581408</v>
      </c>
      <c r="K3961" s="329">
        <v>0.61596054060045846</v>
      </c>
    </row>
    <row r="3962" spans="1:11" ht="11.25" x14ac:dyDescent="0.15">
      <c r="A3962" s="326">
        <v>1</v>
      </c>
      <c r="B3962" s="327">
        <v>0</v>
      </c>
      <c r="C3962" s="327" t="s">
        <v>116</v>
      </c>
      <c r="D3962" s="327" t="s">
        <v>79</v>
      </c>
      <c r="E3962" s="328" t="s">
        <v>3302</v>
      </c>
      <c r="F3962" s="328">
        <v>491.50539999999995</v>
      </c>
      <c r="G3962" s="328">
        <v>5343.1900000000005</v>
      </c>
      <c r="H3962" s="328">
        <v>6462.8399999999992</v>
      </c>
      <c r="I3962" s="329">
        <v>1.9512561791217454E-2</v>
      </c>
      <c r="J3962" s="329">
        <v>0.44588222091552698</v>
      </c>
      <c r="K3962" s="329">
        <v>0.6722896983527985</v>
      </c>
    </row>
    <row r="3963" spans="1:11" ht="11.25" x14ac:dyDescent="0.15">
      <c r="A3963" s="326">
        <v>1</v>
      </c>
      <c r="B3963" s="327">
        <v>0</v>
      </c>
      <c r="C3963" s="327" t="s">
        <v>116</v>
      </c>
      <c r="D3963" s="327" t="s">
        <v>114</v>
      </c>
      <c r="E3963" s="328" t="s">
        <v>3303</v>
      </c>
      <c r="F3963" s="328">
        <v>53.201450000000001</v>
      </c>
      <c r="G3963" s="328">
        <v>5316.902</v>
      </c>
      <c r="H3963" s="328">
        <v>6355.7300000000005</v>
      </c>
      <c r="I3963" s="329">
        <v>2.1120756364169466E-3</v>
      </c>
      <c r="J3963" s="329">
        <v>0.44368852167903577</v>
      </c>
      <c r="K3963" s="329">
        <v>0.66114770047097449</v>
      </c>
    </row>
    <row r="3964" spans="1:11" ht="11.25" x14ac:dyDescent="0.15">
      <c r="A3964" s="326">
        <v>1</v>
      </c>
      <c r="B3964" s="327">
        <v>0</v>
      </c>
      <c r="C3964" s="327" t="s">
        <v>116</v>
      </c>
      <c r="D3964" s="327" t="s">
        <v>113</v>
      </c>
      <c r="E3964" s="328" t="s">
        <v>3304</v>
      </c>
      <c r="F3964" s="328">
        <v>17.439959999999999</v>
      </c>
      <c r="G3964" s="328">
        <v>5557.7529999999997</v>
      </c>
      <c r="H3964" s="328">
        <v>6250.9310000000005</v>
      </c>
      <c r="I3964" s="329">
        <v>6.9235922359420828E-4</v>
      </c>
      <c r="J3964" s="329">
        <v>0.46378722279011836</v>
      </c>
      <c r="K3964" s="329">
        <v>0.65024610177788067</v>
      </c>
    </row>
    <row r="3965" spans="1:11" ht="11.25" x14ac:dyDescent="0.15">
      <c r="A3965" s="326">
        <v>1.0249999999999999</v>
      </c>
      <c r="B3965" s="327">
        <v>0</v>
      </c>
      <c r="C3965" s="327" t="s">
        <v>116</v>
      </c>
      <c r="D3965" s="327" t="s">
        <v>79</v>
      </c>
      <c r="E3965" s="328" t="s">
        <v>3305</v>
      </c>
      <c r="F3965" s="328">
        <v>536.67288250000001</v>
      </c>
      <c r="G3965" s="328">
        <v>5728.3488249999991</v>
      </c>
      <c r="H3965" s="328">
        <v>6809.0821749999986</v>
      </c>
      <c r="I3965" s="329">
        <v>2.1305692229326545E-2</v>
      </c>
      <c r="J3965" s="329">
        <v>0.47802322138457526</v>
      </c>
      <c r="K3965" s="329">
        <v>0.70830715312311099</v>
      </c>
    </row>
    <row r="3966" spans="1:11" ht="11.25" x14ac:dyDescent="0.15">
      <c r="A3966" s="326">
        <v>1.0249999999999999</v>
      </c>
      <c r="B3966" s="327">
        <v>0</v>
      </c>
      <c r="C3966" s="327" t="s">
        <v>116</v>
      </c>
      <c r="D3966" s="327" t="s">
        <v>114</v>
      </c>
      <c r="E3966" s="328" t="s">
        <v>3306</v>
      </c>
      <c r="F3966" s="328">
        <v>58.169375249999987</v>
      </c>
      <c r="G3966" s="328">
        <v>5646.8356999999987</v>
      </c>
      <c r="H3966" s="328">
        <v>6698.0059999999994</v>
      </c>
      <c r="I3966" s="329">
        <v>2.3093002211616396E-3</v>
      </c>
      <c r="J3966" s="329">
        <v>0.47122105765677125</v>
      </c>
      <c r="K3966" s="329">
        <v>0.6967525783255093</v>
      </c>
    </row>
    <row r="3967" spans="1:11" ht="11.25" x14ac:dyDescent="0.15">
      <c r="A3967" s="326">
        <v>1.0249999999999999</v>
      </c>
      <c r="B3967" s="327">
        <v>0</v>
      </c>
      <c r="C3967" s="327" t="s">
        <v>116</v>
      </c>
      <c r="D3967" s="327" t="s">
        <v>113</v>
      </c>
      <c r="E3967" s="328" t="s">
        <v>3307</v>
      </c>
      <c r="F3967" s="328">
        <v>19.267765499999996</v>
      </c>
      <c r="G3967" s="328">
        <v>5859.3755999999994</v>
      </c>
      <c r="H3967" s="328">
        <v>6589.2996249999997</v>
      </c>
      <c r="I3967" s="329">
        <v>7.6492234855901446E-4</v>
      </c>
      <c r="J3967" s="329">
        <v>0.48895723448094641</v>
      </c>
      <c r="K3967" s="329">
        <v>0.68544451932083394</v>
      </c>
    </row>
    <row r="3968" spans="1:11" ht="11.25" x14ac:dyDescent="0.15">
      <c r="A3968" s="326">
        <v>1.05</v>
      </c>
      <c r="B3968" s="327">
        <v>0</v>
      </c>
      <c r="C3968" s="327" t="s">
        <v>116</v>
      </c>
      <c r="D3968" s="327" t="s">
        <v>79</v>
      </c>
      <c r="E3968" s="328" t="s">
        <v>3308</v>
      </c>
      <c r="F3968" s="328">
        <v>585.34455000000003</v>
      </c>
      <c r="G3968" s="328">
        <v>6141.3995999999997</v>
      </c>
      <c r="H3968" s="328">
        <v>7164.5952000000007</v>
      </c>
      <c r="I3968" s="329">
        <v>2.3237937367580043E-2</v>
      </c>
      <c r="J3968" s="329">
        <v>0.51249176862094159</v>
      </c>
      <c r="K3968" s="329">
        <v>0.7452889976895466</v>
      </c>
    </row>
    <row r="3969" spans="1:11" ht="11.25" x14ac:dyDescent="0.15">
      <c r="A3969" s="326">
        <v>1.05</v>
      </c>
      <c r="B3969" s="327">
        <v>0</v>
      </c>
      <c r="C3969" s="327" t="s">
        <v>116</v>
      </c>
      <c r="D3969" s="327" t="s">
        <v>114</v>
      </c>
      <c r="E3969" s="328" t="s">
        <v>3309</v>
      </c>
      <c r="F3969" s="328">
        <v>63.56572950000001</v>
      </c>
      <c r="G3969" s="328">
        <v>5998.5586499999999</v>
      </c>
      <c r="H3969" s="328">
        <v>7049.1813000000002</v>
      </c>
      <c r="I3969" s="329">
        <v>2.5235332606163932E-3</v>
      </c>
      <c r="J3969" s="329">
        <v>0.50057187806423598</v>
      </c>
      <c r="K3969" s="329">
        <v>0.73328319590322344</v>
      </c>
    </row>
    <row r="3970" spans="1:11" ht="11.25" x14ac:dyDescent="0.15">
      <c r="A3970" s="326">
        <v>1.05</v>
      </c>
      <c r="B3970" s="327">
        <v>0</v>
      </c>
      <c r="C3970" s="327" t="s">
        <v>116</v>
      </c>
      <c r="D3970" s="327" t="s">
        <v>113</v>
      </c>
      <c r="E3970" s="328" t="s">
        <v>3310</v>
      </c>
      <c r="F3970" s="328">
        <v>21.282397500000002</v>
      </c>
      <c r="G3970" s="328">
        <v>6176.8885500000006</v>
      </c>
      <c r="H3970" s="328">
        <v>6936.9541499999996</v>
      </c>
      <c r="I3970" s="329">
        <v>8.4490240856764122E-4</v>
      </c>
      <c r="J3970" s="329">
        <v>0.5154532751075086</v>
      </c>
      <c r="K3970" s="329">
        <v>0.72160889221931757</v>
      </c>
    </row>
    <row r="3971" spans="1:11" ht="11.25" x14ac:dyDescent="0.15">
      <c r="A3971" s="326">
        <v>1.075</v>
      </c>
      <c r="B3971" s="327">
        <v>0</v>
      </c>
      <c r="C3971" s="327" t="s">
        <v>116</v>
      </c>
      <c r="D3971" s="327" t="s">
        <v>79</v>
      </c>
      <c r="E3971" s="328" t="s">
        <v>3311</v>
      </c>
      <c r="F3971" s="328">
        <v>637.75546750000001</v>
      </c>
      <c r="G3971" s="328">
        <v>6583.5171499999997</v>
      </c>
      <c r="H3971" s="328">
        <v>7529.1086500000001</v>
      </c>
      <c r="I3971" s="329">
        <v>2.5318629189588816E-2</v>
      </c>
      <c r="J3971" s="329">
        <v>0.54938590023515166</v>
      </c>
      <c r="K3971" s="329">
        <v>0.78320710139411576</v>
      </c>
    </row>
    <row r="3972" spans="1:11" ht="11.25" x14ac:dyDescent="0.15">
      <c r="A3972" s="326">
        <v>1.075</v>
      </c>
      <c r="B3972" s="327">
        <v>0</v>
      </c>
      <c r="C3972" s="327" t="s">
        <v>116</v>
      </c>
      <c r="D3972" s="327" t="s">
        <v>114</v>
      </c>
      <c r="E3972" s="328" t="s">
        <v>3312</v>
      </c>
      <c r="F3972" s="328">
        <v>69.427294749999987</v>
      </c>
      <c r="G3972" s="328">
        <v>6374.7682749999994</v>
      </c>
      <c r="H3972" s="328">
        <v>7409.4278249999998</v>
      </c>
      <c r="I3972" s="329">
        <v>2.7562349850203927E-3</v>
      </c>
      <c r="J3972" s="329">
        <v>0.53196607949162245</v>
      </c>
      <c r="K3972" s="329">
        <v>0.77075743750983816</v>
      </c>
    </row>
    <row r="3973" spans="1:11" ht="11.25" x14ac:dyDescent="0.15">
      <c r="A3973" s="326">
        <v>1.075</v>
      </c>
      <c r="B3973" s="327">
        <v>0</v>
      </c>
      <c r="C3973" s="327" t="s">
        <v>116</v>
      </c>
      <c r="D3973" s="327" t="s">
        <v>113</v>
      </c>
      <c r="E3973" s="328" t="s">
        <v>3313</v>
      </c>
      <c r="F3973" s="328">
        <v>23.503294749999995</v>
      </c>
      <c r="G3973" s="328">
        <v>6512.8853499999996</v>
      </c>
      <c r="H3973" s="328">
        <v>7293.1740999999993</v>
      </c>
      <c r="I3973" s="329">
        <v>9.3307111398282041E-4</v>
      </c>
      <c r="J3973" s="329">
        <v>0.54349176885459782</v>
      </c>
      <c r="K3973" s="329">
        <v>0.75866427386774904</v>
      </c>
    </row>
    <row r="3974" spans="1:11" ht="11.25" x14ac:dyDescent="0.15">
      <c r="A3974" s="326">
        <v>1.1000000000000001</v>
      </c>
      <c r="B3974" s="327">
        <v>0</v>
      </c>
      <c r="C3974" s="327" t="s">
        <v>116</v>
      </c>
      <c r="D3974" s="327" t="s">
        <v>79</v>
      </c>
      <c r="E3974" s="328" t="s">
        <v>3314</v>
      </c>
      <c r="F3974" s="328">
        <v>694.15390000000002</v>
      </c>
      <c r="G3974" s="328">
        <v>7056.0919000000004</v>
      </c>
      <c r="H3974" s="328">
        <v>7903.2019000000009</v>
      </c>
      <c r="I3974" s="329">
        <v>2.7557623713522952E-2</v>
      </c>
      <c r="J3974" s="329">
        <v>0.58882164537590098</v>
      </c>
      <c r="K3974" s="329">
        <v>0.82212173307280789</v>
      </c>
    </row>
    <row r="3975" spans="1:11" ht="11.25" x14ac:dyDescent="0.15">
      <c r="A3975" s="326">
        <v>1.1000000000000001</v>
      </c>
      <c r="B3975" s="327">
        <v>0</v>
      </c>
      <c r="C3975" s="327" t="s">
        <v>116</v>
      </c>
      <c r="D3975" s="327" t="s">
        <v>114</v>
      </c>
      <c r="E3975" s="328" t="s">
        <v>3315</v>
      </c>
      <c r="F3975" s="328">
        <v>75.79463100000001</v>
      </c>
      <c r="G3975" s="328">
        <v>6777.6313000000009</v>
      </c>
      <c r="H3975" s="328">
        <v>7778.8986000000004</v>
      </c>
      <c r="I3975" s="329">
        <v>3.0090156096556136E-3</v>
      </c>
      <c r="J3975" s="329">
        <v>0.5655844723078518</v>
      </c>
      <c r="K3975" s="329">
        <v>0.80919122139972643</v>
      </c>
    </row>
    <row r="3976" spans="1:11" ht="11.25" x14ac:dyDescent="0.15">
      <c r="A3976" s="326">
        <v>1.1000000000000001</v>
      </c>
      <c r="B3976" s="327">
        <v>0</v>
      </c>
      <c r="C3976" s="327" t="s">
        <v>116</v>
      </c>
      <c r="D3976" s="327" t="s">
        <v>113</v>
      </c>
      <c r="E3976" s="328" t="s">
        <v>3316</v>
      </c>
      <c r="F3976" s="328">
        <v>25.952223</v>
      </c>
      <c r="G3976" s="328">
        <v>6867.969900000001</v>
      </c>
      <c r="H3976" s="328">
        <v>7658.5069000000012</v>
      </c>
      <c r="I3976" s="329">
        <v>1.0302925561081421E-3</v>
      </c>
      <c r="J3976" s="329">
        <v>0.57312311038780017</v>
      </c>
      <c r="K3976" s="329">
        <v>0.7966676095391233</v>
      </c>
    </row>
    <row r="3977" spans="1:11" ht="11.25" x14ac:dyDescent="0.15">
      <c r="A3977" s="326">
        <v>1.125</v>
      </c>
      <c r="B3977" s="327">
        <v>0</v>
      </c>
      <c r="C3977" s="327" t="s">
        <v>116</v>
      </c>
      <c r="D3977" s="327" t="s">
        <v>79</v>
      </c>
      <c r="E3977" s="328" t="s">
        <v>3317</v>
      </c>
      <c r="F3977" s="328">
        <v>754.80255</v>
      </c>
      <c r="G3977" s="328">
        <v>7560.049500000001</v>
      </c>
      <c r="H3977" s="328">
        <v>8286.0232500000002</v>
      </c>
      <c r="I3977" s="329">
        <v>2.9965350120351685E-2</v>
      </c>
      <c r="J3977" s="329">
        <v>0.63087624832568545</v>
      </c>
      <c r="K3977" s="329">
        <v>0.86194429558627106</v>
      </c>
    </row>
    <row r="3978" spans="1:11" ht="11.25" x14ac:dyDescent="0.15">
      <c r="A3978" s="326">
        <v>1.125</v>
      </c>
      <c r="B3978" s="327">
        <v>0</v>
      </c>
      <c r="C3978" s="327" t="s">
        <v>116</v>
      </c>
      <c r="D3978" s="327" t="s">
        <v>114</v>
      </c>
      <c r="E3978" s="328" t="s">
        <v>3318</v>
      </c>
      <c r="F3978" s="328">
        <v>82.710809999999995</v>
      </c>
      <c r="G3978" s="328">
        <v>7206.9839999999995</v>
      </c>
      <c r="H3978" s="328">
        <v>8157.3074999999999</v>
      </c>
      <c r="I3978" s="329">
        <v>3.2835850652437322E-3</v>
      </c>
      <c r="J3978" s="329">
        <v>0.6014133938756937</v>
      </c>
      <c r="K3978" s="329">
        <v>0.84855478373996907</v>
      </c>
    </row>
    <row r="3979" spans="1:11" ht="11.25" x14ac:dyDescent="0.15">
      <c r="A3979" s="326">
        <v>1.125</v>
      </c>
      <c r="B3979" s="327">
        <v>0</v>
      </c>
      <c r="C3979" s="327" t="s">
        <v>116</v>
      </c>
      <c r="D3979" s="327" t="s">
        <v>113</v>
      </c>
      <c r="E3979" s="328" t="s">
        <v>3319</v>
      </c>
      <c r="F3979" s="328">
        <v>28.652917500000001</v>
      </c>
      <c r="G3979" s="328">
        <v>7243.5678750000006</v>
      </c>
      <c r="H3979" s="328">
        <v>8032.7148749999997</v>
      </c>
      <c r="I3979" s="329">
        <v>1.1375090145854063E-3</v>
      </c>
      <c r="J3979" s="329">
        <v>0.60446627042223178</v>
      </c>
      <c r="K3979" s="329">
        <v>0.83559417535754998</v>
      </c>
    </row>
    <row r="3980" spans="1:11" ht="11.25" x14ac:dyDescent="0.15">
      <c r="A3980" s="326">
        <v>1.1499999999999999</v>
      </c>
      <c r="B3980" s="327">
        <v>0</v>
      </c>
      <c r="C3980" s="327" t="s">
        <v>116</v>
      </c>
      <c r="D3980" s="327" t="s">
        <v>79</v>
      </c>
      <c r="E3980" s="328" t="s">
        <v>3320</v>
      </c>
      <c r="F3980" s="328">
        <v>819.98024499999997</v>
      </c>
      <c r="G3980" s="328">
        <v>8095.3559999999998</v>
      </c>
      <c r="H3980" s="328">
        <v>8678.5313499999993</v>
      </c>
      <c r="I3980" s="329">
        <v>3.255287774689785E-2</v>
      </c>
      <c r="J3980" s="329">
        <v>0.6755468760013843</v>
      </c>
      <c r="K3980" s="329">
        <v>0.90277451142791798</v>
      </c>
    </row>
    <row r="3981" spans="1:11" ht="11.25" x14ac:dyDescent="0.15">
      <c r="A3981" s="326">
        <v>1.1499999999999999</v>
      </c>
      <c r="B3981" s="327">
        <v>0</v>
      </c>
      <c r="C3981" s="327" t="s">
        <v>116</v>
      </c>
      <c r="D3981" s="327" t="s">
        <v>114</v>
      </c>
      <c r="E3981" s="328" t="s">
        <v>3321</v>
      </c>
      <c r="F3981" s="328">
        <v>90.223491500000009</v>
      </c>
      <c r="G3981" s="328">
        <v>7665.5917999999992</v>
      </c>
      <c r="H3981" s="328">
        <v>8544.2124999999996</v>
      </c>
      <c r="I3981" s="329">
        <v>3.5818354242153454E-3</v>
      </c>
      <c r="J3981" s="329">
        <v>0.63968361529645235</v>
      </c>
      <c r="K3981" s="329">
        <v>0.88880214337461716</v>
      </c>
    </row>
    <row r="3982" spans="1:11" ht="11.25" x14ac:dyDescent="0.15">
      <c r="A3982" s="326">
        <v>1.1499999999999999</v>
      </c>
      <c r="B3982" s="327">
        <v>0</v>
      </c>
      <c r="C3982" s="327" t="s">
        <v>116</v>
      </c>
      <c r="D3982" s="327" t="s">
        <v>113</v>
      </c>
      <c r="E3982" s="328" t="s">
        <v>3322</v>
      </c>
      <c r="F3982" s="328">
        <v>31.631784999999997</v>
      </c>
      <c r="G3982" s="328">
        <v>7642.1685999999991</v>
      </c>
      <c r="H3982" s="328">
        <v>8415.6517000000003</v>
      </c>
      <c r="I3982" s="329">
        <v>1.2557688265052741E-3</v>
      </c>
      <c r="J3982" s="329">
        <v>0.63772897987511257</v>
      </c>
      <c r="K3982" s="329">
        <v>0.87542875002865872</v>
      </c>
    </row>
    <row r="3983" spans="1:11" ht="11.25" x14ac:dyDescent="0.15">
      <c r="A3983" s="326">
        <v>1.175</v>
      </c>
      <c r="B3983" s="327">
        <v>0</v>
      </c>
      <c r="C3983" s="327" t="s">
        <v>116</v>
      </c>
      <c r="D3983" s="327" t="s">
        <v>79</v>
      </c>
      <c r="E3983" s="328" t="s">
        <v>3323</v>
      </c>
      <c r="F3983" s="328">
        <v>889.98471500000005</v>
      </c>
      <c r="G3983" s="328">
        <v>8664.4159249999993</v>
      </c>
      <c r="H3983" s="328">
        <v>9079.7232000000022</v>
      </c>
      <c r="I3983" s="329">
        <v>3.5332026351443051E-2</v>
      </c>
      <c r="J3983" s="329">
        <v>0.72303418287106758</v>
      </c>
      <c r="K3983" s="329">
        <v>0.9445080446452192</v>
      </c>
    </row>
    <row r="3984" spans="1:11" ht="11.25" x14ac:dyDescent="0.15">
      <c r="A3984" s="326">
        <v>1.175</v>
      </c>
      <c r="B3984" s="327">
        <v>0</v>
      </c>
      <c r="C3984" s="327" t="s">
        <v>116</v>
      </c>
      <c r="D3984" s="327" t="s">
        <v>114</v>
      </c>
      <c r="E3984" s="328" t="s">
        <v>3324</v>
      </c>
      <c r="F3984" s="328">
        <v>98.38593425000002</v>
      </c>
      <c r="G3984" s="328">
        <v>8154.1980250000006</v>
      </c>
      <c r="H3984" s="328">
        <v>8940.6161250000005</v>
      </c>
      <c r="I3984" s="329">
        <v>3.9058810369932521E-3</v>
      </c>
      <c r="J3984" s="329">
        <v>0.68045716606970807</v>
      </c>
      <c r="K3984" s="329">
        <v>0.93003758684485727</v>
      </c>
    </row>
    <row r="3985" spans="1:11" ht="11.25" x14ac:dyDescent="0.15">
      <c r="A3985" s="326">
        <v>1.175</v>
      </c>
      <c r="B3985" s="327">
        <v>0</v>
      </c>
      <c r="C3985" s="327" t="s">
        <v>116</v>
      </c>
      <c r="D3985" s="327" t="s">
        <v>113</v>
      </c>
      <c r="E3985" s="328" t="s">
        <v>3325</v>
      </c>
      <c r="F3985" s="328">
        <v>34.918086000000002</v>
      </c>
      <c r="G3985" s="328">
        <v>8066.5148250000002</v>
      </c>
      <c r="H3985" s="328">
        <v>8808.0514500000008</v>
      </c>
      <c r="I3985" s="329">
        <v>1.386233621657148E-3</v>
      </c>
      <c r="J3985" s="329">
        <v>0.67314011764863746</v>
      </c>
      <c r="K3985" s="329">
        <v>0.91624769488281177</v>
      </c>
    </row>
    <row r="3986" spans="1:11" ht="11.25" x14ac:dyDescent="0.15">
      <c r="A3986" s="326">
        <v>1.2</v>
      </c>
      <c r="B3986" s="327">
        <v>0</v>
      </c>
      <c r="C3986" s="327" t="s">
        <v>116</v>
      </c>
      <c r="D3986" s="327" t="s">
        <v>79</v>
      </c>
      <c r="E3986" s="328" t="s">
        <v>3326</v>
      </c>
      <c r="F3986" s="328">
        <v>965.12903999999992</v>
      </c>
      <c r="G3986" s="328">
        <v>9265.5768000000007</v>
      </c>
      <c r="H3986" s="328">
        <v>9490.4004000000004</v>
      </c>
      <c r="I3986" s="329">
        <v>3.83152250809419E-2</v>
      </c>
      <c r="J3986" s="329">
        <v>0.77320027205609032</v>
      </c>
      <c r="K3986" s="329">
        <v>0.98722828078109304</v>
      </c>
    </row>
    <row r="3987" spans="1:11" ht="11.25" x14ac:dyDescent="0.15">
      <c r="A3987" s="326">
        <v>1.2</v>
      </c>
      <c r="B3987" s="327">
        <v>0</v>
      </c>
      <c r="C3987" s="327" t="s">
        <v>116</v>
      </c>
      <c r="D3987" s="327" t="s">
        <v>114</v>
      </c>
      <c r="E3987" s="328" t="s">
        <v>3327</v>
      </c>
      <c r="F3987" s="328">
        <v>107.25376799999999</v>
      </c>
      <c r="G3987" s="328">
        <v>8674.0691999999999</v>
      </c>
      <c r="H3987" s="328">
        <v>9346.1471999999994</v>
      </c>
      <c r="I3987" s="329">
        <v>4.257930381722971E-3</v>
      </c>
      <c r="J3987" s="329">
        <v>0.72383973605111707</v>
      </c>
      <c r="K3987" s="329">
        <v>0.97222250308670077</v>
      </c>
    </row>
    <row r="3988" spans="1:11" ht="11.25" x14ac:dyDescent="0.15">
      <c r="A3988" s="326">
        <v>1.2</v>
      </c>
      <c r="B3988" s="327">
        <v>0</v>
      </c>
      <c r="C3988" s="327" t="s">
        <v>116</v>
      </c>
      <c r="D3988" s="327" t="s">
        <v>113</v>
      </c>
      <c r="E3988" s="328" t="s">
        <v>3328</v>
      </c>
      <c r="F3988" s="328">
        <v>38.544215999999999</v>
      </c>
      <c r="G3988" s="328">
        <v>8516.25</v>
      </c>
      <c r="H3988" s="328">
        <v>9209.16</v>
      </c>
      <c r="I3988" s="329">
        <v>1.5301894880382443E-3</v>
      </c>
      <c r="J3988" s="329">
        <v>0.71066993011138591</v>
      </c>
      <c r="K3988" s="329">
        <v>0.95797256291083466</v>
      </c>
    </row>
    <row r="3989" spans="1:11" ht="11.25" x14ac:dyDescent="0.15">
      <c r="A3989" s="326">
        <v>1.2250000000000001</v>
      </c>
      <c r="B3989" s="327">
        <v>0</v>
      </c>
      <c r="C3989" s="327" t="s">
        <v>116</v>
      </c>
      <c r="D3989" s="327" t="s">
        <v>79</v>
      </c>
      <c r="E3989" s="328" t="s">
        <v>3329</v>
      </c>
      <c r="F3989" s="328">
        <v>1045.747955</v>
      </c>
      <c r="G3989" s="328">
        <v>9901.0980250000011</v>
      </c>
      <c r="H3989" s="328">
        <v>9910.5317500000001</v>
      </c>
      <c r="I3989" s="329">
        <v>4.1515762776923287E-2</v>
      </c>
      <c r="J3989" s="329">
        <v>0.82623368753297899</v>
      </c>
      <c r="K3989" s="329">
        <v>1.0309319742904564</v>
      </c>
    </row>
    <row r="3990" spans="1:11" ht="11.25" x14ac:dyDescent="0.15">
      <c r="A3990" s="326">
        <v>1.2250000000000001</v>
      </c>
      <c r="B3990" s="327">
        <v>0</v>
      </c>
      <c r="C3990" s="327" t="s">
        <v>116</v>
      </c>
      <c r="D3990" s="327" t="s">
        <v>114</v>
      </c>
      <c r="E3990" s="328" t="s">
        <v>3330</v>
      </c>
      <c r="F3990" s="328">
        <v>116.89076175</v>
      </c>
      <c r="G3990" s="328">
        <v>9226.7698250000012</v>
      </c>
      <c r="H3990" s="328">
        <v>9760.6738250000017</v>
      </c>
      <c r="I3990" s="329">
        <v>4.6405150614201853E-3</v>
      </c>
      <c r="J3990" s="329">
        <v>0.76996188072057481</v>
      </c>
      <c r="K3990" s="329">
        <v>1.015343171350259</v>
      </c>
    </row>
    <row r="3991" spans="1:11" ht="11.25" x14ac:dyDescent="0.15">
      <c r="A3991" s="326">
        <v>1.2250000000000001</v>
      </c>
      <c r="B3991" s="327">
        <v>0</v>
      </c>
      <c r="C3991" s="327" t="s">
        <v>116</v>
      </c>
      <c r="D3991" s="327" t="s">
        <v>113</v>
      </c>
      <c r="E3991" s="328" t="s">
        <v>3331</v>
      </c>
      <c r="F3991" s="328">
        <v>42.546050750000006</v>
      </c>
      <c r="G3991" s="328">
        <v>8993.4293749999997</v>
      </c>
      <c r="H3991" s="328">
        <v>9619.0381000000016</v>
      </c>
      <c r="I3991" s="329">
        <v>1.6890606781362909E-3</v>
      </c>
      <c r="J3991" s="329">
        <v>0.75048992518924817</v>
      </c>
      <c r="K3991" s="329">
        <v>1.000609673563492</v>
      </c>
    </row>
    <row r="3992" spans="1:11" ht="11.25" x14ac:dyDescent="0.15">
      <c r="A3992" s="326">
        <v>1.25</v>
      </c>
      <c r="B3992" s="327">
        <v>0</v>
      </c>
      <c r="C3992" s="327" t="s">
        <v>116</v>
      </c>
      <c r="D3992" s="327" t="s">
        <v>79</v>
      </c>
      <c r="E3992" s="328" t="s">
        <v>3332</v>
      </c>
      <c r="F3992" s="328">
        <v>1132.1958750000001</v>
      </c>
      <c r="G3992" s="328">
        <v>10571.377499999999</v>
      </c>
      <c r="H3992" s="328">
        <v>10340.11125</v>
      </c>
      <c r="I3992" s="329">
        <v>4.4947709568804367E-2</v>
      </c>
      <c r="J3992" s="329">
        <v>0.88216763353660088</v>
      </c>
      <c r="K3992" s="329">
        <v>1.0756185010300239</v>
      </c>
    </row>
    <row r="3993" spans="1:11" ht="11.25" x14ac:dyDescent="0.15">
      <c r="A3993" s="326">
        <v>1.25</v>
      </c>
      <c r="B3993" s="327">
        <v>0</v>
      </c>
      <c r="C3993" s="327" t="s">
        <v>116</v>
      </c>
      <c r="D3993" s="327" t="s">
        <v>114</v>
      </c>
      <c r="E3993" s="328" t="s">
        <v>3333</v>
      </c>
      <c r="F3993" s="328">
        <v>127.364625</v>
      </c>
      <c r="G3993" s="328">
        <v>9811.1937500000004</v>
      </c>
      <c r="H3993" s="328">
        <v>10184.3125</v>
      </c>
      <c r="I3993" s="329">
        <v>5.0563231153263827E-3</v>
      </c>
      <c r="J3993" s="329">
        <v>0.8187312933065336</v>
      </c>
      <c r="K3993" s="329">
        <v>1.0594117104176548</v>
      </c>
    </row>
    <row r="3994" spans="1:11" ht="11.25" x14ac:dyDescent="0.15">
      <c r="A3994" s="326">
        <v>1.25</v>
      </c>
      <c r="B3994" s="327">
        <v>0</v>
      </c>
      <c r="C3994" s="327" t="s">
        <v>116</v>
      </c>
      <c r="D3994" s="327" t="s">
        <v>113</v>
      </c>
      <c r="E3994" s="328" t="s">
        <v>3334</v>
      </c>
      <c r="F3994" s="328">
        <v>46.963274999999996</v>
      </c>
      <c r="G3994" s="328">
        <v>9499.48</v>
      </c>
      <c r="H3994" s="328">
        <v>10037.946249999999</v>
      </c>
      <c r="I3994" s="329">
        <v>1.8644226601690194E-3</v>
      </c>
      <c r="J3994" s="329">
        <v>0.79271918833929356</v>
      </c>
      <c r="K3994" s="329">
        <v>1.0441861250617539</v>
      </c>
    </row>
    <row r="3995" spans="1:11" ht="11.25" x14ac:dyDescent="0.15">
      <c r="A3995" s="326">
        <v>1.2749999999999999</v>
      </c>
      <c r="B3995" s="327">
        <v>0</v>
      </c>
      <c r="C3995" s="327" t="s">
        <v>116</v>
      </c>
      <c r="D3995" s="327" t="s">
        <v>79</v>
      </c>
      <c r="E3995" s="328" t="s">
        <v>3335</v>
      </c>
      <c r="F3995" s="328">
        <v>1224.8492775</v>
      </c>
      <c r="G3995" s="328">
        <v>11275.421700000001</v>
      </c>
      <c r="H3995" s="328">
        <v>10779.056549999999</v>
      </c>
      <c r="I3995" s="329">
        <v>4.8626011458158563E-2</v>
      </c>
      <c r="J3995" s="329">
        <v>0.94091920170443621</v>
      </c>
      <c r="K3995" s="329">
        <v>1.1212792946332042</v>
      </c>
    </row>
    <row r="3996" spans="1:11" ht="11.25" x14ac:dyDescent="0.15">
      <c r="A3996" s="326">
        <v>1.2749999999999999</v>
      </c>
      <c r="B3996" s="327">
        <v>0</v>
      </c>
      <c r="C3996" s="327" t="s">
        <v>116</v>
      </c>
      <c r="D3996" s="327" t="s">
        <v>114</v>
      </c>
      <c r="E3996" s="328" t="s">
        <v>3336</v>
      </c>
      <c r="F3996" s="328">
        <v>138.7497075</v>
      </c>
      <c r="G3996" s="328">
        <v>10430.905049999999</v>
      </c>
      <c r="H3996" s="328">
        <v>10616.752875000002</v>
      </c>
      <c r="I3996" s="329">
        <v>5.5083061978710678E-3</v>
      </c>
      <c r="J3996" s="329">
        <v>0.87044539120880693</v>
      </c>
      <c r="K3996" s="329">
        <v>1.1043958364774555</v>
      </c>
    </row>
    <row r="3997" spans="1:11" ht="11.25" x14ac:dyDescent="0.15">
      <c r="A3997" s="326">
        <v>1.2749999999999999</v>
      </c>
      <c r="B3997" s="327">
        <v>0</v>
      </c>
      <c r="C3997" s="327" t="s">
        <v>116</v>
      </c>
      <c r="D3997" s="327" t="s">
        <v>113</v>
      </c>
      <c r="E3997" s="328" t="s">
        <v>3337</v>
      </c>
      <c r="F3997" s="328">
        <v>51.839613</v>
      </c>
      <c r="G3997" s="328">
        <v>10035.866699999999</v>
      </c>
      <c r="H3997" s="328">
        <v>10466.065724999999</v>
      </c>
      <c r="I3997" s="329">
        <v>2.0580112688391617E-3</v>
      </c>
      <c r="J3997" s="329">
        <v>0.83747995729296165</v>
      </c>
      <c r="K3997" s="329">
        <v>1.088720774334629</v>
      </c>
    </row>
    <row r="3998" spans="1:11" ht="11.25" x14ac:dyDescent="0.15">
      <c r="A3998" s="326">
        <v>1.3</v>
      </c>
      <c r="B3998" s="327">
        <v>0</v>
      </c>
      <c r="C3998" s="327" t="s">
        <v>116</v>
      </c>
      <c r="D3998" s="327" t="s">
        <v>79</v>
      </c>
      <c r="E3998" s="328" t="s">
        <v>3338</v>
      </c>
      <c r="F3998" s="328">
        <v>1324.1085</v>
      </c>
      <c r="G3998" s="328">
        <v>12016.114500000001</v>
      </c>
      <c r="H3998" s="328">
        <v>11227.1705</v>
      </c>
      <c r="I3998" s="329">
        <v>5.2566561678724713E-2</v>
      </c>
      <c r="J3998" s="329">
        <v>1.0027290476354513</v>
      </c>
      <c r="K3998" s="329">
        <v>1.1678938467918809</v>
      </c>
    </row>
    <row r="3999" spans="1:11" ht="11.25" x14ac:dyDescent="0.15">
      <c r="A3999" s="326">
        <v>1.3</v>
      </c>
      <c r="B3999" s="327">
        <v>0</v>
      </c>
      <c r="C3999" s="327" t="s">
        <v>116</v>
      </c>
      <c r="D3999" s="327" t="s">
        <v>114</v>
      </c>
      <c r="E3999" s="328" t="s">
        <v>3339</v>
      </c>
      <c r="F3999" s="328">
        <v>151.12681999999998</v>
      </c>
      <c r="G3999" s="328">
        <v>11083.777900000001</v>
      </c>
      <c r="H3999" s="328">
        <v>11059.1494</v>
      </c>
      <c r="I3999" s="329">
        <v>5.9996724625206513E-3</v>
      </c>
      <c r="J3999" s="329">
        <v>0.92492677711001026</v>
      </c>
      <c r="K3999" s="329">
        <v>1.1504156398989507</v>
      </c>
    </row>
    <row r="4000" spans="1:11" ht="11.25" x14ac:dyDescent="0.15">
      <c r="A4000" s="326">
        <v>1.3</v>
      </c>
      <c r="B4000" s="327">
        <v>0</v>
      </c>
      <c r="C4000" s="327" t="s">
        <v>116</v>
      </c>
      <c r="D4000" s="327" t="s">
        <v>113</v>
      </c>
      <c r="E4000" s="328" t="s">
        <v>3340</v>
      </c>
      <c r="F4000" s="328">
        <v>57.224206000000009</v>
      </c>
      <c r="G4000" s="328">
        <v>10603.253699999999</v>
      </c>
      <c r="H4000" s="328">
        <v>10903.1</v>
      </c>
      <c r="I4000" s="329">
        <v>2.2717773915166689E-3</v>
      </c>
      <c r="J4000" s="329">
        <v>0.88482766075823205</v>
      </c>
      <c r="K4000" s="329">
        <v>1.1341827757008371</v>
      </c>
    </row>
    <row r="4001" spans="1:11" ht="11.25" x14ac:dyDescent="0.15">
      <c r="A4001" s="326">
        <v>1.325</v>
      </c>
      <c r="B4001" s="327">
        <v>0</v>
      </c>
      <c r="C4001" s="327" t="s">
        <v>116</v>
      </c>
      <c r="D4001" s="327" t="s">
        <v>79</v>
      </c>
      <c r="E4001" s="328" t="s">
        <v>3341</v>
      </c>
      <c r="F4001" s="328">
        <v>1430.397125</v>
      </c>
      <c r="G4001" s="328">
        <v>12792.189974999999</v>
      </c>
      <c r="H4001" s="328">
        <v>11684.959025000002</v>
      </c>
      <c r="I4001" s="329">
        <v>5.6786176281160491E-2</v>
      </c>
      <c r="J4001" s="329">
        <v>1.0674915315432052</v>
      </c>
      <c r="K4001" s="329">
        <v>1.2155147857879915</v>
      </c>
    </row>
    <row r="4002" spans="1:11" ht="11.25" x14ac:dyDescent="0.15">
      <c r="A4002" s="326">
        <v>1.325</v>
      </c>
      <c r="B4002" s="327">
        <v>0</v>
      </c>
      <c r="C4002" s="327" t="s">
        <v>116</v>
      </c>
      <c r="D4002" s="327" t="s">
        <v>114</v>
      </c>
      <c r="E4002" s="328" t="s">
        <v>3342</v>
      </c>
      <c r="F4002" s="328">
        <v>164.58725999999999</v>
      </c>
      <c r="G4002" s="328">
        <v>11772.072475000001</v>
      </c>
      <c r="H4002" s="328">
        <v>11510.118650000002</v>
      </c>
      <c r="I4002" s="329">
        <v>6.5340463823941163E-3</v>
      </c>
      <c r="J4002" s="329">
        <v>0.98236405965940654</v>
      </c>
      <c r="K4002" s="329">
        <v>1.1973272114447244</v>
      </c>
    </row>
    <row r="4003" spans="1:11" ht="11.25" x14ac:dyDescent="0.15">
      <c r="A4003" s="326">
        <v>1.325</v>
      </c>
      <c r="B4003" s="327">
        <v>0</v>
      </c>
      <c r="C4003" s="327" t="s">
        <v>116</v>
      </c>
      <c r="D4003" s="327" t="s">
        <v>113</v>
      </c>
      <c r="E4003" s="328" t="s">
        <v>3343</v>
      </c>
      <c r="F4003" s="328">
        <v>63.17079274999999</v>
      </c>
      <c r="G4003" s="328">
        <v>11203.595799999999</v>
      </c>
      <c r="H4003" s="328">
        <v>11349.378924999999</v>
      </c>
      <c r="I4003" s="329">
        <v>2.5078544344264916E-3</v>
      </c>
      <c r="J4003" s="329">
        <v>0.93492542423980229</v>
      </c>
      <c r="K4003" s="329">
        <v>1.1806064414374886</v>
      </c>
    </row>
    <row r="4004" spans="1:11" ht="11.25" x14ac:dyDescent="0.15">
      <c r="A4004" s="326">
        <v>1.35</v>
      </c>
      <c r="B4004" s="327">
        <v>0</v>
      </c>
      <c r="C4004" s="327" t="s">
        <v>116</v>
      </c>
      <c r="D4004" s="327" t="s">
        <v>79</v>
      </c>
      <c r="E4004" s="328" t="s">
        <v>3344</v>
      </c>
      <c r="F4004" s="328">
        <v>1544.1704999999999</v>
      </c>
      <c r="G4004" s="328">
        <v>13603.990500000002</v>
      </c>
      <c r="H4004" s="328">
        <v>12152.4354</v>
      </c>
      <c r="I4004" s="329">
        <v>6.1302932373530697E-2</v>
      </c>
      <c r="J4004" s="329">
        <v>1.1352352241738981</v>
      </c>
      <c r="K4004" s="329">
        <v>1.2641434925385546</v>
      </c>
    </row>
    <row r="4005" spans="1:11" ht="11.25" x14ac:dyDescent="0.15">
      <c r="A4005" s="326">
        <v>1.35</v>
      </c>
      <c r="B4005" s="327">
        <v>0</v>
      </c>
      <c r="C4005" s="327" t="s">
        <v>116</v>
      </c>
      <c r="D4005" s="327" t="s">
        <v>114</v>
      </c>
      <c r="E4005" s="328" t="s">
        <v>3345</v>
      </c>
      <c r="F4005" s="328">
        <v>179.22667499999997</v>
      </c>
      <c r="G4005" s="328">
        <v>12496.507200000002</v>
      </c>
      <c r="H4005" s="328">
        <v>11970.143550000003</v>
      </c>
      <c r="I4005" s="329">
        <v>7.1152251238174565E-3</v>
      </c>
      <c r="J4005" s="329">
        <v>1.0428171904841255</v>
      </c>
      <c r="K4005" s="329">
        <v>1.245180786847454</v>
      </c>
    </row>
    <row r="4006" spans="1:11" ht="11.25" x14ac:dyDescent="0.15">
      <c r="A4006" s="326">
        <v>1.35</v>
      </c>
      <c r="B4006" s="327">
        <v>0</v>
      </c>
      <c r="C4006" s="327" t="s">
        <v>116</v>
      </c>
      <c r="D4006" s="327" t="s">
        <v>113</v>
      </c>
      <c r="E4006" s="328" t="s">
        <v>3346</v>
      </c>
      <c r="F4006" s="328">
        <v>69.739231500000002</v>
      </c>
      <c r="G4006" s="328">
        <v>11835.8469</v>
      </c>
      <c r="H4006" s="328">
        <v>11804.5674</v>
      </c>
      <c r="I4006" s="329">
        <v>2.7686187454212486E-3</v>
      </c>
      <c r="J4006" s="329">
        <v>0.98768595206012788</v>
      </c>
      <c r="K4006" s="329">
        <v>1.2279569131420986</v>
      </c>
    </row>
    <row r="4007" spans="1:11" ht="11.25" x14ac:dyDescent="0.15">
      <c r="A4007" s="326">
        <v>1.375</v>
      </c>
      <c r="B4007" s="327">
        <v>0</v>
      </c>
      <c r="C4007" s="327" t="s">
        <v>116</v>
      </c>
      <c r="D4007" s="327" t="s">
        <v>79</v>
      </c>
      <c r="E4007" s="328" t="s">
        <v>3347</v>
      </c>
      <c r="F4007" s="328">
        <v>1665.907375</v>
      </c>
      <c r="G4007" s="328">
        <v>14452.872500000001</v>
      </c>
      <c r="H4007" s="328">
        <v>12629.083499999999</v>
      </c>
      <c r="I4007" s="329">
        <v>6.6135836133504072E-2</v>
      </c>
      <c r="J4007" s="329">
        <v>1.206073317420669</v>
      </c>
      <c r="K4007" s="329">
        <v>1.3137262777180474</v>
      </c>
    </row>
    <row r="4008" spans="1:11" ht="11.25" x14ac:dyDescent="0.15">
      <c r="A4008" s="326">
        <v>1.375</v>
      </c>
      <c r="B4008" s="327">
        <v>0</v>
      </c>
      <c r="C4008" s="327" t="s">
        <v>116</v>
      </c>
      <c r="D4008" s="327" t="s">
        <v>114</v>
      </c>
      <c r="E4008" s="328" t="s">
        <v>3348</v>
      </c>
      <c r="F4008" s="328">
        <v>195.15375</v>
      </c>
      <c r="G4008" s="328">
        <v>13254.6425</v>
      </c>
      <c r="H4008" s="328">
        <v>12439.999000000002</v>
      </c>
      <c r="I4008" s="329">
        <v>7.7475234364928723E-3</v>
      </c>
      <c r="J4008" s="329">
        <v>1.1060825902394136</v>
      </c>
      <c r="K4008" s="329">
        <v>1.2940569742124388</v>
      </c>
    </row>
    <row r="4009" spans="1:11" ht="11.25" x14ac:dyDescent="0.15">
      <c r="A4009" s="326">
        <v>1.375</v>
      </c>
      <c r="B4009" s="327">
        <v>0</v>
      </c>
      <c r="C4009" s="327" t="s">
        <v>116</v>
      </c>
      <c r="D4009" s="327" t="s">
        <v>113</v>
      </c>
      <c r="E4009" s="328" t="s">
        <v>3349</v>
      </c>
      <c r="F4009" s="328">
        <v>76.995379999999997</v>
      </c>
      <c r="G4009" s="328">
        <v>12502.065125000001</v>
      </c>
      <c r="H4009" s="328">
        <v>12269.2515</v>
      </c>
      <c r="I4009" s="329">
        <v>3.0566848500306787E-3</v>
      </c>
      <c r="J4009" s="329">
        <v>1.0432809920600905</v>
      </c>
      <c r="K4009" s="329">
        <v>1.2762951566106575</v>
      </c>
    </row>
    <row r="4010" spans="1:11" ht="11.25" x14ac:dyDescent="0.15">
      <c r="A4010" s="326">
        <v>1.4</v>
      </c>
      <c r="B4010" s="327">
        <v>0</v>
      </c>
      <c r="C4010" s="327" t="s">
        <v>116</v>
      </c>
      <c r="D4010" s="327" t="s">
        <v>79</v>
      </c>
      <c r="E4010" s="328" t="s">
        <v>3350</v>
      </c>
      <c r="F4010" s="328">
        <v>1796.1201999999998</v>
      </c>
      <c r="G4010" s="328">
        <v>15336.593999999997</v>
      </c>
      <c r="H4010" s="328">
        <v>13115.803400000001</v>
      </c>
      <c r="I4010" s="329">
        <v>7.1305231614858869E-2</v>
      </c>
      <c r="J4010" s="329">
        <v>1.2798187214004637</v>
      </c>
      <c r="K4010" s="329">
        <v>1.36435677062106</v>
      </c>
    </row>
    <row r="4011" spans="1:11" ht="11.25" x14ac:dyDescent="0.15">
      <c r="A4011" s="326">
        <v>1.4</v>
      </c>
      <c r="B4011" s="327">
        <v>0</v>
      </c>
      <c r="C4011" s="327" t="s">
        <v>116</v>
      </c>
      <c r="D4011" s="327" t="s">
        <v>114</v>
      </c>
      <c r="E4011" s="328" t="s">
        <v>3351</v>
      </c>
      <c r="F4011" s="328">
        <v>212.48541999999998</v>
      </c>
      <c r="G4011" s="328">
        <v>14050.945999999998</v>
      </c>
      <c r="H4011" s="328">
        <v>12919.083799999999</v>
      </c>
      <c r="I4011" s="329">
        <v>8.4355835917220706E-3</v>
      </c>
      <c r="J4011" s="329">
        <v>1.1725330763914701</v>
      </c>
      <c r="K4011" s="329">
        <v>1.3438932343824892</v>
      </c>
    </row>
    <row r="4012" spans="1:11" ht="11.25" x14ac:dyDescent="0.15">
      <c r="A4012" s="326">
        <v>1.4</v>
      </c>
      <c r="B4012" s="327">
        <v>0</v>
      </c>
      <c r="C4012" s="327" t="s">
        <v>116</v>
      </c>
      <c r="D4012" s="327" t="s">
        <v>113</v>
      </c>
      <c r="E4012" s="328" t="s">
        <v>3352</v>
      </c>
      <c r="F4012" s="328">
        <v>85.012802000000008</v>
      </c>
      <c r="G4012" s="328">
        <v>13203.127</v>
      </c>
      <c r="H4012" s="328">
        <v>12743.109399999999</v>
      </c>
      <c r="I4012" s="329">
        <v>3.3749731988082636E-3</v>
      </c>
      <c r="J4012" s="329">
        <v>1.1017836891051522</v>
      </c>
      <c r="K4012" s="329">
        <v>1.3255876943576992</v>
      </c>
    </row>
    <row r="4013" spans="1:11" ht="11.25" x14ac:dyDescent="0.15">
      <c r="A4013" s="326">
        <v>0.9</v>
      </c>
      <c r="B4013" s="327">
        <v>25</v>
      </c>
      <c r="C4013" s="327" t="s">
        <v>116</v>
      </c>
      <c r="D4013" s="327" t="s">
        <v>79</v>
      </c>
      <c r="E4013" s="328" t="s">
        <v>3353</v>
      </c>
      <c r="F4013" s="328">
        <v>807.27966000000004</v>
      </c>
      <c r="G4013" s="328">
        <v>4203.0297</v>
      </c>
      <c r="H4013" s="328">
        <v>5187.8268000000007</v>
      </c>
      <c r="I4013" s="329">
        <v>3.2048669757327224E-2</v>
      </c>
      <c r="J4013" s="329">
        <v>0.35073733429092374</v>
      </c>
      <c r="K4013" s="329">
        <v>0.53965787710643698</v>
      </c>
    </row>
    <row r="4014" spans="1:11" ht="11.25" x14ac:dyDescent="0.15">
      <c r="A4014" s="326">
        <v>0.9</v>
      </c>
      <c r="B4014" s="327">
        <v>25</v>
      </c>
      <c r="C4014" s="327" t="s">
        <v>116</v>
      </c>
      <c r="D4014" s="327" t="s">
        <v>114</v>
      </c>
      <c r="E4014" s="328" t="s">
        <v>3354</v>
      </c>
      <c r="F4014" s="328">
        <v>105.23663999999999</v>
      </c>
      <c r="G4014" s="328">
        <v>4269.8042999999998</v>
      </c>
      <c r="H4014" s="328">
        <v>5097.0582000000004</v>
      </c>
      <c r="I4014" s="329">
        <v>4.1778512315431456E-3</v>
      </c>
      <c r="J4014" s="329">
        <v>0.3563095873735852</v>
      </c>
      <c r="K4014" s="329">
        <v>0.53021577507174233</v>
      </c>
    </row>
    <row r="4015" spans="1:11" ht="11.25" x14ac:dyDescent="0.15">
      <c r="A4015" s="326">
        <v>0.9</v>
      </c>
      <c r="B4015" s="327">
        <v>25</v>
      </c>
      <c r="C4015" s="327" t="s">
        <v>116</v>
      </c>
      <c r="D4015" s="327" t="s">
        <v>113</v>
      </c>
      <c r="E4015" s="328" t="s">
        <v>3355</v>
      </c>
      <c r="F4015" s="328">
        <v>32.196375000000003</v>
      </c>
      <c r="G4015" s="328">
        <v>4518.7056000000002</v>
      </c>
      <c r="H4015" s="328">
        <v>5007.1319999999996</v>
      </c>
      <c r="I4015" s="329">
        <v>1.2781828167924686E-3</v>
      </c>
      <c r="J4015" s="329">
        <v>0.37708007549636618</v>
      </c>
      <c r="K4015" s="329">
        <v>0.52086130275430698</v>
      </c>
    </row>
    <row r="4016" spans="1:11" ht="11.25" x14ac:dyDescent="0.15">
      <c r="A4016" s="326">
        <v>0.92500000000000004</v>
      </c>
      <c r="B4016" s="327">
        <v>25</v>
      </c>
      <c r="C4016" s="327" t="s">
        <v>116</v>
      </c>
      <c r="D4016" s="327" t="s">
        <v>79</v>
      </c>
      <c r="E4016" s="328" t="s">
        <v>3356</v>
      </c>
      <c r="F4016" s="328">
        <v>879.98006499999997</v>
      </c>
      <c r="G4016" s="328">
        <v>4514.3783250000006</v>
      </c>
      <c r="H4016" s="328">
        <v>5498.285100000001</v>
      </c>
      <c r="I4016" s="329">
        <v>3.4934845870161456E-2</v>
      </c>
      <c r="J4016" s="329">
        <v>0.37671897005420296</v>
      </c>
      <c r="K4016" s="329">
        <v>0.57195295432606841</v>
      </c>
    </row>
    <row r="4017" spans="1:11" ht="11.25" x14ac:dyDescent="0.15">
      <c r="A4017" s="326">
        <v>0.92500000000000004</v>
      </c>
      <c r="B4017" s="327">
        <v>25</v>
      </c>
      <c r="C4017" s="327" t="s">
        <v>116</v>
      </c>
      <c r="D4017" s="327" t="s">
        <v>114</v>
      </c>
      <c r="E4017" s="328" t="s">
        <v>3357</v>
      </c>
      <c r="F4017" s="328">
        <v>114.40446249999999</v>
      </c>
      <c r="G4017" s="328">
        <v>4543.7239500000005</v>
      </c>
      <c r="H4017" s="328">
        <v>5403.8944000000001</v>
      </c>
      <c r="I4017" s="329">
        <v>4.5418100059984494E-3</v>
      </c>
      <c r="J4017" s="329">
        <v>0.37916782410003591</v>
      </c>
      <c r="K4017" s="329">
        <v>0.56213406739241223</v>
      </c>
    </row>
    <row r="4018" spans="1:11" ht="11.25" x14ac:dyDescent="0.15">
      <c r="A4018" s="326">
        <v>0.92500000000000004</v>
      </c>
      <c r="B4018" s="327">
        <v>25</v>
      </c>
      <c r="C4018" s="327" t="s">
        <v>116</v>
      </c>
      <c r="D4018" s="327" t="s">
        <v>113</v>
      </c>
      <c r="E4018" s="328" t="s">
        <v>3358</v>
      </c>
      <c r="F4018" s="328">
        <v>35.081892250000003</v>
      </c>
      <c r="G4018" s="328">
        <v>4778.9866000000002</v>
      </c>
      <c r="H4018" s="328">
        <v>5310.5322999999999</v>
      </c>
      <c r="I4018" s="329">
        <v>1.3927366622644591E-3</v>
      </c>
      <c r="J4018" s="329">
        <v>0.39880018470867462</v>
      </c>
      <c r="K4018" s="329">
        <v>0.55242217942263672</v>
      </c>
    </row>
    <row r="4019" spans="1:11" ht="11.25" x14ac:dyDescent="0.15">
      <c r="A4019" s="326">
        <v>0.95</v>
      </c>
      <c r="B4019" s="327">
        <v>25</v>
      </c>
      <c r="C4019" s="327" t="s">
        <v>116</v>
      </c>
      <c r="D4019" s="327" t="s">
        <v>79</v>
      </c>
      <c r="E4019" s="328" t="s">
        <v>3359</v>
      </c>
      <c r="F4019" s="328">
        <v>957.99424999999997</v>
      </c>
      <c r="G4019" s="328">
        <v>4848.5947999999999</v>
      </c>
      <c r="H4019" s="328">
        <v>5817.9443999999994</v>
      </c>
      <c r="I4019" s="329">
        <v>3.8031976858760905E-2</v>
      </c>
      <c r="J4019" s="329">
        <v>0.4046088980072719</v>
      </c>
      <c r="K4019" s="329">
        <v>0.60520515527374241</v>
      </c>
    </row>
    <row r="4020" spans="1:11" ht="11.25" x14ac:dyDescent="0.15">
      <c r="A4020" s="326">
        <v>0.95</v>
      </c>
      <c r="B4020" s="327">
        <v>25</v>
      </c>
      <c r="C4020" s="327" t="s">
        <v>116</v>
      </c>
      <c r="D4020" s="327" t="s">
        <v>114</v>
      </c>
      <c r="E4020" s="328" t="s">
        <v>3360</v>
      </c>
      <c r="F4020" s="328">
        <v>124.25249499999997</v>
      </c>
      <c r="G4020" s="328">
        <v>4834.8340499999995</v>
      </c>
      <c r="H4020" s="328">
        <v>5719.7010999999993</v>
      </c>
      <c r="I4020" s="329">
        <v>4.9327728370846735E-3</v>
      </c>
      <c r="J4020" s="329">
        <v>0.40346058140773799</v>
      </c>
      <c r="K4020" s="329">
        <v>0.59498550593658051</v>
      </c>
    </row>
    <row r="4021" spans="1:11" ht="11.25" x14ac:dyDescent="0.15">
      <c r="A4021" s="326">
        <v>0.95</v>
      </c>
      <c r="B4021" s="327">
        <v>25</v>
      </c>
      <c r="C4021" s="327" t="s">
        <v>116</v>
      </c>
      <c r="D4021" s="327" t="s">
        <v>113</v>
      </c>
      <c r="E4021" s="328" t="s">
        <v>3361</v>
      </c>
      <c r="F4021" s="328">
        <v>38.199728</v>
      </c>
      <c r="G4021" s="328">
        <v>5052.1845499999999</v>
      </c>
      <c r="H4021" s="328">
        <v>5622.7393499999998</v>
      </c>
      <c r="I4021" s="329">
        <v>1.5165134564293691E-3</v>
      </c>
      <c r="J4021" s="329">
        <v>0.42159819651352692</v>
      </c>
      <c r="K4021" s="329">
        <v>0.5848991684039696</v>
      </c>
    </row>
    <row r="4022" spans="1:11" ht="11.25" x14ac:dyDescent="0.15">
      <c r="A4022" s="326">
        <v>0.97499999999999998</v>
      </c>
      <c r="B4022" s="327">
        <v>25</v>
      </c>
      <c r="C4022" s="327" t="s">
        <v>116</v>
      </c>
      <c r="D4022" s="327" t="s">
        <v>79</v>
      </c>
      <c r="E4022" s="328" t="s">
        <v>3362</v>
      </c>
      <c r="F4022" s="328">
        <v>1041.6412499999999</v>
      </c>
      <c r="G4022" s="328">
        <v>5206.5828750000001</v>
      </c>
      <c r="H4022" s="328">
        <v>6146.6310750000002</v>
      </c>
      <c r="I4022" s="329">
        <v>4.1352728281125677E-2</v>
      </c>
      <c r="J4022" s="329">
        <v>0.43448253490625438</v>
      </c>
      <c r="K4022" s="329">
        <v>0.63939641880314046</v>
      </c>
    </row>
    <row r="4023" spans="1:11" ht="11.25" x14ac:dyDescent="0.15">
      <c r="A4023" s="326">
        <v>0.97499999999999998</v>
      </c>
      <c r="B4023" s="327">
        <v>25</v>
      </c>
      <c r="C4023" s="327" t="s">
        <v>116</v>
      </c>
      <c r="D4023" s="327" t="s">
        <v>114</v>
      </c>
      <c r="E4023" s="328" t="s">
        <v>3363</v>
      </c>
      <c r="F4023" s="328">
        <v>134.82758249999998</v>
      </c>
      <c r="G4023" s="328">
        <v>5145.4884000000002</v>
      </c>
      <c r="H4023" s="328">
        <v>6044.5544249999994</v>
      </c>
      <c r="I4023" s="329">
        <v>5.352599451993241E-3</v>
      </c>
      <c r="J4023" s="329">
        <v>0.42938428082981916</v>
      </c>
      <c r="K4023" s="329">
        <v>0.62877800952217966</v>
      </c>
    </row>
    <row r="4024" spans="1:11" ht="11.25" x14ac:dyDescent="0.15">
      <c r="A4024" s="326">
        <v>0.97499999999999998</v>
      </c>
      <c r="B4024" s="327">
        <v>25</v>
      </c>
      <c r="C4024" s="327" t="s">
        <v>116</v>
      </c>
      <c r="D4024" s="327" t="s">
        <v>113</v>
      </c>
      <c r="E4024" s="328" t="s">
        <v>3364</v>
      </c>
      <c r="F4024" s="328">
        <v>41.568393749999991</v>
      </c>
      <c r="G4024" s="328">
        <v>5338.5383999999995</v>
      </c>
      <c r="H4024" s="328">
        <v>5943.5044500000004</v>
      </c>
      <c r="I4024" s="329">
        <v>1.6502480982071252E-3</v>
      </c>
      <c r="J4024" s="329">
        <v>0.44549405097606926</v>
      </c>
      <c r="K4024" s="329">
        <v>0.61826639895912883</v>
      </c>
    </row>
    <row r="4025" spans="1:11" ht="11.25" x14ac:dyDescent="0.15">
      <c r="A4025" s="326">
        <v>1</v>
      </c>
      <c r="B4025" s="327">
        <v>25</v>
      </c>
      <c r="C4025" s="327" t="s">
        <v>116</v>
      </c>
      <c r="D4025" s="327" t="s">
        <v>79</v>
      </c>
      <c r="E4025" s="328" t="s">
        <v>3365</v>
      </c>
      <c r="F4025" s="328">
        <v>1131.2559999999999</v>
      </c>
      <c r="G4025" s="328">
        <v>5590.875</v>
      </c>
      <c r="H4025" s="328">
        <v>6484.0529999999999</v>
      </c>
      <c r="I4025" s="329">
        <v>4.4910396918702196E-2</v>
      </c>
      <c r="J4025" s="329">
        <v>0.4665512103932476</v>
      </c>
      <c r="K4025" s="329">
        <v>0.67449635693805798</v>
      </c>
    </row>
    <row r="4026" spans="1:11" ht="11.25" x14ac:dyDescent="0.15">
      <c r="A4026" s="326">
        <v>1</v>
      </c>
      <c r="B4026" s="327">
        <v>25</v>
      </c>
      <c r="C4026" s="327" t="s">
        <v>116</v>
      </c>
      <c r="D4026" s="327" t="s">
        <v>114</v>
      </c>
      <c r="E4026" s="328" t="s">
        <v>3366</v>
      </c>
      <c r="F4026" s="328">
        <v>146.1797</v>
      </c>
      <c r="G4026" s="328">
        <v>5476.4650000000001</v>
      </c>
      <c r="H4026" s="328">
        <v>6378.3389999999999</v>
      </c>
      <c r="I4026" s="329">
        <v>5.8032738376254467E-3</v>
      </c>
      <c r="J4026" s="329">
        <v>0.45700384544928241</v>
      </c>
      <c r="K4026" s="329">
        <v>0.66349957639395241</v>
      </c>
    </row>
    <row r="4027" spans="1:11" ht="11.25" x14ac:dyDescent="0.15">
      <c r="A4027" s="326">
        <v>1</v>
      </c>
      <c r="B4027" s="327">
        <v>25</v>
      </c>
      <c r="C4027" s="327" t="s">
        <v>116</v>
      </c>
      <c r="D4027" s="327" t="s">
        <v>113</v>
      </c>
      <c r="E4027" s="328" t="s">
        <v>3367</v>
      </c>
      <c r="F4027" s="328">
        <v>45.208600000000004</v>
      </c>
      <c r="G4027" s="328">
        <v>5641.2089999999998</v>
      </c>
      <c r="H4027" s="328">
        <v>6274.1230000000005</v>
      </c>
      <c r="I4027" s="329">
        <v>1.7947627859112708E-3</v>
      </c>
      <c r="J4027" s="329">
        <v>0.47075151689695832</v>
      </c>
      <c r="K4027" s="329">
        <v>0.65265862362341576</v>
      </c>
    </row>
    <row r="4028" spans="1:11" ht="11.25" x14ac:dyDescent="0.15">
      <c r="A4028" s="326">
        <v>1.0249999999999999</v>
      </c>
      <c r="B4028" s="327">
        <v>25</v>
      </c>
      <c r="C4028" s="327" t="s">
        <v>116</v>
      </c>
      <c r="D4028" s="327" t="s">
        <v>79</v>
      </c>
      <c r="E4028" s="328" t="s">
        <v>3368</v>
      </c>
      <c r="F4028" s="328">
        <v>1227.1894499999999</v>
      </c>
      <c r="G4028" s="328">
        <v>6002.2031999999999</v>
      </c>
      <c r="H4028" s="328">
        <v>6830.8541999999998</v>
      </c>
      <c r="I4028" s="329">
        <v>4.8718915341835839E-2</v>
      </c>
      <c r="J4028" s="329">
        <v>0.50087601099760304</v>
      </c>
      <c r="K4028" s="329">
        <v>0.71057196365838349</v>
      </c>
    </row>
    <row r="4029" spans="1:11" ht="11.25" x14ac:dyDescent="0.15">
      <c r="A4029" s="326">
        <v>1.0249999999999999</v>
      </c>
      <c r="B4029" s="327">
        <v>25</v>
      </c>
      <c r="C4029" s="327" t="s">
        <v>116</v>
      </c>
      <c r="D4029" s="327" t="s">
        <v>114</v>
      </c>
      <c r="E4029" s="328" t="s">
        <v>3369</v>
      </c>
      <c r="F4029" s="328">
        <v>158.36260249999998</v>
      </c>
      <c r="G4029" s="328">
        <v>5830.4644500000004</v>
      </c>
      <c r="H4029" s="328">
        <v>6721.1597249999995</v>
      </c>
      <c r="I4029" s="329">
        <v>6.2869300453245432E-3</v>
      </c>
      <c r="J4029" s="329">
        <v>0.48654463680592053</v>
      </c>
      <c r="K4029" s="329">
        <v>0.69916111865700348</v>
      </c>
    </row>
    <row r="4030" spans="1:11" ht="11.25" x14ac:dyDescent="0.15">
      <c r="A4030" s="326">
        <v>1.0249999999999999</v>
      </c>
      <c r="B4030" s="327">
        <v>25</v>
      </c>
      <c r="C4030" s="327" t="s">
        <v>116</v>
      </c>
      <c r="D4030" s="327" t="s">
        <v>113</v>
      </c>
      <c r="E4030" s="328" t="s">
        <v>3370</v>
      </c>
      <c r="F4030" s="328">
        <v>49.142538500000001</v>
      </c>
      <c r="G4030" s="328">
        <v>5959.3079749999997</v>
      </c>
      <c r="H4030" s="328">
        <v>6612.9904499999993</v>
      </c>
      <c r="I4030" s="329">
        <v>1.9509385228698053E-3</v>
      </c>
      <c r="J4030" s="329">
        <v>0.49729646054372229</v>
      </c>
      <c r="K4030" s="329">
        <v>0.6879089308787526</v>
      </c>
    </row>
    <row r="4031" spans="1:11" ht="11.25" x14ac:dyDescent="0.15">
      <c r="A4031" s="326">
        <v>1.05</v>
      </c>
      <c r="B4031" s="327">
        <v>25</v>
      </c>
      <c r="C4031" s="327" t="s">
        <v>116</v>
      </c>
      <c r="D4031" s="327" t="s">
        <v>79</v>
      </c>
      <c r="E4031" s="328" t="s">
        <v>3371</v>
      </c>
      <c r="F4031" s="328">
        <v>1329.8124</v>
      </c>
      <c r="G4031" s="328">
        <v>6441.9358499999998</v>
      </c>
      <c r="H4031" s="328">
        <v>7187.0305499999995</v>
      </c>
      <c r="I4031" s="329">
        <v>5.2793004157690199E-2</v>
      </c>
      <c r="J4031" s="329">
        <v>0.53757112582433952</v>
      </c>
      <c r="K4031" s="329">
        <v>0.74762280986560825</v>
      </c>
    </row>
    <row r="4032" spans="1:11" ht="11.25" x14ac:dyDescent="0.15">
      <c r="A4032" s="326">
        <v>1.05</v>
      </c>
      <c r="B4032" s="327">
        <v>25</v>
      </c>
      <c r="C4032" s="327" t="s">
        <v>116</v>
      </c>
      <c r="D4032" s="327" t="s">
        <v>114</v>
      </c>
      <c r="E4032" s="328" t="s">
        <v>3372</v>
      </c>
      <c r="F4032" s="328">
        <v>171.43392</v>
      </c>
      <c r="G4032" s="328">
        <v>6208.4484000000002</v>
      </c>
      <c r="H4032" s="328">
        <v>7073.1590999999999</v>
      </c>
      <c r="I4032" s="329">
        <v>6.8058559623365893E-3</v>
      </c>
      <c r="J4032" s="329">
        <v>0.51808690333517049</v>
      </c>
      <c r="K4032" s="329">
        <v>0.73577745971435971</v>
      </c>
    </row>
    <row r="4033" spans="1:11" ht="11.25" x14ac:dyDescent="0.15">
      <c r="A4033" s="326">
        <v>1.05</v>
      </c>
      <c r="B4033" s="327">
        <v>25</v>
      </c>
      <c r="C4033" s="327" t="s">
        <v>116</v>
      </c>
      <c r="D4033" s="327" t="s">
        <v>113</v>
      </c>
      <c r="E4033" s="328" t="s">
        <v>3373</v>
      </c>
      <c r="F4033" s="328">
        <v>53.394641999999997</v>
      </c>
      <c r="G4033" s="328">
        <v>6295.5837000000001</v>
      </c>
      <c r="H4033" s="328">
        <v>6960.709350000001</v>
      </c>
      <c r="I4033" s="329">
        <v>2.1197452791870339E-3</v>
      </c>
      <c r="J4033" s="329">
        <v>0.52535823021745265</v>
      </c>
      <c r="K4033" s="329">
        <v>0.72408000031456843</v>
      </c>
    </row>
    <row r="4034" spans="1:11" ht="11.25" x14ac:dyDescent="0.15">
      <c r="A4034" s="326">
        <v>1.075</v>
      </c>
      <c r="B4034" s="327">
        <v>25</v>
      </c>
      <c r="C4034" s="327" t="s">
        <v>116</v>
      </c>
      <c r="D4034" s="327" t="s">
        <v>79</v>
      </c>
      <c r="E4034" s="328" t="s">
        <v>3374</v>
      </c>
      <c r="F4034" s="328">
        <v>1439.5120749999999</v>
      </c>
      <c r="G4034" s="328">
        <v>6911.1631749999997</v>
      </c>
      <c r="H4034" s="328">
        <v>7551.9631499999987</v>
      </c>
      <c r="I4034" s="329">
        <v>5.7148036039158787E-2</v>
      </c>
      <c r="J4034" s="329">
        <v>0.57672753272457178</v>
      </c>
      <c r="K4034" s="329">
        <v>0.78558451517985128</v>
      </c>
    </row>
    <row r="4035" spans="1:11" ht="11.25" x14ac:dyDescent="0.15">
      <c r="A4035" s="326">
        <v>1.075</v>
      </c>
      <c r="B4035" s="327">
        <v>25</v>
      </c>
      <c r="C4035" s="327" t="s">
        <v>116</v>
      </c>
      <c r="D4035" s="327" t="s">
        <v>114</v>
      </c>
      <c r="E4035" s="328" t="s">
        <v>3375</v>
      </c>
      <c r="F4035" s="328">
        <v>185.45523750000001</v>
      </c>
      <c r="G4035" s="328">
        <v>6611.6853749999991</v>
      </c>
      <c r="H4035" s="328">
        <v>7433.7174500000001</v>
      </c>
      <c r="I4035" s="329">
        <v>7.3624964877774665E-3</v>
      </c>
      <c r="J4035" s="329">
        <v>0.5517365017900745</v>
      </c>
      <c r="K4035" s="329">
        <v>0.77328413856763212</v>
      </c>
    </row>
    <row r="4036" spans="1:11" ht="11.25" x14ac:dyDescent="0.15">
      <c r="A4036" s="326">
        <v>1.075</v>
      </c>
      <c r="B4036" s="327">
        <v>25</v>
      </c>
      <c r="C4036" s="327" t="s">
        <v>116</v>
      </c>
      <c r="D4036" s="327" t="s">
        <v>113</v>
      </c>
      <c r="E4036" s="328" t="s">
        <v>3376</v>
      </c>
      <c r="F4036" s="328">
        <v>57.991004000000004</v>
      </c>
      <c r="G4036" s="328">
        <v>6652.1999749999995</v>
      </c>
      <c r="H4036" s="328">
        <v>7317.5679999999993</v>
      </c>
      <c r="I4036" s="329">
        <v>2.3022189560577334E-3</v>
      </c>
      <c r="J4036" s="329">
        <v>0.5551173921996434</v>
      </c>
      <c r="K4036" s="329">
        <v>0.7612018220157224</v>
      </c>
    </row>
    <row r="4037" spans="1:11" ht="11.25" x14ac:dyDescent="0.15">
      <c r="A4037" s="326">
        <v>1.1000000000000001</v>
      </c>
      <c r="B4037" s="327">
        <v>25</v>
      </c>
      <c r="C4037" s="327" t="s">
        <v>116</v>
      </c>
      <c r="D4037" s="327" t="s">
        <v>79</v>
      </c>
      <c r="E4037" s="328" t="s">
        <v>3377</v>
      </c>
      <c r="F4037" s="328">
        <v>1556.6969000000001</v>
      </c>
      <c r="G4037" s="328">
        <v>7410.8177000000005</v>
      </c>
      <c r="H4037" s="328">
        <v>7926.5681000000004</v>
      </c>
      <c r="I4037" s="329">
        <v>6.1800225290396943E-2</v>
      </c>
      <c r="J4037" s="329">
        <v>0.61842304969055895</v>
      </c>
      <c r="K4037" s="329">
        <v>0.82455237587839347</v>
      </c>
    </row>
    <row r="4038" spans="1:11" ht="11.25" x14ac:dyDescent="0.15">
      <c r="A4038" s="326">
        <v>1.1000000000000001</v>
      </c>
      <c r="B4038" s="327">
        <v>25</v>
      </c>
      <c r="C4038" s="327" t="s">
        <v>116</v>
      </c>
      <c r="D4038" s="327" t="s">
        <v>114</v>
      </c>
      <c r="E4038" s="328" t="s">
        <v>3378</v>
      </c>
      <c r="F4038" s="328">
        <v>200.49304000000001</v>
      </c>
      <c r="G4038" s="328">
        <v>7041.680800000001</v>
      </c>
      <c r="H4038" s="328">
        <v>7803.6948000000002</v>
      </c>
      <c r="I4038" s="329">
        <v>7.9594910487433782E-3</v>
      </c>
      <c r="J4038" s="329">
        <v>0.5876190579190006</v>
      </c>
      <c r="K4038" s="329">
        <v>0.81177061835498066</v>
      </c>
    </row>
    <row r="4039" spans="1:11" ht="11.25" x14ac:dyDescent="0.15">
      <c r="A4039" s="326">
        <v>1.1000000000000001</v>
      </c>
      <c r="B4039" s="327">
        <v>25</v>
      </c>
      <c r="C4039" s="327" t="s">
        <v>116</v>
      </c>
      <c r="D4039" s="327" t="s">
        <v>113</v>
      </c>
      <c r="E4039" s="328" t="s">
        <v>3379</v>
      </c>
      <c r="F4039" s="328">
        <v>62.961063000000003</v>
      </c>
      <c r="G4039" s="328">
        <v>7029.4917000000005</v>
      </c>
      <c r="H4039" s="328">
        <v>7683.5440000000008</v>
      </c>
      <c r="I4039" s="329">
        <v>2.4995282497979375E-3</v>
      </c>
      <c r="J4039" s="329">
        <v>0.58660189345751568</v>
      </c>
      <c r="K4039" s="329">
        <v>0.79927206584728328</v>
      </c>
    </row>
    <row r="4040" spans="1:11" ht="11.25" x14ac:dyDescent="0.15">
      <c r="A4040" s="326">
        <v>1.125</v>
      </c>
      <c r="B4040" s="327">
        <v>25</v>
      </c>
      <c r="C4040" s="327" t="s">
        <v>116</v>
      </c>
      <c r="D4040" s="327" t="s">
        <v>79</v>
      </c>
      <c r="E4040" s="328" t="s">
        <v>3380</v>
      </c>
      <c r="F4040" s="328">
        <v>1681.7951250000001</v>
      </c>
      <c r="G4040" s="328">
        <v>7941.3468749999993</v>
      </c>
      <c r="H4040" s="328">
        <v>8310.0059999999994</v>
      </c>
      <c r="I4040" s="329">
        <v>6.6766573259888468E-2</v>
      </c>
      <c r="J4040" s="329">
        <v>0.66269501583989698</v>
      </c>
      <c r="K4040" s="329">
        <v>0.86443907431561762</v>
      </c>
    </row>
    <row r="4041" spans="1:11" ht="11.25" x14ac:dyDescent="0.15">
      <c r="A4041" s="326">
        <v>1.125</v>
      </c>
      <c r="B4041" s="327">
        <v>25</v>
      </c>
      <c r="C4041" s="327" t="s">
        <v>116</v>
      </c>
      <c r="D4041" s="327" t="s">
        <v>114</v>
      </c>
      <c r="E4041" s="328" t="s">
        <v>3381</v>
      </c>
      <c r="F4041" s="328">
        <v>216.61852500000001</v>
      </c>
      <c r="G4041" s="328">
        <v>7500.1781250000004</v>
      </c>
      <c r="H4041" s="328">
        <v>8182.3050000000003</v>
      </c>
      <c r="I4041" s="329">
        <v>8.5996661566381232E-3</v>
      </c>
      <c r="J4041" s="329">
        <v>0.62588006034542154</v>
      </c>
      <c r="K4041" s="329">
        <v>0.85115512070244603</v>
      </c>
    </row>
    <row r="4042" spans="1:11" ht="11.25" x14ac:dyDescent="0.15">
      <c r="A4042" s="326">
        <v>1.125</v>
      </c>
      <c r="B4042" s="327">
        <v>25</v>
      </c>
      <c r="C4042" s="327" t="s">
        <v>116</v>
      </c>
      <c r="D4042" s="327" t="s">
        <v>113</v>
      </c>
      <c r="E4042" s="328" t="s">
        <v>3382</v>
      </c>
      <c r="F4042" s="328">
        <v>68.335987500000002</v>
      </c>
      <c r="G4042" s="328">
        <v>7429.3942500000003</v>
      </c>
      <c r="H4042" s="328">
        <v>8058.0645000000004</v>
      </c>
      <c r="I4042" s="329">
        <v>2.7129105370106081E-3</v>
      </c>
      <c r="J4042" s="329">
        <v>0.61997323850490915</v>
      </c>
      <c r="K4042" s="329">
        <v>0.83823114172908431</v>
      </c>
    </row>
    <row r="4043" spans="1:11" ht="11.25" x14ac:dyDescent="0.15">
      <c r="A4043" s="326">
        <v>1.1499999999999999</v>
      </c>
      <c r="B4043" s="327">
        <v>25</v>
      </c>
      <c r="C4043" s="327" t="s">
        <v>116</v>
      </c>
      <c r="D4043" s="327" t="s">
        <v>79</v>
      </c>
      <c r="E4043" s="328" t="s">
        <v>3383</v>
      </c>
      <c r="F4043" s="328">
        <v>1815.25775</v>
      </c>
      <c r="G4043" s="328">
        <v>8503.7163999999993</v>
      </c>
      <c r="H4043" s="328">
        <v>8702.9527500000004</v>
      </c>
      <c r="I4043" s="329">
        <v>7.2064984461740131E-2</v>
      </c>
      <c r="J4043" s="329">
        <v>0.70962401757522919</v>
      </c>
      <c r="K4043" s="329">
        <v>0.90531492023261595</v>
      </c>
    </row>
    <row r="4044" spans="1:11" ht="11.25" x14ac:dyDescent="0.15">
      <c r="A4044" s="326">
        <v>1.1499999999999999</v>
      </c>
      <c r="B4044" s="327">
        <v>25</v>
      </c>
      <c r="C4044" s="327" t="s">
        <v>116</v>
      </c>
      <c r="D4044" s="327" t="s">
        <v>114</v>
      </c>
      <c r="E4044" s="328" t="s">
        <v>3384</v>
      </c>
      <c r="F4044" s="328">
        <v>233.90827499999997</v>
      </c>
      <c r="G4044" s="328">
        <v>7988.7900999999983</v>
      </c>
      <c r="H4044" s="328">
        <v>8570.4601000000002</v>
      </c>
      <c r="I4044" s="329">
        <v>9.286062105145914E-3</v>
      </c>
      <c r="J4044" s="329">
        <v>0.66665409094866057</v>
      </c>
      <c r="K4044" s="329">
        <v>0.89153252059059118</v>
      </c>
    </row>
    <row r="4045" spans="1:11" ht="11.25" x14ac:dyDescent="0.15">
      <c r="A4045" s="326">
        <v>1.1499999999999999</v>
      </c>
      <c r="B4045" s="327">
        <v>25</v>
      </c>
      <c r="C4045" s="327" t="s">
        <v>116</v>
      </c>
      <c r="D4045" s="327" t="s">
        <v>113</v>
      </c>
      <c r="E4045" s="328" t="s">
        <v>3385</v>
      </c>
      <c r="F4045" s="328">
        <v>74.150666000000001</v>
      </c>
      <c r="G4045" s="328">
        <v>7854.4033999999992</v>
      </c>
      <c r="H4045" s="328">
        <v>8441.9510499999997</v>
      </c>
      <c r="I4045" s="329">
        <v>2.9437508767653974E-3</v>
      </c>
      <c r="J4045" s="329">
        <v>0.65543969650311251</v>
      </c>
      <c r="K4045" s="329">
        <v>0.87816451048046851</v>
      </c>
    </row>
    <row r="4046" spans="1:11" ht="11.25" x14ac:dyDescent="0.15">
      <c r="A4046" s="326">
        <v>1.175</v>
      </c>
      <c r="B4046" s="327">
        <v>25</v>
      </c>
      <c r="C4046" s="327" t="s">
        <v>116</v>
      </c>
      <c r="D4046" s="327" t="s">
        <v>79</v>
      </c>
      <c r="E4046" s="328" t="s">
        <v>3386</v>
      </c>
      <c r="F4046" s="328">
        <v>1957.5582250000002</v>
      </c>
      <c r="G4046" s="328">
        <v>9099.6735250000002</v>
      </c>
      <c r="H4046" s="328">
        <v>9104.4710500000019</v>
      </c>
      <c r="I4046" s="329">
        <v>7.7714254665805241E-2</v>
      </c>
      <c r="J4046" s="329">
        <v>0.75935586062506144</v>
      </c>
      <c r="K4046" s="329">
        <v>0.94708241204583266</v>
      </c>
    </row>
    <row r="4047" spans="1:11" ht="11.25" x14ac:dyDescent="0.15">
      <c r="A4047" s="326">
        <v>1.175</v>
      </c>
      <c r="B4047" s="327">
        <v>25</v>
      </c>
      <c r="C4047" s="327" t="s">
        <v>116</v>
      </c>
      <c r="D4047" s="327" t="s">
        <v>114</v>
      </c>
      <c r="E4047" s="328" t="s">
        <v>3387</v>
      </c>
      <c r="F4047" s="328">
        <v>252.4446375</v>
      </c>
      <c r="G4047" s="328">
        <v>8506.5229500000005</v>
      </c>
      <c r="H4047" s="328">
        <v>8967.0771249999998</v>
      </c>
      <c r="I4047" s="329">
        <v>1.0021948056074748E-2</v>
      </c>
      <c r="J4047" s="329">
        <v>0.70985822050402481</v>
      </c>
      <c r="K4047" s="329">
        <v>0.93279016275701243</v>
      </c>
    </row>
    <row r="4048" spans="1:11" ht="11.25" x14ac:dyDescent="0.15">
      <c r="A4048" s="326">
        <v>1.175</v>
      </c>
      <c r="B4048" s="327">
        <v>25</v>
      </c>
      <c r="C4048" s="327" t="s">
        <v>116</v>
      </c>
      <c r="D4048" s="327" t="s">
        <v>113</v>
      </c>
      <c r="E4048" s="328" t="s">
        <v>3388</v>
      </c>
      <c r="F4048" s="328">
        <v>80.442791249999999</v>
      </c>
      <c r="G4048" s="328">
        <v>8304.9575750000004</v>
      </c>
      <c r="H4048" s="328">
        <v>8834.47955</v>
      </c>
      <c r="I4048" s="329">
        <v>3.1935456557011009E-3</v>
      </c>
      <c r="J4048" s="329">
        <v>0.69303785344526936</v>
      </c>
      <c r="K4048" s="329">
        <v>0.91899684840928575</v>
      </c>
    </row>
    <row r="4049" spans="1:11" ht="11.25" x14ac:dyDescent="0.15">
      <c r="A4049" s="326">
        <v>1.2</v>
      </c>
      <c r="B4049" s="327">
        <v>25</v>
      </c>
      <c r="C4049" s="327" t="s">
        <v>116</v>
      </c>
      <c r="D4049" s="327" t="s">
        <v>79</v>
      </c>
      <c r="E4049" s="328" t="s">
        <v>3389</v>
      </c>
      <c r="F4049" s="328">
        <v>2109.192</v>
      </c>
      <c r="G4049" s="328">
        <v>9728.5379999999986</v>
      </c>
      <c r="H4049" s="328">
        <v>9516.1944000000003</v>
      </c>
      <c r="I4049" s="329">
        <v>8.3734053032869071E-2</v>
      </c>
      <c r="J4049" s="329">
        <v>0.81183377901611176</v>
      </c>
      <c r="K4049" s="329">
        <v>0.9899114727646966</v>
      </c>
    </row>
    <row r="4050" spans="1:11" ht="11.25" x14ac:dyDescent="0.15">
      <c r="A4050" s="326">
        <v>1.2</v>
      </c>
      <c r="B4050" s="327">
        <v>25</v>
      </c>
      <c r="C4050" s="327" t="s">
        <v>116</v>
      </c>
      <c r="D4050" s="327" t="s">
        <v>114</v>
      </c>
      <c r="E4050" s="328" t="s">
        <v>3390</v>
      </c>
      <c r="F4050" s="328">
        <v>272.31612000000001</v>
      </c>
      <c r="G4050" s="328">
        <v>9057.0227999999988</v>
      </c>
      <c r="H4050" s="328">
        <v>9373.1171999999988</v>
      </c>
      <c r="I4050" s="329">
        <v>1.0810837720693583E-2</v>
      </c>
      <c r="J4050" s="329">
        <v>0.75579671337657162</v>
      </c>
      <c r="K4050" s="329">
        <v>0.97502802715422743</v>
      </c>
    </row>
    <row r="4051" spans="1:11" ht="11.25" x14ac:dyDescent="0.15">
      <c r="A4051" s="326">
        <v>1.2</v>
      </c>
      <c r="B4051" s="327">
        <v>25</v>
      </c>
      <c r="C4051" s="327" t="s">
        <v>116</v>
      </c>
      <c r="D4051" s="327" t="s">
        <v>113</v>
      </c>
      <c r="E4051" s="328" t="s">
        <v>3391</v>
      </c>
      <c r="F4051" s="328">
        <v>87.253739999999993</v>
      </c>
      <c r="G4051" s="328">
        <v>8782.4303999999993</v>
      </c>
      <c r="H4051" s="328">
        <v>9236.4408000000003</v>
      </c>
      <c r="I4051" s="329">
        <v>3.4639375137380424E-3</v>
      </c>
      <c r="J4051" s="329">
        <v>0.73288233654203561</v>
      </c>
      <c r="K4051" s="329">
        <v>0.96081041760054131</v>
      </c>
    </row>
    <row r="4052" spans="1:11" ht="11.25" x14ac:dyDescent="0.15">
      <c r="A4052" s="326">
        <v>1.2250000000000001</v>
      </c>
      <c r="B4052" s="327">
        <v>25</v>
      </c>
      <c r="C4052" s="327" t="s">
        <v>116</v>
      </c>
      <c r="D4052" s="327" t="s">
        <v>79</v>
      </c>
      <c r="E4052" s="328" t="s">
        <v>3392</v>
      </c>
      <c r="F4052" s="328">
        <v>2270.6832749999999</v>
      </c>
      <c r="G4052" s="328">
        <v>10391.72645</v>
      </c>
      <c r="H4052" s="328">
        <v>9936.3841499999999</v>
      </c>
      <c r="I4052" s="329">
        <v>9.0145190086866833E-2</v>
      </c>
      <c r="J4052" s="329">
        <v>0.86717598825282738</v>
      </c>
      <c r="K4052" s="329">
        <v>1.0336212412687038</v>
      </c>
    </row>
    <row r="4053" spans="1:11" ht="11.25" x14ac:dyDescent="0.15">
      <c r="A4053" s="326">
        <v>1.2250000000000001</v>
      </c>
      <c r="B4053" s="327">
        <v>25</v>
      </c>
      <c r="C4053" s="327" t="s">
        <v>116</v>
      </c>
      <c r="D4053" s="327" t="s">
        <v>114</v>
      </c>
      <c r="E4053" s="328" t="s">
        <v>3393</v>
      </c>
      <c r="F4053" s="328">
        <v>293.61829000000006</v>
      </c>
      <c r="G4053" s="328">
        <v>9640.0431750000007</v>
      </c>
      <c r="H4053" s="328">
        <v>9788.1689500000011</v>
      </c>
      <c r="I4053" s="329">
        <v>1.1656525089361394E-2</v>
      </c>
      <c r="J4053" s="329">
        <v>0.80444900154974242</v>
      </c>
      <c r="K4053" s="329">
        <v>1.0182033209582366</v>
      </c>
    </row>
    <row r="4054" spans="1:11" ht="11.25" x14ac:dyDescent="0.15">
      <c r="A4054" s="326">
        <v>1.2250000000000001</v>
      </c>
      <c r="B4054" s="327">
        <v>25</v>
      </c>
      <c r="C4054" s="327" t="s">
        <v>116</v>
      </c>
      <c r="D4054" s="327" t="s">
        <v>113</v>
      </c>
      <c r="E4054" s="328" t="s">
        <v>3394</v>
      </c>
      <c r="F4054" s="328">
        <v>94.628824500000007</v>
      </c>
      <c r="G4054" s="328">
        <v>9288.7940250000011</v>
      </c>
      <c r="H4054" s="328">
        <v>9647.2204500000007</v>
      </c>
      <c r="I4054" s="329">
        <v>3.7567253285244119E-3</v>
      </c>
      <c r="J4054" s="329">
        <v>0.77513771913292939</v>
      </c>
      <c r="K4054" s="329">
        <v>1.0035413109830122</v>
      </c>
    </row>
    <row r="4055" spans="1:11" ht="11.25" x14ac:dyDescent="0.15">
      <c r="A4055" s="326">
        <v>1.25</v>
      </c>
      <c r="B4055" s="327">
        <v>25</v>
      </c>
      <c r="C4055" s="327" t="s">
        <v>116</v>
      </c>
      <c r="D4055" s="327" t="s">
        <v>79</v>
      </c>
      <c r="E4055" s="328" t="s">
        <v>3395</v>
      </c>
      <c r="F4055" s="328">
        <v>2442.5812500000002</v>
      </c>
      <c r="G4055" s="328">
        <v>11088.52</v>
      </c>
      <c r="H4055" s="328">
        <v>10365.981250000001</v>
      </c>
      <c r="I4055" s="329">
        <v>9.6969468841429166E-2</v>
      </c>
      <c r="J4055" s="329">
        <v>0.92532249915616682</v>
      </c>
      <c r="K4055" s="329">
        <v>1.0783095988285749</v>
      </c>
    </row>
    <row r="4056" spans="1:11" ht="11.25" x14ac:dyDescent="0.15">
      <c r="A4056" s="326">
        <v>1.25</v>
      </c>
      <c r="B4056" s="327">
        <v>25</v>
      </c>
      <c r="C4056" s="327" t="s">
        <v>116</v>
      </c>
      <c r="D4056" s="327" t="s">
        <v>114</v>
      </c>
      <c r="E4056" s="328" t="s">
        <v>3396</v>
      </c>
      <c r="F4056" s="328">
        <v>316.45400000000001</v>
      </c>
      <c r="G4056" s="328">
        <v>10255.26</v>
      </c>
      <c r="H4056" s="328">
        <v>10212.401250000001</v>
      </c>
      <c r="I4056" s="329">
        <v>1.2563093363934413E-2</v>
      </c>
      <c r="J4056" s="329">
        <v>0.85578804138841535</v>
      </c>
      <c r="K4056" s="329">
        <v>1.0623336112019242</v>
      </c>
    </row>
    <row r="4057" spans="1:11" ht="11.25" x14ac:dyDescent="0.15">
      <c r="A4057" s="326">
        <v>1.25</v>
      </c>
      <c r="B4057" s="327">
        <v>25</v>
      </c>
      <c r="C4057" s="327" t="s">
        <v>116</v>
      </c>
      <c r="D4057" s="327" t="s">
        <v>113</v>
      </c>
      <c r="E4057" s="328" t="s">
        <v>3397</v>
      </c>
      <c r="F4057" s="328">
        <v>102.6177</v>
      </c>
      <c r="G4057" s="328">
        <v>9824.1850000000013</v>
      </c>
      <c r="H4057" s="328">
        <v>10066.785</v>
      </c>
      <c r="I4057" s="329">
        <v>4.0738803930182978E-3</v>
      </c>
      <c r="J4057" s="329">
        <v>0.81981539613695309</v>
      </c>
      <c r="K4057" s="329">
        <v>1.0471860437566887</v>
      </c>
    </row>
    <row r="4058" spans="1:11" ht="11.25" x14ac:dyDescent="0.15">
      <c r="A4058" s="326">
        <v>1.2749999999999999</v>
      </c>
      <c r="B4058" s="327">
        <v>25</v>
      </c>
      <c r="C4058" s="327" t="s">
        <v>116</v>
      </c>
      <c r="D4058" s="327" t="s">
        <v>79</v>
      </c>
      <c r="E4058" s="328" t="s">
        <v>3398</v>
      </c>
      <c r="F4058" s="328">
        <v>2625.4634249999995</v>
      </c>
      <c r="G4058" s="328">
        <v>11820.8565</v>
      </c>
      <c r="H4058" s="328">
        <v>10805.688749999998</v>
      </c>
      <c r="I4058" s="329">
        <v>0.10422981580852196</v>
      </c>
      <c r="J4058" s="329">
        <v>0.98643502277548478</v>
      </c>
      <c r="K4058" s="329">
        <v>1.1240496794337671</v>
      </c>
    </row>
    <row r="4059" spans="1:11" ht="11.25" x14ac:dyDescent="0.15">
      <c r="A4059" s="326">
        <v>1.2749999999999999</v>
      </c>
      <c r="B4059" s="327">
        <v>25</v>
      </c>
      <c r="C4059" s="327" t="s">
        <v>116</v>
      </c>
      <c r="D4059" s="327" t="s">
        <v>114</v>
      </c>
      <c r="E4059" s="328" t="s">
        <v>3399</v>
      </c>
      <c r="F4059" s="328">
        <v>340.934235</v>
      </c>
      <c r="G4059" s="328">
        <v>10905.087749999999</v>
      </c>
      <c r="H4059" s="328">
        <v>10646.096999999998</v>
      </c>
      <c r="I4059" s="329">
        <v>1.3534948603166829E-2</v>
      </c>
      <c r="J4059" s="329">
        <v>0.91001531767515398</v>
      </c>
      <c r="K4059" s="329">
        <v>1.1074483262411932</v>
      </c>
    </row>
    <row r="4060" spans="1:11" ht="11.25" x14ac:dyDescent="0.15">
      <c r="A4060" s="326">
        <v>1.2749999999999999</v>
      </c>
      <c r="B4060" s="327">
        <v>25</v>
      </c>
      <c r="C4060" s="327" t="s">
        <v>116</v>
      </c>
      <c r="D4060" s="327" t="s">
        <v>113</v>
      </c>
      <c r="E4060" s="328" t="s">
        <v>3400</v>
      </c>
      <c r="F4060" s="328">
        <v>111.27479624999999</v>
      </c>
      <c r="G4060" s="328">
        <v>10389.443325</v>
      </c>
      <c r="H4060" s="328">
        <v>10495.425149999997</v>
      </c>
      <c r="I4060" s="329">
        <v>4.4175635458598367E-3</v>
      </c>
      <c r="J4060" s="329">
        <v>0.86698546445606406</v>
      </c>
      <c r="K4060" s="329">
        <v>1.0917748556637445</v>
      </c>
    </row>
    <row r="4061" spans="1:11" ht="11.25" x14ac:dyDescent="0.15">
      <c r="A4061" s="326">
        <v>1.3</v>
      </c>
      <c r="B4061" s="327">
        <v>25</v>
      </c>
      <c r="C4061" s="327" t="s">
        <v>116</v>
      </c>
      <c r="D4061" s="327" t="s">
        <v>79</v>
      </c>
      <c r="E4061" s="328" t="s">
        <v>3401</v>
      </c>
      <c r="F4061" s="328">
        <v>2819.9391999999998</v>
      </c>
      <c r="G4061" s="328">
        <v>12587.599700000001</v>
      </c>
      <c r="H4061" s="328">
        <v>11254.288500000001</v>
      </c>
      <c r="I4061" s="329">
        <v>0.11195042391696269</v>
      </c>
      <c r="J4061" s="329">
        <v>1.0504187405335803</v>
      </c>
      <c r="K4061" s="329">
        <v>1.1707147663937789</v>
      </c>
    </row>
    <row r="4062" spans="1:11" ht="11.25" x14ac:dyDescent="0.15">
      <c r="A4062" s="326">
        <v>1.3</v>
      </c>
      <c r="B4062" s="327">
        <v>25</v>
      </c>
      <c r="C4062" s="327" t="s">
        <v>116</v>
      </c>
      <c r="D4062" s="327" t="s">
        <v>114</v>
      </c>
      <c r="E4062" s="328" t="s">
        <v>3402</v>
      </c>
      <c r="F4062" s="328">
        <v>367.17863000000006</v>
      </c>
      <c r="G4062" s="328">
        <v>11588.5666</v>
      </c>
      <c r="H4062" s="328">
        <v>11088.535900000001</v>
      </c>
      <c r="I4062" s="329">
        <v>1.4576840267247466E-2</v>
      </c>
      <c r="J4062" s="329">
        <v>0.96705073426838595</v>
      </c>
      <c r="K4062" s="329">
        <v>1.1534725376746413</v>
      </c>
    </row>
    <row r="4063" spans="1:11" ht="11.25" x14ac:dyDescent="0.15">
      <c r="A4063" s="326">
        <v>1.3</v>
      </c>
      <c r="B4063" s="327">
        <v>25</v>
      </c>
      <c r="C4063" s="327" t="s">
        <v>116</v>
      </c>
      <c r="D4063" s="327" t="s">
        <v>113</v>
      </c>
      <c r="E4063" s="328" t="s">
        <v>3403</v>
      </c>
      <c r="F4063" s="328">
        <v>120.65978600000001</v>
      </c>
      <c r="G4063" s="328">
        <v>10987.424500000001</v>
      </c>
      <c r="H4063" s="328">
        <v>10933.076700000001</v>
      </c>
      <c r="I4063" s="329">
        <v>4.7901437706281049E-3</v>
      </c>
      <c r="J4063" s="329">
        <v>0.91688621183257069</v>
      </c>
      <c r="K4063" s="329">
        <v>1.1373010683710276</v>
      </c>
    </row>
    <row r="4064" spans="1:11" ht="11.25" x14ac:dyDescent="0.15">
      <c r="A4064" s="326">
        <v>1.325</v>
      </c>
      <c r="B4064" s="327">
        <v>25</v>
      </c>
      <c r="C4064" s="327" t="s">
        <v>116</v>
      </c>
      <c r="D4064" s="327" t="s">
        <v>79</v>
      </c>
      <c r="E4064" s="328" t="s">
        <v>3404</v>
      </c>
      <c r="F4064" s="328">
        <v>3026.648475</v>
      </c>
      <c r="G4064" s="328">
        <v>13389.90675</v>
      </c>
      <c r="H4064" s="328">
        <v>11712.818475000002</v>
      </c>
      <c r="I4064" s="329">
        <v>0.12015669693299724</v>
      </c>
      <c r="J4064" s="329">
        <v>1.117370215085334</v>
      </c>
      <c r="K4064" s="329">
        <v>1.2184128338963733</v>
      </c>
    </row>
    <row r="4065" spans="1:11" ht="11.25" x14ac:dyDescent="0.15">
      <c r="A4065" s="326">
        <v>1.325</v>
      </c>
      <c r="B4065" s="327">
        <v>25</v>
      </c>
      <c r="C4065" s="327" t="s">
        <v>116</v>
      </c>
      <c r="D4065" s="327" t="s">
        <v>114</v>
      </c>
      <c r="E4065" s="328" t="s">
        <v>3405</v>
      </c>
      <c r="F4065" s="328">
        <v>395.31640000000004</v>
      </c>
      <c r="G4065" s="328">
        <v>12307.552674999999</v>
      </c>
      <c r="H4065" s="328">
        <v>11540.671825000001</v>
      </c>
      <c r="I4065" s="329">
        <v>1.569389813841646E-2</v>
      </c>
      <c r="J4065" s="329">
        <v>1.0270491823730457</v>
      </c>
      <c r="K4065" s="329">
        <v>1.200505471281649</v>
      </c>
    </row>
    <row r="4066" spans="1:11" ht="11.25" x14ac:dyDescent="0.15">
      <c r="A4066" s="326">
        <v>1.325</v>
      </c>
      <c r="B4066" s="327">
        <v>25</v>
      </c>
      <c r="C4066" s="327" t="s">
        <v>116</v>
      </c>
      <c r="D4066" s="327" t="s">
        <v>113</v>
      </c>
      <c r="E4066" s="328" t="s">
        <v>3406</v>
      </c>
      <c r="F4066" s="328">
        <v>130.83818500000001</v>
      </c>
      <c r="G4066" s="328">
        <v>11617.129625</v>
      </c>
      <c r="H4066" s="328">
        <v>11379.765149999999</v>
      </c>
      <c r="I4066" s="329">
        <v>5.1942220155938084E-3</v>
      </c>
      <c r="J4066" s="329">
        <v>0.96943428136722865</v>
      </c>
      <c r="K4066" s="329">
        <v>1.1837673344874993</v>
      </c>
    </row>
    <row r="4067" spans="1:11" ht="11.25" x14ac:dyDescent="0.15">
      <c r="A4067" s="326">
        <v>1.35</v>
      </c>
      <c r="B4067" s="327">
        <v>25</v>
      </c>
      <c r="C4067" s="327" t="s">
        <v>116</v>
      </c>
      <c r="D4067" s="327" t="s">
        <v>79</v>
      </c>
      <c r="E4067" s="328" t="s">
        <v>3407</v>
      </c>
      <c r="F4067" s="328">
        <v>3246.2613000000001</v>
      </c>
      <c r="G4067" s="328">
        <v>14228.406000000003</v>
      </c>
      <c r="H4067" s="328">
        <v>12180.534300000001</v>
      </c>
      <c r="I4067" s="329">
        <v>0.12887523556544428</v>
      </c>
      <c r="J4067" s="329">
        <v>1.1873418814168708</v>
      </c>
      <c r="K4067" s="329">
        <v>1.267066449165215</v>
      </c>
    </row>
    <row r="4068" spans="1:11" ht="11.25" x14ac:dyDescent="0.15">
      <c r="A4068" s="326">
        <v>1.35</v>
      </c>
      <c r="B4068" s="327">
        <v>25</v>
      </c>
      <c r="C4068" s="327" t="s">
        <v>116</v>
      </c>
      <c r="D4068" s="327" t="s">
        <v>114</v>
      </c>
      <c r="E4068" s="328" t="s">
        <v>3408</v>
      </c>
      <c r="F4068" s="328">
        <v>425.48719500000004</v>
      </c>
      <c r="G4068" s="328">
        <v>13062.930750000001</v>
      </c>
      <c r="H4068" s="328">
        <v>12001.032900000002</v>
      </c>
      <c r="I4068" s="329">
        <v>1.6891666264112849E-2</v>
      </c>
      <c r="J4068" s="329">
        <v>1.0900844953063116</v>
      </c>
      <c r="K4068" s="329">
        <v>1.2483940169125358</v>
      </c>
    </row>
    <row r="4069" spans="1:11" ht="11.25" x14ac:dyDescent="0.15">
      <c r="A4069" s="326">
        <v>1.35</v>
      </c>
      <c r="B4069" s="327">
        <v>25</v>
      </c>
      <c r="C4069" s="327" t="s">
        <v>116</v>
      </c>
      <c r="D4069" s="327" t="s">
        <v>113</v>
      </c>
      <c r="E4069" s="328" t="s">
        <v>3409</v>
      </c>
      <c r="F4069" s="328">
        <v>141.88189500000001</v>
      </c>
      <c r="G4069" s="328">
        <v>12279.601350000001</v>
      </c>
      <c r="H4069" s="328">
        <v>11835.606600000001</v>
      </c>
      <c r="I4069" s="329">
        <v>5.6326527505954713E-3</v>
      </c>
      <c r="J4069" s="329">
        <v>1.0247166808395927</v>
      </c>
      <c r="K4069" s="329">
        <v>1.2311857311857315</v>
      </c>
    </row>
    <row r="4070" spans="1:11" ht="11.25" x14ac:dyDescent="0.15">
      <c r="A4070" s="326">
        <v>1.375</v>
      </c>
      <c r="B4070" s="327">
        <v>25</v>
      </c>
      <c r="C4070" s="327" t="s">
        <v>116</v>
      </c>
      <c r="D4070" s="327" t="s">
        <v>79</v>
      </c>
      <c r="E4070" s="328" t="s">
        <v>3410</v>
      </c>
      <c r="F4070" s="328">
        <v>3479.4911250000005</v>
      </c>
      <c r="G4070" s="328">
        <v>15102.766250000001</v>
      </c>
      <c r="H4070" s="328">
        <v>12658.003875</v>
      </c>
      <c r="I4070" s="329">
        <v>0.13813436348523384</v>
      </c>
      <c r="J4070" s="329">
        <v>1.260306101321133</v>
      </c>
      <c r="K4070" s="329">
        <v>1.3167346873622596</v>
      </c>
    </row>
    <row r="4071" spans="1:11" ht="11.25" x14ac:dyDescent="0.15">
      <c r="A4071" s="326">
        <v>1.375</v>
      </c>
      <c r="B4071" s="327">
        <v>25</v>
      </c>
      <c r="C4071" s="327" t="s">
        <v>116</v>
      </c>
      <c r="D4071" s="327" t="s">
        <v>114</v>
      </c>
      <c r="E4071" s="328" t="s">
        <v>3411</v>
      </c>
      <c r="F4071" s="328">
        <v>457.84186250000005</v>
      </c>
      <c r="G4071" s="328">
        <v>13852.258749999999</v>
      </c>
      <c r="H4071" s="328">
        <v>12471.643250000001</v>
      </c>
      <c r="I4071" s="329">
        <v>1.8176133227910288E-2</v>
      </c>
      <c r="J4071" s="329">
        <v>1.1559528851016978</v>
      </c>
      <c r="K4071" s="329">
        <v>1.2973487319052024</v>
      </c>
    </row>
    <row r="4072" spans="1:11" ht="11.25" x14ac:dyDescent="0.15">
      <c r="A4072" s="326">
        <v>1.375</v>
      </c>
      <c r="B4072" s="327">
        <v>25</v>
      </c>
      <c r="C4072" s="327" t="s">
        <v>116</v>
      </c>
      <c r="D4072" s="327" t="s">
        <v>113</v>
      </c>
      <c r="E4072" s="328" t="s">
        <v>3412</v>
      </c>
      <c r="F4072" s="328">
        <v>153.8697875</v>
      </c>
      <c r="G4072" s="328">
        <v>12977.071249999999</v>
      </c>
      <c r="H4072" s="328">
        <v>12300.633124999998</v>
      </c>
      <c r="I4072" s="329">
        <v>6.1085671416738234E-3</v>
      </c>
      <c r="J4072" s="329">
        <v>1.0829196322663115</v>
      </c>
      <c r="K4072" s="329">
        <v>1.2795595950317029</v>
      </c>
    </row>
    <row r="4073" spans="1:11" ht="11.25" x14ac:dyDescent="0.15">
      <c r="A4073" s="326">
        <v>1.4</v>
      </c>
      <c r="B4073" s="327">
        <v>25</v>
      </c>
      <c r="C4073" s="327" t="s">
        <v>116</v>
      </c>
      <c r="D4073" s="327" t="s">
        <v>79</v>
      </c>
      <c r="E4073" s="328" t="s">
        <v>3413</v>
      </c>
      <c r="F4073" s="328">
        <v>3727.0828000000001</v>
      </c>
      <c r="G4073" s="328">
        <v>16014.571999999998</v>
      </c>
      <c r="H4073" s="328">
        <v>13145.287399999999</v>
      </c>
      <c r="I4073" s="329">
        <v>0.14796365093035352</v>
      </c>
      <c r="J4073" s="329">
        <v>1.3363950992518723</v>
      </c>
      <c r="K4073" s="329">
        <v>1.3674238107251369</v>
      </c>
    </row>
    <row r="4074" spans="1:11" ht="11.25" x14ac:dyDescent="0.15">
      <c r="A4074" s="326">
        <v>1.4</v>
      </c>
      <c r="B4074" s="327">
        <v>25</v>
      </c>
      <c r="C4074" s="327" t="s">
        <v>116</v>
      </c>
      <c r="D4074" s="327" t="s">
        <v>114</v>
      </c>
      <c r="E4074" s="328" t="s">
        <v>3414</v>
      </c>
      <c r="F4074" s="328">
        <v>492.54393999999996</v>
      </c>
      <c r="G4074" s="328">
        <v>14678.425999999999</v>
      </c>
      <c r="H4074" s="328">
        <v>12950.788199999999</v>
      </c>
      <c r="I4074" s="329">
        <v>1.9553791401151856E-2</v>
      </c>
      <c r="J4074" s="329">
        <v>1.2248954621535477</v>
      </c>
      <c r="K4074" s="329">
        <v>1.3471912491116882</v>
      </c>
    </row>
    <row r="4075" spans="1:11" ht="11.25" x14ac:dyDescent="0.15">
      <c r="A4075" s="326">
        <v>1.4</v>
      </c>
      <c r="B4075" s="327">
        <v>25</v>
      </c>
      <c r="C4075" s="327" t="s">
        <v>116</v>
      </c>
      <c r="D4075" s="327" t="s">
        <v>113</v>
      </c>
      <c r="E4075" s="328" t="s">
        <v>3415</v>
      </c>
      <c r="F4075" s="328">
        <v>166.88867999999999</v>
      </c>
      <c r="G4075" s="328">
        <v>13708.0188</v>
      </c>
      <c r="H4075" s="328">
        <v>12774.893600000001</v>
      </c>
      <c r="I4075" s="329">
        <v>6.6254118077944141E-3</v>
      </c>
      <c r="J4075" s="329">
        <v>1.1439162498237563</v>
      </c>
      <c r="K4075" s="329">
        <v>1.328894010192593</v>
      </c>
    </row>
    <row r="4076" spans="1:11" ht="11.25" x14ac:dyDescent="0.15">
      <c r="A4076" s="326">
        <v>0.9</v>
      </c>
      <c r="B4076" s="327">
        <v>50</v>
      </c>
      <c r="C4076" s="327" t="s">
        <v>116</v>
      </c>
      <c r="D4076" s="327" t="s">
        <v>79</v>
      </c>
      <c r="E4076" s="328" t="s">
        <v>3416</v>
      </c>
      <c r="F4076" s="328">
        <v>1690.1460000000002</v>
      </c>
      <c r="G4076" s="328">
        <v>4376.8233</v>
      </c>
      <c r="H4076" s="328">
        <v>5206.5432000000001</v>
      </c>
      <c r="I4076" s="329">
        <v>6.7098099555323337E-2</v>
      </c>
      <c r="J4076" s="329">
        <v>0.36524018302901928</v>
      </c>
      <c r="K4076" s="329">
        <v>0.54160482967067336</v>
      </c>
    </row>
    <row r="4077" spans="1:11" ht="11.25" x14ac:dyDescent="0.15">
      <c r="A4077" s="326">
        <v>0.9</v>
      </c>
      <c r="B4077" s="327">
        <v>50</v>
      </c>
      <c r="C4077" s="327" t="s">
        <v>116</v>
      </c>
      <c r="D4077" s="327" t="s">
        <v>114</v>
      </c>
      <c r="E4077" s="328" t="s">
        <v>3417</v>
      </c>
      <c r="F4077" s="328">
        <v>268.08687000000003</v>
      </c>
      <c r="G4077" s="328">
        <v>4377.3804</v>
      </c>
      <c r="H4077" s="328">
        <v>5117.5700999999999</v>
      </c>
      <c r="I4077" s="329">
        <v>1.0642938238906595E-2</v>
      </c>
      <c r="J4077" s="329">
        <v>0.36528667229578166</v>
      </c>
      <c r="K4077" s="329">
        <v>0.53234950251411162</v>
      </c>
    </row>
    <row r="4078" spans="1:11" ht="11.25" x14ac:dyDescent="0.15">
      <c r="A4078" s="326">
        <v>0.9</v>
      </c>
      <c r="B4078" s="327">
        <v>50</v>
      </c>
      <c r="C4078" s="327" t="s">
        <v>116</v>
      </c>
      <c r="D4078" s="327" t="s">
        <v>113</v>
      </c>
      <c r="E4078" s="328" t="s">
        <v>3418</v>
      </c>
      <c r="F4078" s="328">
        <v>86.31765</v>
      </c>
      <c r="G4078" s="328">
        <v>4569.5645999999997</v>
      </c>
      <c r="H4078" s="328">
        <v>5028.0336000000007</v>
      </c>
      <c r="I4078" s="329">
        <v>3.4267751265757841E-3</v>
      </c>
      <c r="J4078" s="329">
        <v>0.38132419256380018</v>
      </c>
      <c r="K4078" s="329">
        <v>0.5230355683030582</v>
      </c>
    </row>
    <row r="4079" spans="1:11" ht="11.25" x14ac:dyDescent="0.15">
      <c r="A4079" s="326">
        <v>0.92500000000000004</v>
      </c>
      <c r="B4079" s="327">
        <v>50</v>
      </c>
      <c r="C4079" s="327" t="s">
        <v>116</v>
      </c>
      <c r="D4079" s="327" t="s">
        <v>79</v>
      </c>
      <c r="E4079" s="328" t="s">
        <v>3419</v>
      </c>
      <c r="F4079" s="328">
        <v>1832.6137000000001</v>
      </c>
      <c r="G4079" s="328">
        <v>4709.6883750000006</v>
      </c>
      <c r="H4079" s="328">
        <v>5517.435375</v>
      </c>
      <c r="I4079" s="329">
        <v>7.27540085229616E-2</v>
      </c>
      <c r="J4079" s="329">
        <v>0.39301733841862996</v>
      </c>
      <c r="K4079" s="329">
        <v>0.57394504025162474</v>
      </c>
    </row>
    <row r="4080" spans="1:11" ht="11.25" x14ac:dyDescent="0.15">
      <c r="A4080" s="326">
        <v>0.92500000000000004</v>
      </c>
      <c r="B4080" s="327">
        <v>50</v>
      </c>
      <c r="C4080" s="327" t="s">
        <v>116</v>
      </c>
      <c r="D4080" s="327" t="s">
        <v>114</v>
      </c>
      <c r="E4080" s="328" t="s">
        <v>3420</v>
      </c>
      <c r="F4080" s="328">
        <v>289.99554749999999</v>
      </c>
      <c r="G4080" s="328">
        <v>4669.9096750000008</v>
      </c>
      <c r="H4080" s="328">
        <v>5424.7013500000003</v>
      </c>
      <c r="I4080" s="329">
        <v>1.1512703705334035E-2</v>
      </c>
      <c r="J4080" s="329">
        <v>0.38969785790209727</v>
      </c>
      <c r="K4080" s="329">
        <v>0.56429848708083741</v>
      </c>
    </row>
    <row r="4081" spans="1:11" ht="11.25" x14ac:dyDescent="0.15">
      <c r="A4081" s="326">
        <v>0.92500000000000004</v>
      </c>
      <c r="B4081" s="327">
        <v>50</v>
      </c>
      <c r="C4081" s="327" t="s">
        <v>116</v>
      </c>
      <c r="D4081" s="327" t="s">
        <v>113</v>
      </c>
      <c r="E4081" s="328" t="s">
        <v>3421</v>
      </c>
      <c r="F4081" s="328">
        <v>93.342120000000008</v>
      </c>
      <c r="G4081" s="328">
        <v>4842.3010000000004</v>
      </c>
      <c r="H4081" s="328">
        <v>5331.8026749999999</v>
      </c>
      <c r="I4081" s="329">
        <v>3.7056436902285E-3</v>
      </c>
      <c r="J4081" s="329">
        <v>0.40408368862448785</v>
      </c>
      <c r="K4081" s="329">
        <v>0.55463480637806206</v>
      </c>
    </row>
    <row r="4082" spans="1:11" ht="11.25" x14ac:dyDescent="0.15">
      <c r="A4082" s="326">
        <v>0.95</v>
      </c>
      <c r="B4082" s="327">
        <v>50</v>
      </c>
      <c r="C4082" s="327" t="s">
        <v>116</v>
      </c>
      <c r="D4082" s="327" t="s">
        <v>79</v>
      </c>
      <c r="E4082" s="328" t="s">
        <v>3422</v>
      </c>
      <c r="F4082" s="328">
        <v>1984.5861</v>
      </c>
      <c r="G4082" s="328">
        <v>5066.4620999999988</v>
      </c>
      <c r="H4082" s="328">
        <v>5837.6169999999993</v>
      </c>
      <c r="I4082" s="329">
        <v>7.8787250162950934E-2</v>
      </c>
      <c r="J4082" s="329">
        <v>0.42278963939750297</v>
      </c>
      <c r="K4082" s="329">
        <v>0.60725157547288322</v>
      </c>
    </row>
    <row r="4083" spans="1:11" ht="11.25" x14ac:dyDescent="0.15">
      <c r="A4083" s="326">
        <v>0.95</v>
      </c>
      <c r="B4083" s="327">
        <v>50</v>
      </c>
      <c r="C4083" s="327" t="s">
        <v>116</v>
      </c>
      <c r="D4083" s="327" t="s">
        <v>114</v>
      </c>
      <c r="E4083" s="328" t="s">
        <v>3423</v>
      </c>
      <c r="F4083" s="328">
        <v>313.37298500000003</v>
      </c>
      <c r="G4083" s="328">
        <v>4981.5064499999999</v>
      </c>
      <c r="H4083" s="328">
        <v>5740.9982</v>
      </c>
      <c r="I4083" s="329">
        <v>1.2440778338367721E-2</v>
      </c>
      <c r="J4083" s="329">
        <v>0.41570020145849618</v>
      </c>
      <c r="K4083" s="329">
        <v>0.59720091293022259</v>
      </c>
    </row>
    <row r="4084" spans="1:11" ht="11.25" x14ac:dyDescent="0.15">
      <c r="A4084" s="326">
        <v>0.95</v>
      </c>
      <c r="B4084" s="327">
        <v>50</v>
      </c>
      <c r="C4084" s="327" t="s">
        <v>116</v>
      </c>
      <c r="D4084" s="327" t="s">
        <v>113</v>
      </c>
      <c r="E4084" s="328" t="s">
        <v>3424</v>
      </c>
      <c r="F4084" s="328">
        <v>100.847725</v>
      </c>
      <c r="G4084" s="328">
        <v>5129.0861000000004</v>
      </c>
      <c r="H4084" s="328">
        <v>5644.5057499999994</v>
      </c>
      <c r="I4084" s="329">
        <v>4.0036131150669053E-3</v>
      </c>
      <c r="J4084" s="329">
        <v>0.42801553033580292</v>
      </c>
      <c r="K4084" s="329">
        <v>0.58716339380491189</v>
      </c>
    </row>
    <row r="4085" spans="1:11" ht="11.25" x14ac:dyDescent="0.15">
      <c r="A4085" s="326">
        <v>0.97499999999999998</v>
      </c>
      <c r="B4085" s="327">
        <v>50</v>
      </c>
      <c r="C4085" s="327" t="s">
        <v>116</v>
      </c>
      <c r="D4085" s="327" t="s">
        <v>79</v>
      </c>
      <c r="E4085" s="328" t="s">
        <v>3425</v>
      </c>
      <c r="F4085" s="328">
        <v>2146.5687749999997</v>
      </c>
      <c r="G4085" s="328">
        <v>5448.6743999999999</v>
      </c>
      <c r="H4085" s="328">
        <v>6166.6605000000009</v>
      </c>
      <c r="I4085" s="329">
        <v>8.5217895594403348E-2</v>
      </c>
      <c r="J4085" s="329">
        <v>0.45468475620698051</v>
      </c>
      <c r="K4085" s="329">
        <v>0.64147995732357888</v>
      </c>
    </row>
    <row r="4086" spans="1:11" ht="11.25" x14ac:dyDescent="0.15">
      <c r="A4086" s="326">
        <v>0.97499999999999998</v>
      </c>
      <c r="B4086" s="327">
        <v>50</v>
      </c>
      <c r="C4086" s="327" t="s">
        <v>116</v>
      </c>
      <c r="D4086" s="327" t="s">
        <v>114</v>
      </c>
      <c r="E4086" s="328" t="s">
        <v>3426</v>
      </c>
      <c r="F4086" s="328">
        <v>338.30598750000001</v>
      </c>
      <c r="G4086" s="328">
        <v>5314.1224500000008</v>
      </c>
      <c r="H4086" s="328">
        <v>6066.4207500000002</v>
      </c>
      <c r="I4086" s="329">
        <v>1.3430608260728347E-2</v>
      </c>
      <c r="J4086" s="329">
        <v>0.44345657186494614</v>
      </c>
      <c r="K4086" s="329">
        <v>0.63105262950941976</v>
      </c>
    </row>
    <row r="4087" spans="1:11" ht="11.25" x14ac:dyDescent="0.15">
      <c r="A4087" s="326">
        <v>0.97499999999999998</v>
      </c>
      <c r="B4087" s="327">
        <v>50</v>
      </c>
      <c r="C4087" s="327" t="s">
        <v>116</v>
      </c>
      <c r="D4087" s="327" t="s">
        <v>113</v>
      </c>
      <c r="E4087" s="328" t="s">
        <v>3427</v>
      </c>
      <c r="F4087" s="328">
        <v>108.86596499999999</v>
      </c>
      <c r="G4087" s="328">
        <v>5430.7889999999998</v>
      </c>
      <c r="H4087" s="328">
        <v>5965.8114749999995</v>
      </c>
      <c r="I4087" s="329">
        <v>4.3219339381073262E-3</v>
      </c>
      <c r="J4087" s="329">
        <v>0.45319224295666327</v>
      </c>
      <c r="K4087" s="329">
        <v>0.62058686227067572</v>
      </c>
    </row>
    <row r="4088" spans="1:11" ht="11.25" x14ac:dyDescent="0.15">
      <c r="A4088" s="326">
        <v>1</v>
      </c>
      <c r="B4088" s="327">
        <v>50</v>
      </c>
      <c r="C4088" s="327" t="s">
        <v>116</v>
      </c>
      <c r="D4088" s="327" t="s">
        <v>79</v>
      </c>
      <c r="E4088" s="328" t="s">
        <v>3428</v>
      </c>
      <c r="F4088" s="328">
        <v>2319.087</v>
      </c>
      <c r="G4088" s="328">
        <v>5857.1019999999999</v>
      </c>
      <c r="H4088" s="328">
        <v>6504.7330000000002</v>
      </c>
      <c r="I4088" s="329">
        <v>9.2066798018310927E-2</v>
      </c>
      <c r="J4088" s="329">
        <v>0.48876750553298209</v>
      </c>
      <c r="K4088" s="329">
        <v>0.67664757079480464</v>
      </c>
    </row>
    <row r="4089" spans="1:11" ht="11.25" x14ac:dyDescent="0.15">
      <c r="A4089" s="326">
        <v>1</v>
      </c>
      <c r="B4089" s="327">
        <v>50</v>
      </c>
      <c r="C4089" s="327" t="s">
        <v>116</v>
      </c>
      <c r="D4089" s="327" t="s">
        <v>114</v>
      </c>
      <c r="E4089" s="328" t="s">
        <v>3429</v>
      </c>
      <c r="F4089" s="328">
        <v>364.88650000000001</v>
      </c>
      <c r="G4089" s="328">
        <v>5668.326</v>
      </c>
      <c r="H4089" s="328">
        <v>6400.6789999999992</v>
      </c>
      <c r="I4089" s="329">
        <v>1.4485843651018012E-2</v>
      </c>
      <c r="J4089" s="329">
        <v>0.47301439509978593</v>
      </c>
      <c r="K4089" s="329">
        <v>0.66582346989297148</v>
      </c>
    </row>
    <row r="4090" spans="1:11" ht="11.25" x14ac:dyDescent="0.15">
      <c r="A4090" s="326">
        <v>1</v>
      </c>
      <c r="B4090" s="327">
        <v>50</v>
      </c>
      <c r="C4090" s="327" t="s">
        <v>116</v>
      </c>
      <c r="D4090" s="327" t="s">
        <v>113</v>
      </c>
      <c r="E4090" s="328" t="s">
        <v>3430</v>
      </c>
      <c r="F4090" s="328">
        <v>117.42960000000001</v>
      </c>
      <c r="G4090" s="328">
        <v>5749.9059999999999</v>
      </c>
      <c r="H4090" s="328">
        <v>6296.8919999999998</v>
      </c>
      <c r="I4090" s="329">
        <v>4.6619067178467408E-3</v>
      </c>
      <c r="J4090" s="329">
        <v>0.47982213945892133</v>
      </c>
      <c r="K4090" s="329">
        <v>0.65502714336733547</v>
      </c>
    </row>
    <row r="4091" spans="1:11" ht="11.25" x14ac:dyDescent="0.15">
      <c r="A4091" s="326">
        <v>1.0249999999999999</v>
      </c>
      <c r="B4091" s="327">
        <v>50</v>
      </c>
      <c r="C4091" s="327" t="s">
        <v>116</v>
      </c>
      <c r="D4091" s="327" t="s">
        <v>79</v>
      </c>
      <c r="E4091" s="328" t="s">
        <v>3431</v>
      </c>
      <c r="F4091" s="328">
        <v>2502.6912499999999</v>
      </c>
      <c r="G4091" s="328">
        <v>6293.1976249999998</v>
      </c>
      <c r="H4091" s="328">
        <v>6851.8820750000004</v>
      </c>
      <c r="I4091" s="329">
        <v>9.9355811065278743E-2</v>
      </c>
      <c r="J4091" s="329">
        <v>0.52515911537776483</v>
      </c>
      <c r="K4091" s="329">
        <v>0.71275936482269375</v>
      </c>
    </row>
    <row r="4092" spans="1:11" ht="11.25" x14ac:dyDescent="0.15">
      <c r="A4092" s="326">
        <v>1.0249999999999999</v>
      </c>
      <c r="B4092" s="327">
        <v>50</v>
      </c>
      <c r="C4092" s="327" t="s">
        <v>116</v>
      </c>
      <c r="D4092" s="327" t="s">
        <v>114</v>
      </c>
      <c r="E4092" s="328" t="s">
        <v>3432</v>
      </c>
      <c r="F4092" s="328">
        <v>393.21203749999995</v>
      </c>
      <c r="G4092" s="328">
        <v>6047.168924999999</v>
      </c>
      <c r="H4092" s="328">
        <v>6744.1145999999999</v>
      </c>
      <c r="I4092" s="329">
        <v>1.5610355814542962E-2</v>
      </c>
      <c r="J4092" s="329">
        <v>0.50462834196993911</v>
      </c>
      <c r="K4092" s="329">
        <v>0.70154897383978332</v>
      </c>
    </row>
    <row r="4093" spans="1:11" ht="11.25" x14ac:dyDescent="0.15">
      <c r="A4093" s="326">
        <v>1.0249999999999999</v>
      </c>
      <c r="B4093" s="327">
        <v>50</v>
      </c>
      <c r="C4093" s="327" t="s">
        <v>116</v>
      </c>
      <c r="D4093" s="327" t="s">
        <v>113</v>
      </c>
      <c r="E4093" s="328" t="s">
        <v>3433</v>
      </c>
      <c r="F4093" s="328">
        <v>126.57489249999999</v>
      </c>
      <c r="G4093" s="328">
        <v>6087.0209249999989</v>
      </c>
      <c r="H4093" s="328">
        <v>6636.3501999999999</v>
      </c>
      <c r="I4093" s="329">
        <v>5.0249710605884627E-3</v>
      </c>
      <c r="J4093" s="329">
        <v>0.50795393927565458</v>
      </c>
      <c r="K4093" s="329">
        <v>0.69033890273030662</v>
      </c>
    </row>
    <row r="4094" spans="1:11" ht="11.25" x14ac:dyDescent="0.15">
      <c r="A4094" s="326">
        <v>1.05</v>
      </c>
      <c r="B4094" s="327">
        <v>50</v>
      </c>
      <c r="C4094" s="327" t="s">
        <v>116</v>
      </c>
      <c r="D4094" s="327" t="s">
        <v>79</v>
      </c>
      <c r="E4094" s="328" t="s">
        <v>3434</v>
      </c>
      <c r="F4094" s="328">
        <v>2697.9508500000006</v>
      </c>
      <c r="G4094" s="328">
        <v>6758.1622500000003</v>
      </c>
      <c r="H4094" s="328">
        <v>7208.3024999999998</v>
      </c>
      <c r="I4094" s="329">
        <v>0.10710753670314237</v>
      </c>
      <c r="J4094" s="329">
        <v>0.56395980553517178</v>
      </c>
      <c r="K4094" s="329">
        <v>0.74983560065864607</v>
      </c>
    </row>
    <row r="4095" spans="1:11" ht="11.25" x14ac:dyDescent="0.15">
      <c r="A4095" s="326">
        <v>1.05</v>
      </c>
      <c r="B4095" s="327">
        <v>50</v>
      </c>
      <c r="C4095" s="327" t="s">
        <v>116</v>
      </c>
      <c r="D4095" s="327" t="s">
        <v>114</v>
      </c>
      <c r="E4095" s="328" t="s">
        <v>3435</v>
      </c>
      <c r="F4095" s="328">
        <v>423.38499000000002</v>
      </c>
      <c r="G4095" s="328">
        <v>6451.0362000000005</v>
      </c>
      <c r="H4095" s="328">
        <v>7096.170900000001</v>
      </c>
      <c r="I4095" s="329">
        <v>1.6808209592100078E-2</v>
      </c>
      <c r="J4095" s="329">
        <v>0.53833053813591913</v>
      </c>
      <c r="K4095" s="329">
        <v>0.73817123645655902</v>
      </c>
    </row>
    <row r="4096" spans="1:11" ht="11.25" x14ac:dyDescent="0.15">
      <c r="A4096" s="326">
        <v>1.05</v>
      </c>
      <c r="B4096" s="327">
        <v>50</v>
      </c>
      <c r="C4096" s="327" t="s">
        <v>116</v>
      </c>
      <c r="D4096" s="327" t="s">
        <v>113</v>
      </c>
      <c r="E4096" s="328" t="s">
        <v>3436</v>
      </c>
      <c r="F4096" s="328">
        <v>136.34050500000004</v>
      </c>
      <c r="G4096" s="328">
        <v>6443.9234999999999</v>
      </c>
      <c r="H4096" s="328">
        <v>6984.6367500000006</v>
      </c>
      <c r="I4096" s="329">
        <v>5.4126618516465805E-3</v>
      </c>
      <c r="J4096" s="329">
        <v>0.53773699261859587</v>
      </c>
      <c r="K4096" s="329">
        <v>0.72656902132210788</v>
      </c>
    </row>
    <row r="4097" spans="1:11" ht="11.25" x14ac:dyDescent="0.15">
      <c r="A4097" s="326">
        <v>1.075</v>
      </c>
      <c r="B4097" s="327">
        <v>50</v>
      </c>
      <c r="C4097" s="327" t="s">
        <v>116</v>
      </c>
      <c r="D4097" s="327" t="s">
        <v>79</v>
      </c>
      <c r="E4097" s="328" t="s">
        <v>3437</v>
      </c>
      <c r="F4097" s="328">
        <v>2905.465925</v>
      </c>
      <c r="G4097" s="328">
        <v>7252.3907499999996</v>
      </c>
      <c r="H4097" s="328">
        <v>7573.9178750000001</v>
      </c>
      <c r="I4097" s="329">
        <v>0.1153457996470421</v>
      </c>
      <c r="J4097" s="329">
        <v>0.60520252780777473</v>
      </c>
      <c r="K4097" s="329">
        <v>0.78786833087816188</v>
      </c>
    </row>
    <row r="4098" spans="1:11" ht="11.25" x14ac:dyDescent="0.15">
      <c r="A4098" s="326">
        <v>1.075</v>
      </c>
      <c r="B4098" s="327">
        <v>50</v>
      </c>
      <c r="C4098" s="327" t="s">
        <v>116</v>
      </c>
      <c r="D4098" s="327" t="s">
        <v>114</v>
      </c>
      <c r="E4098" s="328" t="s">
        <v>3438</v>
      </c>
      <c r="F4098" s="328">
        <v>455.51566249999996</v>
      </c>
      <c r="G4098" s="328">
        <v>6881.3469749999995</v>
      </c>
      <c r="H4098" s="328">
        <v>7457.7232749999994</v>
      </c>
      <c r="I4098" s="329">
        <v>1.8083784046723811E-2</v>
      </c>
      <c r="J4098" s="329">
        <v>0.57423940981012145</v>
      </c>
      <c r="K4098" s="329">
        <v>0.77578131764803016</v>
      </c>
    </row>
    <row r="4099" spans="1:11" ht="11.25" x14ac:dyDescent="0.15">
      <c r="A4099" s="326">
        <v>1.075</v>
      </c>
      <c r="B4099" s="327">
        <v>50</v>
      </c>
      <c r="C4099" s="327" t="s">
        <v>116</v>
      </c>
      <c r="D4099" s="327" t="s">
        <v>113</v>
      </c>
      <c r="E4099" s="328" t="s">
        <v>3439</v>
      </c>
      <c r="F4099" s="328">
        <v>146.7657725</v>
      </c>
      <c r="G4099" s="328">
        <v>6822.5939250000001</v>
      </c>
      <c r="H4099" s="328">
        <v>7341.9909250000001</v>
      </c>
      <c r="I4099" s="329">
        <v>5.82654067430798E-3</v>
      </c>
      <c r="J4099" s="329">
        <v>0.5693365445892401</v>
      </c>
      <c r="K4099" s="329">
        <v>0.76374238945683859</v>
      </c>
    </row>
    <row r="4100" spans="1:11" ht="11.25" x14ac:dyDescent="0.15">
      <c r="A4100" s="326">
        <v>1.1000000000000001</v>
      </c>
      <c r="B4100" s="327">
        <v>50</v>
      </c>
      <c r="C4100" s="327" t="s">
        <v>116</v>
      </c>
      <c r="D4100" s="327" t="s">
        <v>79</v>
      </c>
      <c r="E4100" s="328" t="s">
        <v>3440</v>
      </c>
      <c r="F4100" s="328">
        <v>3125.8557000000001</v>
      </c>
      <c r="G4100" s="328">
        <v>7777.9383000000007</v>
      </c>
      <c r="H4100" s="328">
        <v>7948.4515000000001</v>
      </c>
      <c r="I4100" s="329">
        <v>0.12409518287424573</v>
      </c>
      <c r="J4100" s="329">
        <v>0.64905878386281202</v>
      </c>
      <c r="K4100" s="329">
        <v>0.82682877207339955</v>
      </c>
    </row>
    <row r="4101" spans="1:11" ht="11.25" x14ac:dyDescent="0.15">
      <c r="A4101" s="326">
        <v>1.1000000000000001</v>
      </c>
      <c r="B4101" s="327">
        <v>50</v>
      </c>
      <c r="C4101" s="327" t="s">
        <v>116</v>
      </c>
      <c r="D4101" s="327" t="s">
        <v>114</v>
      </c>
      <c r="E4101" s="328" t="s">
        <v>3441</v>
      </c>
      <c r="F4101" s="328">
        <v>489.71956000000006</v>
      </c>
      <c r="G4101" s="328">
        <v>7340.2494000000015</v>
      </c>
      <c r="H4101" s="328">
        <v>7828.2193000000007</v>
      </c>
      <c r="I4101" s="329">
        <v>1.9441664679305304E-2</v>
      </c>
      <c r="J4101" s="329">
        <v>0.61253421730199842</v>
      </c>
      <c r="K4101" s="329">
        <v>0.81432175202179791</v>
      </c>
    </row>
    <row r="4102" spans="1:11" ht="11.25" x14ac:dyDescent="0.15">
      <c r="A4102" s="326">
        <v>1.1000000000000001</v>
      </c>
      <c r="B4102" s="327">
        <v>50</v>
      </c>
      <c r="C4102" s="327" t="s">
        <v>116</v>
      </c>
      <c r="D4102" s="327" t="s">
        <v>113</v>
      </c>
      <c r="E4102" s="328" t="s">
        <v>3442</v>
      </c>
      <c r="F4102" s="328">
        <v>157.89675</v>
      </c>
      <c r="G4102" s="328">
        <v>7223.5691000000006</v>
      </c>
      <c r="H4102" s="328">
        <v>7708.5019000000011</v>
      </c>
      <c r="I4102" s="329">
        <v>6.2684358930897091E-3</v>
      </c>
      <c r="J4102" s="329">
        <v>0.602797398790755</v>
      </c>
      <c r="K4102" s="329">
        <v>0.80186828346407701</v>
      </c>
    </row>
    <row r="4103" spans="1:11" ht="11.25" x14ac:dyDescent="0.15">
      <c r="A4103" s="326">
        <v>1.125</v>
      </c>
      <c r="B4103" s="327">
        <v>50</v>
      </c>
      <c r="C4103" s="327" t="s">
        <v>116</v>
      </c>
      <c r="D4103" s="327" t="s">
        <v>79</v>
      </c>
      <c r="E4103" s="328" t="s">
        <v>3443</v>
      </c>
      <c r="F4103" s="328">
        <v>3359.7697499999999</v>
      </c>
      <c r="G4103" s="328">
        <v>8334.2283750000006</v>
      </c>
      <c r="H4103" s="328">
        <v>8332.6545000000006</v>
      </c>
      <c r="I4103" s="329">
        <v>0.1333814742445113</v>
      </c>
      <c r="J4103" s="329">
        <v>0.69548046344266312</v>
      </c>
      <c r="K4103" s="329">
        <v>0.8667950591818907</v>
      </c>
    </row>
    <row r="4104" spans="1:11" ht="11.25" x14ac:dyDescent="0.15">
      <c r="A4104" s="326">
        <v>1.125</v>
      </c>
      <c r="B4104" s="327">
        <v>50</v>
      </c>
      <c r="C4104" s="327" t="s">
        <v>116</v>
      </c>
      <c r="D4104" s="327" t="s">
        <v>114</v>
      </c>
      <c r="E4104" s="328" t="s">
        <v>3444</v>
      </c>
      <c r="F4104" s="328">
        <v>526.12008750000007</v>
      </c>
      <c r="G4104" s="328">
        <v>7827.48675</v>
      </c>
      <c r="H4104" s="328">
        <v>8207.7491250000003</v>
      </c>
      <c r="I4104" s="329">
        <v>2.0886750617479456E-2</v>
      </c>
      <c r="J4104" s="329">
        <v>0.65319353724588869</v>
      </c>
      <c r="K4104" s="329">
        <v>0.85380191733072408</v>
      </c>
    </row>
    <row r="4105" spans="1:11" ht="11.25" x14ac:dyDescent="0.15">
      <c r="A4105" s="326">
        <v>1.125</v>
      </c>
      <c r="B4105" s="327">
        <v>50</v>
      </c>
      <c r="C4105" s="327" t="s">
        <v>116</v>
      </c>
      <c r="D4105" s="327" t="s">
        <v>113</v>
      </c>
      <c r="E4105" s="328" t="s">
        <v>3445</v>
      </c>
      <c r="F4105" s="328">
        <v>169.78038749999999</v>
      </c>
      <c r="G4105" s="328">
        <v>7648.4981250000001</v>
      </c>
      <c r="H4105" s="328">
        <v>8083.6931249999998</v>
      </c>
      <c r="I4105" s="329">
        <v>6.7402114036399065E-3</v>
      </c>
      <c r="J4105" s="329">
        <v>0.63825717046244723</v>
      </c>
      <c r="K4105" s="329">
        <v>0.84089713076338601</v>
      </c>
    </row>
    <row r="4106" spans="1:11" ht="11.25" x14ac:dyDescent="0.15">
      <c r="A4106" s="326">
        <v>1.1499999999999999</v>
      </c>
      <c r="B4106" s="327">
        <v>50</v>
      </c>
      <c r="C4106" s="327" t="s">
        <v>116</v>
      </c>
      <c r="D4106" s="327" t="s">
        <v>79</v>
      </c>
      <c r="E4106" s="328" t="s">
        <v>3446</v>
      </c>
      <c r="F4106" s="328">
        <v>3607.8857999999996</v>
      </c>
      <c r="G4106" s="328">
        <v>8923.4491499999986</v>
      </c>
      <c r="H4106" s="328">
        <v>8725.6180999999997</v>
      </c>
      <c r="I4106" s="329">
        <v>0.14323157916099399</v>
      </c>
      <c r="J4106" s="329">
        <v>0.74465016689070962</v>
      </c>
      <c r="K4106" s="329">
        <v>0.90767265790128171</v>
      </c>
    </row>
    <row r="4107" spans="1:11" ht="11.25" x14ac:dyDescent="0.15">
      <c r="A4107" s="326">
        <v>1.1499999999999999</v>
      </c>
      <c r="B4107" s="327">
        <v>50</v>
      </c>
      <c r="C4107" s="327" t="s">
        <v>116</v>
      </c>
      <c r="D4107" s="327" t="s">
        <v>114</v>
      </c>
      <c r="E4107" s="328" t="s">
        <v>3447</v>
      </c>
      <c r="F4107" s="328">
        <v>564.84492499999988</v>
      </c>
      <c r="G4107" s="328">
        <v>8344.0710999999992</v>
      </c>
      <c r="H4107" s="328">
        <v>8595.6646499999988</v>
      </c>
      <c r="I4107" s="329">
        <v>2.2424110704619089E-2</v>
      </c>
      <c r="J4107" s="329">
        <v>0.69630182597756463</v>
      </c>
      <c r="K4107" s="329">
        <v>0.89415439569760558</v>
      </c>
    </row>
    <row r="4108" spans="1:11" ht="11.25" x14ac:dyDescent="0.15">
      <c r="A4108" s="326">
        <v>1.1499999999999999</v>
      </c>
      <c r="B4108" s="327">
        <v>50</v>
      </c>
      <c r="C4108" s="327" t="s">
        <v>116</v>
      </c>
      <c r="D4108" s="327" t="s">
        <v>113</v>
      </c>
      <c r="E4108" s="328" t="s">
        <v>3448</v>
      </c>
      <c r="F4108" s="328">
        <v>182.46773999999999</v>
      </c>
      <c r="G4108" s="328">
        <v>8099.1164999999992</v>
      </c>
      <c r="H4108" s="328">
        <v>8467.972099999999</v>
      </c>
      <c r="I4108" s="329">
        <v>7.243894068414713E-3</v>
      </c>
      <c r="J4108" s="329">
        <v>0.67586068481068218</v>
      </c>
      <c r="K4108" s="329">
        <v>0.88087132108622745</v>
      </c>
    </row>
    <row r="4109" spans="1:11" ht="11.25" x14ac:dyDescent="0.15">
      <c r="A4109" s="326">
        <v>1.175</v>
      </c>
      <c r="B4109" s="327">
        <v>50</v>
      </c>
      <c r="C4109" s="327" t="s">
        <v>116</v>
      </c>
      <c r="D4109" s="327" t="s">
        <v>79</v>
      </c>
      <c r="E4109" s="328" t="s">
        <v>3449</v>
      </c>
      <c r="F4109" s="328">
        <v>3870.90825</v>
      </c>
      <c r="G4109" s="328">
        <v>9544.35815</v>
      </c>
      <c r="H4109" s="328">
        <v>9128.388175</v>
      </c>
      <c r="I4109" s="329">
        <v>0.15367346201335413</v>
      </c>
      <c r="J4109" s="329">
        <v>0.79646421129235723</v>
      </c>
      <c r="K4109" s="329">
        <v>0.94957036420799579</v>
      </c>
    </row>
    <row r="4110" spans="1:11" ht="11.25" x14ac:dyDescent="0.15">
      <c r="A4110" s="326">
        <v>1.175</v>
      </c>
      <c r="B4110" s="327">
        <v>50</v>
      </c>
      <c r="C4110" s="327" t="s">
        <v>116</v>
      </c>
      <c r="D4110" s="327" t="s">
        <v>114</v>
      </c>
      <c r="E4110" s="328" t="s">
        <v>3450</v>
      </c>
      <c r="F4110" s="328">
        <v>606.03609500000005</v>
      </c>
      <c r="G4110" s="328">
        <v>8891.9170749999994</v>
      </c>
      <c r="H4110" s="328">
        <v>8993.2455500000015</v>
      </c>
      <c r="I4110" s="329">
        <v>2.4059383175435375E-2</v>
      </c>
      <c r="J4110" s="329">
        <v>0.74201885645049037</v>
      </c>
      <c r="K4110" s="329">
        <v>0.93551230388221729</v>
      </c>
    </row>
    <row r="4111" spans="1:11" ht="11.25" x14ac:dyDescent="0.15">
      <c r="A4111" s="326">
        <v>1.175</v>
      </c>
      <c r="B4111" s="327">
        <v>50</v>
      </c>
      <c r="C4111" s="327" t="s">
        <v>116</v>
      </c>
      <c r="D4111" s="327" t="s">
        <v>113</v>
      </c>
      <c r="E4111" s="328" t="s">
        <v>3451</v>
      </c>
      <c r="F4111" s="328">
        <v>196.01444000000001</v>
      </c>
      <c r="G4111" s="328">
        <v>8576.7057000000004</v>
      </c>
      <c r="H4111" s="328">
        <v>8861.0615750000015</v>
      </c>
      <c r="I4111" s="329">
        <v>7.7816924747335162E-3</v>
      </c>
      <c r="J4111" s="329">
        <v>0.71571487924907395</v>
      </c>
      <c r="K4111" s="329">
        <v>0.92176201381162548</v>
      </c>
    </row>
    <row r="4112" spans="1:11" ht="11.25" x14ac:dyDescent="0.15">
      <c r="A4112" s="326">
        <v>1.2</v>
      </c>
      <c r="B4112" s="327">
        <v>50</v>
      </c>
      <c r="C4112" s="327" t="s">
        <v>116</v>
      </c>
      <c r="D4112" s="327" t="s">
        <v>79</v>
      </c>
      <c r="E4112" s="328" t="s">
        <v>3452</v>
      </c>
      <c r="F4112" s="328">
        <v>4149.5735999999997</v>
      </c>
      <c r="G4112" s="328">
        <v>10198.4712</v>
      </c>
      <c r="H4112" s="328">
        <v>9539.7551999999996</v>
      </c>
      <c r="I4112" s="329">
        <v>0.16473636154802096</v>
      </c>
      <c r="J4112" s="329">
        <v>0.85104909026237863</v>
      </c>
      <c r="K4112" s="329">
        <v>0.99236235861750277</v>
      </c>
    </row>
    <row r="4113" spans="1:11" ht="11.25" x14ac:dyDescent="0.15">
      <c r="A4113" s="326">
        <v>1.2</v>
      </c>
      <c r="B4113" s="327">
        <v>50</v>
      </c>
      <c r="C4113" s="327" t="s">
        <v>116</v>
      </c>
      <c r="D4113" s="327" t="s">
        <v>114</v>
      </c>
      <c r="E4113" s="328" t="s">
        <v>3453</v>
      </c>
      <c r="F4113" s="328">
        <v>649.84068000000002</v>
      </c>
      <c r="G4113" s="328">
        <v>9472.1628000000001</v>
      </c>
      <c r="H4113" s="328">
        <v>9399.9071999999996</v>
      </c>
      <c r="I4113" s="329">
        <v>2.5798407144553795E-2</v>
      </c>
      <c r="J4113" s="329">
        <v>0.79043960370816613</v>
      </c>
      <c r="K4113" s="329">
        <v>0.97781482692319466</v>
      </c>
    </row>
    <row r="4114" spans="1:11" ht="11.25" x14ac:dyDescent="0.15">
      <c r="A4114" s="326">
        <v>1.2</v>
      </c>
      <c r="B4114" s="327">
        <v>50</v>
      </c>
      <c r="C4114" s="327" t="s">
        <v>116</v>
      </c>
      <c r="D4114" s="327" t="s">
        <v>113</v>
      </c>
      <c r="E4114" s="328" t="s">
        <v>3454</v>
      </c>
      <c r="F4114" s="328">
        <v>210.47927999999999</v>
      </c>
      <c r="G4114" s="328">
        <v>9081.7547999999988</v>
      </c>
      <c r="H4114" s="328">
        <v>9263.4767999999985</v>
      </c>
      <c r="I4114" s="329">
        <v>8.3559406606132109E-3</v>
      </c>
      <c r="J4114" s="329">
        <v>0.75786056644705624</v>
      </c>
      <c r="K4114" s="329">
        <v>0.96362280724420646</v>
      </c>
    </row>
    <row r="4115" spans="1:11" ht="11.25" x14ac:dyDescent="0.15">
      <c r="A4115" s="326">
        <v>1.2250000000000001</v>
      </c>
      <c r="B4115" s="327">
        <v>50</v>
      </c>
      <c r="C4115" s="327" t="s">
        <v>116</v>
      </c>
      <c r="D4115" s="327" t="s">
        <v>79</v>
      </c>
      <c r="E4115" s="328" t="s">
        <v>3455</v>
      </c>
      <c r="F4115" s="328">
        <v>4444.6503500000008</v>
      </c>
      <c r="G4115" s="328">
        <v>10887.205875</v>
      </c>
      <c r="H4115" s="328">
        <v>9960.9833750000016</v>
      </c>
      <c r="I4115" s="329">
        <v>0.1764507868982341</v>
      </c>
      <c r="J4115" s="329">
        <v>0.90852309858147895</v>
      </c>
      <c r="K4115" s="329">
        <v>1.0361801481200204</v>
      </c>
    </row>
    <row r="4116" spans="1:11" ht="11.25" x14ac:dyDescent="0.15">
      <c r="A4116" s="326">
        <v>1.2250000000000001</v>
      </c>
      <c r="B4116" s="327">
        <v>50</v>
      </c>
      <c r="C4116" s="327" t="s">
        <v>116</v>
      </c>
      <c r="D4116" s="327" t="s">
        <v>114</v>
      </c>
      <c r="E4116" s="328" t="s">
        <v>3456</v>
      </c>
      <c r="F4116" s="328">
        <v>696.41250000000002</v>
      </c>
      <c r="G4116" s="328">
        <v>10085.304950000002</v>
      </c>
      <c r="H4116" s="328">
        <v>9815.4031500000019</v>
      </c>
      <c r="I4116" s="329">
        <v>2.7647289202572804E-2</v>
      </c>
      <c r="J4116" s="329">
        <v>0.84160551463009137</v>
      </c>
      <c r="K4116" s="329">
        <v>1.021036328135094</v>
      </c>
    </row>
    <row r="4117" spans="1:11" ht="11.25" x14ac:dyDescent="0.15">
      <c r="A4117" s="326">
        <v>1.2250000000000001</v>
      </c>
      <c r="B4117" s="327">
        <v>50</v>
      </c>
      <c r="C4117" s="327" t="s">
        <v>116</v>
      </c>
      <c r="D4117" s="327" t="s">
        <v>113</v>
      </c>
      <c r="E4117" s="328" t="s">
        <v>3457</v>
      </c>
      <c r="F4117" s="328">
        <v>225.92748500000002</v>
      </c>
      <c r="G4117" s="328">
        <v>9615.7379500000006</v>
      </c>
      <c r="H4117" s="328">
        <v>9674.627375</v>
      </c>
      <c r="I4117" s="329">
        <v>8.9692280316693469E-3</v>
      </c>
      <c r="J4117" s="329">
        <v>0.80242076229513015</v>
      </c>
      <c r="K4117" s="329">
        <v>1.0063922856846956</v>
      </c>
    </row>
    <row r="4118" spans="1:11" ht="11.25" x14ac:dyDescent="0.15">
      <c r="A4118" s="326">
        <v>1.25</v>
      </c>
      <c r="B4118" s="327">
        <v>50</v>
      </c>
      <c r="C4118" s="327" t="s">
        <v>116</v>
      </c>
      <c r="D4118" s="327" t="s">
        <v>79</v>
      </c>
      <c r="E4118" s="328" t="s">
        <v>3458</v>
      </c>
      <c r="F4118" s="328">
        <v>4756.9387500000003</v>
      </c>
      <c r="G4118" s="328">
        <v>11610.115000000002</v>
      </c>
      <c r="H4118" s="328">
        <v>10391.076249999998</v>
      </c>
      <c r="I4118" s="329">
        <v>0.18884850765914624</v>
      </c>
      <c r="J4118" s="329">
        <v>0.96884892008045265</v>
      </c>
      <c r="K4118" s="329">
        <v>1.0809200781194379</v>
      </c>
    </row>
    <row r="4119" spans="1:11" ht="11.25" x14ac:dyDescent="0.15">
      <c r="A4119" s="326">
        <v>1.25</v>
      </c>
      <c r="B4119" s="327">
        <v>50</v>
      </c>
      <c r="C4119" s="327" t="s">
        <v>116</v>
      </c>
      <c r="D4119" s="327" t="s">
        <v>114</v>
      </c>
      <c r="E4119" s="328" t="s">
        <v>3459</v>
      </c>
      <c r="F4119" s="328">
        <v>745.92</v>
      </c>
      <c r="G4119" s="328">
        <v>10730.584999999999</v>
      </c>
      <c r="H4119" s="328">
        <v>10240.148749999998</v>
      </c>
      <c r="I4119" s="329">
        <v>2.9612716546562712E-2</v>
      </c>
      <c r="J4119" s="329">
        <v>0.89545329129655493</v>
      </c>
      <c r="K4119" s="329">
        <v>1.0652200138368406</v>
      </c>
    </row>
    <row r="4120" spans="1:11" ht="11.25" x14ac:dyDescent="0.15">
      <c r="A4120" s="326">
        <v>1.25</v>
      </c>
      <c r="B4120" s="327">
        <v>50</v>
      </c>
      <c r="C4120" s="327" t="s">
        <v>116</v>
      </c>
      <c r="D4120" s="327" t="s">
        <v>113</v>
      </c>
      <c r="E4120" s="328" t="s">
        <v>3460</v>
      </c>
      <c r="F4120" s="328">
        <v>242.42625000000001</v>
      </c>
      <c r="G4120" s="328">
        <v>10180.119999999999</v>
      </c>
      <c r="H4120" s="328">
        <v>10095.063749999999</v>
      </c>
      <c r="I4120" s="329">
        <v>9.624222201705477E-3</v>
      </c>
      <c r="J4120" s="329">
        <v>0.84951770661095216</v>
      </c>
      <c r="K4120" s="329">
        <v>1.0501277090783265</v>
      </c>
    </row>
    <row r="4121" spans="1:11" ht="11.25" x14ac:dyDescent="0.15">
      <c r="A4121" s="326">
        <v>1.2749999999999999</v>
      </c>
      <c r="B4121" s="327">
        <v>50</v>
      </c>
      <c r="C4121" s="327" t="s">
        <v>116</v>
      </c>
      <c r="D4121" s="327" t="s">
        <v>79</v>
      </c>
      <c r="E4121" s="328" t="s">
        <v>3461</v>
      </c>
      <c r="F4121" s="328">
        <v>5087.271674999999</v>
      </c>
      <c r="G4121" s="328">
        <v>12367.848075</v>
      </c>
      <c r="H4121" s="328">
        <v>10830.7629</v>
      </c>
      <c r="I4121" s="329">
        <v>0.20196258862496283</v>
      </c>
      <c r="J4121" s="329">
        <v>1.0320807546852768</v>
      </c>
      <c r="K4121" s="329">
        <v>1.1266579898267144</v>
      </c>
    </row>
    <row r="4122" spans="1:11" ht="11.25" x14ac:dyDescent="0.15">
      <c r="A4122" s="326">
        <v>1.2749999999999999</v>
      </c>
      <c r="B4122" s="327">
        <v>50</v>
      </c>
      <c r="C4122" s="327" t="s">
        <v>116</v>
      </c>
      <c r="D4122" s="327" t="s">
        <v>114</v>
      </c>
      <c r="E4122" s="328" t="s">
        <v>3462</v>
      </c>
      <c r="F4122" s="328">
        <v>798.54053250000004</v>
      </c>
      <c r="G4122" s="328">
        <v>11410.417425</v>
      </c>
      <c r="H4122" s="328">
        <v>10674.028425</v>
      </c>
      <c r="I4122" s="329">
        <v>3.1701729997672339E-2</v>
      </c>
      <c r="J4122" s="329">
        <v>0.9521844184901207</v>
      </c>
      <c r="K4122" s="329">
        <v>1.1103538614684021</v>
      </c>
    </row>
    <row r="4123" spans="1:11" ht="11.25" x14ac:dyDescent="0.15">
      <c r="A4123" s="326">
        <v>1.2749999999999999</v>
      </c>
      <c r="B4123" s="327">
        <v>50</v>
      </c>
      <c r="C4123" s="327" t="s">
        <v>116</v>
      </c>
      <c r="D4123" s="327" t="s">
        <v>113</v>
      </c>
      <c r="E4123" s="328" t="s">
        <v>3463</v>
      </c>
      <c r="F4123" s="328">
        <v>260.0529525</v>
      </c>
      <c r="G4123" s="328">
        <v>10776.224775000001</v>
      </c>
      <c r="H4123" s="328">
        <v>10524.45945</v>
      </c>
      <c r="I4123" s="329">
        <v>1.0323995025578129E-2</v>
      </c>
      <c r="J4123" s="329">
        <v>0.89926187086027731</v>
      </c>
      <c r="K4123" s="329">
        <v>1.0947951162285869</v>
      </c>
    </row>
    <row r="4124" spans="1:11" ht="11.25" x14ac:dyDescent="0.15">
      <c r="A4124" s="326">
        <v>1.3</v>
      </c>
      <c r="B4124" s="327">
        <v>50</v>
      </c>
      <c r="C4124" s="327" t="s">
        <v>116</v>
      </c>
      <c r="D4124" s="327" t="s">
        <v>79</v>
      </c>
      <c r="E4124" s="328" t="s">
        <v>3464</v>
      </c>
      <c r="F4124" s="328">
        <v>5436.5259000000005</v>
      </c>
      <c r="G4124" s="328">
        <v>13160.836000000001</v>
      </c>
      <c r="H4124" s="328">
        <v>11280.097400000001</v>
      </c>
      <c r="I4124" s="329">
        <v>0.21582783740179479</v>
      </c>
      <c r="J4124" s="329">
        <v>1.0982545604376825</v>
      </c>
      <c r="K4124" s="329">
        <v>1.1733995083332078</v>
      </c>
    </row>
    <row r="4125" spans="1:11" ht="11.25" x14ac:dyDescent="0.15">
      <c r="A4125" s="326">
        <v>1.3</v>
      </c>
      <c r="B4125" s="327">
        <v>50</v>
      </c>
      <c r="C4125" s="327" t="s">
        <v>116</v>
      </c>
      <c r="D4125" s="327" t="s">
        <v>114</v>
      </c>
      <c r="E4125" s="328" t="s">
        <v>3465</v>
      </c>
      <c r="F4125" s="328">
        <v>854.46270000000004</v>
      </c>
      <c r="G4125" s="328">
        <v>12124.199100000002</v>
      </c>
      <c r="H4125" s="328">
        <v>11117.311400000001</v>
      </c>
      <c r="I4125" s="329">
        <v>3.3921816997413465E-2</v>
      </c>
      <c r="J4125" s="329">
        <v>1.0117485662179397</v>
      </c>
      <c r="K4125" s="329">
        <v>1.1564658768591098</v>
      </c>
    </row>
    <row r="4126" spans="1:11" ht="11.25" x14ac:dyDescent="0.15">
      <c r="A4126" s="326">
        <v>1.3</v>
      </c>
      <c r="B4126" s="327">
        <v>50</v>
      </c>
      <c r="C4126" s="327" t="s">
        <v>116</v>
      </c>
      <c r="D4126" s="327" t="s">
        <v>113</v>
      </c>
      <c r="E4126" s="328" t="s">
        <v>3466</v>
      </c>
      <c r="F4126" s="328">
        <v>278.88796000000002</v>
      </c>
      <c r="G4126" s="328">
        <v>11403.385500000002</v>
      </c>
      <c r="H4126" s="328">
        <v>10962.716700000001</v>
      </c>
      <c r="I4126" s="329">
        <v>1.1071737059911413E-2</v>
      </c>
      <c r="J4126" s="329">
        <v>0.95159761354095918</v>
      </c>
      <c r="K4126" s="329">
        <v>1.140384336200523</v>
      </c>
    </row>
    <row r="4127" spans="1:11" ht="11.25" x14ac:dyDescent="0.15">
      <c r="A4127" s="326">
        <v>1.325</v>
      </c>
      <c r="B4127" s="327">
        <v>50</v>
      </c>
      <c r="C4127" s="327" t="s">
        <v>116</v>
      </c>
      <c r="D4127" s="327" t="s">
        <v>79</v>
      </c>
      <c r="E4127" s="328" t="s">
        <v>3467</v>
      </c>
      <c r="F4127" s="328">
        <v>5805.6094000000003</v>
      </c>
      <c r="G4127" s="328">
        <v>13987.680499999999</v>
      </c>
      <c r="H4127" s="328">
        <v>11739.008425</v>
      </c>
      <c r="I4127" s="329">
        <v>0.23048030022289259</v>
      </c>
      <c r="J4127" s="329">
        <v>1.167253653116735</v>
      </c>
      <c r="K4127" s="329">
        <v>1.221137214135614</v>
      </c>
    </row>
    <row r="4128" spans="1:11" ht="11.25" x14ac:dyDescent="0.15">
      <c r="A4128" s="326">
        <v>1.325</v>
      </c>
      <c r="B4128" s="327">
        <v>50</v>
      </c>
      <c r="C4128" s="327" t="s">
        <v>116</v>
      </c>
      <c r="D4128" s="327" t="s">
        <v>114</v>
      </c>
      <c r="E4128" s="328" t="s">
        <v>3468</v>
      </c>
      <c r="F4128" s="328">
        <v>913.88814249999996</v>
      </c>
      <c r="G4128" s="328">
        <v>12874.333350000001</v>
      </c>
      <c r="H4128" s="328">
        <v>11569.119574999999</v>
      </c>
      <c r="I4128" s="329">
        <v>3.6280982570674081E-2</v>
      </c>
      <c r="J4128" s="329">
        <v>1.0743462888096504</v>
      </c>
      <c r="K4128" s="329">
        <v>1.2034647166391566</v>
      </c>
    </row>
    <row r="4129" spans="1:11" ht="11.25" x14ac:dyDescent="0.15">
      <c r="A4129" s="326">
        <v>1.325</v>
      </c>
      <c r="B4129" s="327">
        <v>50</v>
      </c>
      <c r="C4129" s="327" t="s">
        <v>116</v>
      </c>
      <c r="D4129" s="327" t="s">
        <v>113</v>
      </c>
      <c r="E4129" s="328" t="s">
        <v>3469</v>
      </c>
      <c r="F4129" s="328">
        <v>299.01897750000001</v>
      </c>
      <c r="G4129" s="328">
        <v>12063.127274999999</v>
      </c>
      <c r="H4129" s="328">
        <v>11410.0255</v>
      </c>
      <c r="I4129" s="329">
        <v>1.1870930157055065E-2</v>
      </c>
      <c r="J4129" s="329">
        <v>1.0066522022543964</v>
      </c>
      <c r="K4129" s="329">
        <v>1.1869151335315031</v>
      </c>
    </row>
    <row r="4130" spans="1:11" ht="11.25" x14ac:dyDescent="0.15">
      <c r="A4130" s="326">
        <v>1.35</v>
      </c>
      <c r="B4130" s="327">
        <v>50</v>
      </c>
      <c r="C4130" s="327" t="s">
        <v>116</v>
      </c>
      <c r="D4130" s="327" t="s">
        <v>79</v>
      </c>
      <c r="E4130" s="328" t="s">
        <v>3470</v>
      </c>
      <c r="F4130" s="328">
        <v>6195.4740000000011</v>
      </c>
      <c r="G4130" s="328">
        <v>14853.334500000001</v>
      </c>
      <c r="H4130" s="328">
        <v>12206.702700000002</v>
      </c>
      <c r="I4130" s="329">
        <v>0.24595776414843296</v>
      </c>
      <c r="J4130" s="329">
        <v>1.2394913478392531</v>
      </c>
      <c r="K4130" s="329">
        <v>1.2697885876898227</v>
      </c>
    </row>
    <row r="4131" spans="1:11" ht="11.25" x14ac:dyDescent="0.15">
      <c r="A4131" s="326">
        <v>1.35</v>
      </c>
      <c r="B4131" s="327">
        <v>50</v>
      </c>
      <c r="C4131" s="327" t="s">
        <v>116</v>
      </c>
      <c r="D4131" s="327" t="s">
        <v>114</v>
      </c>
      <c r="E4131" s="328" t="s">
        <v>3471</v>
      </c>
      <c r="F4131" s="328">
        <v>977.03010000000006</v>
      </c>
      <c r="G4131" s="328">
        <v>13658.719500000003</v>
      </c>
      <c r="H4131" s="328">
        <v>12031.364700000002</v>
      </c>
      <c r="I4131" s="329">
        <v>3.8787692257560895E-2</v>
      </c>
      <c r="J4131" s="329">
        <v>1.1398022876824925</v>
      </c>
      <c r="K4131" s="329">
        <v>1.2515492484628292</v>
      </c>
    </row>
    <row r="4132" spans="1:11" ht="11.25" x14ac:dyDescent="0.15">
      <c r="A4132" s="326">
        <v>1.35</v>
      </c>
      <c r="B4132" s="327">
        <v>50</v>
      </c>
      <c r="C4132" s="327" t="s">
        <v>116</v>
      </c>
      <c r="D4132" s="327" t="s">
        <v>113</v>
      </c>
      <c r="E4132" s="328" t="s">
        <v>3472</v>
      </c>
      <c r="F4132" s="328">
        <v>320.54157000000004</v>
      </c>
      <c r="G4132" s="328">
        <v>12755.9043</v>
      </c>
      <c r="H4132" s="328">
        <v>11866.248900000001</v>
      </c>
      <c r="I4132" s="329">
        <v>1.2725368208119089E-2</v>
      </c>
      <c r="J4132" s="329">
        <v>1.0644635393968622</v>
      </c>
      <c r="K4132" s="329">
        <v>1.2343732621510402</v>
      </c>
    </row>
    <row r="4133" spans="1:11" ht="11.25" x14ac:dyDescent="0.15">
      <c r="A4133" s="326">
        <v>1.375</v>
      </c>
      <c r="B4133" s="327">
        <v>50</v>
      </c>
      <c r="C4133" s="327" t="s">
        <v>116</v>
      </c>
      <c r="D4133" s="327" t="s">
        <v>79</v>
      </c>
      <c r="E4133" s="328" t="s">
        <v>3473</v>
      </c>
      <c r="F4133" s="328">
        <v>6607.1115000000009</v>
      </c>
      <c r="G4133" s="328">
        <v>15752.70125</v>
      </c>
      <c r="H4133" s="328">
        <v>12684.960749999998</v>
      </c>
      <c r="I4133" s="329">
        <v>0.26229960322961554</v>
      </c>
      <c r="J4133" s="329">
        <v>1.3145423274801753</v>
      </c>
      <c r="K4133" s="329">
        <v>1.3195388461163495</v>
      </c>
    </row>
    <row r="4134" spans="1:11" ht="11.25" x14ac:dyDescent="0.15">
      <c r="A4134" s="326">
        <v>1.375</v>
      </c>
      <c r="B4134" s="327">
        <v>50</v>
      </c>
      <c r="C4134" s="327" t="s">
        <v>116</v>
      </c>
      <c r="D4134" s="327" t="s">
        <v>114</v>
      </c>
      <c r="E4134" s="328" t="s">
        <v>3474</v>
      </c>
      <c r="F4134" s="328">
        <v>1044.1194499999999</v>
      </c>
      <c r="G4134" s="328">
        <v>14480.619999999999</v>
      </c>
      <c r="H4134" s="328">
        <v>12501.770875</v>
      </c>
      <c r="I4134" s="329">
        <v>4.1451111799660767E-2</v>
      </c>
      <c r="J4134" s="329">
        <v>1.2083888100243108</v>
      </c>
      <c r="K4134" s="329">
        <v>1.3004827243796153</v>
      </c>
    </row>
    <row r="4135" spans="1:11" ht="11.25" x14ac:dyDescent="0.15">
      <c r="A4135" s="326">
        <v>1.375</v>
      </c>
      <c r="B4135" s="327">
        <v>50</v>
      </c>
      <c r="C4135" s="327" t="s">
        <v>116</v>
      </c>
      <c r="D4135" s="327" t="s">
        <v>113</v>
      </c>
      <c r="E4135" s="328" t="s">
        <v>3475</v>
      </c>
      <c r="F4135" s="328">
        <v>343.55914999999999</v>
      </c>
      <c r="G4135" s="328">
        <v>13481.140749999999</v>
      </c>
      <c r="H4135" s="328">
        <v>12331.760375</v>
      </c>
      <c r="I4135" s="329">
        <v>1.3639156646728899E-2</v>
      </c>
      <c r="J4135" s="329">
        <v>1.124983573124821</v>
      </c>
      <c r="K4135" s="329">
        <v>1.282797572378048</v>
      </c>
    </row>
    <row r="4136" spans="1:11" ht="11.25" x14ac:dyDescent="0.15">
      <c r="A4136" s="326">
        <v>1.4</v>
      </c>
      <c r="B4136" s="327">
        <v>50</v>
      </c>
      <c r="C4136" s="327" t="s">
        <v>116</v>
      </c>
      <c r="D4136" s="327" t="s">
        <v>79</v>
      </c>
      <c r="E4136" s="328" t="s">
        <v>3476</v>
      </c>
      <c r="F4136" s="328">
        <v>7041.5631999999996</v>
      </c>
      <c r="G4136" s="328">
        <v>16689.763999999999</v>
      </c>
      <c r="H4136" s="328">
        <v>13173.0494</v>
      </c>
      <c r="I4136" s="329">
        <v>0.27954715664723706</v>
      </c>
      <c r="J4136" s="329">
        <v>1.3927389890451225</v>
      </c>
      <c r="K4136" s="329">
        <v>1.3703117217063263</v>
      </c>
    </row>
    <row r="4137" spans="1:11" ht="11.25" x14ac:dyDescent="0.15">
      <c r="A4137" s="326">
        <v>1.4</v>
      </c>
      <c r="B4137" s="327">
        <v>50</v>
      </c>
      <c r="C4137" s="327" t="s">
        <v>116</v>
      </c>
      <c r="D4137" s="327" t="s">
        <v>114</v>
      </c>
      <c r="E4137" s="328" t="s">
        <v>3477</v>
      </c>
      <c r="F4137" s="328">
        <v>1115.4004399999999</v>
      </c>
      <c r="G4137" s="328">
        <v>15337.517999999998</v>
      </c>
      <c r="H4137" s="328">
        <v>12981.453799999997</v>
      </c>
      <c r="I4137" s="329">
        <v>4.4280937722049718E-2</v>
      </c>
      <c r="J4137" s="329">
        <v>1.2798958279926167</v>
      </c>
      <c r="K4137" s="329">
        <v>1.3503812038334215</v>
      </c>
    </row>
    <row r="4138" spans="1:11" ht="11.25" x14ac:dyDescent="0.15">
      <c r="A4138" s="326">
        <v>1.4</v>
      </c>
      <c r="B4138" s="327">
        <v>50</v>
      </c>
      <c r="C4138" s="327" t="s">
        <v>116</v>
      </c>
      <c r="D4138" s="327" t="s">
        <v>113</v>
      </c>
      <c r="E4138" s="328" t="s">
        <v>3478</v>
      </c>
      <c r="F4138" s="328">
        <v>368.18431999999996</v>
      </c>
      <c r="G4138" s="328">
        <v>14243.642</v>
      </c>
      <c r="H4138" s="328">
        <v>12806.609199999999</v>
      </c>
      <c r="I4138" s="329">
        <v>1.4616765745721981E-2</v>
      </c>
      <c r="J4138" s="329">
        <v>1.1886133057004669</v>
      </c>
      <c r="K4138" s="329">
        <v>1.3321931899892578</v>
      </c>
    </row>
    <row r="4139" spans="1:11" ht="11.25" x14ac:dyDescent="0.15">
      <c r="A4139" s="326">
        <v>0.9</v>
      </c>
      <c r="B4139" s="327">
        <v>75</v>
      </c>
      <c r="C4139" s="327" t="s">
        <v>116</v>
      </c>
      <c r="D4139" s="327" t="s">
        <v>79</v>
      </c>
      <c r="E4139" s="328" t="s">
        <v>3479</v>
      </c>
      <c r="F4139" s="328">
        <v>3199.4757</v>
      </c>
      <c r="G4139" s="328">
        <v>4569.5708999999997</v>
      </c>
      <c r="H4139" s="328">
        <v>5224.5810000000001</v>
      </c>
      <c r="I4139" s="329">
        <v>0.12701786652954114</v>
      </c>
      <c r="J4139" s="329">
        <v>0.38132471829056486</v>
      </c>
      <c r="K4139" s="329">
        <v>0.54348119162933994</v>
      </c>
    </row>
    <row r="4140" spans="1:11" ht="11.25" x14ac:dyDescent="0.15">
      <c r="A4140" s="326">
        <v>0.9</v>
      </c>
      <c r="B4140" s="327">
        <v>75</v>
      </c>
      <c r="C4140" s="327" t="s">
        <v>116</v>
      </c>
      <c r="D4140" s="327" t="s">
        <v>114</v>
      </c>
      <c r="E4140" s="328" t="s">
        <v>3480</v>
      </c>
      <c r="F4140" s="328">
        <v>607.94379000000004</v>
      </c>
      <c r="G4140" s="328">
        <v>4513.7843999999996</v>
      </c>
      <c r="H4140" s="328">
        <v>5137.5600000000004</v>
      </c>
      <c r="I4140" s="329">
        <v>2.413511788062131E-2</v>
      </c>
      <c r="J4140" s="329">
        <v>0.37666940778932789</v>
      </c>
      <c r="K4140" s="329">
        <v>0.53442892949065801</v>
      </c>
    </row>
    <row r="4141" spans="1:11" ht="11.25" x14ac:dyDescent="0.15">
      <c r="A4141" s="326">
        <v>0.9</v>
      </c>
      <c r="B4141" s="327">
        <v>75</v>
      </c>
      <c r="C4141" s="327" t="s">
        <v>116</v>
      </c>
      <c r="D4141" s="327" t="s">
        <v>113</v>
      </c>
      <c r="E4141" s="328" t="s">
        <v>3481</v>
      </c>
      <c r="F4141" s="328">
        <v>209.85633000000001</v>
      </c>
      <c r="G4141" s="328">
        <v>4642.0577999999996</v>
      </c>
      <c r="H4141" s="328">
        <v>5048.5689000000011</v>
      </c>
      <c r="I4141" s="329">
        <v>8.3312098023808519E-3</v>
      </c>
      <c r="J4141" s="329">
        <v>0.38737365534114354</v>
      </c>
      <c r="K4141" s="329">
        <v>0.52517172990424044</v>
      </c>
    </row>
    <row r="4142" spans="1:11" ht="11.25" x14ac:dyDescent="0.15">
      <c r="A4142" s="326">
        <v>0.92500000000000004</v>
      </c>
      <c r="B4142" s="327">
        <v>75</v>
      </c>
      <c r="C4142" s="327" t="s">
        <v>116</v>
      </c>
      <c r="D4142" s="327" t="s">
        <v>79</v>
      </c>
      <c r="E4142" s="328" t="s">
        <v>3482</v>
      </c>
      <c r="F4142" s="328">
        <v>3453.67065</v>
      </c>
      <c r="G4142" s="328">
        <v>4924.1218749999998</v>
      </c>
      <c r="H4142" s="328">
        <v>5535.9067000000005</v>
      </c>
      <c r="I4142" s="329">
        <v>0.13710930127042176</v>
      </c>
      <c r="J4142" s="329">
        <v>0.41091153368750288</v>
      </c>
      <c r="K4142" s="329">
        <v>0.57586649916325283</v>
      </c>
    </row>
    <row r="4143" spans="1:11" ht="11.25" x14ac:dyDescent="0.15">
      <c r="A4143" s="326">
        <v>0.92500000000000004</v>
      </c>
      <c r="B4143" s="327">
        <v>75</v>
      </c>
      <c r="C4143" s="327" t="s">
        <v>116</v>
      </c>
      <c r="D4143" s="327" t="s">
        <v>114</v>
      </c>
      <c r="E4143" s="328" t="s">
        <v>3483</v>
      </c>
      <c r="F4143" s="328">
        <v>655.2870200000001</v>
      </c>
      <c r="G4143" s="328">
        <v>4826.1412500000006</v>
      </c>
      <c r="H4143" s="328">
        <v>5445.2863000000007</v>
      </c>
      <c r="I4143" s="329">
        <v>2.6014624597680416E-2</v>
      </c>
      <c r="J4143" s="329">
        <v>0.40273517861091174</v>
      </c>
      <c r="K4143" s="329">
        <v>0.56643981346770578</v>
      </c>
    </row>
    <row r="4144" spans="1:11" ht="11.25" x14ac:dyDescent="0.15">
      <c r="A4144" s="326">
        <v>0.92500000000000004</v>
      </c>
      <c r="B4144" s="327">
        <v>75</v>
      </c>
      <c r="C4144" s="327" t="s">
        <v>116</v>
      </c>
      <c r="D4144" s="327" t="s">
        <v>113</v>
      </c>
      <c r="E4144" s="328" t="s">
        <v>3484</v>
      </c>
      <c r="F4144" s="328">
        <v>225.93578250000002</v>
      </c>
      <c r="G4144" s="328">
        <v>4928.5840749999998</v>
      </c>
      <c r="H4144" s="328">
        <v>5352.9870250000013</v>
      </c>
      <c r="I4144" s="329">
        <v>8.9695574389992826E-3</v>
      </c>
      <c r="J4144" s="329">
        <v>0.41128389844454305</v>
      </c>
      <c r="K4144" s="329">
        <v>0.55683848467913422</v>
      </c>
    </row>
    <row r="4145" spans="1:11" ht="11.25" x14ac:dyDescent="0.15">
      <c r="A4145" s="326">
        <v>0.95</v>
      </c>
      <c r="B4145" s="327">
        <v>75</v>
      </c>
      <c r="C4145" s="327" t="s">
        <v>116</v>
      </c>
      <c r="D4145" s="327" t="s">
        <v>79</v>
      </c>
      <c r="E4145" s="328" t="s">
        <v>3485</v>
      </c>
      <c r="F4145" s="328">
        <v>3723.4699000000001</v>
      </c>
      <c r="G4145" s="328">
        <v>5303.1897500000005</v>
      </c>
      <c r="H4145" s="328">
        <v>5856.4706999999999</v>
      </c>
      <c r="I4145" s="329">
        <v>0.14782022028951927</v>
      </c>
      <c r="J4145" s="329">
        <v>0.44254425234110301</v>
      </c>
      <c r="K4145" s="329">
        <v>0.60921281051596565</v>
      </c>
    </row>
    <row r="4146" spans="1:11" ht="11.25" x14ac:dyDescent="0.15">
      <c r="A4146" s="326">
        <v>0.95</v>
      </c>
      <c r="B4146" s="327">
        <v>75</v>
      </c>
      <c r="C4146" s="327" t="s">
        <v>116</v>
      </c>
      <c r="D4146" s="327" t="s">
        <v>114</v>
      </c>
      <c r="E4146" s="328" t="s">
        <v>3486</v>
      </c>
      <c r="F4146" s="328">
        <v>705.57459499999993</v>
      </c>
      <c r="G4146" s="328">
        <v>5159.5203000000001</v>
      </c>
      <c r="H4146" s="328">
        <v>5761.9713499999998</v>
      </c>
      <c r="I4146" s="329">
        <v>2.8011020597638867E-2</v>
      </c>
      <c r="J4146" s="329">
        <v>0.43055522454240741</v>
      </c>
      <c r="K4146" s="329">
        <v>0.59938262138765119</v>
      </c>
    </row>
    <row r="4147" spans="1:11" ht="11.25" x14ac:dyDescent="0.15">
      <c r="A4147" s="326">
        <v>0.95</v>
      </c>
      <c r="B4147" s="327">
        <v>75</v>
      </c>
      <c r="C4147" s="327" t="s">
        <v>116</v>
      </c>
      <c r="D4147" s="327" t="s">
        <v>113</v>
      </c>
      <c r="E4147" s="328" t="s">
        <v>3487</v>
      </c>
      <c r="F4147" s="328">
        <v>243.00828999999996</v>
      </c>
      <c r="G4147" s="328">
        <v>5230.1993499999999</v>
      </c>
      <c r="H4147" s="328">
        <v>5666.0764499999996</v>
      </c>
      <c r="I4147" s="329">
        <v>9.6473289498001241E-3</v>
      </c>
      <c r="J4147" s="329">
        <v>0.43645329887369633</v>
      </c>
      <c r="K4147" s="329">
        <v>0.58940726173236468</v>
      </c>
    </row>
    <row r="4148" spans="1:11" ht="11.25" x14ac:dyDescent="0.15">
      <c r="A4148" s="326">
        <v>0.97499999999999998</v>
      </c>
      <c r="B4148" s="327">
        <v>75</v>
      </c>
      <c r="C4148" s="327" t="s">
        <v>116</v>
      </c>
      <c r="D4148" s="327" t="s">
        <v>79</v>
      </c>
      <c r="E4148" s="328" t="s">
        <v>3488</v>
      </c>
      <c r="F4148" s="328">
        <v>4009.6085249999996</v>
      </c>
      <c r="G4148" s="328">
        <v>5707.9054500000002</v>
      </c>
      <c r="H4148" s="328">
        <v>6185.8592249999992</v>
      </c>
      <c r="I4148" s="329">
        <v>0.1591798057613503</v>
      </c>
      <c r="J4148" s="329">
        <v>0.47631724846427703</v>
      </c>
      <c r="K4148" s="329">
        <v>0.64347708320616415</v>
      </c>
    </row>
    <row r="4149" spans="1:11" ht="11.25" x14ac:dyDescent="0.15">
      <c r="A4149" s="326">
        <v>0.97499999999999998</v>
      </c>
      <c r="B4149" s="327">
        <v>75</v>
      </c>
      <c r="C4149" s="327" t="s">
        <v>116</v>
      </c>
      <c r="D4149" s="327" t="s">
        <v>114</v>
      </c>
      <c r="E4149" s="328" t="s">
        <v>3489</v>
      </c>
      <c r="F4149" s="328">
        <v>758.96262000000002</v>
      </c>
      <c r="G4149" s="328">
        <v>5514.8515499999994</v>
      </c>
      <c r="H4149" s="328">
        <v>6087.9156000000003</v>
      </c>
      <c r="I4149" s="329">
        <v>3.0130503184653299E-2</v>
      </c>
      <c r="J4149" s="329">
        <v>0.4602071528681248</v>
      </c>
      <c r="K4149" s="329">
        <v>0.63328860722550728</v>
      </c>
    </row>
    <row r="4150" spans="1:11" ht="11.25" x14ac:dyDescent="0.15">
      <c r="A4150" s="326">
        <v>0.97499999999999998</v>
      </c>
      <c r="B4150" s="327">
        <v>75</v>
      </c>
      <c r="C4150" s="327" t="s">
        <v>116</v>
      </c>
      <c r="D4150" s="327" t="s">
        <v>113</v>
      </c>
      <c r="E4150" s="328" t="s">
        <v>3490</v>
      </c>
      <c r="F4150" s="328">
        <v>261.12810749999994</v>
      </c>
      <c r="G4150" s="328">
        <v>5549.2983000000004</v>
      </c>
      <c r="H4150" s="328">
        <v>5987.9537249999994</v>
      </c>
      <c r="I4150" s="329">
        <v>1.0366678235920548E-2</v>
      </c>
      <c r="J4150" s="329">
        <v>0.46308168912704922</v>
      </c>
      <c r="K4150" s="329">
        <v>0.62289018504724958</v>
      </c>
    </row>
    <row r="4151" spans="1:11" ht="11.25" x14ac:dyDescent="0.15">
      <c r="A4151" s="326">
        <v>1</v>
      </c>
      <c r="B4151" s="327">
        <v>75</v>
      </c>
      <c r="C4151" s="327" t="s">
        <v>116</v>
      </c>
      <c r="D4151" s="327" t="s">
        <v>79</v>
      </c>
      <c r="E4151" s="328" t="s">
        <v>3491</v>
      </c>
      <c r="F4151" s="328">
        <v>4312.8529999999992</v>
      </c>
      <c r="G4151" s="328">
        <v>6139.4809999999998</v>
      </c>
      <c r="H4151" s="328">
        <v>6524.317</v>
      </c>
      <c r="I4151" s="329">
        <v>0.17121848642748902</v>
      </c>
      <c r="J4151" s="329">
        <v>0.51233166395892349</v>
      </c>
      <c r="K4151" s="329">
        <v>0.67868477447809883</v>
      </c>
    </row>
    <row r="4152" spans="1:11" ht="11.25" x14ac:dyDescent="0.15">
      <c r="A4152" s="326">
        <v>1</v>
      </c>
      <c r="B4152" s="327">
        <v>75</v>
      </c>
      <c r="C4152" s="327" t="s">
        <v>116</v>
      </c>
      <c r="D4152" s="327" t="s">
        <v>114</v>
      </c>
      <c r="E4152" s="328" t="s">
        <v>3492</v>
      </c>
      <c r="F4152" s="328">
        <v>815.61389999999994</v>
      </c>
      <c r="G4152" s="328">
        <v>5893.5950000000003</v>
      </c>
      <c r="H4152" s="328">
        <v>6422.5360000000001</v>
      </c>
      <c r="I4152" s="329">
        <v>3.2379535650118703E-2</v>
      </c>
      <c r="J4152" s="329">
        <v>0.49181279867956129</v>
      </c>
      <c r="K4152" s="329">
        <v>0.6680971198575224</v>
      </c>
    </row>
    <row r="4153" spans="1:11" ht="11.25" x14ac:dyDescent="0.15">
      <c r="A4153" s="326">
        <v>1</v>
      </c>
      <c r="B4153" s="327">
        <v>75</v>
      </c>
      <c r="C4153" s="327" t="s">
        <v>116</v>
      </c>
      <c r="D4153" s="327" t="s">
        <v>113</v>
      </c>
      <c r="E4153" s="328" t="s">
        <v>3493</v>
      </c>
      <c r="F4153" s="328">
        <v>280.35289999999998</v>
      </c>
      <c r="G4153" s="328">
        <v>5887.165</v>
      </c>
      <c r="H4153" s="328">
        <v>6319.0610000000006</v>
      </c>
      <c r="I4153" s="329">
        <v>1.1129894574092183E-2</v>
      </c>
      <c r="J4153" s="329">
        <v>0.49127622358481698</v>
      </c>
      <c r="K4153" s="329">
        <v>0.65733324878272315</v>
      </c>
    </row>
    <row r="4154" spans="1:11" ht="11.25" x14ac:dyDescent="0.15">
      <c r="A4154" s="326">
        <v>1.0249999999999999</v>
      </c>
      <c r="B4154" s="327">
        <v>75</v>
      </c>
      <c r="C4154" s="327" t="s">
        <v>116</v>
      </c>
      <c r="D4154" s="327" t="s">
        <v>79</v>
      </c>
      <c r="E4154" s="328" t="s">
        <v>3494</v>
      </c>
      <c r="F4154" s="328">
        <v>4633.9973249999994</v>
      </c>
      <c r="G4154" s="328">
        <v>6599.3784500000002</v>
      </c>
      <c r="H4154" s="328">
        <v>6872.054075</v>
      </c>
      <c r="I4154" s="329">
        <v>0.18396778376066444</v>
      </c>
      <c r="J4154" s="329">
        <v>0.55070950498635984</v>
      </c>
      <c r="K4154" s="329">
        <v>0.71485773454794954</v>
      </c>
    </row>
    <row r="4155" spans="1:11" ht="11.25" x14ac:dyDescent="0.15">
      <c r="A4155" s="326">
        <v>1.0249999999999999</v>
      </c>
      <c r="B4155" s="327">
        <v>75</v>
      </c>
      <c r="C4155" s="327" t="s">
        <v>116</v>
      </c>
      <c r="D4155" s="327" t="s">
        <v>114</v>
      </c>
      <c r="E4155" s="328" t="s">
        <v>3495</v>
      </c>
      <c r="F4155" s="328">
        <v>875.70065249999993</v>
      </c>
      <c r="G4155" s="328">
        <v>6297.964899999999</v>
      </c>
      <c r="H4155" s="328">
        <v>6766.4196249999995</v>
      </c>
      <c r="I4155" s="329">
        <v>3.4764954957800451E-2</v>
      </c>
      <c r="J4155" s="329">
        <v>0.52555693824476279</v>
      </c>
      <c r="K4155" s="329">
        <v>0.70386922910356842</v>
      </c>
    </row>
    <row r="4156" spans="1:11" ht="11.25" x14ac:dyDescent="0.15">
      <c r="A4156" s="326">
        <v>1.0249999999999999</v>
      </c>
      <c r="B4156" s="327">
        <v>75</v>
      </c>
      <c r="C4156" s="327" t="s">
        <v>116</v>
      </c>
      <c r="D4156" s="327" t="s">
        <v>113</v>
      </c>
      <c r="E4156" s="328" t="s">
        <v>3496</v>
      </c>
      <c r="F4156" s="328">
        <v>300.74360999999993</v>
      </c>
      <c r="G4156" s="328">
        <v>6244.5480499999994</v>
      </c>
      <c r="H4156" s="328">
        <v>6659.1759249999996</v>
      </c>
      <c r="I4156" s="329">
        <v>1.1939397356445733E-2</v>
      </c>
      <c r="J4156" s="329">
        <v>0.52109937193843425</v>
      </c>
      <c r="K4156" s="329">
        <v>0.69271332322886969</v>
      </c>
    </row>
    <row r="4157" spans="1:11" ht="11.25" x14ac:dyDescent="0.15">
      <c r="A4157" s="326">
        <v>1.05</v>
      </c>
      <c r="B4157" s="327">
        <v>75</v>
      </c>
      <c r="C4157" s="327" t="s">
        <v>116</v>
      </c>
      <c r="D4157" s="327" t="s">
        <v>79</v>
      </c>
      <c r="E4157" s="328" t="s">
        <v>3497</v>
      </c>
      <c r="F4157" s="328">
        <v>4973.8636500000002</v>
      </c>
      <c r="G4157" s="328">
        <v>7088.148900000001</v>
      </c>
      <c r="H4157" s="328">
        <v>7228.7071500000002</v>
      </c>
      <c r="I4157" s="329">
        <v>0.19746033677700264</v>
      </c>
      <c r="J4157" s="329">
        <v>0.59149676012119157</v>
      </c>
      <c r="K4157" s="329">
        <v>0.75195817153979039</v>
      </c>
    </row>
    <row r="4158" spans="1:11" ht="11.25" x14ac:dyDescent="0.15">
      <c r="A4158" s="326">
        <v>1.05</v>
      </c>
      <c r="B4158" s="327">
        <v>75</v>
      </c>
      <c r="C4158" s="327" t="s">
        <v>116</v>
      </c>
      <c r="D4158" s="327" t="s">
        <v>114</v>
      </c>
      <c r="E4158" s="328" t="s">
        <v>3498</v>
      </c>
      <c r="F4158" s="328">
        <v>939.40308000000005</v>
      </c>
      <c r="G4158" s="328">
        <v>6728.3769000000002</v>
      </c>
      <c r="H4158" s="328">
        <v>7119.3538499999995</v>
      </c>
      <c r="I4158" s="329">
        <v>3.7293915072672643E-2</v>
      </c>
      <c r="J4158" s="329">
        <v>0.56147425701289466</v>
      </c>
      <c r="K4158" s="329">
        <v>0.74058281688597194</v>
      </c>
    </row>
    <row r="4159" spans="1:11" ht="11.25" x14ac:dyDescent="0.15">
      <c r="A4159" s="326">
        <v>1.05</v>
      </c>
      <c r="B4159" s="327">
        <v>75</v>
      </c>
      <c r="C4159" s="327" t="s">
        <v>116</v>
      </c>
      <c r="D4159" s="327" t="s">
        <v>113</v>
      </c>
      <c r="E4159" s="328" t="s">
        <v>3499</v>
      </c>
      <c r="F4159" s="328">
        <v>322.36428000000001</v>
      </c>
      <c r="G4159" s="328">
        <v>6623.9565000000011</v>
      </c>
      <c r="H4159" s="328">
        <v>7008.1357500000004</v>
      </c>
      <c r="I4159" s="329">
        <v>1.2797729043834159E-2</v>
      </c>
      <c r="J4159" s="329">
        <v>0.552760511130587</v>
      </c>
      <c r="K4159" s="329">
        <v>0.72901347849907538</v>
      </c>
    </row>
    <row r="4160" spans="1:11" ht="11.25" x14ac:dyDescent="0.15">
      <c r="A4160" s="326">
        <v>1.075</v>
      </c>
      <c r="B4160" s="327">
        <v>75</v>
      </c>
      <c r="C4160" s="327" t="s">
        <v>116</v>
      </c>
      <c r="D4160" s="327" t="s">
        <v>79</v>
      </c>
      <c r="E4160" s="328" t="s">
        <v>3500</v>
      </c>
      <c r="F4160" s="328">
        <v>5333.3029000000006</v>
      </c>
      <c r="G4160" s="328">
        <v>7606.6419499999993</v>
      </c>
      <c r="H4160" s="328">
        <v>7594.5868999999993</v>
      </c>
      <c r="I4160" s="329">
        <v>0.21172992684826913</v>
      </c>
      <c r="J4160" s="329">
        <v>0.63476432737282673</v>
      </c>
      <c r="K4160" s="329">
        <v>0.79001840307281557</v>
      </c>
    </row>
    <row r="4161" spans="1:11" ht="11.25" x14ac:dyDescent="0.15">
      <c r="A4161" s="326">
        <v>1.075</v>
      </c>
      <c r="B4161" s="327">
        <v>75</v>
      </c>
      <c r="C4161" s="327" t="s">
        <v>116</v>
      </c>
      <c r="D4161" s="327" t="s">
        <v>114</v>
      </c>
      <c r="E4161" s="328" t="s">
        <v>3501</v>
      </c>
      <c r="F4161" s="328">
        <v>1006.9095</v>
      </c>
      <c r="G4161" s="328">
        <v>7186.0428249999995</v>
      </c>
      <c r="H4161" s="328">
        <v>7481.3539250000003</v>
      </c>
      <c r="I4161" s="329">
        <v>3.9973892121864529E-2</v>
      </c>
      <c r="J4161" s="329">
        <v>0.59966588019611633</v>
      </c>
      <c r="K4161" s="329">
        <v>0.77823946956891643</v>
      </c>
    </row>
    <row r="4162" spans="1:11" ht="11.25" x14ac:dyDescent="0.15">
      <c r="A4162" s="326">
        <v>1.075</v>
      </c>
      <c r="B4162" s="327">
        <v>75</v>
      </c>
      <c r="C4162" s="327" t="s">
        <v>116</v>
      </c>
      <c r="D4162" s="327" t="s">
        <v>113</v>
      </c>
      <c r="E4162" s="328" t="s">
        <v>3502</v>
      </c>
      <c r="F4162" s="328">
        <v>345.28333500000002</v>
      </c>
      <c r="G4162" s="328">
        <v>7024.4101249999994</v>
      </c>
      <c r="H4162" s="328">
        <v>7365.9612749999997</v>
      </c>
      <c r="I4162" s="329">
        <v>1.3707606080554022E-2</v>
      </c>
      <c r="J4162" s="329">
        <v>0.58617784266636863</v>
      </c>
      <c r="K4162" s="329">
        <v>0.76623587829006223</v>
      </c>
    </row>
    <row r="4163" spans="1:11" ht="11.25" x14ac:dyDescent="0.15">
      <c r="A4163" s="326">
        <v>1.1000000000000001</v>
      </c>
      <c r="B4163" s="327">
        <v>75</v>
      </c>
      <c r="C4163" s="327" t="s">
        <v>116</v>
      </c>
      <c r="D4163" s="327" t="s">
        <v>79</v>
      </c>
      <c r="E4163" s="328" t="s">
        <v>3503</v>
      </c>
      <c r="F4163" s="328">
        <v>5713.1998000000003</v>
      </c>
      <c r="G4163" s="328">
        <v>8156.8498000000009</v>
      </c>
      <c r="H4163" s="328">
        <v>7969.7321000000002</v>
      </c>
      <c r="I4163" s="329">
        <v>0.22681167719229783</v>
      </c>
      <c r="J4163" s="329">
        <v>0.68067845322707454</v>
      </c>
      <c r="K4163" s="329">
        <v>0.82904246267300696</v>
      </c>
    </row>
    <row r="4164" spans="1:11" ht="11.25" x14ac:dyDescent="0.15">
      <c r="A4164" s="326">
        <v>1.1000000000000001</v>
      </c>
      <c r="B4164" s="327">
        <v>75</v>
      </c>
      <c r="C4164" s="327" t="s">
        <v>116</v>
      </c>
      <c r="D4164" s="327" t="s">
        <v>114</v>
      </c>
      <c r="E4164" s="328" t="s">
        <v>3504</v>
      </c>
      <c r="F4164" s="328">
        <v>1078.4202000000002</v>
      </c>
      <c r="G4164" s="328">
        <v>7671.512200000001</v>
      </c>
      <c r="H4164" s="328">
        <v>7852.1652000000013</v>
      </c>
      <c r="I4164" s="329">
        <v>4.2812837436571584E-2</v>
      </c>
      <c r="J4164" s="329">
        <v>0.64017766493734274</v>
      </c>
      <c r="K4164" s="329">
        <v>0.81681269747113394</v>
      </c>
    </row>
    <row r="4165" spans="1:11" ht="11.25" x14ac:dyDescent="0.15">
      <c r="A4165" s="326">
        <v>1.1000000000000001</v>
      </c>
      <c r="B4165" s="327">
        <v>75</v>
      </c>
      <c r="C4165" s="327" t="s">
        <v>116</v>
      </c>
      <c r="D4165" s="327" t="s">
        <v>113</v>
      </c>
      <c r="E4165" s="328" t="s">
        <v>3505</v>
      </c>
      <c r="F4165" s="328">
        <v>369.57305000000002</v>
      </c>
      <c r="G4165" s="328">
        <v>7450.2329000000009</v>
      </c>
      <c r="H4165" s="328">
        <v>7733.079200000001</v>
      </c>
      <c r="I4165" s="329">
        <v>1.4671897754315006E-2</v>
      </c>
      <c r="J4165" s="329">
        <v>0.62171219660725663</v>
      </c>
      <c r="K4165" s="329">
        <v>0.80442490959180513</v>
      </c>
    </row>
    <row r="4166" spans="1:11" ht="11.25" x14ac:dyDescent="0.15">
      <c r="A4166" s="326">
        <v>1.125</v>
      </c>
      <c r="B4166" s="327">
        <v>75</v>
      </c>
      <c r="C4166" s="327" t="s">
        <v>116</v>
      </c>
      <c r="D4166" s="327" t="s">
        <v>79</v>
      </c>
      <c r="E4166" s="328" t="s">
        <v>3506</v>
      </c>
      <c r="F4166" s="328">
        <v>6114.4695000000002</v>
      </c>
      <c r="G4166" s="328">
        <v>8737.5431250000001</v>
      </c>
      <c r="H4166" s="328">
        <v>8354.1881250000006</v>
      </c>
      <c r="I4166" s="329">
        <v>0.24274191888688204</v>
      </c>
      <c r="J4166" s="329">
        <v>0.72913655211965023</v>
      </c>
      <c r="K4166" s="329">
        <v>0.86903507042395955</v>
      </c>
    </row>
    <row r="4167" spans="1:11" ht="11.25" x14ac:dyDescent="0.15">
      <c r="A4167" s="326">
        <v>1.125</v>
      </c>
      <c r="B4167" s="327">
        <v>75</v>
      </c>
      <c r="C4167" s="327" t="s">
        <v>116</v>
      </c>
      <c r="D4167" s="327" t="s">
        <v>114</v>
      </c>
      <c r="E4167" s="328" t="s">
        <v>3507</v>
      </c>
      <c r="F4167" s="328">
        <v>1154.1442499999998</v>
      </c>
      <c r="G4167" s="328">
        <v>8187.0986250000005</v>
      </c>
      <c r="H4167" s="328">
        <v>8231.9760000000006</v>
      </c>
      <c r="I4167" s="329">
        <v>4.581905100961927E-2</v>
      </c>
      <c r="J4167" s="329">
        <v>0.68320267813225</v>
      </c>
      <c r="K4167" s="329">
        <v>0.85632209088999234</v>
      </c>
    </row>
    <row r="4168" spans="1:11" ht="11.25" x14ac:dyDescent="0.15">
      <c r="A4168" s="326">
        <v>1.125</v>
      </c>
      <c r="B4168" s="327">
        <v>75</v>
      </c>
      <c r="C4168" s="327" t="s">
        <v>116</v>
      </c>
      <c r="D4168" s="327" t="s">
        <v>113</v>
      </c>
      <c r="E4168" s="328" t="s">
        <v>3508</v>
      </c>
      <c r="F4168" s="328">
        <v>395.31026250000002</v>
      </c>
      <c r="G4168" s="328">
        <v>7899.7972499999996</v>
      </c>
      <c r="H4168" s="328">
        <v>8108.6264999999994</v>
      </c>
      <c r="I4168" s="329">
        <v>1.5693654482196215E-2</v>
      </c>
      <c r="J4168" s="329">
        <v>0.65922775394705635</v>
      </c>
      <c r="K4168" s="329">
        <v>0.84349079719450104</v>
      </c>
    </row>
    <row r="4169" spans="1:11" ht="11.25" x14ac:dyDescent="0.15">
      <c r="A4169" s="326">
        <v>1.1499999999999999</v>
      </c>
      <c r="B4169" s="327">
        <v>75</v>
      </c>
      <c r="C4169" s="327" t="s">
        <v>116</v>
      </c>
      <c r="D4169" s="327" t="s">
        <v>79</v>
      </c>
      <c r="E4169" s="328" t="s">
        <v>3509</v>
      </c>
      <c r="F4169" s="328">
        <v>6538.0627999999997</v>
      </c>
      <c r="G4169" s="328">
        <v>9350.8202000000001</v>
      </c>
      <c r="H4169" s="328">
        <v>8747.3749499999994</v>
      </c>
      <c r="I4169" s="329">
        <v>0.25955839830012084</v>
      </c>
      <c r="J4169" s="329">
        <v>0.78031372235645224</v>
      </c>
      <c r="K4169" s="329">
        <v>0.90993588987416163</v>
      </c>
    </row>
    <row r="4170" spans="1:11" ht="11.25" x14ac:dyDescent="0.15">
      <c r="A4170" s="326">
        <v>1.1499999999999999</v>
      </c>
      <c r="B4170" s="327">
        <v>75</v>
      </c>
      <c r="C4170" s="327" t="s">
        <v>116</v>
      </c>
      <c r="D4170" s="327" t="s">
        <v>114</v>
      </c>
      <c r="E4170" s="328" t="s">
        <v>3510</v>
      </c>
      <c r="F4170" s="328">
        <v>1234.3018999999997</v>
      </c>
      <c r="G4170" s="328">
        <v>8733.4852499999997</v>
      </c>
      <c r="H4170" s="328">
        <v>8620.9554499999995</v>
      </c>
      <c r="I4170" s="329">
        <v>4.9001276675224942E-2</v>
      </c>
      <c r="J4170" s="329">
        <v>0.72879792775532892</v>
      </c>
      <c r="K4170" s="329">
        <v>0.8967852428643468</v>
      </c>
    </row>
    <row r="4171" spans="1:11" ht="11.25" x14ac:dyDescent="0.15">
      <c r="A4171" s="326">
        <v>1.1499999999999999</v>
      </c>
      <c r="B4171" s="327">
        <v>75</v>
      </c>
      <c r="C4171" s="327" t="s">
        <v>116</v>
      </c>
      <c r="D4171" s="327" t="s">
        <v>113</v>
      </c>
      <c r="E4171" s="328" t="s">
        <v>3511</v>
      </c>
      <c r="F4171" s="328">
        <v>422.57658499999997</v>
      </c>
      <c r="G4171" s="328">
        <v>8376.8449500000006</v>
      </c>
      <c r="H4171" s="328">
        <v>8493.4963499999994</v>
      </c>
      <c r="I4171" s="329">
        <v>1.6776116246808592E-2</v>
      </c>
      <c r="J4171" s="329">
        <v>0.69903676091829348</v>
      </c>
      <c r="K4171" s="329">
        <v>0.8835264526279617</v>
      </c>
    </row>
    <row r="4172" spans="1:11" ht="11.25" x14ac:dyDescent="0.15">
      <c r="A4172" s="326">
        <v>1.175</v>
      </c>
      <c r="B4172" s="327">
        <v>75</v>
      </c>
      <c r="C4172" s="327" t="s">
        <v>116</v>
      </c>
      <c r="D4172" s="327" t="s">
        <v>79</v>
      </c>
      <c r="E4172" s="328" t="s">
        <v>3512</v>
      </c>
      <c r="F4172" s="328">
        <v>6984.9614000000001</v>
      </c>
      <c r="G4172" s="328">
        <v>9995.7485000000015</v>
      </c>
      <c r="H4172" s="328">
        <v>9150.1068749999995</v>
      </c>
      <c r="I4172" s="329">
        <v>0.27730008851737703</v>
      </c>
      <c r="J4172" s="329">
        <v>0.83413214594522145</v>
      </c>
      <c r="K4172" s="329">
        <v>0.95182962766981982</v>
      </c>
    </row>
    <row r="4173" spans="1:11" ht="11.25" x14ac:dyDescent="0.15">
      <c r="A4173" s="326">
        <v>1.175</v>
      </c>
      <c r="B4173" s="327">
        <v>75</v>
      </c>
      <c r="C4173" s="327" t="s">
        <v>116</v>
      </c>
      <c r="D4173" s="327" t="s">
        <v>114</v>
      </c>
      <c r="E4173" s="328" t="s">
        <v>3513</v>
      </c>
      <c r="F4173" s="328">
        <v>1319.1231499999999</v>
      </c>
      <c r="G4173" s="328">
        <v>9311.0290000000005</v>
      </c>
      <c r="H4173" s="328">
        <v>9018.8194250000015</v>
      </c>
      <c r="I4173" s="329">
        <v>5.236864533858715E-2</v>
      </c>
      <c r="J4173" s="329">
        <v>0.77699319873125938</v>
      </c>
      <c r="K4173" s="329">
        <v>0.93817259760904059</v>
      </c>
    </row>
    <row r="4174" spans="1:11" ht="11.25" x14ac:dyDescent="0.15">
      <c r="A4174" s="326">
        <v>1.175</v>
      </c>
      <c r="B4174" s="327">
        <v>75</v>
      </c>
      <c r="C4174" s="327" t="s">
        <v>116</v>
      </c>
      <c r="D4174" s="327" t="s">
        <v>113</v>
      </c>
      <c r="E4174" s="328" t="s">
        <v>3514</v>
      </c>
      <c r="F4174" s="328">
        <v>451.45849999999996</v>
      </c>
      <c r="G4174" s="328">
        <v>8881.0683000000008</v>
      </c>
      <c r="H4174" s="328">
        <v>8887.3334000000013</v>
      </c>
      <c r="I4174" s="329">
        <v>1.7922716367755765E-2</v>
      </c>
      <c r="J4174" s="329">
        <v>0.74111354035819121</v>
      </c>
      <c r="K4174" s="329">
        <v>0.92449491100611392</v>
      </c>
    </row>
    <row r="4175" spans="1:11" ht="11.25" x14ac:dyDescent="0.15">
      <c r="A4175" s="326">
        <v>1.2</v>
      </c>
      <c r="B4175" s="327">
        <v>75</v>
      </c>
      <c r="C4175" s="327" t="s">
        <v>116</v>
      </c>
      <c r="D4175" s="327" t="s">
        <v>79</v>
      </c>
      <c r="E4175" s="328" t="s">
        <v>3515</v>
      </c>
      <c r="F4175" s="328">
        <v>7456.1867999999995</v>
      </c>
      <c r="G4175" s="328">
        <v>10675.7364</v>
      </c>
      <c r="H4175" s="328">
        <v>9562.2288000000008</v>
      </c>
      <c r="I4175" s="329">
        <v>0.29600754266760843</v>
      </c>
      <c r="J4175" s="329">
        <v>0.89087624732430104</v>
      </c>
      <c r="K4175" s="329">
        <v>0.99470014970700871</v>
      </c>
    </row>
    <row r="4176" spans="1:11" ht="11.25" x14ac:dyDescent="0.15">
      <c r="A4176" s="326">
        <v>1.2</v>
      </c>
      <c r="B4176" s="327">
        <v>75</v>
      </c>
      <c r="C4176" s="327" t="s">
        <v>116</v>
      </c>
      <c r="D4176" s="327" t="s">
        <v>114</v>
      </c>
      <c r="E4176" s="328" t="s">
        <v>3516</v>
      </c>
      <c r="F4176" s="328">
        <v>1408.8551999999997</v>
      </c>
      <c r="G4176" s="328">
        <v>9920.5427999999974</v>
      </c>
      <c r="H4176" s="328">
        <v>9425.7947999999997</v>
      </c>
      <c r="I4176" s="329">
        <v>5.5930970737814931E-2</v>
      </c>
      <c r="J4176" s="329">
        <v>0.82785632858864067</v>
      </c>
      <c r="K4176" s="329">
        <v>0.98050775554204928</v>
      </c>
    </row>
    <row r="4177" spans="1:11" ht="11.25" x14ac:dyDescent="0.15">
      <c r="A4177" s="326">
        <v>1.2</v>
      </c>
      <c r="B4177" s="327">
        <v>75</v>
      </c>
      <c r="C4177" s="327" t="s">
        <v>116</v>
      </c>
      <c r="D4177" s="327" t="s">
        <v>113</v>
      </c>
      <c r="E4177" s="328" t="s">
        <v>3517</v>
      </c>
      <c r="F4177" s="328">
        <v>482.04851999999994</v>
      </c>
      <c r="G4177" s="328">
        <v>9414.3227999999981</v>
      </c>
      <c r="H4177" s="328">
        <v>9290.3052000000007</v>
      </c>
      <c r="I4177" s="329">
        <v>1.9137127553155921E-2</v>
      </c>
      <c r="J4177" s="329">
        <v>0.78561293131625143</v>
      </c>
      <c r="K4177" s="329">
        <v>0.96641360153019984</v>
      </c>
    </row>
    <row r="4178" spans="1:11" ht="11.25" x14ac:dyDescent="0.15">
      <c r="A4178" s="326">
        <v>1.2250000000000001</v>
      </c>
      <c r="B4178" s="327">
        <v>75</v>
      </c>
      <c r="C4178" s="327" t="s">
        <v>116</v>
      </c>
      <c r="D4178" s="327" t="s">
        <v>79</v>
      </c>
      <c r="E4178" s="328" t="s">
        <v>3518</v>
      </c>
      <c r="F4178" s="328">
        <v>7952.7943249999998</v>
      </c>
      <c r="G4178" s="328">
        <v>11389.61145</v>
      </c>
      <c r="H4178" s="328">
        <v>9983.1999750000014</v>
      </c>
      <c r="I4178" s="329">
        <v>0.31572265671833111</v>
      </c>
      <c r="J4178" s="329">
        <v>0.95044818707381085</v>
      </c>
      <c r="K4178" s="329">
        <v>1.0384912050721382</v>
      </c>
    </row>
    <row r="4179" spans="1:11" ht="11.25" x14ac:dyDescent="0.15">
      <c r="A4179" s="326">
        <v>1.2250000000000001</v>
      </c>
      <c r="B4179" s="327">
        <v>75</v>
      </c>
      <c r="C4179" s="327" t="s">
        <v>116</v>
      </c>
      <c r="D4179" s="327" t="s">
        <v>114</v>
      </c>
      <c r="E4179" s="328" t="s">
        <v>3519</v>
      </c>
      <c r="F4179" s="328">
        <v>1503.7524250000004</v>
      </c>
      <c r="G4179" s="328">
        <v>10563.359975000001</v>
      </c>
      <c r="H4179" s="328">
        <v>9842.0468999999994</v>
      </c>
      <c r="I4179" s="329">
        <v>5.9698351455560003E-2</v>
      </c>
      <c r="J4179" s="329">
        <v>0.88149858155580951</v>
      </c>
      <c r="K4179" s="329">
        <v>1.0238079144114811</v>
      </c>
    </row>
    <row r="4180" spans="1:11" ht="11.25" x14ac:dyDescent="0.15">
      <c r="A4180" s="326">
        <v>1.2250000000000001</v>
      </c>
      <c r="B4180" s="327">
        <v>75</v>
      </c>
      <c r="C4180" s="327" t="s">
        <v>116</v>
      </c>
      <c r="D4180" s="327" t="s">
        <v>113</v>
      </c>
      <c r="E4180" s="328" t="s">
        <v>3520</v>
      </c>
      <c r="F4180" s="328">
        <v>514.44524250000006</v>
      </c>
      <c r="G4180" s="328">
        <v>9976.6989000000012</v>
      </c>
      <c r="H4180" s="328">
        <v>9702.0955500000018</v>
      </c>
      <c r="I4180" s="329">
        <v>2.0423264083119126E-2</v>
      </c>
      <c r="J4180" s="329">
        <v>0.83254248172673917</v>
      </c>
      <c r="K4180" s="329">
        <v>1.0092496318490836</v>
      </c>
    </row>
    <row r="4181" spans="1:11" ht="11.25" x14ac:dyDescent="0.15">
      <c r="A4181" s="326">
        <v>1.25</v>
      </c>
      <c r="B4181" s="327">
        <v>75</v>
      </c>
      <c r="C4181" s="327" t="s">
        <v>116</v>
      </c>
      <c r="D4181" s="327" t="s">
        <v>79</v>
      </c>
      <c r="E4181" s="328" t="s">
        <v>3521</v>
      </c>
      <c r="F4181" s="328">
        <v>8475.8812500000004</v>
      </c>
      <c r="G4181" s="328">
        <v>12136.011250000001</v>
      </c>
      <c r="H4181" s="328">
        <v>10414.5175</v>
      </c>
      <c r="I4181" s="329">
        <v>0.33648899203477001</v>
      </c>
      <c r="J4181" s="329">
        <v>1.0127342746946713</v>
      </c>
      <c r="K4181" s="329">
        <v>1.0833585279172844</v>
      </c>
    </row>
    <row r="4182" spans="1:11" ht="11.25" x14ac:dyDescent="0.15">
      <c r="A4182" s="326">
        <v>1.25</v>
      </c>
      <c r="B4182" s="327">
        <v>75</v>
      </c>
      <c r="C4182" s="327" t="s">
        <v>116</v>
      </c>
      <c r="D4182" s="327" t="s">
        <v>114</v>
      </c>
      <c r="E4182" s="328" t="s">
        <v>3522</v>
      </c>
      <c r="F4182" s="328">
        <v>1604.085</v>
      </c>
      <c r="G4182" s="328">
        <v>11239.30125</v>
      </c>
      <c r="H4182" s="328">
        <v>10267.091250000001</v>
      </c>
      <c r="I4182" s="329">
        <v>6.3681513327961514E-2</v>
      </c>
      <c r="J4182" s="329">
        <v>0.93790499736836197</v>
      </c>
      <c r="K4182" s="329">
        <v>1.0680226772476433</v>
      </c>
    </row>
    <row r="4183" spans="1:11" ht="11.25" x14ac:dyDescent="0.15">
      <c r="A4183" s="326">
        <v>1.25</v>
      </c>
      <c r="B4183" s="327">
        <v>75</v>
      </c>
      <c r="C4183" s="327" t="s">
        <v>116</v>
      </c>
      <c r="D4183" s="327" t="s">
        <v>113</v>
      </c>
      <c r="E4183" s="328" t="s">
        <v>3523</v>
      </c>
      <c r="F4183" s="328">
        <v>548.75099999999998</v>
      </c>
      <c r="G4183" s="328">
        <v>10569.93125</v>
      </c>
      <c r="H4183" s="328">
        <v>10122.908750000001</v>
      </c>
      <c r="I4183" s="329">
        <v>2.1785188515715943E-2</v>
      </c>
      <c r="J4183" s="329">
        <v>0.88204694586462984</v>
      </c>
      <c r="K4183" s="329">
        <v>1.0530242540416297</v>
      </c>
    </row>
    <row r="4184" spans="1:11" ht="11.25" x14ac:dyDescent="0.15">
      <c r="A4184" s="326">
        <v>1.2749999999999999</v>
      </c>
      <c r="B4184" s="327">
        <v>75</v>
      </c>
      <c r="C4184" s="327" t="s">
        <v>116</v>
      </c>
      <c r="D4184" s="327" t="s">
        <v>79</v>
      </c>
      <c r="E4184" s="328" t="s">
        <v>3524</v>
      </c>
      <c r="F4184" s="328">
        <v>9026.5830749999986</v>
      </c>
      <c r="G4184" s="328">
        <v>12918.5805</v>
      </c>
      <c r="H4184" s="328">
        <v>10854.572249999999</v>
      </c>
      <c r="I4184" s="329">
        <v>0.35835162749889449</v>
      </c>
      <c r="J4184" s="329">
        <v>1.0780386556375534</v>
      </c>
      <c r="K4184" s="329">
        <v>1.129134730815115</v>
      </c>
    </row>
    <row r="4185" spans="1:11" ht="11.25" x14ac:dyDescent="0.15">
      <c r="A4185" s="326">
        <v>1.2749999999999999</v>
      </c>
      <c r="B4185" s="327">
        <v>75</v>
      </c>
      <c r="C4185" s="327" t="s">
        <v>116</v>
      </c>
      <c r="D4185" s="327" t="s">
        <v>114</v>
      </c>
      <c r="E4185" s="328" t="s">
        <v>3525</v>
      </c>
      <c r="F4185" s="328">
        <v>1710.1409249999999</v>
      </c>
      <c r="G4185" s="328">
        <v>11949.126600000001</v>
      </c>
      <c r="H4185" s="328">
        <v>10701.491925</v>
      </c>
      <c r="I4185" s="329">
        <v>6.7891889836311614E-2</v>
      </c>
      <c r="J4185" s="329">
        <v>0.99713899494661429</v>
      </c>
      <c r="K4185" s="329">
        <v>1.1132107213211468</v>
      </c>
    </row>
    <row r="4186" spans="1:11" ht="11.25" x14ac:dyDescent="0.15">
      <c r="A4186" s="326">
        <v>1.2749999999999999</v>
      </c>
      <c r="B4186" s="327">
        <v>75</v>
      </c>
      <c r="C4186" s="327" t="s">
        <v>116</v>
      </c>
      <c r="D4186" s="327" t="s">
        <v>113</v>
      </c>
      <c r="E4186" s="328" t="s">
        <v>3526</v>
      </c>
      <c r="F4186" s="328">
        <v>585.0800324999999</v>
      </c>
      <c r="G4186" s="328">
        <v>11194.281974999998</v>
      </c>
      <c r="H4186" s="328">
        <v>10552.949325</v>
      </c>
      <c r="I4186" s="329">
        <v>2.322743613185891E-2</v>
      </c>
      <c r="J4186" s="329">
        <v>0.93414819771852586</v>
      </c>
      <c r="K4186" s="329">
        <v>1.097758743592077</v>
      </c>
    </row>
    <row r="4187" spans="1:11" ht="11.25" x14ac:dyDescent="0.15">
      <c r="A4187" s="326">
        <v>1.3</v>
      </c>
      <c r="B4187" s="327">
        <v>75</v>
      </c>
      <c r="C4187" s="327" t="s">
        <v>116</v>
      </c>
      <c r="D4187" s="327" t="s">
        <v>79</v>
      </c>
      <c r="E4187" s="328" t="s">
        <v>3527</v>
      </c>
      <c r="F4187" s="328">
        <v>9606.0822000000007</v>
      </c>
      <c r="G4187" s="328">
        <v>13736.254999999999</v>
      </c>
      <c r="H4187" s="328">
        <v>11303.961499999999</v>
      </c>
      <c r="I4187" s="329">
        <v>0.38135750390334294</v>
      </c>
      <c r="J4187" s="329">
        <v>1.1462725238035727</v>
      </c>
      <c r="K4187" s="329">
        <v>1.1758819446290869</v>
      </c>
    </row>
    <row r="4188" spans="1:11" ht="11.25" x14ac:dyDescent="0.15">
      <c r="A4188" s="326">
        <v>1.3</v>
      </c>
      <c r="B4188" s="327">
        <v>75</v>
      </c>
      <c r="C4188" s="327" t="s">
        <v>116</v>
      </c>
      <c r="D4188" s="327" t="s">
        <v>114</v>
      </c>
      <c r="E4188" s="328" t="s">
        <v>3528</v>
      </c>
      <c r="F4188" s="328">
        <v>1822.2191000000003</v>
      </c>
      <c r="G4188" s="328">
        <v>12693.9254</v>
      </c>
      <c r="H4188" s="328">
        <v>11145.3238</v>
      </c>
      <c r="I4188" s="329">
        <v>7.2341347187409671E-2</v>
      </c>
      <c r="J4188" s="329">
        <v>1.0592914812102918</v>
      </c>
      <c r="K4188" s="329">
        <v>1.1593798354200735</v>
      </c>
    </row>
    <row r="4189" spans="1:11" ht="11.25" x14ac:dyDescent="0.15">
      <c r="A4189" s="326">
        <v>1.3</v>
      </c>
      <c r="B4189" s="327">
        <v>75</v>
      </c>
      <c r="C4189" s="327" t="s">
        <v>116</v>
      </c>
      <c r="D4189" s="327" t="s">
        <v>113</v>
      </c>
      <c r="E4189" s="328" t="s">
        <v>3529</v>
      </c>
      <c r="F4189" s="328">
        <v>623.55137000000002</v>
      </c>
      <c r="G4189" s="328">
        <v>11850.0941</v>
      </c>
      <c r="H4189" s="328">
        <v>10991.5689</v>
      </c>
      <c r="I4189" s="329">
        <v>2.475473237348623E-2</v>
      </c>
      <c r="J4189" s="329">
        <v>0.98887486227627741</v>
      </c>
      <c r="K4189" s="329">
        <v>1.1433856540166556</v>
      </c>
    </row>
    <row r="4190" spans="1:11" ht="11.25" x14ac:dyDescent="0.15">
      <c r="A4190" s="326">
        <v>1.325</v>
      </c>
      <c r="B4190" s="327">
        <v>75</v>
      </c>
      <c r="C4190" s="327" t="s">
        <v>116</v>
      </c>
      <c r="D4190" s="327" t="s">
        <v>79</v>
      </c>
      <c r="E4190" s="328" t="s">
        <v>3530</v>
      </c>
      <c r="F4190" s="328">
        <v>10215.593649999999</v>
      </c>
      <c r="G4190" s="328">
        <v>14589.336499999999</v>
      </c>
      <c r="H4190" s="328">
        <v>11763.629574999999</v>
      </c>
      <c r="I4190" s="329">
        <v>0.40555485723980583</v>
      </c>
      <c r="J4190" s="329">
        <v>1.2174610598357836</v>
      </c>
      <c r="K4190" s="329">
        <v>1.2236984017105188</v>
      </c>
    </row>
    <row r="4191" spans="1:11" ht="11.25" x14ac:dyDescent="0.15">
      <c r="A4191" s="326">
        <v>1.325</v>
      </c>
      <c r="B4191" s="327">
        <v>75</v>
      </c>
      <c r="C4191" s="327" t="s">
        <v>116</v>
      </c>
      <c r="D4191" s="327" t="s">
        <v>114</v>
      </c>
      <c r="E4191" s="328" t="s">
        <v>3531</v>
      </c>
      <c r="F4191" s="328">
        <v>1940.6360749999997</v>
      </c>
      <c r="G4191" s="328">
        <v>13474.46825</v>
      </c>
      <c r="H4191" s="328">
        <v>11597.809800000001</v>
      </c>
      <c r="I4191" s="329">
        <v>7.7042452285779994E-2</v>
      </c>
      <c r="J4191" s="329">
        <v>1.1244267617220711</v>
      </c>
      <c r="K4191" s="329">
        <v>1.2064491851871828</v>
      </c>
    </row>
    <row r="4192" spans="1:11" ht="11.25" x14ac:dyDescent="0.15">
      <c r="A4192" s="326">
        <v>1.325</v>
      </c>
      <c r="B4192" s="327">
        <v>75</v>
      </c>
      <c r="C4192" s="327" t="s">
        <v>116</v>
      </c>
      <c r="D4192" s="327" t="s">
        <v>113</v>
      </c>
      <c r="E4192" s="328" t="s">
        <v>3532</v>
      </c>
      <c r="F4192" s="328">
        <v>664.29113500000005</v>
      </c>
      <c r="G4192" s="328">
        <v>12539.394550000001</v>
      </c>
      <c r="H4192" s="328">
        <v>11439.139724999999</v>
      </c>
      <c r="I4192" s="329">
        <v>2.6372084251862701E-2</v>
      </c>
      <c r="J4192" s="329">
        <v>1.0463960837795503</v>
      </c>
      <c r="K4192" s="329">
        <v>1.1899437082050253</v>
      </c>
    </row>
    <row r="4193" spans="1:11" ht="11.25" x14ac:dyDescent="0.15">
      <c r="A4193" s="326">
        <v>1.35</v>
      </c>
      <c r="B4193" s="327">
        <v>75</v>
      </c>
      <c r="C4193" s="327" t="s">
        <v>116</v>
      </c>
      <c r="D4193" s="327" t="s">
        <v>79</v>
      </c>
      <c r="E4193" s="328" t="s">
        <v>3533</v>
      </c>
      <c r="F4193" s="328">
        <v>10856.393549999999</v>
      </c>
      <c r="G4193" s="328">
        <v>15479.1</v>
      </c>
      <c r="H4193" s="328">
        <v>12232.101600000002</v>
      </c>
      <c r="I4193" s="329">
        <v>0.4309943491447899</v>
      </c>
      <c r="J4193" s="329">
        <v>1.2917106608175142</v>
      </c>
      <c r="K4193" s="329">
        <v>1.2724306798380876</v>
      </c>
    </row>
    <row r="4194" spans="1:11" ht="11.25" x14ac:dyDescent="0.15">
      <c r="A4194" s="326">
        <v>1.35</v>
      </c>
      <c r="B4194" s="327">
        <v>75</v>
      </c>
      <c r="C4194" s="327" t="s">
        <v>116</v>
      </c>
      <c r="D4194" s="327" t="s">
        <v>114</v>
      </c>
      <c r="E4194" s="328" t="s">
        <v>3534</v>
      </c>
      <c r="F4194" s="328">
        <v>2065.7295000000004</v>
      </c>
      <c r="G4194" s="328">
        <v>14289.588</v>
      </c>
      <c r="H4194" s="328">
        <v>12060.07245</v>
      </c>
      <c r="I4194" s="329">
        <v>8.2008609697250018E-2</v>
      </c>
      <c r="J4194" s="329">
        <v>1.1924474393401439</v>
      </c>
      <c r="K4194" s="329">
        <v>1.2545355400293674</v>
      </c>
    </row>
    <row r="4195" spans="1:11" ht="11.25" x14ac:dyDescent="0.15">
      <c r="A4195" s="326">
        <v>1.35</v>
      </c>
      <c r="B4195" s="327">
        <v>75</v>
      </c>
      <c r="C4195" s="327" t="s">
        <v>116</v>
      </c>
      <c r="D4195" s="327" t="s">
        <v>113</v>
      </c>
      <c r="E4195" s="328" t="s">
        <v>3535</v>
      </c>
      <c r="F4195" s="328">
        <v>707.43604500000004</v>
      </c>
      <c r="G4195" s="328">
        <v>13262.0625</v>
      </c>
      <c r="H4195" s="328">
        <v>11896.555050000003</v>
      </c>
      <c r="I4195" s="329">
        <v>2.8084919395386081E-2</v>
      </c>
      <c r="J4195" s="329">
        <v>1.106701779540036</v>
      </c>
      <c r="K4195" s="329">
        <v>1.2375258254887889</v>
      </c>
    </row>
    <row r="4196" spans="1:11" ht="11.25" x14ac:dyDescent="0.15">
      <c r="A4196" s="326">
        <v>1.375</v>
      </c>
      <c r="B4196" s="327">
        <v>75</v>
      </c>
      <c r="C4196" s="327" t="s">
        <v>116</v>
      </c>
      <c r="D4196" s="327" t="s">
        <v>79</v>
      </c>
      <c r="E4196" s="328" t="s">
        <v>3536</v>
      </c>
      <c r="F4196" s="328">
        <v>11529.797125000001</v>
      </c>
      <c r="G4196" s="328">
        <v>16404.891250000001</v>
      </c>
      <c r="H4196" s="328">
        <v>12710.372125000002</v>
      </c>
      <c r="I4196" s="329">
        <v>0.45772819350868554</v>
      </c>
      <c r="J4196" s="329">
        <v>1.3689667304414956</v>
      </c>
      <c r="K4196" s="329">
        <v>1.322182235962529</v>
      </c>
    </row>
    <row r="4197" spans="1:11" ht="11.25" x14ac:dyDescent="0.15">
      <c r="A4197" s="326">
        <v>1.375</v>
      </c>
      <c r="B4197" s="327">
        <v>75</v>
      </c>
      <c r="C4197" s="327" t="s">
        <v>116</v>
      </c>
      <c r="D4197" s="327" t="s">
        <v>114</v>
      </c>
      <c r="E4197" s="328" t="s">
        <v>3537</v>
      </c>
      <c r="F4197" s="328">
        <v>2197.8522499999999</v>
      </c>
      <c r="G4197" s="328">
        <v>15142.462500000001</v>
      </c>
      <c r="H4197" s="328">
        <v>12530.969000000001</v>
      </c>
      <c r="I4197" s="329">
        <v>8.7253828413871581E-2</v>
      </c>
      <c r="J4197" s="329">
        <v>1.2636187014929439</v>
      </c>
      <c r="K4197" s="329">
        <v>1.3035200266567439</v>
      </c>
    </row>
    <row r="4198" spans="1:11" ht="11.25" x14ac:dyDescent="0.15">
      <c r="A4198" s="326">
        <v>1.375</v>
      </c>
      <c r="B4198" s="327">
        <v>75</v>
      </c>
      <c r="C4198" s="327" t="s">
        <v>116</v>
      </c>
      <c r="D4198" s="327" t="s">
        <v>113</v>
      </c>
      <c r="E4198" s="328" t="s">
        <v>3538</v>
      </c>
      <c r="F4198" s="328">
        <v>753.13301249999995</v>
      </c>
      <c r="G4198" s="328">
        <v>14018.001249999999</v>
      </c>
      <c r="H4198" s="328">
        <v>12362.246875000001</v>
      </c>
      <c r="I4198" s="329">
        <v>2.9899070169751945E-2</v>
      </c>
      <c r="J4198" s="329">
        <v>1.1697838800691409</v>
      </c>
      <c r="K4198" s="329">
        <v>1.2859688964227147</v>
      </c>
    </row>
    <row r="4199" spans="1:11" ht="11.25" x14ac:dyDescent="0.15">
      <c r="A4199" s="326">
        <v>1.4</v>
      </c>
      <c r="B4199" s="327">
        <v>75</v>
      </c>
      <c r="C4199" s="327" t="s">
        <v>116</v>
      </c>
      <c r="D4199" s="327" t="s">
        <v>79</v>
      </c>
      <c r="E4199" s="328" t="s">
        <v>3539</v>
      </c>
      <c r="F4199" s="328">
        <v>12237.171800000002</v>
      </c>
      <c r="G4199" s="328">
        <v>17368.554</v>
      </c>
      <c r="H4199" s="328">
        <v>13198.568599999999</v>
      </c>
      <c r="I4199" s="329">
        <v>0.48581067654036719</v>
      </c>
      <c r="J4199" s="329">
        <v>1.4493831272350897</v>
      </c>
      <c r="K4199" s="329">
        <v>1.372966327927462</v>
      </c>
    </row>
    <row r="4200" spans="1:11" ht="11.25" x14ac:dyDescent="0.15">
      <c r="A4200" s="326">
        <v>1.4</v>
      </c>
      <c r="B4200" s="327">
        <v>75</v>
      </c>
      <c r="C4200" s="327" t="s">
        <v>116</v>
      </c>
      <c r="D4200" s="327" t="s">
        <v>114</v>
      </c>
      <c r="E4200" s="328" t="s">
        <v>3540</v>
      </c>
      <c r="F4200" s="328">
        <v>2337.3783999999996</v>
      </c>
      <c r="G4200" s="328">
        <v>16030.825999999999</v>
      </c>
      <c r="H4200" s="328">
        <v>13011.374599999999</v>
      </c>
      <c r="I4200" s="329">
        <v>9.279295905895843E-2</v>
      </c>
      <c r="J4200" s="329">
        <v>1.3377514743047454</v>
      </c>
      <c r="K4200" s="329">
        <v>1.3534936815686702</v>
      </c>
    </row>
    <row r="4201" spans="1:11" ht="11.25" x14ac:dyDescent="0.15">
      <c r="A4201" s="326">
        <v>1.4</v>
      </c>
      <c r="B4201" s="327">
        <v>75</v>
      </c>
      <c r="C4201" s="327" t="s">
        <v>116</v>
      </c>
      <c r="D4201" s="327" t="s">
        <v>113</v>
      </c>
      <c r="E4201" s="328" t="s">
        <v>3541</v>
      </c>
      <c r="F4201" s="328">
        <v>801.53821999999991</v>
      </c>
      <c r="G4201" s="328">
        <v>14808.891999999998</v>
      </c>
      <c r="H4201" s="328">
        <v>12837.308400000002</v>
      </c>
      <c r="I4201" s="329">
        <v>3.1820736955834969E-2</v>
      </c>
      <c r="J4201" s="329">
        <v>1.2357826793092102</v>
      </c>
      <c r="K4201" s="329">
        <v>1.3353866399133894</v>
      </c>
    </row>
    <row r="4202" spans="1:11" ht="11.25" x14ac:dyDescent="0.15">
      <c r="A4202" s="326">
        <v>0.9</v>
      </c>
      <c r="B4202" s="327">
        <v>85</v>
      </c>
      <c r="C4202" s="327" t="s">
        <v>116</v>
      </c>
      <c r="D4202" s="327" t="s">
        <v>79</v>
      </c>
      <c r="E4202" s="328" t="s">
        <v>3542</v>
      </c>
      <c r="F4202" s="328">
        <v>4150.13634</v>
      </c>
      <c r="G4202" s="328">
        <v>4654.6118999999999</v>
      </c>
      <c r="H4202" s="328">
        <v>5231.4883200000004</v>
      </c>
      <c r="I4202" s="329">
        <v>0.1647587020940707</v>
      </c>
      <c r="J4202" s="329">
        <v>0.38842127857550274</v>
      </c>
      <c r="K4202" s="329">
        <v>0.54419971786226939</v>
      </c>
    </row>
    <row r="4203" spans="1:11" ht="11.25" x14ac:dyDescent="0.15">
      <c r="A4203" s="326">
        <v>0.9</v>
      </c>
      <c r="B4203" s="327">
        <v>85</v>
      </c>
      <c r="C4203" s="327" t="s">
        <v>116</v>
      </c>
      <c r="D4203" s="327" t="s">
        <v>114</v>
      </c>
      <c r="E4203" s="328" t="s">
        <v>3543</v>
      </c>
      <c r="F4203" s="328">
        <v>862.57787400000007</v>
      </c>
      <c r="G4203" s="328">
        <v>4581.1648800000003</v>
      </c>
      <c r="H4203" s="328">
        <v>5145.3532800000003</v>
      </c>
      <c r="I4203" s="329">
        <v>3.4243986060299617E-2</v>
      </c>
      <c r="J4203" s="329">
        <v>0.3822922207659869</v>
      </c>
      <c r="K4203" s="329">
        <v>0.53523961672109832</v>
      </c>
    </row>
    <row r="4204" spans="1:11" ht="11.25" x14ac:dyDescent="0.15">
      <c r="A4204" s="326">
        <v>0.9</v>
      </c>
      <c r="B4204" s="327">
        <v>85</v>
      </c>
      <c r="C4204" s="327" t="s">
        <v>116</v>
      </c>
      <c r="D4204" s="327" t="s">
        <v>113</v>
      </c>
      <c r="E4204" s="328" t="s">
        <v>3544</v>
      </c>
      <c r="F4204" s="328">
        <v>310.19477400000005</v>
      </c>
      <c r="G4204" s="328">
        <v>4680.6552000000001</v>
      </c>
      <c r="H4204" s="328">
        <v>5056.8089400000008</v>
      </c>
      <c r="I4204" s="329">
        <v>1.2314604671663293E-2</v>
      </c>
      <c r="J4204" s="329">
        <v>0.39059455791686426</v>
      </c>
      <c r="K4204" s="329">
        <v>0.52602889084370585</v>
      </c>
    </row>
    <row r="4205" spans="1:11" ht="11.25" x14ac:dyDescent="0.15">
      <c r="A4205" s="326">
        <v>0.92500000000000004</v>
      </c>
      <c r="B4205" s="327">
        <v>85</v>
      </c>
      <c r="C4205" s="327" t="s">
        <v>116</v>
      </c>
      <c r="D4205" s="327" t="s">
        <v>79</v>
      </c>
      <c r="E4205" s="328" t="s">
        <v>3545</v>
      </c>
      <c r="F4205" s="328">
        <v>4470.5287000000008</v>
      </c>
      <c r="G4205" s="328">
        <v>5017.3478150000001</v>
      </c>
      <c r="H4205" s="328">
        <v>5542.8671400000003</v>
      </c>
      <c r="I4205" s="329">
        <v>0.17747814672669121</v>
      </c>
      <c r="J4205" s="329">
        <v>0.41869111651613855</v>
      </c>
      <c r="K4205" s="329">
        <v>0.57659055114473512</v>
      </c>
    </row>
    <row r="4206" spans="1:11" ht="11.25" x14ac:dyDescent="0.15">
      <c r="A4206" s="326">
        <v>0.92500000000000004</v>
      </c>
      <c r="B4206" s="327">
        <v>85</v>
      </c>
      <c r="C4206" s="327" t="s">
        <v>116</v>
      </c>
      <c r="D4206" s="327" t="s">
        <v>114</v>
      </c>
      <c r="E4206" s="328" t="s">
        <v>3546</v>
      </c>
      <c r="F4206" s="328">
        <v>928.19776200000001</v>
      </c>
      <c r="G4206" s="328">
        <v>4902.0038300000006</v>
      </c>
      <c r="H4206" s="328">
        <v>5453.2686800000001</v>
      </c>
      <c r="I4206" s="329">
        <v>3.6849068566682595E-2</v>
      </c>
      <c r="J4206" s="329">
        <v>0.40906581174482276</v>
      </c>
      <c r="K4206" s="329">
        <v>0.56727017161402171</v>
      </c>
    </row>
    <row r="4207" spans="1:11" ht="11.25" x14ac:dyDescent="0.15">
      <c r="A4207" s="326">
        <v>0.92500000000000004</v>
      </c>
      <c r="B4207" s="327">
        <v>85</v>
      </c>
      <c r="C4207" s="327" t="s">
        <v>116</v>
      </c>
      <c r="D4207" s="327" t="s">
        <v>113</v>
      </c>
      <c r="E4207" s="328" t="s">
        <v>3547</v>
      </c>
      <c r="F4207" s="328">
        <v>333.34500650000001</v>
      </c>
      <c r="G4207" s="328">
        <v>4973.3259549999993</v>
      </c>
      <c r="H4207" s="328">
        <v>5361.2916750000013</v>
      </c>
      <c r="I4207" s="329">
        <v>1.3233659359846371E-2</v>
      </c>
      <c r="J4207" s="329">
        <v>0.41501754984423794</v>
      </c>
      <c r="K4207" s="329">
        <v>0.55770236660154382</v>
      </c>
    </row>
    <row r="4208" spans="1:11" ht="11.25" x14ac:dyDescent="0.15">
      <c r="A4208" s="326">
        <v>0.95</v>
      </c>
      <c r="B4208" s="327">
        <v>85</v>
      </c>
      <c r="C4208" s="327" t="s">
        <v>116</v>
      </c>
      <c r="D4208" s="327" t="s">
        <v>79</v>
      </c>
      <c r="E4208" s="328" t="s">
        <v>3548</v>
      </c>
      <c r="F4208" s="328">
        <v>4809.8138999999992</v>
      </c>
      <c r="G4208" s="328">
        <v>5404.9761699999999</v>
      </c>
      <c r="H4208" s="328">
        <v>5863.5698599999996</v>
      </c>
      <c r="I4208" s="329">
        <v>0.19094762932005752</v>
      </c>
      <c r="J4208" s="329">
        <v>0.45103819603553286</v>
      </c>
      <c r="K4208" s="329">
        <v>0.60995129269020454</v>
      </c>
    </row>
    <row r="4209" spans="1:11" ht="11.25" x14ac:dyDescent="0.15">
      <c r="A4209" s="326">
        <v>0.95</v>
      </c>
      <c r="B4209" s="327">
        <v>85</v>
      </c>
      <c r="C4209" s="327" t="s">
        <v>116</v>
      </c>
      <c r="D4209" s="327" t="s">
        <v>114</v>
      </c>
      <c r="E4209" s="328" t="s">
        <v>3549</v>
      </c>
      <c r="F4209" s="328">
        <v>997.75921699999992</v>
      </c>
      <c r="G4209" s="328">
        <v>5244.2280000000001</v>
      </c>
      <c r="H4209" s="328">
        <v>5770.1136099999994</v>
      </c>
      <c r="I4209" s="329">
        <v>3.9610629658329788E-2</v>
      </c>
      <c r="J4209" s="329">
        <v>0.43762397137803299</v>
      </c>
      <c r="K4209" s="329">
        <v>0.60022961087204352</v>
      </c>
    </row>
    <row r="4210" spans="1:11" ht="11.25" x14ac:dyDescent="0.15">
      <c r="A4210" s="326">
        <v>0.95</v>
      </c>
      <c r="B4210" s="327">
        <v>85</v>
      </c>
      <c r="C4210" s="327" t="s">
        <v>116</v>
      </c>
      <c r="D4210" s="327" t="s">
        <v>113</v>
      </c>
      <c r="E4210" s="328" t="s">
        <v>3550</v>
      </c>
      <c r="F4210" s="328">
        <v>357.86496199999993</v>
      </c>
      <c r="G4210" s="328">
        <v>5281.9507899999999</v>
      </c>
      <c r="H4210" s="328">
        <v>5674.5056099999993</v>
      </c>
      <c r="I4210" s="329">
        <v>1.4207091486556783E-2</v>
      </c>
      <c r="J4210" s="329">
        <v>0.44077188889253838</v>
      </c>
      <c r="K4210" s="329">
        <v>0.59028409566818352</v>
      </c>
    </row>
    <row r="4211" spans="1:11" ht="11.25" x14ac:dyDescent="0.15">
      <c r="A4211" s="326">
        <v>0.97499999999999998</v>
      </c>
      <c r="B4211" s="327">
        <v>85</v>
      </c>
      <c r="C4211" s="327" t="s">
        <v>116</v>
      </c>
      <c r="D4211" s="327" t="s">
        <v>79</v>
      </c>
      <c r="E4211" s="328" t="s">
        <v>3551</v>
      </c>
      <c r="F4211" s="328">
        <v>5168.8367249999992</v>
      </c>
      <c r="G4211" s="328">
        <v>5818.3253700000005</v>
      </c>
      <c r="H4211" s="328">
        <v>6193.1186849999995</v>
      </c>
      <c r="I4211" s="329">
        <v>0.20520068749046613</v>
      </c>
      <c r="J4211" s="329">
        <v>0.4855316464480498</v>
      </c>
      <c r="K4211" s="329">
        <v>0.64423224040850935</v>
      </c>
    </row>
    <row r="4212" spans="1:11" ht="11.25" x14ac:dyDescent="0.15">
      <c r="A4212" s="326">
        <v>0.97499999999999998</v>
      </c>
      <c r="B4212" s="327">
        <v>85</v>
      </c>
      <c r="C4212" s="327" t="s">
        <v>116</v>
      </c>
      <c r="D4212" s="327" t="s">
        <v>114</v>
      </c>
      <c r="E4212" s="328" t="s">
        <v>3552</v>
      </c>
      <c r="F4212" s="328">
        <v>1071.459012</v>
      </c>
      <c r="G4212" s="328">
        <v>5609.3005800000001</v>
      </c>
      <c r="H4212" s="328">
        <v>6096.3259500000004</v>
      </c>
      <c r="I4212" s="329">
        <v>4.2536481142235273E-2</v>
      </c>
      <c r="J4212" s="329">
        <v>0.46808880095844496</v>
      </c>
      <c r="K4212" s="329">
        <v>0.63416348447212656</v>
      </c>
    </row>
    <row r="4213" spans="1:11" ht="11.25" x14ac:dyDescent="0.15">
      <c r="A4213" s="326">
        <v>0.97499999999999998</v>
      </c>
      <c r="B4213" s="327">
        <v>85</v>
      </c>
      <c r="C4213" s="327" t="s">
        <v>116</v>
      </c>
      <c r="D4213" s="327" t="s">
        <v>113</v>
      </c>
      <c r="E4213" s="328" t="s">
        <v>3553</v>
      </c>
      <c r="F4213" s="328">
        <v>383.82472049999996</v>
      </c>
      <c r="G4213" s="328">
        <v>5608.6563000000006</v>
      </c>
      <c r="H4213" s="328">
        <v>5996.7314550000001</v>
      </c>
      <c r="I4213" s="329">
        <v>1.5237683198908942E-2</v>
      </c>
      <c r="J4213" s="329">
        <v>0.46803503663464374</v>
      </c>
      <c r="K4213" s="329">
        <v>0.62380327858722928</v>
      </c>
    </row>
    <row r="4214" spans="1:11" ht="11.25" x14ac:dyDescent="0.15">
      <c r="A4214" s="326">
        <v>1</v>
      </c>
      <c r="B4214" s="327">
        <v>85</v>
      </c>
      <c r="C4214" s="327" t="s">
        <v>116</v>
      </c>
      <c r="D4214" s="327" t="s">
        <v>79</v>
      </c>
      <c r="E4214" s="328" t="s">
        <v>3554</v>
      </c>
      <c r="F4214" s="328">
        <v>5548.4737999999998</v>
      </c>
      <c r="G4214" s="328">
        <v>6259.0362000000005</v>
      </c>
      <c r="H4214" s="328">
        <v>6531.6590000000006</v>
      </c>
      <c r="I4214" s="329">
        <v>0.22027212288908957</v>
      </c>
      <c r="J4214" s="329">
        <v>0.52230838911711552</v>
      </c>
      <c r="K4214" s="329">
        <v>0.67944851781157245</v>
      </c>
    </row>
    <row r="4215" spans="1:11" ht="11.25" x14ac:dyDescent="0.15">
      <c r="A4215" s="326">
        <v>1</v>
      </c>
      <c r="B4215" s="327">
        <v>85</v>
      </c>
      <c r="C4215" s="327" t="s">
        <v>116</v>
      </c>
      <c r="D4215" s="327" t="s">
        <v>114</v>
      </c>
      <c r="E4215" s="328" t="s">
        <v>3555</v>
      </c>
      <c r="F4215" s="328">
        <v>1149.5063399999999</v>
      </c>
      <c r="G4215" s="328">
        <v>5997.9621999999999</v>
      </c>
      <c r="H4215" s="328">
        <v>6431.1444000000001</v>
      </c>
      <c r="I4215" s="329">
        <v>4.5634927894273841E-2</v>
      </c>
      <c r="J4215" s="329">
        <v>0.50052210509141171</v>
      </c>
      <c r="K4215" s="329">
        <v>0.66899259903375141</v>
      </c>
    </row>
    <row r="4216" spans="1:11" ht="11.25" x14ac:dyDescent="0.15">
      <c r="A4216" s="326">
        <v>1</v>
      </c>
      <c r="B4216" s="327">
        <v>85</v>
      </c>
      <c r="C4216" s="327" t="s">
        <v>116</v>
      </c>
      <c r="D4216" s="327" t="s">
        <v>113</v>
      </c>
      <c r="E4216" s="328" t="s">
        <v>3556</v>
      </c>
      <c r="F4216" s="328">
        <v>411.29842000000002</v>
      </c>
      <c r="G4216" s="328">
        <v>5954.4125999999997</v>
      </c>
      <c r="H4216" s="328">
        <v>6328.0430000000006</v>
      </c>
      <c r="I4216" s="329">
        <v>1.6328377744944632E-2</v>
      </c>
      <c r="J4216" s="329">
        <v>0.49688794789917579</v>
      </c>
      <c r="K4216" s="329">
        <v>0.65826759128085166</v>
      </c>
    </row>
    <row r="4217" spans="1:11" ht="11.25" x14ac:dyDescent="0.15">
      <c r="A4217" s="326">
        <v>1.0249999999999999</v>
      </c>
      <c r="B4217" s="327">
        <v>85</v>
      </c>
      <c r="C4217" s="327" t="s">
        <v>116</v>
      </c>
      <c r="D4217" s="327" t="s">
        <v>79</v>
      </c>
      <c r="E4217" s="328" t="s">
        <v>3557</v>
      </c>
      <c r="F4217" s="328">
        <v>5949.6303349999998</v>
      </c>
      <c r="G4217" s="328">
        <v>6728.1360800000002</v>
      </c>
      <c r="H4217" s="328">
        <v>6879.5619949999991</v>
      </c>
      <c r="I4217" s="329">
        <v>0.23619787197981815</v>
      </c>
      <c r="J4217" s="329">
        <v>0.56145416089869304</v>
      </c>
      <c r="K4217" s="329">
        <v>0.71563873752373985</v>
      </c>
    </row>
    <row r="4218" spans="1:11" ht="11.25" x14ac:dyDescent="0.15">
      <c r="A4218" s="326">
        <v>1.0249999999999999</v>
      </c>
      <c r="B4218" s="327">
        <v>85</v>
      </c>
      <c r="C4218" s="327" t="s">
        <v>116</v>
      </c>
      <c r="D4218" s="327" t="s">
        <v>114</v>
      </c>
      <c r="E4218" s="328" t="s">
        <v>3558</v>
      </c>
      <c r="F4218" s="328">
        <v>1232.1173014999999</v>
      </c>
      <c r="G4218" s="328">
        <v>6412.6824899999992</v>
      </c>
      <c r="H4218" s="328">
        <v>6775.1103949999988</v>
      </c>
      <c r="I4218" s="329">
        <v>4.8914549015223144E-2</v>
      </c>
      <c r="J4218" s="329">
        <v>0.53512997117214833</v>
      </c>
      <c r="K4218" s="329">
        <v>0.70477327672686607</v>
      </c>
    </row>
    <row r="4219" spans="1:11" ht="11.25" x14ac:dyDescent="0.15">
      <c r="A4219" s="326">
        <v>1.0249999999999999</v>
      </c>
      <c r="B4219" s="327">
        <v>85</v>
      </c>
      <c r="C4219" s="327" t="s">
        <v>116</v>
      </c>
      <c r="D4219" s="327" t="s">
        <v>113</v>
      </c>
      <c r="E4219" s="328" t="s">
        <v>3559</v>
      </c>
      <c r="F4219" s="328">
        <v>440.36341099999993</v>
      </c>
      <c r="G4219" s="328">
        <v>6320.479229999999</v>
      </c>
      <c r="H4219" s="328">
        <v>6668.3673049999998</v>
      </c>
      <c r="I4219" s="329">
        <v>1.7482245907631509E-2</v>
      </c>
      <c r="J4219" s="329">
        <v>0.52743572965267171</v>
      </c>
      <c r="K4219" s="329">
        <v>0.69366944624717841</v>
      </c>
    </row>
    <row r="4220" spans="1:11" ht="11.25" x14ac:dyDescent="0.15">
      <c r="A4220" s="326">
        <v>1.05</v>
      </c>
      <c r="B4220" s="327">
        <v>85</v>
      </c>
      <c r="C4220" s="327" t="s">
        <v>116</v>
      </c>
      <c r="D4220" s="327" t="s">
        <v>79</v>
      </c>
      <c r="E4220" s="328" t="s">
        <v>3560</v>
      </c>
      <c r="F4220" s="328">
        <v>6373.2440100000003</v>
      </c>
      <c r="G4220" s="328">
        <v>7226.0025600000008</v>
      </c>
      <c r="H4220" s="328">
        <v>7236.3771900000002</v>
      </c>
      <c r="I4220" s="329">
        <v>0.25301516027215881</v>
      </c>
      <c r="J4220" s="329">
        <v>0.60300046784675143</v>
      </c>
      <c r="K4220" s="329">
        <v>0.75275603886715015</v>
      </c>
    </row>
    <row r="4221" spans="1:11" ht="11.25" x14ac:dyDescent="0.15">
      <c r="A4221" s="326">
        <v>1.05</v>
      </c>
      <c r="B4221" s="327">
        <v>85</v>
      </c>
      <c r="C4221" s="327" t="s">
        <v>116</v>
      </c>
      <c r="D4221" s="327" t="s">
        <v>114</v>
      </c>
      <c r="E4221" s="328" t="s">
        <v>3561</v>
      </c>
      <c r="F4221" s="328">
        <v>1319.5200480000001</v>
      </c>
      <c r="G4221" s="328">
        <v>6853.6410599999999</v>
      </c>
      <c r="H4221" s="328">
        <v>7128.2427299999999</v>
      </c>
      <c r="I4221" s="329">
        <v>5.238440202559367E-2</v>
      </c>
      <c r="J4221" s="329">
        <v>0.57192738742036986</v>
      </c>
      <c r="K4221" s="329">
        <v>0.74150747268031236</v>
      </c>
    </row>
    <row r="4222" spans="1:11" ht="11.25" x14ac:dyDescent="0.15">
      <c r="A4222" s="326">
        <v>1.05</v>
      </c>
      <c r="B4222" s="327">
        <v>85</v>
      </c>
      <c r="C4222" s="327" t="s">
        <v>116</v>
      </c>
      <c r="D4222" s="327" t="s">
        <v>113</v>
      </c>
      <c r="E4222" s="328" t="s">
        <v>3562</v>
      </c>
      <c r="F4222" s="328">
        <v>471.10173600000007</v>
      </c>
      <c r="G4222" s="328">
        <v>6708.3912000000009</v>
      </c>
      <c r="H4222" s="328">
        <v>7017.45219</v>
      </c>
      <c r="I4222" s="329">
        <v>1.8702544740403289E-2</v>
      </c>
      <c r="J4222" s="329">
        <v>0.55980647647307646</v>
      </c>
      <c r="K4222" s="329">
        <v>0.72998261074392778</v>
      </c>
    </row>
    <row r="4223" spans="1:11" ht="11.25" x14ac:dyDescent="0.15">
      <c r="A4223" s="326">
        <v>1.075</v>
      </c>
      <c r="B4223" s="327">
        <v>85</v>
      </c>
      <c r="C4223" s="327" t="s">
        <v>116</v>
      </c>
      <c r="D4223" s="327" t="s">
        <v>79</v>
      </c>
      <c r="E4223" s="328" t="s">
        <v>3563</v>
      </c>
      <c r="F4223" s="328">
        <v>6820.2816000000003</v>
      </c>
      <c r="G4223" s="328">
        <v>7753.8296599999994</v>
      </c>
      <c r="H4223" s="328">
        <v>7602.3991399999995</v>
      </c>
      <c r="I4223" s="329">
        <v>0.27076236833512607</v>
      </c>
      <c r="J4223" s="329">
        <v>0.64704694936947493</v>
      </c>
      <c r="K4223" s="329">
        <v>0.79083106259603753</v>
      </c>
    </row>
    <row r="4224" spans="1:11" ht="11.25" x14ac:dyDescent="0.15">
      <c r="A4224" s="326">
        <v>1.075</v>
      </c>
      <c r="B4224" s="327">
        <v>85</v>
      </c>
      <c r="C4224" s="327" t="s">
        <v>116</v>
      </c>
      <c r="D4224" s="327" t="s">
        <v>114</v>
      </c>
      <c r="E4224" s="328" t="s">
        <v>3564</v>
      </c>
      <c r="F4224" s="328">
        <v>1411.9518699999999</v>
      </c>
      <c r="G4224" s="328">
        <v>7322.3842149999991</v>
      </c>
      <c r="H4224" s="328">
        <v>7490.3211449999999</v>
      </c>
      <c r="I4224" s="329">
        <v>5.6053907260428949E-2</v>
      </c>
      <c r="J4224" s="329">
        <v>0.61104339096700599</v>
      </c>
      <c r="K4224" s="329">
        <v>0.77917227459408545</v>
      </c>
    </row>
    <row r="4225" spans="1:11" ht="11.25" x14ac:dyDescent="0.15">
      <c r="A4225" s="326">
        <v>1.075</v>
      </c>
      <c r="B4225" s="327">
        <v>85</v>
      </c>
      <c r="C4225" s="327" t="s">
        <v>116</v>
      </c>
      <c r="D4225" s="327" t="s">
        <v>113</v>
      </c>
      <c r="E4225" s="328" t="s">
        <v>3565</v>
      </c>
      <c r="F4225" s="328">
        <v>503.59983199999999</v>
      </c>
      <c r="G4225" s="328">
        <v>7118.294175</v>
      </c>
      <c r="H4225" s="328">
        <v>7375.4647050000003</v>
      </c>
      <c r="I4225" s="329">
        <v>1.999270575653234E-2</v>
      </c>
      <c r="J4225" s="329">
        <v>0.59401234391422697</v>
      </c>
      <c r="K4225" s="329">
        <v>0.76722446196040173</v>
      </c>
    </row>
    <row r="4226" spans="1:11" ht="11.25" x14ac:dyDescent="0.15">
      <c r="A4226" s="326">
        <v>1.1000000000000001</v>
      </c>
      <c r="B4226" s="327">
        <v>85</v>
      </c>
      <c r="C4226" s="327" t="s">
        <v>116</v>
      </c>
      <c r="D4226" s="327" t="s">
        <v>79</v>
      </c>
      <c r="E4226" s="328" t="s">
        <v>3566</v>
      </c>
      <c r="F4226" s="328">
        <v>7291.7451200000005</v>
      </c>
      <c r="G4226" s="328">
        <v>8313.1417600000004</v>
      </c>
      <c r="H4226" s="328">
        <v>7977.6380200000003</v>
      </c>
      <c r="I4226" s="329">
        <v>0.28947927575120913</v>
      </c>
      <c r="J4226" s="329">
        <v>0.69372081298520405</v>
      </c>
      <c r="K4226" s="329">
        <v>0.82986486715339047</v>
      </c>
    </row>
    <row r="4227" spans="1:11" ht="11.25" x14ac:dyDescent="0.15">
      <c r="A4227" s="326">
        <v>1.1000000000000001</v>
      </c>
      <c r="B4227" s="327">
        <v>85</v>
      </c>
      <c r="C4227" s="327" t="s">
        <v>116</v>
      </c>
      <c r="D4227" s="327" t="s">
        <v>114</v>
      </c>
      <c r="E4227" s="328" t="s">
        <v>3567</v>
      </c>
      <c r="F4227" s="328">
        <v>1509.6637600000001</v>
      </c>
      <c r="G4227" s="328">
        <v>7819.4045600000009</v>
      </c>
      <c r="H4227" s="328">
        <v>7861.4663600000003</v>
      </c>
      <c r="I4227" s="329">
        <v>5.9933029018524889E-2</v>
      </c>
      <c r="J4227" s="329">
        <v>0.65251908905537681</v>
      </c>
      <c r="K4227" s="329">
        <v>0.81778024023108631</v>
      </c>
    </row>
    <row r="4228" spans="1:11" ht="11.25" x14ac:dyDescent="0.15">
      <c r="A4228" s="326">
        <v>1.1000000000000001</v>
      </c>
      <c r="B4228" s="327">
        <v>85</v>
      </c>
      <c r="C4228" s="327" t="s">
        <v>116</v>
      </c>
      <c r="D4228" s="327" t="s">
        <v>113</v>
      </c>
      <c r="E4228" s="328" t="s">
        <v>3568</v>
      </c>
      <c r="F4228" s="328">
        <v>537.94824600000004</v>
      </c>
      <c r="G4228" s="328">
        <v>7553.9769800000013</v>
      </c>
      <c r="H4228" s="328">
        <v>7742.7842800000008</v>
      </c>
      <c r="I4228" s="329">
        <v>2.1356323634596993E-2</v>
      </c>
      <c r="J4228" s="329">
        <v>0.63036950446964557</v>
      </c>
      <c r="K4228" s="329">
        <v>0.80543446967772547</v>
      </c>
    </row>
    <row r="4229" spans="1:11" ht="11.25" x14ac:dyDescent="0.15">
      <c r="A4229" s="326">
        <v>1.125</v>
      </c>
      <c r="B4229" s="327">
        <v>85</v>
      </c>
      <c r="C4229" s="327" t="s">
        <v>116</v>
      </c>
      <c r="D4229" s="327" t="s">
        <v>79</v>
      </c>
      <c r="E4229" s="328" t="s">
        <v>3569</v>
      </c>
      <c r="F4229" s="328">
        <v>7788.6701999999996</v>
      </c>
      <c r="G4229" s="328">
        <v>8903.4360749999996</v>
      </c>
      <c r="H4229" s="328">
        <v>8362.1900249999999</v>
      </c>
      <c r="I4229" s="329">
        <v>0.30920699660454193</v>
      </c>
      <c r="J4229" s="329">
        <v>0.74298010194292585</v>
      </c>
      <c r="K4229" s="329">
        <v>0.86986745911643049</v>
      </c>
    </row>
    <row r="4230" spans="1:11" ht="11.25" x14ac:dyDescent="0.15">
      <c r="A4230" s="326">
        <v>1.125</v>
      </c>
      <c r="B4230" s="327">
        <v>85</v>
      </c>
      <c r="C4230" s="327" t="s">
        <v>116</v>
      </c>
      <c r="D4230" s="327" t="s">
        <v>114</v>
      </c>
      <c r="E4230" s="328" t="s">
        <v>3570</v>
      </c>
      <c r="F4230" s="328">
        <v>1612.9160999999999</v>
      </c>
      <c r="G4230" s="328">
        <v>8346.4472249999999</v>
      </c>
      <c r="H4230" s="328">
        <v>8241.4840500000009</v>
      </c>
      <c r="I4230" s="329">
        <v>6.4032104357957156E-2</v>
      </c>
      <c r="J4230" s="329">
        <v>0.69650011050275895</v>
      </c>
      <c r="K4230" s="329">
        <v>0.85731115515066159</v>
      </c>
    </row>
    <row r="4231" spans="1:11" ht="11.25" x14ac:dyDescent="0.15">
      <c r="A4231" s="326">
        <v>1.125</v>
      </c>
      <c r="B4231" s="327">
        <v>85</v>
      </c>
      <c r="C4231" s="327" t="s">
        <v>116</v>
      </c>
      <c r="D4231" s="327" t="s">
        <v>113</v>
      </c>
      <c r="E4231" s="328" t="s">
        <v>3571</v>
      </c>
      <c r="F4231" s="328">
        <v>574.2436725</v>
      </c>
      <c r="G4231" s="328">
        <v>8014.0936499999998</v>
      </c>
      <c r="H4231" s="328">
        <v>8118.6520499999997</v>
      </c>
      <c r="I4231" s="329">
        <v>2.2797237106391692E-2</v>
      </c>
      <c r="J4231" s="329">
        <v>0.66876563911951881</v>
      </c>
      <c r="K4231" s="329">
        <v>0.84453369381352927</v>
      </c>
    </row>
    <row r="4232" spans="1:11" ht="11.25" x14ac:dyDescent="0.15">
      <c r="A4232" s="326">
        <v>1.1499999999999999</v>
      </c>
      <c r="B4232" s="327">
        <v>85</v>
      </c>
      <c r="C4232" s="327" t="s">
        <v>116</v>
      </c>
      <c r="D4232" s="327" t="s">
        <v>79</v>
      </c>
      <c r="E4232" s="328" t="s">
        <v>3572</v>
      </c>
      <c r="F4232" s="328">
        <v>8312.1277799999989</v>
      </c>
      <c r="G4232" s="328">
        <v>9525.9523200000003</v>
      </c>
      <c r="H4232" s="328">
        <v>8755.8030699999999</v>
      </c>
      <c r="I4232" s="329">
        <v>0.32998804677170412</v>
      </c>
      <c r="J4232" s="329">
        <v>0.79492826883884282</v>
      </c>
      <c r="K4232" s="329">
        <v>0.91081261562514437</v>
      </c>
    </row>
    <row r="4233" spans="1:11" ht="11.25" x14ac:dyDescent="0.15">
      <c r="A4233" s="326">
        <v>1.1499999999999999</v>
      </c>
      <c r="B4233" s="327">
        <v>85</v>
      </c>
      <c r="C4233" s="327" t="s">
        <v>116</v>
      </c>
      <c r="D4233" s="327" t="s">
        <v>114</v>
      </c>
      <c r="E4233" s="328" t="s">
        <v>3573</v>
      </c>
      <c r="F4233" s="328">
        <v>1721.9837799999998</v>
      </c>
      <c r="G4233" s="328">
        <v>8904.2542699999995</v>
      </c>
      <c r="H4233" s="328">
        <v>8630.5124099999994</v>
      </c>
      <c r="I4233" s="329">
        <v>6.8362046298421547E-2</v>
      </c>
      <c r="J4233" s="329">
        <v>0.74304837924613643</v>
      </c>
      <c r="K4233" s="329">
        <v>0.89777939493303016</v>
      </c>
    </row>
    <row r="4234" spans="1:11" ht="11.25" x14ac:dyDescent="0.15">
      <c r="A4234" s="326">
        <v>1.1499999999999999</v>
      </c>
      <c r="B4234" s="327">
        <v>85</v>
      </c>
      <c r="C4234" s="327" t="s">
        <v>116</v>
      </c>
      <c r="D4234" s="327" t="s">
        <v>113</v>
      </c>
      <c r="E4234" s="328" t="s">
        <v>3574</v>
      </c>
      <c r="F4234" s="328">
        <v>612.58749699999998</v>
      </c>
      <c r="G4234" s="328">
        <v>8501.3591299999989</v>
      </c>
      <c r="H4234" s="328">
        <v>8503.5708099999993</v>
      </c>
      <c r="I4234" s="329">
        <v>2.4319471134477338E-2</v>
      </c>
      <c r="J4234" s="329">
        <v>0.70942730647513774</v>
      </c>
      <c r="K4234" s="329">
        <v>0.88457443705500416</v>
      </c>
    </row>
    <row r="4235" spans="1:11" ht="11.25" x14ac:dyDescent="0.15">
      <c r="A4235" s="326">
        <v>1.175</v>
      </c>
      <c r="B4235" s="327">
        <v>85</v>
      </c>
      <c r="C4235" s="327" t="s">
        <v>116</v>
      </c>
      <c r="D4235" s="327" t="s">
        <v>79</v>
      </c>
      <c r="E4235" s="328" t="s">
        <v>3575</v>
      </c>
      <c r="F4235" s="328">
        <v>8863.2247499999994</v>
      </c>
      <c r="G4235" s="328">
        <v>10181.236820000002</v>
      </c>
      <c r="H4235" s="328">
        <v>9158.3859250000005</v>
      </c>
      <c r="I4235" s="329">
        <v>0.35186636932945781</v>
      </c>
      <c r="J4235" s="329">
        <v>0.84961090378005233</v>
      </c>
      <c r="K4235" s="329">
        <v>0.95269084658087877</v>
      </c>
    </row>
    <row r="4236" spans="1:11" ht="11.25" x14ac:dyDescent="0.15">
      <c r="A4236" s="326">
        <v>1.175</v>
      </c>
      <c r="B4236" s="327">
        <v>85</v>
      </c>
      <c r="C4236" s="327" t="s">
        <v>116</v>
      </c>
      <c r="D4236" s="327" t="s">
        <v>114</v>
      </c>
      <c r="E4236" s="328" t="s">
        <v>3576</v>
      </c>
      <c r="F4236" s="328">
        <v>1837.15292</v>
      </c>
      <c r="G4236" s="328">
        <v>9493.5676000000003</v>
      </c>
      <c r="H4236" s="328">
        <v>9028.5911950000009</v>
      </c>
      <c r="I4236" s="329">
        <v>7.29342136859851E-2</v>
      </c>
      <c r="J4236" s="329">
        <v>0.79222580628794581</v>
      </c>
      <c r="K4236" s="329">
        <v>0.93918909504757719</v>
      </c>
    </row>
    <row r="4237" spans="1:11" ht="11.25" x14ac:dyDescent="0.15">
      <c r="A4237" s="326">
        <v>1.175</v>
      </c>
      <c r="B4237" s="327">
        <v>85</v>
      </c>
      <c r="C4237" s="327" t="s">
        <v>116</v>
      </c>
      <c r="D4237" s="327" t="s">
        <v>113</v>
      </c>
      <c r="E4237" s="328" t="s">
        <v>3577</v>
      </c>
      <c r="F4237" s="328">
        <v>653.08704299999999</v>
      </c>
      <c r="G4237" s="328">
        <v>9016.4800000000014</v>
      </c>
      <c r="H4237" s="328">
        <v>8897.6273400000009</v>
      </c>
      <c r="I4237" s="329">
        <v>2.5927286417567318E-2</v>
      </c>
      <c r="J4237" s="329">
        <v>0.75241346971386591</v>
      </c>
      <c r="K4237" s="329">
        <v>0.9255657265945334</v>
      </c>
    </row>
    <row r="4238" spans="1:11" ht="11.25" x14ac:dyDescent="0.15">
      <c r="A4238" s="326">
        <v>1.2</v>
      </c>
      <c r="B4238" s="327">
        <v>85</v>
      </c>
      <c r="C4238" s="327" t="s">
        <v>116</v>
      </c>
      <c r="D4238" s="327" t="s">
        <v>79</v>
      </c>
      <c r="E4238" s="328" t="s">
        <v>3578</v>
      </c>
      <c r="F4238" s="328">
        <v>9443.1040799999992</v>
      </c>
      <c r="G4238" s="328">
        <v>10870.32264</v>
      </c>
      <c r="H4238" s="328">
        <v>9570.6585599999999</v>
      </c>
      <c r="I4238" s="329">
        <v>0.37488733971569316</v>
      </c>
      <c r="J4238" s="329">
        <v>0.907114214690388</v>
      </c>
      <c r="K4238" s="329">
        <v>0.99557704605715591</v>
      </c>
    </row>
    <row r="4239" spans="1:11" ht="11.25" x14ac:dyDescent="0.15">
      <c r="A4239" s="326">
        <v>1.2</v>
      </c>
      <c r="B4239" s="327">
        <v>85</v>
      </c>
      <c r="C4239" s="327" t="s">
        <v>116</v>
      </c>
      <c r="D4239" s="327" t="s">
        <v>114</v>
      </c>
      <c r="E4239" s="328" t="s">
        <v>3579</v>
      </c>
      <c r="F4239" s="328">
        <v>1958.7273599999999</v>
      </c>
      <c r="G4239" s="328">
        <v>10115.290799999997</v>
      </c>
      <c r="H4239" s="328">
        <v>9435.7965599999989</v>
      </c>
      <c r="I4239" s="329">
        <v>7.7760668843410957E-2</v>
      </c>
      <c r="J4239" s="329">
        <v>0.84410779461527585</v>
      </c>
      <c r="K4239" s="329">
        <v>0.9815481774329512</v>
      </c>
    </row>
    <row r="4240" spans="1:11" ht="11.25" x14ac:dyDescent="0.15">
      <c r="A4240" s="326">
        <v>1.2</v>
      </c>
      <c r="B4240" s="327">
        <v>85</v>
      </c>
      <c r="C4240" s="327" t="s">
        <v>116</v>
      </c>
      <c r="D4240" s="327" t="s">
        <v>113</v>
      </c>
      <c r="E4240" s="328" t="s">
        <v>3580</v>
      </c>
      <c r="F4240" s="328">
        <v>695.85607199999993</v>
      </c>
      <c r="G4240" s="328">
        <v>9560.7443999999996</v>
      </c>
      <c r="H4240" s="328">
        <v>9300.74136</v>
      </c>
      <c r="I4240" s="329">
        <v>2.7625199240321391E-2</v>
      </c>
      <c r="J4240" s="329">
        <v>0.79783162243485384</v>
      </c>
      <c r="K4240" s="329">
        <v>0.9674992113949592</v>
      </c>
    </row>
    <row r="4241" spans="1:11" ht="11.25" x14ac:dyDescent="0.15">
      <c r="A4241" s="326">
        <v>1.2250000000000001</v>
      </c>
      <c r="B4241" s="327">
        <v>85</v>
      </c>
      <c r="C4241" s="327" t="s">
        <v>116</v>
      </c>
      <c r="D4241" s="327" t="s">
        <v>79</v>
      </c>
      <c r="E4241" s="328" t="s">
        <v>3581</v>
      </c>
      <c r="F4241" s="328">
        <v>10052.955395000001</v>
      </c>
      <c r="G4241" s="328">
        <v>11593.39265</v>
      </c>
      <c r="H4241" s="328">
        <v>9992.0160550000019</v>
      </c>
      <c r="I4241" s="329">
        <v>0.39909818555257054</v>
      </c>
      <c r="J4241" s="329">
        <v>0.96745346183230363</v>
      </c>
      <c r="K4241" s="329">
        <v>1.03940828792795</v>
      </c>
    </row>
    <row r="4242" spans="1:11" ht="11.25" x14ac:dyDescent="0.15">
      <c r="A4242" s="326">
        <v>1.2250000000000001</v>
      </c>
      <c r="B4242" s="327">
        <v>85</v>
      </c>
      <c r="C4242" s="327" t="s">
        <v>116</v>
      </c>
      <c r="D4242" s="327" t="s">
        <v>114</v>
      </c>
      <c r="E4242" s="328" t="s">
        <v>3582</v>
      </c>
      <c r="F4242" s="328">
        <v>2087.0224550000003</v>
      </c>
      <c r="G4242" s="328">
        <v>10770.066965</v>
      </c>
      <c r="H4242" s="328">
        <v>9852.1820599999992</v>
      </c>
      <c r="I4242" s="329">
        <v>8.2853931234216055E-2</v>
      </c>
      <c r="J4242" s="329">
        <v>0.89874800966522783</v>
      </c>
      <c r="K4242" s="329">
        <v>1.0248622130880933</v>
      </c>
    </row>
    <row r="4243" spans="1:11" ht="11.25" x14ac:dyDescent="0.15">
      <c r="A4243" s="326">
        <v>1.2250000000000001</v>
      </c>
      <c r="B4243" s="327">
        <v>85</v>
      </c>
      <c r="C4243" s="327" t="s">
        <v>116</v>
      </c>
      <c r="D4243" s="327" t="s">
        <v>113</v>
      </c>
      <c r="E4243" s="328" t="s">
        <v>3583</v>
      </c>
      <c r="F4243" s="328">
        <v>741.01536250000004</v>
      </c>
      <c r="G4243" s="328">
        <v>10134.226550000001</v>
      </c>
      <c r="H4243" s="328">
        <v>9712.627120000001</v>
      </c>
      <c r="I4243" s="329">
        <v>2.9418004459407066E-2</v>
      </c>
      <c r="J4243" s="329">
        <v>0.84568795820008258</v>
      </c>
      <c r="K4243" s="329">
        <v>1.0103451666323182</v>
      </c>
    </row>
    <row r="4244" spans="1:11" ht="11.25" x14ac:dyDescent="0.15">
      <c r="A4244" s="326">
        <v>1.25</v>
      </c>
      <c r="B4244" s="327">
        <v>85</v>
      </c>
      <c r="C4244" s="327" t="s">
        <v>116</v>
      </c>
      <c r="D4244" s="327" t="s">
        <v>79</v>
      </c>
      <c r="E4244" s="328" t="s">
        <v>3584</v>
      </c>
      <c r="F4244" s="328">
        <v>10693.993750000001</v>
      </c>
      <c r="G4244" s="328">
        <v>12350.65675</v>
      </c>
      <c r="H4244" s="328">
        <v>10422.967000000001</v>
      </c>
      <c r="I4244" s="329">
        <v>0.42454714402276822</v>
      </c>
      <c r="J4244" s="329">
        <v>1.0306461610864193</v>
      </c>
      <c r="K4244" s="329">
        <v>1.0842374776988406</v>
      </c>
    </row>
    <row r="4245" spans="1:11" ht="11.25" x14ac:dyDescent="0.15">
      <c r="A4245" s="326">
        <v>1.25</v>
      </c>
      <c r="B4245" s="327">
        <v>85</v>
      </c>
      <c r="C4245" s="327" t="s">
        <v>116</v>
      </c>
      <c r="D4245" s="327" t="s">
        <v>114</v>
      </c>
      <c r="E4245" s="328" t="s">
        <v>3585</v>
      </c>
      <c r="F4245" s="328">
        <v>2222.37</v>
      </c>
      <c r="G4245" s="328">
        <v>11458.393750000001</v>
      </c>
      <c r="H4245" s="328">
        <v>10277.509750000001</v>
      </c>
      <c r="I4245" s="329">
        <v>8.8227172983141047E-2</v>
      </c>
      <c r="J4245" s="329">
        <v>0.95618798009701955</v>
      </c>
      <c r="K4245" s="329">
        <v>1.0691064500506662</v>
      </c>
    </row>
    <row r="4246" spans="1:11" ht="11.25" x14ac:dyDescent="0.15">
      <c r="A4246" s="326">
        <v>1.25</v>
      </c>
      <c r="B4246" s="327">
        <v>85</v>
      </c>
      <c r="C4246" s="327" t="s">
        <v>116</v>
      </c>
      <c r="D4246" s="327" t="s">
        <v>113</v>
      </c>
      <c r="E4246" s="328" t="s">
        <v>3586</v>
      </c>
      <c r="F4246" s="328">
        <v>788.69074999999998</v>
      </c>
      <c r="G4246" s="328">
        <v>10738.92325</v>
      </c>
      <c r="H4246" s="328">
        <v>10133.76125</v>
      </c>
      <c r="I4246" s="329">
        <v>3.1310697692307425E-2</v>
      </c>
      <c r="J4246" s="329">
        <v>0.89614910735934683</v>
      </c>
      <c r="K4246" s="329">
        <v>1.0541531732089575</v>
      </c>
    </row>
    <row r="4247" spans="1:11" ht="11.25" x14ac:dyDescent="0.15">
      <c r="A4247" s="326">
        <v>1.2749999999999999</v>
      </c>
      <c r="B4247" s="327">
        <v>85</v>
      </c>
      <c r="C4247" s="327" t="s">
        <v>116</v>
      </c>
      <c r="D4247" s="327" t="s">
        <v>79</v>
      </c>
      <c r="E4247" s="328" t="s">
        <v>3587</v>
      </c>
      <c r="F4247" s="328">
        <v>11367.496844999998</v>
      </c>
      <c r="G4247" s="328">
        <v>13142.485799999999</v>
      </c>
      <c r="H4247" s="328">
        <v>10863.490109999999</v>
      </c>
      <c r="I4247" s="329">
        <v>0.45128493928964347</v>
      </c>
      <c r="J4247" s="329">
        <v>1.0967232602349486</v>
      </c>
      <c r="K4247" s="329">
        <v>1.1300624012215235</v>
      </c>
    </row>
    <row r="4248" spans="1:11" ht="11.25" x14ac:dyDescent="0.15">
      <c r="A4248" s="326">
        <v>1.2749999999999999</v>
      </c>
      <c r="B4248" s="327">
        <v>85</v>
      </c>
      <c r="C4248" s="327" t="s">
        <v>116</v>
      </c>
      <c r="D4248" s="327" t="s">
        <v>114</v>
      </c>
      <c r="E4248" s="328" t="s">
        <v>3588</v>
      </c>
      <c r="F4248" s="328">
        <v>2365.1206649999999</v>
      </c>
      <c r="G4248" s="328">
        <v>12180.905280000001</v>
      </c>
      <c r="H4248" s="328">
        <v>10712.093295000001</v>
      </c>
      <c r="I4248" s="329">
        <v>9.389431554464675E-2</v>
      </c>
      <c r="J4248" s="329">
        <v>1.0164806228129768</v>
      </c>
      <c r="K4248" s="329">
        <v>1.1143135169712677</v>
      </c>
    </row>
    <row r="4249" spans="1:11" ht="11.25" x14ac:dyDescent="0.15">
      <c r="A4249" s="326">
        <v>1.2749999999999999</v>
      </c>
      <c r="B4249" s="327">
        <v>85</v>
      </c>
      <c r="C4249" s="327" t="s">
        <v>116</v>
      </c>
      <c r="D4249" s="327" t="s">
        <v>113</v>
      </c>
      <c r="E4249" s="328" t="s">
        <v>3589</v>
      </c>
      <c r="F4249" s="328">
        <v>839.01948749999985</v>
      </c>
      <c r="G4249" s="328">
        <v>11374.744455</v>
      </c>
      <c r="H4249" s="328">
        <v>10563.894435</v>
      </c>
      <c r="I4249" s="329">
        <v>3.3308727826549513E-2</v>
      </c>
      <c r="J4249" s="329">
        <v>0.94920755577510352</v>
      </c>
      <c r="K4249" s="329">
        <v>1.098897296411014</v>
      </c>
    </row>
    <row r="4250" spans="1:11" ht="11.25" x14ac:dyDescent="0.15">
      <c r="A4250" s="326">
        <v>1.3</v>
      </c>
      <c r="B4250" s="327">
        <v>85</v>
      </c>
      <c r="C4250" s="327" t="s">
        <v>116</v>
      </c>
      <c r="D4250" s="327" t="s">
        <v>79</v>
      </c>
      <c r="E4250" s="328" t="s">
        <v>3590</v>
      </c>
      <c r="F4250" s="328">
        <v>12074.76972</v>
      </c>
      <c r="G4250" s="328">
        <v>13970.463</v>
      </c>
      <c r="H4250" s="328">
        <v>11313.008459999999</v>
      </c>
      <c r="I4250" s="329">
        <v>0.47936338090328512</v>
      </c>
      <c r="J4250" s="329">
        <v>1.1658168752483433</v>
      </c>
      <c r="K4250" s="329">
        <v>1.1768230445185179</v>
      </c>
    </row>
    <row r="4251" spans="1:11" ht="11.25" x14ac:dyDescent="0.15">
      <c r="A4251" s="326">
        <v>1.3</v>
      </c>
      <c r="B4251" s="327">
        <v>85</v>
      </c>
      <c r="C4251" s="327" t="s">
        <v>116</v>
      </c>
      <c r="D4251" s="327" t="s">
        <v>114</v>
      </c>
      <c r="E4251" s="328" t="s">
        <v>3591</v>
      </c>
      <c r="F4251" s="328">
        <v>2515.6401400000004</v>
      </c>
      <c r="G4251" s="328">
        <v>12938.31084</v>
      </c>
      <c r="H4251" s="328">
        <v>11156.029039999999</v>
      </c>
      <c r="I4251" s="329">
        <v>9.9869876661002999E-2</v>
      </c>
      <c r="J4251" s="329">
        <v>1.0796851267191765</v>
      </c>
      <c r="K4251" s="329">
        <v>1.1604934360307018</v>
      </c>
    </row>
    <row r="4252" spans="1:11" ht="11.25" x14ac:dyDescent="0.15">
      <c r="A4252" s="326">
        <v>1.3</v>
      </c>
      <c r="B4252" s="327">
        <v>85</v>
      </c>
      <c r="C4252" s="327" t="s">
        <v>116</v>
      </c>
      <c r="D4252" s="327" t="s">
        <v>113</v>
      </c>
      <c r="E4252" s="328" t="s">
        <v>3592</v>
      </c>
      <c r="F4252" s="328">
        <v>892.14509799999996</v>
      </c>
      <c r="G4252" s="328">
        <v>12042.148300000001</v>
      </c>
      <c r="H4252" s="328">
        <v>11002.84978</v>
      </c>
      <c r="I4252" s="329">
        <v>3.5417792666076003E-2</v>
      </c>
      <c r="J4252" s="329">
        <v>1.0049015342142311</v>
      </c>
      <c r="K4252" s="329">
        <v>1.144559134934078</v>
      </c>
    </row>
    <row r="4253" spans="1:11" ht="11.25" x14ac:dyDescent="0.15">
      <c r="A4253" s="326">
        <v>1.325</v>
      </c>
      <c r="B4253" s="327">
        <v>85</v>
      </c>
      <c r="C4253" s="327" t="s">
        <v>116</v>
      </c>
      <c r="D4253" s="327" t="s">
        <v>79</v>
      </c>
      <c r="E4253" s="328" t="s">
        <v>3593</v>
      </c>
      <c r="F4253" s="328">
        <v>12817.16649</v>
      </c>
      <c r="G4253" s="328">
        <v>14833.592299999998</v>
      </c>
      <c r="H4253" s="328">
        <v>11772.512905</v>
      </c>
      <c r="I4253" s="329">
        <v>0.50883622667105333</v>
      </c>
      <c r="J4253" s="329">
        <v>1.2378438870561328</v>
      </c>
      <c r="K4253" s="329">
        <v>1.2246224801723202</v>
      </c>
    </row>
    <row r="4254" spans="1:11" ht="11.25" x14ac:dyDescent="0.15">
      <c r="A4254" s="326">
        <v>1.325</v>
      </c>
      <c r="B4254" s="327">
        <v>85</v>
      </c>
      <c r="C4254" s="327" t="s">
        <v>116</v>
      </c>
      <c r="D4254" s="327" t="s">
        <v>114</v>
      </c>
      <c r="E4254" s="328" t="s">
        <v>3594</v>
      </c>
      <c r="F4254" s="328">
        <v>2674.3129549999999</v>
      </c>
      <c r="G4254" s="328">
        <v>13731.45995</v>
      </c>
      <c r="H4254" s="328">
        <v>11608.73999</v>
      </c>
      <c r="I4254" s="329">
        <v>0.10616912201471407</v>
      </c>
      <c r="J4254" s="329">
        <v>1.145872383149132</v>
      </c>
      <c r="K4254" s="329">
        <v>1.2075861859698167</v>
      </c>
    </row>
    <row r="4255" spans="1:11" ht="11.25" x14ac:dyDescent="0.15">
      <c r="A4255" s="326">
        <v>1.325</v>
      </c>
      <c r="B4255" s="327">
        <v>85</v>
      </c>
      <c r="C4255" s="327" t="s">
        <v>116</v>
      </c>
      <c r="D4255" s="327" t="s">
        <v>113</v>
      </c>
      <c r="E4255" s="328" t="s">
        <v>3595</v>
      </c>
      <c r="F4255" s="328">
        <v>948.21966099999986</v>
      </c>
      <c r="G4255" s="328">
        <v>12743.142980000001</v>
      </c>
      <c r="H4255" s="328">
        <v>11450.687894999999</v>
      </c>
      <c r="I4255" s="329">
        <v>3.7643929704352722E-2</v>
      </c>
      <c r="J4255" s="329">
        <v>1.0633986239243798</v>
      </c>
      <c r="K4255" s="329">
        <v>1.19114499366557</v>
      </c>
    </row>
    <row r="4256" spans="1:11" ht="11.25" x14ac:dyDescent="0.15">
      <c r="A4256" s="326">
        <v>1.35</v>
      </c>
      <c r="B4256" s="327">
        <v>85</v>
      </c>
      <c r="C4256" s="327" t="s">
        <v>116</v>
      </c>
      <c r="D4256" s="327" t="s">
        <v>79</v>
      </c>
      <c r="E4256" s="328" t="s">
        <v>3596</v>
      </c>
      <c r="F4256" s="328">
        <v>13596.098129999998</v>
      </c>
      <c r="G4256" s="328">
        <v>15733.2186</v>
      </c>
      <c r="H4256" s="328">
        <v>12241.261080000002</v>
      </c>
      <c r="I4256" s="329">
        <v>0.53975949171887239</v>
      </c>
      <c r="J4256" s="329">
        <v>1.3129165258052731</v>
      </c>
      <c r="K4256" s="329">
        <v>1.2733834844945962</v>
      </c>
    </row>
    <row r="4257" spans="1:11" ht="11.25" x14ac:dyDescent="0.15">
      <c r="A4257" s="326">
        <v>1.35</v>
      </c>
      <c r="B4257" s="327">
        <v>85</v>
      </c>
      <c r="C4257" s="327" t="s">
        <v>116</v>
      </c>
      <c r="D4257" s="327" t="s">
        <v>114</v>
      </c>
      <c r="E4257" s="328" t="s">
        <v>3597</v>
      </c>
      <c r="F4257" s="328">
        <v>2841.5458800000006</v>
      </c>
      <c r="G4257" s="328">
        <v>14559.4692</v>
      </c>
      <c r="H4257" s="328">
        <v>12071.11383</v>
      </c>
      <c r="I4257" s="329">
        <v>0.11280820020711756</v>
      </c>
      <c r="J4257" s="329">
        <v>1.2149686726931308</v>
      </c>
      <c r="K4257" s="329">
        <v>1.2556841072273173</v>
      </c>
    </row>
    <row r="4258" spans="1:11" ht="11.25" x14ac:dyDescent="0.15">
      <c r="A4258" s="326">
        <v>1.35</v>
      </c>
      <c r="B4258" s="327">
        <v>85</v>
      </c>
      <c r="C4258" s="327" t="s">
        <v>116</v>
      </c>
      <c r="D4258" s="327" t="s">
        <v>113</v>
      </c>
      <c r="E4258" s="328" t="s">
        <v>3598</v>
      </c>
      <c r="F4258" s="328">
        <v>1007.405667</v>
      </c>
      <c r="G4258" s="328">
        <v>13477.592700000001</v>
      </c>
      <c r="H4258" s="328">
        <v>11908.227690000002</v>
      </c>
      <c r="I4258" s="329">
        <v>3.9993589747254324E-2</v>
      </c>
      <c r="J4258" s="329">
        <v>1.1246874929903099</v>
      </c>
      <c r="K4258" s="329">
        <v>1.2387400588017876</v>
      </c>
    </row>
    <row r="4259" spans="1:11" ht="11.25" x14ac:dyDescent="0.15">
      <c r="A4259" s="326">
        <v>1.375</v>
      </c>
      <c r="B4259" s="327">
        <v>85</v>
      </c>
      <c r="C4259" s="327" t="s">
        <v>116</v>
      </c>
      <c r="D4259" s="327" t="s">
        <v>79</v>
      </c>
      <c r="E4259" s="328" t="s">
        <v>3599</v>
      </c>
      <c r="F4259" s="328">
        <v>14413.008775000002</v>
      </c>
      <c r="G4259" s="328">
        <v>16669.452250000002</v>
      </c>
      <c r="H4259" s="328">
        <v>12719.699575000001</v>
      </c>
      <c r="I4259" s="329">
        <v>0.57219050761099866</v>
      </c>
      <c r="J4259" s="329">
        <v>1.391044000059015</v>
      </c>
      <c r="K4259" s="329">
        <v>1.3231525135103099</v>
      </c>
    </row>
    <row r="4260" spans="1:11" ht="11.25" x14ac:dyDescent="0.15">
      <c r="A4260" s="326">
        <v>1.375</v>
      </c>
      <c r="B4260" s="327">
        <v>85</v>
      </c>
      <c r="C4260" s="327" t="s">
        <v>116</v>
      </c>
      <c r="D4260" s="327" t="s">
        <v>114</v>
      </c>
      <c r="E4260" s="328" t="s">
        <v>3600</v>
      </c>
      <c r="F4260" s="328">
        <v>3017.7658500000002</v>
      </c>
      <c r="G4260" s="328">
        <v>15424.931500000001</v>
      </c>
      <c r="H4260" s="328">
        <v>12542.312750000001</v>
      </c>
      <c r="I4260" s="329">
        <v>0.11980406038173919</v>
      </c>
      <c r="J4260" s="329">
        <v>1.2871903703012377</v>
      </c>
      <c r="K4260" s="329">
        <v>1.3047000475555577</v>
      </c>
    </row>
    <row r="4261" spans="1:11" ht="11.25" x14ac:dyDescent="0.15">
      <c r="A4261" s="326">
        <v>1.375</v>
      </c>
      <c r="B4261" s="327">
        <v>85</v>
      </c>
      <c r="C4261" s="327" t="s">
        <v>116</v>
      </c>
      <c r="D4261" s="327" t="s">
        <v>113</v>
      </c>
      <c r="E4261" s="328" t="s">
        <v>3601</v>
      </c>
      <c r="F4261" s="328">
        <v>1069.8768574999999</v>
      </c>
      <c r="G4261" s="328">
        <v>14245.94325</v>
      </c>
      <c r="H4261" s="328">
        <v>12374.308925000001</v>
      </c>
      <c r="I4261" s="329">
        <v>4.2473670260717994E-2</v>
      </c>
      <c r="J4261" s="329">
        <v>1.1888053420047875</v>
      </c>
      <c r="K4261" s="329">
        <v>1.2872236376751698</v>
      </c>
    </row>
    <row r="4262" spans="1:11" ht="11.25" x14ac:dyDescent="0.15">
      <c r="A4262" s="326">
        <v>1.4</v>
      </c>
      <c r="B4262" s="327">
        <v>85</v>
      </c>
      <c r="C4262" s="327" t="s">
        <v>116</v>
      </c>
      <c r="D4262" s="327" t="s">
        <v>79</v>
      </c>
      <c r="E4262" s="328" t="s">
        <v>3602</v>
      </c>
      <c r="F4262" s="328">
        <v>15269.416680000002</v>
      </c>
      <c r="G4262" s="328">
        <v>17642.461199999998</v>
      </c>
      <c r="H4262" s="328">
        <v>13208.224679999999</v>
      </c>
      <c r="I4262" s="329">
        <v>0.60618954844513717</v>
      </c>
      <c r="J4262" s="329">
        <v>1.4722403250253147</v>
      </c>
      <c r="K4262" s="329">
        <v>1.373970790843219</v>
      </c>
    </row>
    <row r="4263" spans="1:11" ht="11.25" x14ac:dyDescent="0.15">
      <c r="A4263" s="326">
        <v>1.4</v>
      </c>
      <c r="B4263" s="327">
        <v>85</v>
      </c>
      <c r="C4263" s="327" t="s">
        <v>116</v>
      </c>
      <c r="D4263" s="327" t="s">
        <v>114</v>
      </c>
      <c r="E4263" s="328" t="s">
        <v>3603</v>
      </c>
      <c r="F4263" s="328">
        <v>3203.4211999999998</v>
      </c>
      <c r="G4263" s="328">
        <v>16326.276400000001</v>
      </c>
      <c r="H4263" s="328">
        <v>13023.01196</v>
      </c>
      <c r="I4263" s="329">
        <v>0.12717450125328422</v>
      </c>
      <c r="J4263" s="329">
        <v>1.3624064239738347</v>
      </c>
      <c r="K4263" s="329">
        <v>1.3547042449191513</v>
      </c>
    </row>
    <row r="4264" spans="1:11" ht="11.25" x14ac:dyDescent="0.15">
      <c r="A4264" s="326">
        <v>1.4</v>
      </c>
      <c r="B4264" s="327">
        <v>85</v>
      </c>
      <c r="C4264" s="327" t="s">
        <v>116</v>
      </c>
      <c r="D4264" s="327" t="s">
        <v>113</v>
      </c>
      <c r="E4264" s="328" t="s">
        <v>3604</v>
      </c>
      <c r="F4264" s="328">
        <v>1135.817732</v>
      </c>
      <c r="G4264" s="328">
        <v>15048.863199999998</v>
      </c>
      <c r="H4264" s="328">
        <v>12849.53824</v>
      </c>
      <c r="I4264" s="329">
        <v>4.5091495798846699E-2</v>
      </c>
      <c r="J4264" s="329">
        <v>1.2558079622603617</v>
      </c>
      <c r="K4264" s="329">
        <v>1.3366588353328182</v>
      </c>
    </row>
    <row r="4265" spans="1:11" ht="11.25" x14ac:dyDescent="0.15">
      <c r="A4265" s="326">
        <v>0.9</v>
      </c>
      <c r="B4265" s="327">
        <v>100</v>
      </c>
      <c r="C4265" s="327" t="s">
        <v>116</v>
      </c>
      <c r="D4265" s="327" t="s">
        <v>79</v>
      </c>
      <c r="E4265" s="328" t="s">
        <v>3605</v>
      </c>
      <c r="F4265" s="328">
        <v>5576.1273000000001</v>
      </c>
      <c r="G4265" s="328">
        <v>4782.1734000000006</v>
      </c>
      <c r="H4265" s="328">
        <v>5241.8492999999999</v>
      </c>
      <c r="I4265" s="329">
        <v>0.22136995544086507</v>
      </c>
      <c r="J4265" s="329">
        <v>0.39906611900290967</v>
      </c>
      <c r="K4265" s="329">
        <v>0.54527750721166368</v>
      </c>
    </row>
    <row r="4266" spans="1:11" ht="11.25" x14ac:dyDescent="0.15">
      <c r="A4266" s="326">
        <v>0.9</v>
      </c>
      <c r="B4266" s="327">
        <v>100</v>
      </c>
      <c r="C4266" s="327" t="s">
        <v>116</v>
      </c>
      <c r="D4266" s="327" t="s">
        <v>114</v>
      </c>
      <c r="E4266" s="328" t="s">
        <v>3606</v>
      </c>
      <c r="F4266" s="328">
        <v>1244.529</v>
      </c>
      <c r="G4266" s="328">
        <v>4682.2356000000009</v>
      </c>
      <c r="H4266" s="328">
        <v>5157.0432000000001</v>
      </c>
      <c r="I4266" s="329">
        <v>4.940728832981707E-2</v>
      </c>
      <c r="J4266" s="329">
        <v>0.39072644023097536</v>
      </c>
      <c r="K4266" s="329">
        <v>0.53645564756675879</v>
      </c>
    </row>
    <row r="4267" spans="1:11" ht="11.25" x14ac:dyDescent="0.15">
      <c r="A4267" s="326">
        <v>0.9</v>
      </c>
      <c r="B4267" s="327">
        <v>100</v>
      </c>
      <c r="C4267" s="327" t="s">
        <v>116</v>
      </c>
      <c r="D4267" s="327" t="s">
        <v>113</v>
      </c>
      <c r="E4267" s="328" t="s">
        <v>3607</v>
      </c>
      <c r="F4267" s="328">
        <v>460.70244000000002</v>
      </c>
      <c r="G4267" s="328">
        <v>4738.5513000000001</v>
      </c>
      <c r="H4267" s="328">
        <v>5069.1690000000008</v>
      </c>
      <c r="I4267" s="329">
        <v>1.8289696975586949E-2</v>
      </c>
      <c r="J4267" s="329">
        <v>0.39542591178044528</v>
      </c>
      <c r="K4267" s="329">
        <v>0.52731463225290398</v>
      </c>
    </row>
    <row r="4268" spans="1:11" ht="11.25" x14ac:dyDescent="0.15">
      <c r="A4268" s="326">
        <v>0.92500000000000004</v>
      </c>
      <c r="B4268" s="327">
        <v>100</v>
      </c>
      <c r="C4268" s="327" t="s">
        <v>116</v>
      </c>
      <c r="D4268" s="327" t="s">
        <v>79</v>
      </c>
      <c r="E4268" s="328" t="s">
        <v>3608</v>
      </c>
      <c r="F4268" s="328">
        <v>5995.8157750000009</v>
      </c>
      <c r="G4268" s="328">
        <v>5157.1867250000005</v>
      </c>
      <c r="H4268" s="328">
        <v>5553.3078000000005</v>
      </c>
      <c r="I4268" s="329">
        <v>0.23803141491109539</v>
      </c>
      <c r="J4268" s="329">
        <v>0.43036049075909205</v>
      </c>
      <c r="K4268" s="329">
        <v>0.5776766291169585</v>
      </c>
    </row>
    <row r="4269" spans="1:11" ht="11.25" x14ac:dyDescent="0.15">
      <c r="A4269" s="326">
        <v>0.92500000000000004</v>
      </c>
      <c r="B4269" s="327">
        <v>100</v>
      </c>
      <c r="C4269" s="327" t="s">
        <v>116</v>
      </c>
      <c r="D4269" s="327" t="s">
        <v>114</v>
      </c>
      <c r="E4269" s="328" t="s">
        <v>3609</v>
      </c>
      <c r="F4269" s="328">
        <v>1337.5638750000001</v>
      </c>
      <c r="G4269" s="328">
        <v>5015.7977000000001</v>
      </c>
      <c r="H4269" s="328">
        <v>5465.2422500000002</v>
      </c>
      <c r="I4269" s="329">
        <v>5.310073452018587E-2</v>
      </c>
      <c r="J4269" s="329">
        <v>0.41856176144568918</v>
      </c>
      <c r="K4269" s="329">
        <v>0.56851570883349589</v>
      </c>
    </row>
    <row r="4270" spans="1:11" ht="11.25" x14ac:dyDescent="0.15">
      <c r="A4270" s="326">
        <v>0.92500000000000004</v>
      </c>
      <c r="B4270" s="327">
        <v>100</v>
      </c>
      <c r="C4270" s="327" t="s">
        <v>116</v>
      </c>
      <c r="D4270" s="327" t="s">
        <v>113</v>
      </c>
      <c r="E4270" s="328" t="s">
        <v>3610</v>
      </c>
      <c r="F4270" s="328">
        <v>494.45884249999995</v>
      </c>
      <c r="G4270" s="328">
        <v>5040.4387749999996</v>
      </c>
      <c r="H4270" s="328">
        <v>5373.7486500000005</v>
      </c>
      <c r="I4270" s="329">
        <v>1.9629812241117001E-2</v>
      </c>
      <c r="J4270" s="329">
        <v>0.42061802694378037</v>
      </c>
      <c r="K4270" s="329">
        <v>0.55899818948515811</v>
      </c>
    </row>
    <row r="4271" spans="1:11" ht="11.25" x14ac:dyDescent="0.15">
      <c r="A4271" s="326">
        <v>0.95</v>
      </c>
      <c r="B4271" s="327">
        <v>100</v>
      </c>
      <c r="C4271" s="327" t="s">
        <v>116</v>
      </c>
      <c r="D4271" s="327" t="s">
        <v>79</v>
      </c>
      <c r="E4271" s="328" t="s">
        <v>3611</v>
      </c>
      <c r="F4271" s="328">
        <v>6439.3298999999988</v>
      </c>
      <c r="G4271" s="328">
        <v>5557.6557999999995</v>
      </c>
      <c r="H4271" s="328">
        <v>5874.2185999999992</v>
      </c>
      <c r="I4271" s="329">
        <v>0.25563874286586497</v>
      </c>
      <c r="J4271" s="329">
        <v>0.46377911157717755</v>
      </c>
      <c r="K4271" s="329">
        <v>0.61105901595156287</v>
      </c>
    </row>
    <row r="4272" spans="1:11" ht="11.25" x14ac:dyDescent="0.15">
      <c r="A4272" s="326">
        <v>0.95</v>
      </c>
      <c r="B4272" s="327">
        <v>100</v>
      </c>
      <c r="C4272" s="327" t="s">
        <v>116</v>
      </c>
      <c r="D4272" s="327" t="s">
        <v>114</v>
      </c>
      <c r="E4272" s="328" t="s">
        <v>3612</v>
      </c>
      <c r="F4272" s="328">
        <v>1436.0361499999999</v>
      </c>
      <c r="G4272" s="328">
        <v>5371.2895500000004</v>
      </c>
      <c r="H4272" s="328">
        <v>5782.3269999999993</v>
      </c>
      <c r="I4272" s="329">
        <v>5.701004324936617E-2</v>
      </c>
      <c r="J4272" s="329">
        <v>0.44822709163147134</v>
      </c>
      <c r="K4272" s="329">
        <v>0.60150009509863189</v>
      </c>
    </row>
    <row r="4273" spans="1:11" ht="11.25" x14ac:dyDescent="0.15">
      <c r="A4273" s="326">
        <v>0.95</v>
      </c>
      <c r="B4273" s="327">
        <v>100</v>
      </c>
      <c r="C4273" s="327" t="s">
        <v>116</v>
      </c>
      <c r="D4273" s="327" t="s">
        <v>113</v>
      </c>
      <c r="E4273" s="328" t="s">
        <v>3613</v>
      </c>
      <c r="F4273" s="328">
        <v>530.14996999999994</v>
      </c>
      <c r="G4273" s="328">
        <v>5359.5779499999999</v>
      </c>
      <c r="H4273" s="328">
        <v>5687.1493499999997</v>
      </c>
      <c r="I4273" s="329">
        <v>2.1046735291691768E-2</v>
      </c>
      <c r="J4273" s="329">
        <v>0.4472497739208014</v>
      </c>
      <c r="K4273" s="329">
        <v>0.59159934657191182</v>
      </c>
    </row>
    <row r="4274" spans="1:11" ht="11.25" x14ac:dyDescent="0.15">
      <c r="A4274" s="326">
        <v>0.97499999999999998</v>
      </c>
      <c r="B4274" s="327">
        <v>100</v>
      </c>
      <c r="C4274" s="327" t="s">
        <v>116</v>
      </c>
      <c r="D4274" s="327" t="s">
        <v>79</v>
      </c>
      <c r="E4274" s="328" t="s">
        <v>3614</v>
      </c>
      <c r="F4274" s="328">
        <v>6907.6790249999995</v>
      </c>
      <c r="G4274" s="328">
        <v>5983.95525</v>
      </c>
      <c r="H4274" s="328">
        <v>6204.0078750000002</v>
      </c>
      <c r="I4274" s="329">
        <v>0.27423201008413994</v>
      </c>
      <c r="J4274" s="329">
        <v>0.4993532434237089</v>
      </c>
      <c r="K4274" s="329">
        <v>0.64536497621202715</v>
      </c>
    </row>
    <row r="4275" spans="1:11" ht="11.25" x14ac:dyDescent="0.15">
      <c r="A4275" s="326">
        <v>0.97499999999999998</v>
      </c>
      <c r="B4275" s="327">
        <v>100</v>
      </c>
      <c r="C4275" s="327" t="s">
        <v>116</v>
      </c>
      <c r="D4275" s="327" t="s">
        <v>114</v>
      </c>
      <c r="E4275" s="328" t="s">
        <v>3615</v>
      </c>
      <c r="F4275" s="328">
        <v>1540.2035999999998</v>
      </c>
      <c r="G4275" s="328">
        <v>5750.9741250000006</v>
      </c>
      <c r="H4275" s="328">
        <v>6108.9414749999996</v>
      </c>
      <c r="I4275" s="329">
        <v>6.1145448078608236E-2</v>
      </c>
      <c r="J4275" s="329">
        <v>0.47991127309392506</v>
      </c>
      <c r="K4275" s="329">
        <v>0.63547580034205553</v>
      </c>
    </row>
    <row r="4276" spans="1:11" ht="11.25" x14ac:dyDescent="0.15">
      <c r="A4276" s="326">
        <v>0.97499999999999998</v>
      </c>
      <c r="B4276" s="327">
        <v>100</v>
      </c>
      <c r="C4276" s="327" t="s">
        <v>116</v>
      </c>
      <c r="D4276" s="327" t="s">
        <v>113</v>
      </c>
      <c r="E4276" s="328" t="s">
        <v>3616</v>
      </c>
      <c r="F4276" s="328">
        <v>567.86964</v>
      </c>
      <c r="G4276" s="328">
        <v>5697.6932999999999</v>
      </c>
      <c r="H4276" s="328">
        <v>6009.8980500000007</v>
      </c>
      <c r="I4276" s="329">
        <v>2.2544190643391533E-2</v>
      </c>
      <c r="J4276" s="329">
        <v>0.47546505789603544</v>
      </c>
      <c r="K4276" s="329">
        <v>0.62517291889719895</v>
      </c>
    </row>
    <row r="4277" spans="1:11" ht="11.25" x14ac:dyDescent="0.15">
      <c r="A4277" s="326">
        <v>1</v>
      </c>
      <c r="B4277" s="327">
        <v>100</v>
      </c>
      <c r="C4277" s="327" t="s">
        <v>116</v>
      </c>
      <c r="D4277" s="327" t="s">
        <v>79</v>
      </c>
      <c r="E4277" s="328" t="s">
        <v>3617</v>
      </c>
      <c r="F4277" s="328">
        <v>7401.9049999999997</v>
      </c>
      <c r="G4277" s="328">
        <v>6438.3690000000006</v>
      </c>
      <c r="H4277" s="328">
        <v>6542.6720000000005</v>
      </c>
      <c r="I4277" s="329">
        <v>0.29385257758149036</v>
      </c>
      <c r="J4277" s="329">
        <v>0.53727347685440352</v>
      </c>
      <c r="K4277" s="329">
        <v>0.68059413281178271</v>
      </c>
    </row>
    <row r="4278" spans="1:11" ht="11.25" x14ac:dyDescent="0.15">
      <c r="A4278" s="326">
        <v>1</v>
      </c>
      <c r="B4278" s="327">
        <v>100</v>
      </c>
      <c r="C4278" s="327" t="s">
        <v>116</v>
      </c>
      <c r="D4278" s="327" t="s">
        <v>114</v>
      </c>
      <c r="E4278" s="328" t="s">
        <v>3618</v>
      </c>
      <c r="F4278" s="328">
        <v>1650.345</v>
      </c>
      <c r="G4278" s="328">
        <v>6154.5129999999999</v>
      </c>
      <c r="H4278" s="328">
        <v>6444.0569999999998</v>
      </c>
      <c r="I4278" s="329">
        <v>6.5518016260506545E-2</v>
      </c>
      <c r="J4278" s="329">
        <v>0.51358606470918733</v>
      </c>
      <c r="K4278" s="329">
        <v>0.67033581779809503</v>
      </c>
    </row>
    <row r="4279" spans="1:11" ht="11.25" x14ac:dyDescent="0.15">
      <c r="A4279" s="326">
        <v>1</v>
      </c>
      <c r="B4279" s="327">
        <v>100</v>
      </c>
      <c r="C4279" s="327" t="s">
        <v>116</v>
      </c>
      <c r="D4279" s="327" t="s">
        <v>113</v>
      </c>
      <c r="E4279" s="328" t="s">
        <v>3619</v>
      </c>
      <c r="F4279" s="328">
        <v>607.71670000000006</v>
      </c>
      <c r="G4279" s="328">
        <v>6055.2839999999997</v>
      </c>
      <c r="H4279" s="328">
        <v>6341.5159999999996</v>
      </c>
      <c r="I4279" s="329">
        <v>2.4126102501223309E-2</v>
      </c>
      <c r="J4279" s="329">
        <v>0.50530553437071402</v>
      </c>
      <c r="K4279" s="329">
        <v>0.65966910502804432</v>
      </c>
    </row>
    <row r="4280" spans="1:11" ht="11.25" x14ac:dyDescent="0.15">
      <c r="A4280" s="326">
        <v>1.0249999999999999</v>
      </c>
      <c r="B4280" s="327">
        <v>100</v>
      </c>
      <c r="C4280" s="327" t="s">
        <v>116</v>
      </c>
      <c r="D4280" s="327" t="s">
        <v>79</v>
      </c>
      <c r="E4280" s="328" t="s">
        <v>3620</v>
      </c>
      <c r="F4280" s="328">
        <v>7923.0798499999992</v>
      </c>
      <c r="G4280" s="328">
        <v>6921.2725249999994</v>
      </c>
      <c r="H4280" s="328">
        <v>6890.8238749999982</v>
      </c>
      <c r="I4280" s="329">
        <v>0.31454300430854865</v>
      </c>
      <c r="J4280" s="329">
        <v>0.57757114476719273</v>
      </c>
      <c r="K4280" s="329">
        <v>0.71681024198742527</v>
      </c>
    </row>
    <row r="4281" spans="1:11" ht="11.25" x14ac:dyDescent="0.15">
      <c r="A4281" s="326">
        <v>1.0249999999999999</v>
      </c>
      <c r="B4281" s="327">
        <v>100</v>
      </c>
      <c r="C4281" s="327" t="s">
        <v>116</v>
      </c>
      <c r="D4281" s="327" t="s">
        <v>114</v>
      </c>
      <c r="E4281" s="328" t="s">
        <v>3621</v>
      </c>
      <c r="F4281" s="328">
        <v>1766.7422749999998</v>
      </c>
      <c r="G4281" s="328">
        <v>6584.7588749999995</v>
      </c>
      <c r="H4281" s="328">
        <v>6788.1465499999986</v>
      </c>
      <c r="I4281" s="329">
        <v>7.0138940101357183E-2</v>
      </c>
      <c r="J4281" s="329">
        <v>0.54948952056322653</v>
      </c>
      <c r="K4281" s="329">
        <v>0.70612934816181272</v>
      </c>
    </row>
    <row r="4282" spans="1:11" ht="11.25" x14ac:dyDescent="0.15">
      <c r="A4282" s="326">
        <v>1.0249999999999999</v>
      </c>
      <c r="B4282" s="327">
        <v>100</v>
      </c>
      <c r="C4282" s="327" t="s">
        <v>116</v>
      </c>
      <c r="D4282" s="327" t="s">
        <v>113</v>
      </c>
      <c r="E4282" s="328" t="s">
        <v>3622</v>
      </c>
      <c r="F4282" s="328">
        <v>649.79311250000001</v>
      </c>
      <c r="G4282" s="328">
        <v>6434.3759999999993</v>
      </c>
      <c r="H4282" s="328">
        <v>6682.1543749999992</v>
      </c>
      <c r="I4282" s="329">
        <v>2.5796518734410172E-2</v>
      </c>
      <c r="J4282" s="329">
        <v>0.53694026622402802</v>
      </c>
      <c r="K4282" s="329">
        <v>0.69510363077464132</v>
      </c>
    </row>
    <row r="4283" spans="1:11" ht="11.25" x14ac:dyDescent="0.15">
      <c r="A4283" s="326">
        <v>1.05</v>
      </c>
      <c r="B4283" s="327">
        <v>100</v>
      </c>
      <c r="C4283" s="327" t="s">
        <v>116</v>
      </c>
      <c r="D4283" s="327" t="s">
        <v>79</v>
      </c>
      <c r="E4283" s="328" t="s">
        <v>3623</v>
      </c>
      <c r="F4283" s="328">
        <v>8472.314550000001</v>
      </c>
      <c r="G4283" s="328">
        <v>7432.7830500000009</v>
      </c>
      <c r="H4283" s="328">
        <v>7247.8822500000006</v>
      </c>
      <c r="I4283" s="329">
        <v>0.33634739551489307</v>
      </c>
      <c r="J4283" s="329">
        <v>0.62025602943509117</v>
      </c>
      <c r="K4283" s="329">
        <v>0.75395283985818984</v>
      </c>
    </row>
    <row r="4284" spans="1:11" ht="11.25" x14ac:dyDescent="0.15">
      <c r="A4284" s="326">
        <v>1.05</v>
      </c>
      <c r="B4284" s="327">
        <v>100</v>
      </c>
      <c r="C4284" s="327" t="s">
        <v>116</v>
      </c>
      <c r="D4284" s="327" t="s">
        <v>114</v>
      </c>
      <c r="E4284" s="328" t="s">
        <v>3624</v>
      </c>
      <c r="F4284" s="328">
        <v>1889.6955</v>
      </c>
      <c r="G4284" s="328">
        <v>7041.5373</v>
      </c>
      <c r="H4284" s="328">
        <v>7141.5760500000006</v>
      </c>
      <c r="I4284" s="329">
        <v>7.50201324549752E-2</v>
      </c>
      <c r="J4284" s="329">
        <v>0.58760708303158282</v>
      </c>
      <c r="K4284" s="329">
        <v>0.74289445637182283</v>
      </c>
    </row>
    <row r="4285" spans="1:11" ht="11.25" x14ac:dyDescent="0.15">
      <c r="A4285" s="326">
        <v>1.05</v>
      </c>
      <c r="B4285" s="327">
        <v>100</v>
      </c>
      <c r="C4285" s="327" t="s">
        <v>116</v>
      </c>
      <c r="D4285" s="327" t="s">
        <v>113</v>
      </c>
      <c r="E4285" s="328" t="s">
        <v>3625</v>
      </c>
      <c r="F4285" s="328">
        <v>694.20792000000006</v>
      </c>
      <c r="G4285" s="328">
        <v>6835.0432500000006</v>
      </c>
      <c r="H4285" s="328">
        <v>7031.4268499999998</v>
      </c>
      <c r="I4285" s="329">
        <v>2.755976828525698E-2</v>
      </c>
      <c r="J4285" s="329">
        <v>0.57037542448681056</v>
      </c>
      <c r="K4285" s="329">
        <v>0.73143630911120638</v>
      </c>
    </row>
    <row r="4286" spans="1:11" ht="11.25" x14ac:dyDescent="0.15">
      <c r="A4286" s="326">
        <v>1.075</v>
      </c>
      <c r="B4286" s="327">
        <v>100</v>
      </c>
      <c r="C4286" s="327" t="s">
        <v>116</v>
      </c>
      <c r="D4286" s="327" t="s">
        <v>79</v>
      </c>
      <c r="E4286" s="328" t="s">
        <v>3626</v>
      </c>
      <c r="F4286" s="328">
        <v>9050.7496499999997</v>
      </c>
      <c r="G4286" s="328">
        <v>7974.6112249999987</v>
      </c>
      <c r="H4286" s="328">
        <v>7614.1175000000003</v>
      </c>
      <c r="I4286" s="329">
        <v>0.35931103056541142</v>
      </c>
      <c r="J4286" s="329">
        <v>0.66547088236444718</v>
      </c>
      <c r="K4286" s="329">
        <v>0.79205005188087052</v>
      </c>
    </row>
    <row r="4287" spans="1:11" ht="11.25" x14ac:dyDescent="0.15">
      <c r="A4287" s="326">
        <v>1.075</v>
      </c>
      <c r="B4287" s="327">
        <v>100</v>
      </c>
      <c r="C4287" s="327" t="s">
        <v>116</v>
      </c>
      <c r="D4287" s="327" t="s">
        <v>114</v>
      </c>
      <c r="E4287" s="328" t="s">
        <v>3627</v>
      </c>
      <c r="F4287" s="328">
        <v>2019.5154249999998</v>
      </c>
      <c r="G4287" s="328">
        <v>7526.8962999999994</v>
      </c>
      <c r="H4287" s="328">
        <v>7503.7719749999997</v>
      </c>
      <c r="I4287" s="329">
        <v>8.017392996827559E-2</v>
      </c>
      <c r="J4287" s="329">
        <v>0.62810965712334055</v>
      </c>
      <c r="K4287" s="329">
        <v>0.78057148213183891</v>
      </c>
    </row>
    <row r="4288" spans="1:11" ht="11.25" x14ac:dyDescent="0.15">
      <c r="A4288" s="326">
        <v>1.075</v>
      </c>
      <c r="B4288" s="327">
        <v>100</v>
      </c>
      <c r="C4288" s="327" t="s">
        <v>116</v>
      </c>
      <c r="D4288" s="327" t="s">
        <v>113</v>
      </c>
      <c r="E4288" s="328" t="s">
        <v>3628</v>
      </c>
      <c r="F4288" s="328">
        <v>741.07457749999992</v>
      </c>
      <c r="G4288" s="328">
        <v>7259.1202499999999</v>
      </c>
      <c r="H4288" s="328">
        <v>7389.7198500000004</v>
      </c>
      <c r="I4288" s="329">
        <v>2.9420355270499812E-2</v>
      </c>
      <c r="J4288" s="329">
        <v>0.60576409578601453</v>
      </c>
      <c r="K4288" s="329">
        <v>0.76870733746591102</v>
      </c>
    </row>
    <row r="4289" spans="1:11" ht="11.25" x14ac:dyDescent="0.15">
      <c r="A4289" s="326">
        <v>1.1000000000000001</v>
      </c>
      <c r="B4289" s="327">
        <v>100</v>
      </c>
      <c r="C4289" s="327" t="s">
        <v>116</v>
      </c>
      <c r="D4289" s="327" t="s">
        <v>79</v>
      </c>
      <c r="E4289" s="328" t="s">
        <v>3629</v>
      </c>
      <c r="F4289" s="328">
        <v>9659.5631000000012</v>
      </c>
      <c r="G4289" s="328">
        <v>8547.5797000000002</v>
      </c>
      <c r="H4289" s="328">
        <v>7989.496900000001</v>
      </c>
      <c r="I4289" s="329">
        <v>0.38348067358957616</v>
      </c>
      <c r="J4289" s="329">
        <v>0.71328435262239853</v>
      </c>
      <c r="K4289" s="329">
        <v>0.83109847387396563</v>
      </c>
    </row>
    <row r="4290" spans="1:11" ht="11.25" x14ac:dyDescent="0.15">
      <c r="A4290" s="326">
        <v>1.1000000000000001</v>
      </c>
      <c r="B4290" s="327">
        <v>100</v>
      </c>
      <c r="C4290" s="327" t="s">
        <v>116</v>
      </c>
      <c r="D4290" s="327" t="s">
        <v>114</v>
      </c>
      <c r="E4290" s="328" t="s">
        <v>3630</v>
      </c>
      <c r="F4290" s="328">
        <v>2156.5290999999997</v>
      </c>
      <c r="G4290" s="328">
        <v>8041.2431000000006</v>
      </c>
      <c r="H4290" s="328">
        <v>7875.4180999999999</v>
      </c>
      <c r="I4290" s="329">
        <v>8.5613316391454836E-2</v>
      </c>
      <c r="J4290" s="329">
        <v>0.67103122523242797</v>
      </c>
      <c r="K4290" s="329">
        <v>0.81923155437101491</v>
      </c>
    </row>
    <row r="4291" spans="1:11" ht="11.25" x14ac:dyDescent="0.15">
      <c r="A4291" s="326">
        <v>1.1000000000000001</v>
      </c>
      <c r="B4291" s="327">
        <v>100</v>
      </c>
      <c r="C4291" s="327" t="s">
        <v>116</v>
      </c>
      <c r="D4291" s="327" t="s">
        <v>113</v>
      </c>
      <c r="E4291" s="328" t="s">
        <v>3631</v>
      </c>
      <c r="F4291" s="328">
        <v>790.51103999999998</v>
      </c>
      <c r="G4291" s="328">
        <v>7709.593100000001</v>
      </c>
      <c r="H4291" s="328">
        <v>7757.3419000000004</v>
      </c>
      <c r="I4291" s="329">
        <v>3.1382962455019973E-2</v>
      </c>
      <c r="J4291" s="329">
        <v>0.64335546626322904</v>
      </c>
      <c r="K4291" s="329">
        <v>0.8069488098066061</v>
      </c>
    </row>
    <row r="4292" spans="1:11" ht="11.25" x14ac:dyDescent="0.15">
      <c r="A4292" s="326">
        <v>1.125</v>
      </c>
      <c r="B4292" s="327">
        <v>100</v>
      </c>
      <c r="C4292" s="327" t="s">
        <v>116</v>
      </c>
      <c r="D4292" s="327" t="s">
        <v>79</v>
      </c>
      <c r="E4292" s="328" t="s">
        <v>3632</v>
      </c>
      <c r="F4292" s="328">
        <v>10299.971249999999</v>
      </c>
      <c r="G4292" s="328">
        <v>9152.2754999999997</v>
      </c>
      <c r="H4292" s="328">
        <v>8374.1928750000006</v>
      </c>
      <c r="I4292" s="329">
        <v>0.40890461318103172</v>
      </c>
      <c r="J4292" s="329">
        <v>0.7637454266778394</v>
      </c>
      <c r="K4292" s="329">
        <v>0.87111604215513705</v>
      </c>
    </row>
    <row r="4293" spans="1:11" ht="11.25" x14ac:dyDescent="0.15">
      <c r="A4293" s="326">
        <v>1.125</v>
      </c>
      <c r="B4293" s="327">
        <v>100</v>
      </c>
      <c r="C4293" s="327" t="s">
        <v>116</v>
      </c>
      <c r="D4293" s="327" t="s">
        <v>114</v>
      </c>
      <c r="E4293" s="328" t="s">
        <v>3633</v>
      </c>
      <c r="F4293" s="328">
        <v>2301.073875</v>
      </c>
      <c r="G4293" s="328">
        <v>8585.4701249999998</v>
      </c>
      <c r="H4293" s="328">
        <v>8255.7461250000015</v>
      </c>
      <c r="I4293" s="329">
        <v>9.1351684380463968E-2</v>
      </c>
      <c r="J4293" s="329">
        <v>0.71644625905852244</v>
      </c>
      <c r="K4293" s="329">
        <v>0.8587947515416654</v>
      </c>
    </row>
    <row r="4294" spans="1:11" ht="11.25" x14ac:dyDescent="0.15">
      <c r="A4294" s="326">
        <v>1.125</v>
      </c>
      <c r="B4294" s="327">
        <v>100</v>
      </c>
      <c r="C4294" s="327" t="s">
        <v>116</v>
      </c>
      <c r="D4294" s="327" t="s">
        <v>113</v>
      </c>
      <c r="E4294" s="328" t="s">
        <v>3634</v>
      </c>
      <c r="F4294" s="328">
        <v>842.64378750000003</v>
      </c>
      <c r="G4294" s="328">
        <v>8185.5382499999996</v>
      </c>
      <c r="H4294" s="328">
        <v>8133.6903750000001</v>
      </c>
      <c r="I4294" s="329">
        <v>3.3452611042684904E-2</v>
      </c>
      <c r="J4294" s="329">
        <v>0.68307246687821244</v>
      </c>
      <c r="K4294" s="329">
        <v>0.84609803874207179</v>
      </c>
    </row>
    <row r="4295" spans="1:11" ht="11.25" x14ac:dyDescent="0.15">
      <c r="A4295" s="326">
        <v>1.1499999999999999</v>
      </c>
      <c r="B4295" s="327">
        <v>100</v>
      </c>
      <c r="C4295" s="327" t="s">
        <v>116</v>
      </c>
      <c r="D4295" s="327" t="s">
        <v>79</v>
      </c>
      <c r="E4295" s="328" t="s">
        <v>3635</v>
      </c>
      <c r="F4295" s="328">
        <v>10973.225249999998</v>
      </c>
      <c r="G4295" s="328">
        <v>9788.6504999999997</v>
      </c>
      <c r="H4295" s="328">
        <v>8768.4452499999989</v>
      </c>
      <c r="I4295" s="329">
        <v>0.43563251947907911</v>
      </c>
      <c r="J4295" s="329">
        <v>0.81685008856242869</v>
      </c>
      <c r="K4295" s="329">
        <v>0.91212770425161838</v>
      </c>
    </row>
    <row r="4296" spans="1:11" ht="11.25" x14ac:dyDescent="0.15">
      <c r="A4296" s="326">
        <v>1.1499999999999999</v>
      </c>
      <c r="B4296" s="327">
        <v>100</v>
      </c>
      <c r="C4296" s="327" t="s">
        <v>116</v>
      </c>
      <c r="D4296" s="327" t="s">
        <v>114</v>
      </c>
      <c r="E4296" s="328" t="s">
        <v>3636</v>
      </c>
      <c r="F4296" s="328">
        <v>2453.5065999999997</v>
      </c>
      <c r="G4296" s="328">
        <v>9160.407799999999</v>
      </c>
      <c r="H4296" s="328">
        <v>8644.8478500000001</v>
      </c>
      <c r="I4296" s="329">
        <v>9.7403200733216455E-2</v>
      </c>
      <c r="J4296" s="329">
        <v>0.76442405648234779</v>
      </c>
      <c r="K4296" s="329">
        <v>0.89927062303605532</v>
      </c>
    </row>
    <row r="4297" spans="1:11" ht="11.25" x14ac:dyDescent="0.15">
      <c r="A4297" s="326">
        <v>1.1499999999999999</v>
      </c>
      <c r="B4297" s="327">
        <v>100</v>
      </c>
      <c r="C4297" s="327" t="s">
        <v>116</v>
      </c>
      <c r="D4297" s="327" t="s">
        <v>113</v>
      </c>
      <c r="E4297" s="328" t="s">
        <v>3637</v>
      </c>
      <c r="F4297" s="328">
        <v>897.60386499999993</v>
      </c>
      <c r="G4297" s="328">
        <v>8688.1303999999982</v>
      </c>
      <c r="H4297" s="328">
        <v>8518.682499999999</v>
      </c>
      <c r="I4297" s="329">
        <v>3.5634503465980454E-2</v>
      </c>
      <c r="J4297" s="329">
        <v>0.72501312481040436</v>
      </c>
      <c r="K4297" s="329">
        <v>0.88614641369556779</v>
      </c>
    </row>
    <row r="4298" spans="1:11" ht="11.25" x14ac:dyDescent="0.15">
      <c r="A4298" s="326">
        <v>1.175</v>
      </c>
      <c r="B4298" s="327">
        <v>100</v>
      </c>
      <c r="C4298" s="327" t="s">
        <v>116</v>
      </c>
      <c r="D4298" s="327" t="s">
        <v>79</v>
      </c>
      <c r="E4298" s="328" t="s">
        <v>3638</v>
      </c>
      <c r="F4298" s="328">
        <v>11680.619774999999</v>
      </c>
      <c r="G4298" s="328">
        <v>10459.469300000001</v>
      </c>
      <c r="H4298" s="328">
        <v>9170.8045000000002</v>
      </c>
      <c r="I4298" s="329">
        <v>0.463715790547579</v>
      </c>
      <c r="J4298" s="329">
        <v>0.87282904053229848</v>
      </c>
      <c r="K4298" s="329">
        <v>0.95398267494746714</v>
      </c>
    </row>
    <row r="4299" spans="1:11" ht="11.25" x14ac:dyDescent="0.15">
      <c r="A4299" s="326">
        <v>1.175</v>
      </c>
      <c r="B4299" s="327">
        <v>100</v>
      </c>
      <c r="C4299" s="327" t="s">
        <v>116</v>
      </c>
      <c r="D4299" s="327" t="s">
        <v>114</v>
      </c>
      <c r="E4299" s="328" t="s">
        <v>3639</v>
      </c>
      <c r="F4299" s="328">
        <v>2614.1975750000001</v>
      </c>
      <c r="G4299" s="328">
        <v>9767.3755000000001</v>
      </c>
      <c r="H4299" s="328">
        <v>9043.2488500000018</v>
      </c>
      <c r="I4299" s="329">
        <v>0.10378256620708202</v>
      </c>
      <c r="J4299" s="329">
        <v>0.81507471762297534</v>
      </c>
      <c r="K4299" s="329">
        <v>0.94071384120538248</v>
      </c>
    </row>
    <row r="4300" spans="1:11" ht="11.25" x14ac:dyDescent="0.15">
      <c r="A4300" s="326">
        <v>1.175</v>
      </c>
      <c r="B4300" s="327">
        <v>100</v>
      </c>
      <c r="C4300" s="327" t="s">
        <v>116</v>
      </c>
      <c r="D4300" s="327" t="s">
        <v>113</v>
      </c>
      <c r="E4300" s="328" t="s">
        <v>3640</v>
      </c>
      <c r="F4300" s="328">
        <v>955.52985750000005</v>
      </c>
      <c r="G4300" s="328">
        <v>9219.5975500000004</v>
      </c>
      <c r="H4300" s="328">
        <v>8913.0682500000003</v>
      </c>
      <c r="I4300" s="329">
        <v>3.7934141492284648E-2</v>
      </c>
      <c r="J4300" s="329">
        <v>0.76936336374737768</v>
      </c>
      <c r="K4300" s="329">
        <v>0.92717194997716279</v>
      </c>
    </row>
    <row r="4301" spans="1:11" ht="11.25" x14ac:dyDescent="0.15">
      <c r="A4301" s="326">
        <v>1.2</v>
      </c>
      <c r="B4301" s="327">
        <v>100</v>
      </c>
      <c r="C4301" s="327" t="s">
        <v>116</v>
      </c>
      <c r="D4301" s="327" t="s">
        <v>79</v>
      </c>
      <c r="E4301" s="328" t="s">
        <v>3641</v>
      </c>
      <c r="F4301" s="328">
        <v>12423.48</v>
      </c>
      <c r="G4301" s="328">
        <v>11162.202000000001</v>
      </c>
      <c r="H4301" s="328">
        <v>9583.3031999999985</v>
      </c>
      <c r="I4301" s="329">
        <v>0.49320703528782028</v>
      </c>
      <c r="J4301" s="329">
        <v>0.93147116573951838</v>
      </c>
      <c r="K4301" s="329">
        <v>0.99689239058237689</v>
      </c>
    </row>
    <row r="4302" spans="1:11" ht="11.25" x14ac:dyDescent="0.15">
      <c r="A4302" s="326">
        <v>1.2</v>
      </c>
      <c r="B4302" s="327">
        <v>100</v>
      </c>
      <c r="C4302" s="327" t="s">
        <v>116</v>
      </c>
      <c r="D4302" s="327" t="s">
        <v>114</v>
      </c>
      <c r="E4302" s="328" t="s">
        <v>3642</v>
      </c>
      <c r="F4302" s="328">
        <v>2783.5355999999997</v>
      </c>
      <c r="G4302" s="328">
        <v>10407.412799999998</v>
      </c>
      <c r="H4302" s="328">
        <v>9450.7991999999995</v>
      </c>
      <c r="I4302" s="329">
        <v>0.11050521600180496</v>
      </c>
      <c r="J4302" s="329">
        <v>0.8684849936552288</v>
      </c>
      <c r="K4302" s="329">
        <v>0.98310881026930419</v>
      </c>
    </row>
    <row r="4303" spans="1:11" ht="11.25" x14ac:dyDescent="0.15">
      <c r="A4303" s="326">
        <v>1.2</v>
      </c>
      <c r="B4303" s="327">
        <v>100</v>
      </c>
      <c r="C4303" s="327" t="s">
        <v>116</v>
      </c>
      <c r="D4303" s="327" t="s">
        <v>113</v>
      </c>
      <c r="E4303" s="328" t="s">
        <v>3643</v>
      </c>
      <c r="F4303" s="328">
        <v>1016.5673999999999</v>
      </c>
      <c r="G4303" s="328">
        <v>9780.3768</v>
      </c>
      <c r="H4303" s="328">
        <v>9316.3955999999998</v>
      </c>
      <c r="I4303" s="329">
        <v>4.03573067710696E-2</v>
      </c>
      <c r="J4303" s="329">
        <v>0.81615965911275745</v>
      </c>
      <c r="K4303" s="329">
        <v>0.96912762619209825</v>
      </c>
    </row>
    <row r="4304" spans="1:11" ht="11.25" x14ac:dyDescent="0.15">
      <c r="A4304" s="326">
        <v>1.2250000000000001</v>
      </c>
      <c r="B4304" s="327">
        <v>100</v>
      </c>
      <c r="C4304" s="327" t="s">
        <v>116</v>
      </c>
      <c r="D4304" s="327" t="s">
        <v>79</v>
      </c>
      <c r="E4304" s="328" t="s">
        <v>3644</v>
      </c>
      <c r="F4304" s="328">
        <v>13203.197000000002</v>
      </c>
      <c r="G4304" s="328">
        <v>11899.06445</v>
      </c>
      <c r="H4304" s="328">
        <v>10005.240175000001</v>
      </c>
      <c r="I4304" s="329">
        <v>0.52416147880392971</v>
      </c>
      <c r="J4304" s="329">
        <v>0.9929613739700428</v>
      </c>
      <c r="K4304" s="329">
        <v>1.0407839122116673</v>
      </c>
    </row>
    <row r="4305" spans="1:11" ht="11.25" x14ac:dyDescent="0.15">
      <c r="A4305" s="326">
        <v>1.2250000000000001</v>
      </c>
      <c r="B4305" s="327">
        <v>100</v>
      </c>
      <c r="C4305" s="327" t="s">
        <v>116</v>
      </c>
      <c r="D4305" s="327" t="s">
        <v>114</v>
      </c>
      <c r="E4305" s="328" t="s">
        <v>3645</v>
      </c>
      <c r="F4305" s="328">
        <v>2961.9275000000002</v>
      </c>
      <c r="G4305" s="328">
        <v>11080.12745</v>
      </c>
      <c r="H4305" s="328">
        <v>9867.3847999999998</v>
      </c>
      <c r="I4305" s="329">
        <v>0.11758730090220015</v>
      </c>
      <c r="J4305" s="329">
        <v>0.92462215182935548</v>
      </c>
      <c r="K4305" s="329">
        <v>1.0264436611030119</v>
      </c>
    </row>
    <row r="4306" spans="1:11" ht="11.25" x14ac:dyDescent="0.15">
      <c r="A4306" s="326">
        <v>1.2250000000000001</v>
      </c>
      <c r="B4306" s="327">
        <v>100</v>
      </c>
      <c r="C4306" s="327" t="s">
        <v>116</v>
      </c>
      <c r="D4306" s="327" t="s">
        <v>113</v>
      </c>
      <c r="E4306" s="328" t="s">
        <v>3646</v>
      </c>
      <c r="F4306" s="328">
        <v>1080.8705425000001</v>
      </c>
      <c r="G4306" s="328">
        <v>10370.518025000003</v>
      </c>
      <c r="H4306" s="328">
        <v>9728.4244749999998</v>
      </c>
      <c r="I4306" s="329">
        <v>4.2910115023838971E-2</v>
      </c>
      <c r="J4306" s="329">
        <v>0.8654061729100978</v>
      </c>
      <c r="K4306" s="329">
        <v>1.0119884688071703</v>
      </c>
    </row>
    <row r="4307" spans="1:11" ht="11.25" x14ac:dyDescent="0.15">
      <c r="A4307" s="326">
        <v>1.25</v>
      </c>
      <c r="B4307" s="327">
        <v>100</v>
      </c>
      <c r="C4307" s="327" t="s">
        <v>116</v>
      </c>
      <c r="D4307" s="327" t="s">
        <v>79</v>
      </c>
      <c r="E4307" s="328" t="s">
        <v>3647</v>
      </c>
      <c r="F4307" s="328">
        <v>14021.1625</v>
      </c>
      <c r="G4307" s="328">
        <v>12672.625</v>
      </c>
      <c r="H4307" s="328">
        <v>10435.641250000001</v>
      </c>
      <c r="I4307" s="329">
        <v>0.5566343720047654</v>
      </c>
      <c r="J4307" s="329">
        <v>1.0575139906740412</v>
      </c>
      <c r="K4307" s="329">
        <v>1.0855559023711747</v>
      </c>
    </row>
    <row r="4308" spans="1:11" ht="11.25" x14ac:dyDescent="0.15">
      <c r="A4308" s="326">
        <v>1.25</v>
      </c>
      <c r="B4308" s="327">
        <v>100</v>
      </c>
      <c r="C4308" s="327" t="s">
        <v>116</v>
      </c>
      <c r="D4308" s="327" t="s">
        <v>114</v>
      </c>
      <c r="E4308" s="328" t="s">
        <v>3648</v>
      </c>
      <c r="F4308" s="328">
        <v>3149.7975000000001</v>
      </c>
      <c r="G4308" s="328">
        <v>11787.032500000001</v>
      </c>
      <c r="H4308" s="328">
        <v>10293.137500000001</v>
      </c>
      <c r="I4308" s="329">
        <v>0.12504566246591037</v>
      </c>
      <c r="J4308" s="329">
        <v>0.98361245419000565</v>
      </c>
      <c r="K4308" s="329">
        <v>1.0707321092552005</v>
      </c>
    </row>
    <row r="4309" spans="1:11" ht="11.25" x14ac:dyDescent="0.15">
      <c r="A4309" s="326">
        <v>1.25</v>
      </c>
      <c r="B4309" s="327">
        <v>100</v>
      </c>
      <c r="C4309" s="327" t="s">
        <v>116</v>
      </c>
      <c r="D4309" s="327" t="s">
        <v>113</v>
      </c>
      <c r="E4309" s="328" t="s">
        <v>3649</v>
      </c>
      <c r="F4309" s="328">
        <v>1148.600375</v>
      </c>
      <c r="G4309" s="328">
        <v>10992.411250000001</v>
      </c>
      <c r="H4309" s="328">
        <v>10150.039999999999</v>
      </c>
      <c r="I4309" s="329">
        <v>4.5598961457194657E-2</v>
      </c>
      <c r="J4309" s="329">
        <v>0.91730234960142243</v>
      </c>
      <c r="K4309" s="329">
        <v>1.0558465519599494</v>
      </c>
    </row>
    <row r="4310" spans="1:11" ht="11.25" x14ac:dyDescent="0.15">
      <c r="A4310" s="326">
        <v>1.2749999999999999</v>
      </c>
      <c r="B4310" s="327">
        <v>100</v>
      </c>
      <c r="C4310" s="327" t="s">
        <v>116</v>
      </c>
      <c r="D4310" s="327" t="s">
        <v>79</v>
      </c>
      <c r="E4310" s="328" t="s">
        <v>3650</v>
      </c>
      <c r="F4310" s="328">
        <v>14878.867499999998</v>
      </c>
      <c r="G4310" s="328">
        <v>13478.343749999998</v>
      </c>
      <c r="H4310" s="328">
        <v>10876.866899999997</v>
      </c>
      <c r="I4310" s="329">
        <v>0.59068490697576703</v>
      </c>
      <c r="J4310" s="329">
        <v>1.1247501671310418</v>
      </c>
      <c r="K4310" s="329">
        <v>1.1314539068311358</v>
      </c>
    </row>
    <row r="4311" spans="1:11" ht="11.25" x14ac:dyDescent="0.15">
      <c r="A4311" s="326">
        <v>1.2749999999999999</v>
      </c>
      <c r="B4311" s="327">
        <v>100</v>
      </c>
      <c r="C4311" s="327" t="s">
        <v>116</v>
      </c>
      <c r="D4311" s="327" t="s">
        <v>114</v>
      </c>
      <c r="E4311" s="328" t="s">
        <v>3651</v>
      </c>
      <c r="F4311" s="328">
        <v>3347.5902749999996</v>
      </c>
      <c r="G4311" s="328">
        <v>12528.5733</v>
      </c>
      <c r="H4311" s="328">
        <v>10727.995349999999</v>
      </c>
      <c r="I4311" s="329">
        <v>0.13289795410714944</v>
      </c>
      <c r="J4311" s="329">
        <v>1.0454930646125202</v>
      </c>
      <c r="K4311" s="329">
        <v>1.1159677104464485</v>
      </c>
    </row>
    <row r="4312" spans="1:11" ht="11.25" x14ac:dyDescent="0.15">
      <c r="A4312" s="326">
        <v>1.2749999999999999</v>
      </c>
      <c r="B4312" s="327">
        <v>100</v>
      </c>
      <c r="C4312" s="327" t="s">
        <v>116</v>
      </c>
      <c r="D4312" s="327" t="s">
        <v>113</v>
      </c>
      <c r="E4312" s="328" t="s">
        <v>3652</v>
      </c>
      <c r="F4312" s="328">
        <v>1219.9286699999998</v>
      </c>
      <c r="G4312" s="328">
        <v>11645.438175000001</v>
      </c>
      <c r="H4312" s="328">
        <v>10580.312099999999</v>
      </c>
      <c r="I4312" s="329">
        <v>4.8430665368585424E-2</v>
      </c>
      <c r="J4312" s="329">
        <v>0.97179659285996967</v>
      </c>
      <c r="K4312" s="329">
        <v>1.1006051256394194</v>
      </c>
    </row>
    <row r="4313" spans="1:11" ht="11.25" x14ac:dyDescent="0.15">
      <c r="A4313" s="326">
        <v>1.3</v>
      </c>
      <c r="B4313" s="327">
        <v>100</v>
      </c>
      <c r="C4313" s="327" t="s">
        <v>116</v>
      </c>
      <c r="D4313" s="327" t="s">
        <v>79</v>
      </c>
      <c r="E4313" s="328" t="s">
        <v>3653</v>
      </c>
      <c r="F4313" s="328">
        <v>15777.801000000001</v>
      </c>
      <c r="G4313" s="328">
        <v>14321.775</v>
      </c>
      <c r="H4313" s="328">
        <v>11326.5789</v>
      </c>
      <c r="I4313" s="329">
        <v>0.62637219640319841</v>
      </c>
      <c r="J4313" s="329">
        <v>1.1951334024154991</v>
      </c>
      <c r="K4313" s="329">
        <v>1.1782346943526645</v>
      </c>
    </row>
    <row r="4314" spans="1:11" ht="11.25" x14ac:dyDescent="0.15">
      <c r="A4314" s="326">
        <v>1.3</v>
      </c>
      <c r="B4314" s="327">
        <v>100</v>
      </c>
      <c r="C4314" s="327" t="s">
        <v>116</v>
      </c>
      <c r="D4314" s="327" t="s">
        <v>114</v>
      </c>
      <c r="E4314" s="328" t="s">
        <v>3654</v>
      </c>
      <c r="F4314" s="328">
        <v>3555.7717000000007</v>
      </c>
      <c r="G4314" s="328">
        <v>13304.889000000001</v>
      </c>
      <c r="H4314" s="328">
        <v>11172.0869</v>
      </c>
      <c r="I4314" s="329">
        <v>0.14116267087139298</v>
      </c>
      <c r="J4314" s="329">
        <v>1.1102755949825038</v>
      </c>
      <c r="K4314" s="329">
        <v>1.1621638369466447</v>
      </c>
    </row>
    <row r="4315" spans="1:11" ht="11.25" x14ac:dyDescent="0.15">
      <c r="A4315" s="326">
        <v>1.3</v>
      </c>
      <c r="B4315" s="327">
        <v>100</v>
      </c>
      <c r="C4315" s="327" t="s">
        <v>116</v>
      </c>
      <c r="D4315" s="327" t="s">
        <v>113</v>
      </c>
      <c r="E4315" s="328" t="s">
        <v>3655</v>
      </c>
      <c r="F4315" s="328">
        <v>1295.0356899999999</v>
      </c>
      <c r="G4315" s="328">
        <v>12330.229600000001</v>
      </c>
      <c r="H4315" s="328">
        <v>11019.7711</v>
      </c>
      <c r="I4315" s="329">
        <v>5.1412383104960664E-2</v>
      </c>
      <c r="J4315" s="329">
        <v>1.0289415421211616</v>
      </c>
      <c r="K4315" s="329">
        <v>1.1463193563102116</v>
      </c>
    </row>
    <row r="4316" spans="1:11" ht="11.25" x14ac:dyDescent="0.15">
      <c r="A4316" s="326">
        <v>1.325</v>
      </c>
      <c r="B4316" s="327">
        <v>100</v>
      </c>
      <c r="C4316" s="327" t="s">
        <v>116</v>
      </c>
      <c r="D4316" s="327" t="s">
        <v>79</v>
      </c>
      <c r="E4316" s="328" t="s">
        <v>3656</v>
      </c>
      <c r="F4316" s="328">
        <v>16719.525750000001</v>
      </c>
      <c r="G4316" s="328">
        <v>15199.975999999997</v>
      </c>
      <c r="H4316" s="328">
        <v>11785.837899999999</v>
      </c>
      <c r="I4316" s="329">
        <v>0.66375828081792465</v>
      </c>
      <c r="J4316" s="329">
        <v>1.2684181278866569</v>
      </c>
      <c r="K4316" s="329">
        <v>1.2260085978650224</v>
      </c>
    </row>
    <row r="4317" spans="1:11" ht="11.25" x14ac:dyDescent="0.15">
      <c r="A4317" s="326">
        <v>1.325</v>
      </c>
      <c r="B4317" s="327">
        <v>100</v>
      </c>
      <c r="C4317" s="327" t="s">
        <v>116</v>
      </c>
      <c r="D4317" s="327" t="s">
        <v>114</v>
      </c>
      <c r="E4317" s="328" t="s">
        <v>3657</v>
      </c>
      <c r="F4317" s="328">
        <v>3774.8282749999998</v>
      </c>
      <c r="G4317" s="328">
        <v>14116.9475</v>
      </c>
      <c r="H4317" s="328">
        <v>11625.135274999999</v>
      </c>
      <c r="I4317" s="329">
        <v>0.14985912660811518</v>
      </c>
      <c r="J4317" s="329">
        <v>1.178040815289723</v>
      </c>
      <c r="K4317" s="329">
        <v>1.2092916871437678</v>
      </c>
    </row>
    <row r="4318" spans="1:11" ht="11.25" x14ac:dyDescent="0.15">
      <c r="A4318" s="326">
        <v>1.325</v>
      </c>
      <c r="B4318" s="327">
        <v>100</v>
      </c>
      <c r="C4318" s="327" t="s">
        <v>116</v>
      </c>
      <c r="D4318" s="327" t="s">
        <v>113</v>
      </c>
      <c r="E4318" s="328" t="s">
        <v>3658</v>
      </c>
      <c r="F4318" s="328">
        <v>1374.1124499999996</v>
      </c>
      <c r="G4318" s="328">
        <v>13048.765625</v>
      </c>
      <c r="H4318" s="328">
        <v>11468.01015</v>
      </c>
      <c r="I4318" s="329">
        <v>5.4551697883087752E-2</v>
      </c>
      <c r="J4318" s="329">
        <v>1.088902434141624</v>
      </c>
      <c r="K4318" s="329">
        <v>1.1929469218563871</v>
      </c>
    </row>
    <row r="4319" spans="1:11" ht="11.25" x14ac:dyDescent="0.15">
      <c r="A4319" s="326">
        <v>1.35</v>
      </c>
      <c r="B4319" s="327">
        <v>100</v>
      </c>
      <c r="C4319" s="327" t="s">
        <v>116</v>
      </c>
      <c r="D4319" s="327" t="s">
        <v>79</v>
      </c>
      <c r="E4319" s="328" t="s">
        <v>3659</v>
      </c>
      <c r="F4319" s="328">
        <v>17705.654999999999</v>
      </c>
      <c r="G4319" s="328">
        <v>16114.396500000001</v>
      </c>
      <c r="H4319" s="328">
        <v>12255.000300000002</v>
      </c>
      <c r="I4319" s="329">
        <v>0.7029072055799962</v>
      </c>
      <c r="J4319" s="329">
        <v>1.3447253232869119</v>
      </c>
      <c r="K4319" s="329">
        <v>1.2748126914793585</v>
      </c>
    </row>
    <row r="4320" spans="1:11" ht="11.25" x14ac:dyDescent="0.15">
      <c r="A4320" s="326">
        <v>1.35</v>
      </c>
      <c r="B4320" s="327">
        <v>100</v>
      </c>
      <c r="C4320" s="327" t="s">
        <v>116</v>
      </c>
      <c r="D4320" s="327" t="s">
        <v>114</v>
      </c>
      <c r="E4320" s="328" t="s">
        <v>3660</v>
      </c>
      <c r="F4320" s="328">
        <v>4005.2704500000004</v>
      </c>
      <c r="G4320" s="328">
        <v>14964.291000000001</v>
      </c>
      <c r="H4320" s="328">
        <v>12087.675900000002</v>
      </c>
      <c r="I4320" s="329">
        <v>0.15900758597191883</v>
      </c>
      <c r="J4320" s="329">
        <v>1.2487505227226119</v>
      </c>
      <c r="K4320" s="329">
        <v>1.2574069580242424</v>
      </c>
    </row>
    <row r="4321" spans="1:11" ht="11.25" x14ac:dyDescent="0.15">
      <c r="A4321" s="326">
        <v>1.35</v>
      </c>
      <c r="B4321" s="327">
        <v>100</v>
      </c>
      <c r="C4321" s="327" t="s">
        <v>116</v>
      </c>
      <c r="D4321" s="327" t="s">
        <v>113</v>
      </c>
      <c r="E4321" s="328" t="s">
        <v>3661</v>
      </c>
      <c r="F4321" s="328">
        <v>1457.3601000000001</v>
      </c>
      <c r="G4321" s="328">
        <v>13800.888000000003</v>
      </c>
      <c r="H4321" s="328">
        <v>11925.736649999999</v>
      </c>
      <c r="I4321" s="329">
        <v>5.7856595275056696E-2</v>
      </c>
      <c r="J4321" s="329">
        <v>1.1516660631657205</v>
      </c>
      <c r="K4321" s="329">
        <v>1.2405614087712855</v>
      </c>
    </row>
    <row r="4322" spans="1:11" ht="11.25" x14ac:dyDescent="0.15">
      <c r="A4322" s="326">
        <v>1.375</v>
      </c>
      <c r="B4322" s="327">
        <v>100</v>
      </c>
      <c r="C4322" s="327" t="s">
        <v>116</v>
      </c>
      <c r="D4322" s="327" t="s">
        <v>79</v>
      </c>
      <c r="E4322" s="328" t="s">
        <v>3662</v>
      </c>
      <c r="F4322" s="328">
        <v>18737.826250000002</v>
      </c>
      <c r="G4322" s="328">
        <v>17066.293750000001</v>
      </c>
      <c r="H4322" s="328">
        <v>12733.69075</v>
      </c>
      <c r="I4322" s="329">
        <v>0.74388397876446832</v>
      </c>
      <c r="J4322" s="329">
        <v>1.4241599044852937</v>
      </c>
      <c r="K4322" s="329">
        <v>1.3246079298319813</v>
      </c>
    </row>
    <row r="4323" spans="1:11" ht="11.25" x14ac:dyDescent="0.15">
      <c r="A4323" s="326">
        <v>1.375</v>
      </c>
      <c r="B4323" s="327">
        <v>100</v>
      </c>
      <c r="C4323" s="327" t="s">
        <v>116</v>
      </c>
      <c r="D4323" s="327" t="s">
        <v>114</v>
      </c>
      <c r="E4323" s="328" t="s">
        <v>3663</v>
      </c>
      <c r="F4323" s="328">
        <v>4247.6362500000005</v>
      </c>
      <c r="G4323" s="328">
        <v>15848.635</v>
      </c>
      <c r="H4323" s="328">
        <v>12559.328375000001</v>
      </c>
      <c r="I4323" s="329">
        <v>0.16862940833354059</v>
      </c>
      <c r="J4323" s="329">
        <v>1.3225478735136786</v>
      </c>
      <c r="K4323" s="329">
        <v>1.3064700789037784</v>
      </c>
    </row>
    <row r="4324" spans="1:11" ht="11.25" x14ac:dyDescent="0.15">
      <c r="A4324" s="326">
        <v>1.375</v>
      </c>
      <c r="B4324" s="327">
        <v>100</v>
      </c>
      <c r="C4324" s="327" t="s">
        <v>116</v>
      </c>
      <c r="D4324" s="327" t="s">
        <v>113</v>
      </c>
      <c r="E4324" s="328" t="s">
        <v>3664</v>
      </c>
      <c r="F4324" s="328">
        <v>1544.9926249999999</v>
      </c>
      <c r="G4324" s="328">
        <v>14587.856250000001</v>
      </c>
      <c r="H4324" s="328">
        <v>12392.402000000002</v>
      </c>
      <c r="I4324" s="329">
        <v>6.1335570397167062E-2</v>
      </c>
      <c r="J4324" s="329">
        <v>1.2173375349082571</v>
      </c>
      <c r="K4324" s="329">
        <v>1.2891057495538525</v>
      </c>
    </row>
    <row r="4325" spans="1:11" ht="11.25" x14ac:dyDescent="0.15">
      <c r="A4325" s="326">
        <v>1.4</v>
      </c>
      <c r="B4325" s="327">
        <v>100</v>
      </c>
      <c r="C4325" s="327" t="s">
        <v>116</v>
      </c>
      <c r="D4325" s="327" t="s">
        <v>79</v>
      </c>
      <c r="E4325" s="328" t="s">
        <v>3665</v>
      </c>
      <c r="F4325" s="328">
        <v>19817.784</v>
      </c>
      <c r="G4325" s="328">
        <v>18053.321999999996</v>
      </c>
      <c r="H4325" s="328">
        <v>13222.708799999999</v>
      </c>
      <c r="I4325" s="329">
        <v>0.78675785630229222</v>
      </c>
      <c r="J4325" s="329">
        <v>1.5065261217106525</v>
      </c>
      <c r="K4325" s="329">
        <v>1.3754774852168543</v>
      </c>
    </row>
    <row r="4326" spans="1:11" ht="11.25" x14ac:dyDescent="0.15">
      <c r="A4326" s="326">
        <v>1.4</v>
      </c>
      <c r="B4326" s="327">
        <v>100</v>
      </c>
      <c r="C4326" s="327" t="s">
        <v>116</v>
      </c>
      <c r="D4326" s="327" t="s">
        <v>114</v>
      </c>
      <c r="E4326" s="328" t="s">
        <v>3666</v>
      </c>
      <c r="F4326" s="328">
        <v>4502.4853999999996</v>
      </c>
      <c r="G4326" s="328">
        <v>16769.452000000001</v>
      </c>
      <c r="H4326" s="328">
        <v>13040.468000000001</v>
      </c>
      <c r="I4326" s="329">
        <v>0.17874681454477293</v>
      </c>
      <c r="J4326" s="329">
        <v>1.3993888484774686</v>
      </c>
      <c r="K4326" s="329">
        <v>1.3565200899448731</v>
      </c>
    </row>
    <row r="4327" spans="1:11" ht="11.25" x14ac:dyDescent="0.15">
      <c r="A4327" s="326">
        <v>1.4</v>
      </c>
      <c r="B4327" s="327">
        <v>100</v>
      </c>
      <c r="C4327" s="327" t="s">
        <v>116</v>
      </c>
      <c r="D4327" s="327" t="s">
        <v>113</v>
      </c>
      <c r="E4327" s="328" t="s">
        <v>3667</v>
      </c>
      <c r="F4327" s="328">
        <v>1637.2369999999999</v>
      </c>
      <c r="G4327" s="328">
        <v>15408.819999999998</v>
      </c>
      <c r="H4327" s="328">
        <v>12867.882999999998</v>
      </c>
      <c r="I4327" s="329">
        <v>6.4997634063364285E-2</v>
      </c>
      <c r="J4327" s="329">
        <v>1.2858458866870894</v>
      </c>
      <c r="K4327" s="329">
        <v>1.3385671284619616</v>
      </c>
    </row>
    <row r="4328" spans="1:11" ht="11.25" x14ac:dyDescent="0.15">
      <c r="A4328" s="326">
        <v>0.9</v>
      </c>
      <c r="B4328" s="327">
        <v>105</v>
      </c>
      <c r="C4328" s="327" t="s">
        <v>116</v>
      </c>
      <c r="D4328" s="327" t="s">
        <v>79</v>
      </c>
      <c r="E4328" s="328" t="s">
        <v>3668</v>
      </c>
      <c r="F4328" s="328">
        <v>6277.8812400000006</v>
      </c>
      <c r="G4328" s="328">
        <v>4828.8222000000005</v>
      </c>
      <c r="H4328" s="328">
        <v>5245.0201799999995</v>
      </c>
      <c r="I4328" s="329">
        <v>0.2492292976098022</v>
      </c>
      <c r="J4328" s="329">
        <v>0.40295890038389071</v>
      </c>
      <c r="K4328" s="329">
        <v>0.54560735445509112</v>
      </c>
    </row>
    <row r="4329" spans="1:11" ht="11.25" x14ac:dyDescent="0.15">
      <c r="A4329" s="326">
        <v>0.9</v>
      </c>
      <c r="B4329" s="327">
        <v>105</v>
      </c>
      <c r="C4329" s="327" t="s">
        <v>116</v>
      </c>
      <c r="D4329" s="327" t="s">
        <v>114</v>
      </c>
      <c r="E4329" s="328" t="s">
        <v>3669</v>
      </c>
      <c r="F4329" s="328">
        <v>1462.8297600000001</v>
      </c>
      <c r="G4329" s="328">
        <v>4723.0549200000005</v>
      </c>
      <c r="H4329" s="328">
        <v>5160.8343599999998</v>
      </c>
      <c r="I4329" s="329">
        <v>5.8073738522571271E-2</v>
      </c>
      <c r="J4329" s="329">
        <v>0.39413275912621609</v>
      </c>
      <c r="K4329" s="329">
        <v>0.53685001874302296</v>
      </c>
    </row>
    <row r="4330" spans="1:11" ht="11.25" x14ac:dyDescent="0.15">
      <c r="A4330" s="326">
        <v>0.9</v>
      </c>
      <c r="B4330" s="327">
        <v>105</v>
      </c>
      <c r="C4330" s="327" t="s">
        <v>116</v>
      </c>
      <c r="D4330" s="327" t="s">
        <v>113</v>
      </c>
      <c r="E4330" s="328" t="s">
        <v>3670</v>
      </c>
      <c r="F4330" s="328">
        <v>553.23007200000006</v>
      </c>
      <c r="G4330" s="328">
        <v>4763.5416000000005</v>
      </c>
      <c r="H4330" s="328">
        <v>5073.1673400000009</v>
      </c>
      <c r="I4330" s="329">
        <v>2.1963005827931256E-2</v>
      </c>
      <c r="J4330" s="329">
        <v>0.39751131964828179</v>
      </c>
      <c r="K4330" s="329">
        <v>0.52773055509681044</v>
      </c>
    </row>
    <row r="4331" spans="1:11" ht="11.25" x14ac:dyDescent="0.15">
      <c r="A4331" s="326">
        <v>0.92500000000000004</v>
      </c>
      <c r="B4331" s="327">
        <v>105</v>
      </c>
      <c r="C4331" s="327" t="s">
        <v>116</v>
      </c>
      <c r="D4331" s="327" t="s">
        <v>79</v>
      </c>
      <c r="E4331" s="328" t="s">
        <v>3671</v>
      </c>
      <c r="F4331" s="328">
        <v>6743.6629200000007</v>
      </c>
      <c r="G4331" s="328">
        <v>5207.9588650000005</v>
      </c>
      <c r="H4331" s="328">
        <v>5556.5878500000008</v>
      </c>
      <c r="I4331" s="329">
        <v>0.26772063831982712</v>
      </c>
      <c r="J4331" s="329">
        <v>0.43459735947306893</v>
      </c>
      <c r="K4331" s="329">
        <v>0.57801783264746243</v>
      </c>
    </row>
    <row r="4332" spans="1:11" ht="11.25" x14ac:dyDescent="0.15">
      <c r="A4332" s="326">
        <v>0.92500000000000004</v>
      </c>
      <c r="B4332" s="327">
        <v>105</v>
      </c>
      <c r="C4332" s="327" t="s">
        <v>116</v>
      </c>
      <c r="D4332" s="327" t="s">
        <v>114</v>
      </c>
      <c r="E4332" s="328" t="s">
        <v>3672</v>
      </c>
      <c r="F4332" s="328">
        <v>1570.9226900000001</v>
      </c>
      <c r="G4332" s="328">
        <v>5061.2016949999997</v>
      </c>
      <c r="H4332" s="328">
        <v>5469.1246600000004</v>
      </c>
      <c r="I4332" s="329">
        <v>6.2364983289808301E-2</v>
      </c>
      <c r="J4332" s="329">
        <v>0.42235066547662153</v>
      </c>
      <c r="K4332" s="329">
        <v>0.568919572188891</v>
      </c>
    </row>
    <row r="4333" spans="1:11" ht="11.25" x14ac:dyDescent="0.15">
      <c r="A4333" s="326">
        <v>0.92500000000000004</v>
      </c>
      <c r="B4333" s="327">
        <v>105</v>
      </c>
      <c r="C4333" s="327" t="s">
        <v>116</v>
      </c>
      <c r="D4333" s="327" t="s">
        <v>113</v>
      </c>
      <c r="E4333" s="328" t="s">
        <v>3673</v>
      </c>
      <c r="F4333" s="328">
        <v>593.269544</v>
      </c>
      <c r="G4333" s="328">
        <v>5068.7502500000001</v>
      </c>
      <c r="H4333" s="328">
        <v>5377.8221650000005</v>
      </c>
      <c r="I4333" s="329">
        <v>2.3552556362854617E-2</v>
      </c>
      <c r="J4333" s="329">
        <v>0.42298058252394777</v>
      </c>
      <c r="K4333" s="329">
        <v>0.55942193232431014</v>
      </c>
    </row>
    <row r="4334" spans="1:11" ht="11.25" x14ac:dyDescent="0.15">
      <c r="A4334" s="326">
        <v>0.95</v>
      </c>
      <c r="B4334" s="327">
        <v>105</v>
      </c>
      <c r="C4334" s="327" t="s">
        <v>116</v>
      </c>
      <c r="D4334" s="327" t="s">
        <v>79</v>
      </c>
      <c r="E4334" s="328" t="s">
        <v>3674</v>
      </c>
      <c r="F4334" s="328">
        <v>7235.3573199999992</v>
      </c>
      <c r="G4334" s="328">
        <v>5612.6549099999993</v>
      </c>
      <c r="H4334" s="328">
        <v>5877.5405599999995</v>
      </c>
      <c r="I4334" s="329">
        <v>0.28724070333314244</v>
      </c>
      <c r="J4334" s="329">
        <v>0.46836871541218572</v>
      </c>
      <c r="K4334" s="329">
        <v>0.61140457912291479</v>
      </c>
    </row>
    <row r="4335" spans="1:11" ht="11.25" x14ac:dyDescent="0.15">
      <c r="A4335" s="326">
        <v>0.95</v>
      </c>
      <c r="B4335" s="327">
        <v>105</v>
      </c>
      <c r="C4335" s="327" t="s">
        <v>116</v>
      </c>
      <c r="D4335" s="327" t="s">
        <v>114</v>
      </c>
      <c r="E4335" s="328" t="s">
        <v>3675</v>
      </c>
      <c r="F4335" s="328">
        <v>1685.22533</v>
      </c>
      <c r="G4335" s="328">
        <v>5421.4961000000003</v>
      </c>
      <c r="H4335" s="328">
        <v>5786.3149099999991</v>
      </c>
      <c r="I4335" s="329">
        <v>6.6902750984525972E-2</v>
      </c>
      <c r="J4335" s="329">
        <v>0.45241676259928393</v>
      </c>
      <c r="K4335" s="329">
        <v>0.60191493297346066</v>
      </c>
    </row>
    <row r="4336" spans="1:11" ht="11.25" x14ac:dyDescent="0.15">
      <c r="A4336" s="326">
        <v>0.95</v>
      </c>
      <c r="B4336" s="327">
        <v>105</v>
      </c>
      <c r="C4336" s="327" t="s">
        <v>116</v>
      </c>
      <c r="D4336" s="327" t="s">
        <v>113</v>
      </c>
      <c r="E4336" s="328" t="s">
        <v>3676</v>
      </c>
      <c r="F4336" s="328">
        <v>635.55995599999994</v>
      </c>
      <c r="G4336" s="328">
        <v>5391.5460199999998</v>
      </c>
      <c r="H4336" s="328">
        <v>5691.3055999999997</v>
      </c>
      <c r="I4336" s="329">
        <v>2.5231468287985129E-2</v>
      </c>
      <c r="J4336" s="329">
        <v>0.44991746757384071</v>
      </c>
      <c r="K4336" s="329">
        <v>0.59203169582684911</v>
      </c>
    </row>
    <row r="4337" spans="1:11" ht="11.25" x14ac:dyDescent="0.15">
      <c r="A4337" s="326">
        <v>0.97499999999999998</v>
      </c>
      <c r="B4337" s="327">
        <v>105</v>
      </c>
      <c r="C4337" s="327" t="s">
        <v>116</v>
      </c>
      <c r="D4337" s="327" t="s">
        <v>79</v>
      </c>
      <c r="E4337" s="328" t="s">
        <v>3677</v>
      </c>
      <c r="F4337" s="328">
        <v>7754.0357699999995</v>
      </c>
      <c r="G4337" s="328">
        <v>6043.2956999999997</v>
      </c>
      <c r="H4337" s="328">
        <v>6207.3665550000005</v>
      </c>
      <c r="I4337" s="329">
        <v>0.30783202400916737</v>
      </c>
      <c r="J4337" s="329">
        <v>0.50430512640674463</v>
      </c>
      <c r="K4337" s="329">
        <v>0.64571435914028519</v>
      </c>
    </row>
    <row r="4338" spans="1:11" ht="11.25" x14ac:dyDescent="0.15">
      <c r="A4338" s="326">
        <v>0.97499999999999998</v>
      </c>
      <c r="B4338" s="327">
        <v>105</v>
      </c>
      <c r="C4338" s="327" t="s">
        <v>116</v>
      </c>
      <c r="D4338" s="327" t="s">
        <v>114</v>
      </c>
      <c r="E4338" s="328" t="s">
        <v>3678</v>
      </c>
      <c r="F4338" s="328">
        <v>1806.0268199999998</v>
      </c>
      <c r="G4338" s="328">
        <v>5806.1271450000004</v>
      </c>
      <c r="H4338" s="328">
        <v>6112.9695899999997</v>
      </c>
      <c r="I4338" s="329">
        <v>7.1698520345546482E-2</v>
      </c>
      <c r="J4338" s="329">
        <v>0.48451372051724306</v>
      </c>
      <c r="K4338" s="329">
        <v>0.6358948204970154</v>
      </c>
    </row>
    <row r="4339" spans="1:11" ht="11.25" x14ac:dyDescent="0.15">
      <c r="A4339" s="326">
        <v>0.97499999999999998</v>
      </c>
      <c r="B4339" s="327">
        <v>105</v>
      </c>
      <c r="C4339" s="327" t="s">
        <v>116</v>
      </c>
      <c r="D4339" s="327" t="s">
        <v>113</v>
      </c>
      <c r="E4339" s="328" t="s">
        <v>3679</v>
      </c>
      <c r="F4339" s="328">
        <v>680.20730700000001</v>
      </c>
      <c r="G4339" s="328">
        <v>5733.5378099999998</v>
      </c>
      <c r="H4339" s="328">
        <v>6014.1338400000004</v>
      </c>
      <c r="I4339" s="329">
        <v>2.7003949719932117E-2</v>
      </c>
      <c r="J4339" s="329">
        <v>0.47845623539981669</v>
      </c>
      <c r="K4339" s="329">
        <v>0.62561354221162191</v>
      </c>
    </row>
    <row r="4340" spans="1:11" ht="11.25" x14ac:dyDescent="0.15">
      <c r="A4340" s="326">
        <v>1</v>
      </c>
      <c r="B4340" s="327">
        <v>105</v>
      </c>
      <c r="C4340" s="327" t="s">
        <v>116</v>
      </c>
      <c r="D4340" s="327" t="s">
        <v>79</v>
      </c>
      <c r="E4340" s="328" t="s">
        <v>3680</v>
      </c>
      <c r="F4340" s="328">
        <v>8300.7979999999989</v>
      </c>
      <c r="G4340" s="328">
        <v>6502.0942000000005</v>
      </c>
      <c r="H4340" s="328">
        <v>6546.1442000000006</v>
      </c>
      <c r="I4340" s="329">
        <v>0.32953825917561486</v>
      </c>
      <c r="J4340" s="329">
        <v>0.54259126149322157</v>
      </c>
      <c r="K4340" s="329">
        <v>0.68095532453099916</v>
      </c>
    </row>
    <row r="4341" spans="1:11" ht="11.25" x14ac:dyDescent="0.15">
      <c r="A4341" s="326">
        <v>1</v>
      </c>
      <c r="B4341" s="327">
        <v>105</v>
      </c>
      <c r="C4341" s="327" t="s">
        <v>116</v>
      </c>
      <c r="D4341" s="327" t="s">
        <v>114</v>
      </c>
      <c r="E4341" s="328" t="s">
        <v>3681</v>
      </c>
      <c r="F4341" s="328">
        <v>1933.6358</v>
      </c>
      <c r="G4341" s="328">
        <v>6214.8824000000004</v>
      </c>
      <c r="H4341" s="328">
        <v>6448.1549999999997</v>
      </c>
      <c r="I4341" s="329">
        <v>7.6764544253654587E-2</v>
      </c>
      <c r="J4341" s="329">
        <v>0.51862381222468612</v>
      </c>
      <c r="K4341" s="329">
        <v>0.67076210766197053</v>
      </c>
    </row>
    <row r="4342" spans="1:11" ht="11.25" x14ac:dyDescent="0.15">
      <c r="A4342" s="326">
        <v>1</v>
      </c>
      <c r="B4342" s="327">
        <v>105</v>
      </c>
      <c r="C4342" s="327" t="s">
        <v>116</v>
      </c>
      <c r="D4342" s="327" t="s">
        <v>113</v>
      </c>
      <c r="E4342" s="328" t="s">
        <v>3682</v>
      </c>
      <c r="F4342" s="328">
        <v>727.32296000000008</v>
      </c>
      <c r="G4342" s="328">
        <v>6095.2492000000002</v>
      </c>
      <c r="H4342" s="328">
        <v>6345.8143999999993</v>
      </c>
      <c r="I4342" s="329">
        <v>2.8874421723893946E-2</v>
      </c>
      <c r="J4342" s="329">
        <v>0.5086405780684552</v>
      </c>
      <c r="K4342" s="329">
        <v>0.66011624127764967</v>
      </c>
    </row>
    <row r="4343" spans="1:11" ht="11.25" x14ac:dyDescent="0.15">
      <c r="A4343" s="326">
        <v>1.0249999999999999</v>
      </c>
      <c r="B4343" s="327">
        <v>105</v>
      </c>
      <c r="C4343" s="327" t="s">
        <v>116</v>
      </c>
      <c r="D4343" s="327" t="s">
        <v>79</v>
      </c>
      <c r="E4343" s="328" t="s">
        <v>3683</v>
      </c>
      <c r="F4343" s="328">
        <v>8876.7759299999998</v>
      </c>
      <c r="G4343" s="328">
        <v>6989.3056699999997</v>
      </c>
      <c r="H4343" s="328">
        <v>6894.325069999998</v>
      </c>
      <c r="I4343" s="329">
        <v>0.35240434558993006</v>
      </c>
      <c r="J4343" s="329">
        <v>0.58324842178494207</v>
      </c>
      <c r="K4343" s="329">
        <v>0.71717444987906798</v>
      </c>
    </row>
    <row r="4344" spans="1:11" ht="11.25" x14ac:dyDescent="0.15">
      <c r="A4344" s="326">
        <v>1.0249999999999999</v>
      </c>
      <c r="B4344" s="327">
        <v>105</v>
      </c>
      <c r="C4344" s="327" t="s">
        <v>116</v>
      </c>
      <c r="D4344" s="327" t="s">
        <v>114</v>
      </c>
      <c r="E4344" s="328" t="s">
        <v>3684</v>
      </c>
      <c r="F4344" s="328">
        <v>2068.367385</v>
      </c>
      <c r="G4344" s="328">
        <v>6650.4216049999995</v>
      </c>
      <c r="H4344" s="328">
        <v>6792.3527399999984</v>
      </c>
      <c r="I4344" s="329">
        <v>8.2113332644466089E-2</v>
      </c>
      <c r="J4344" s="329">
        <v>0.55496898954781748</v>
      </c>
      <c r="K4344" s="329">
        <v>0.70656689236936143</v>
      </c>
    </row>
    <row r="4345" spans="1:11" ht="11.25" x14ac:dyDescent="0.15">
      <c r="A4345" s="326">
        <v>1.0249999999999999</v>
      </c>
      <c r="B4345" s="327">
        <v>105</v>
      </c>
      <c r="C4345" s="327" t="s">
        <v>116</v>
      </c>
      <c r="D4345" s="327" t="s">
        <v>113</v>
      </c>
      <c r="E4345" s="328" t="s">
        <v>3685</v>
      </c>
      <c r="F4345" s="328">
        <v>777.02215999999999</v>
      </c>
      <c r="G4345" s="328">
        <v>6478.7556299999997</v>
      </c>
      <c r="H4345" s="328">
        <v>6686.5696649999991</v>
      </c>
      <c r="I4345" s="329">
        <v>3.0847459478868914E-2</v>
      </c>
      <c r="J4345" s="329">
        <v>0.54064368833475396</v>
      </c>
      <c r="K4345" s="329">
        <v>0.69556292637568362</v>
      </c>
    </row>
    <row r="4346" spans="1:11" ht="11.25" x14ac:dyDescent="0.15">
      <c r="A4346" s="326">
        <v>1.05</v>
      </c>
      <c r="B4346" s="327">
        <v>105</v>
      </c>
      <c r="C4346" s="327" t="s">
        <v>116</v>
      </c>
      <c r="D4346" s="327" t="s">
        <v>79</v>
      </c>
      <c r="E4346" s="328" t="s">
        <v>3686</v>
      </c>
      <c r="F4346" s="328">
        <v>9483.1409400000011</v>
      </c>
      <c r="G4346" s="328">
        <v>7505.3974800000005</v>
      </c>
      <c r="H4346" s="328">
        <v>7251.4478400000007</v>
      </c>
      <c r="I4346" s="329">
        <v>0.37647678655529321</v>
      </c>
      <c r="J4346" s="329">
        <v>0.62631560869746339</v>
      </c>
      <c r="K4346" s="329">
        <v>0.75432374636764232</v>
      </c>
    </row>
    <row r="4347" spans="1:11" ht="11.25" x14ac:dyDescent="0.15">
      <c r="A4347" s="326">
        <v>1.05</v>
      </c>
      <c r="B4347" s="327">
        <v>105</v>
      </c>
      <c r="C4347" s="327" t="s">
        <v>116</v>
      </c>
      <c r="D4347" s="327" t="s">
        <v>114</v>
      </c>
      <c r="E4347" s="328" t="s">
        <v>3687</v>
      </c>
      <c r="F4347" s="328">
        <v>2210.55429</v>
      </c>
      <c r="G4347" s="328">
        <v>7112.7359100000003</v>
      </c>
      <c r="H4347" s="328">
        <v>7145.8415700000005</v>
      </c>
      <c r="I4347" s="329">
        <v>8.775809416634249E-2</v>
      </c>
      <c r="J4347" s="329">
        <v>0.59354851396570618</v>
      </c>
      <c r="K4347" s="329">
        <v>0.74333817231622468</v>
      </c>
    </row>
    <row r="4348" spans="1:11" ht="11.25" x14ac:dyDescent="0.15">
      <c r="A4348" s="326">
        <v>1.05</v>
      </c>
      <c r="B4348" s="327">
        <v>105</v>
      </c>
      <c r="C4348" s="327" t="s">
        <v>116</v>
      </c>
      <c r="D4348" s="327" t="s">
        <v>113</v>
      </c>
      <c r="E4348" s="328" t="s">
        <v>3688</v>
      </c>
      <c r="F4348" s="328">
        <v>829.42704600000002</v>
      </c>
      <c r="G4348" s="328">
        <v>6884.1662400000005</v>
      </c>
      <c r="H4348" s="328">
        <v>7035.96558</v>
      </c>
      <c r="I4348" s="329">
        <v>3.2927911852813754E-2</v>
      </c>
      <c r="J4348" s="329">
        <v>0.57447467378904604</v>
      </c>
      <c r="K4348" s="329">
        <v>0.73190844542010536</v>
      </c>
    </row>
    <row r="4349" spans="1:11" ht="11.25" x14ac:dyDescent="0.15">
      <c r="A4349" s="326">
        <v>1.075</v>
      </c>
      <c r="B4349" s="327">
        <v>105</v>
      </c>
      <c r="C4349" s="327" t="s">
        <v>116</v>
      </c>
      <c r="D4349" s="327" t="s">
        <v>79</v>
      </c>
      <c r="E4349" s="328" t="s">
        <v>3689</v>
      </c>
      <c r="F4349" s="328">
        <v>10121.09662</v>
      </c>
      <c r="G4349" s="328">
        <v>8051.8271849999992</v>
      </c>
      <c r="H4349" s="328">
        <v>7617.749065</v>
      </c>
      <c r="I4349" s="329">
        <v>0.4018033640986084</v>
      </c>
      <c r="J4349" s="329">
        <v>0.67191445329022836</v>
      </c>
      <c r="K4349" s="329">
        <v>0.79242782136586454</v>
      </c>
    </row>
    <row r="4350" spans="1:11" ht="11.25" x14ac:dyDescent="0.15">
      <c r="A4350" s="326">
        <v>1.075</v>
      </c>
      <c r="B4350" s="327">
        <v>105</v>
      </c>
      <c r="C4350" s="327" t="s">
        <v>116</v>
      </c>
      <c r="D4350" s="327" t="s">
        <v>114</v>
      </c>
      <c r="E4350" s="328" t="s">
        <v>3690</v>
      </c>
      <c r="F4350" s="328">
        <v>2360.541545</v>
      </c>
      <c r="G4350" s="328">
        <v>7603.6611899999998</v>
      </c>
      <c r="H4350" s="328">
        <v>7508.1246499999997</v>
      </c>
      <c r="I4350" s="329">
        <v>9.3712526368069246E-2</v>
      </c>
      <c r="J4350" s="329">
        <v>0.63451558684725762</v>
      </c>
      <c r="K4350" s="329">
        <v>0.78102426427757943</v>
      </c>
    </row>
    <row r="4351" spans="1:11" ht="11.25" x14ac:dyDescent="0.15">
      <c r="A4351" s="326">
        <v>1.075</v>
      </c>
      <c r="B4351" s="327">
        <v>105</v>
      </c>
      <c r="C4351" s="327" t="s">
        <v>116</v>
      </c>
      <c r="D4351" s="327" t="s">
        <v>113</v>
      </c>
      <c r="E4351" s="328" t="s">
        <v>3691</v>
      </c>
      <c r="F4351" s="328">
        <v>884.6647569999999</v>
      </c>
      <c r="G4351" s="328">
        <v>7313.2684300000001</v>
      </c>
      <c r="H4351" s="328">
        <v>7394.3438550000001</v>
      </c>
      <c r="I4351" s="329">
        <v>3.5120826211624274E-2</v>
      </c>
      <c r="J4351" s="329">
        <v>0.61028269062485307</v>
      </c>
      <c r="K4351" s="329">
        <v>0.76918834441125261</v>
      </c>
    </row>
    <row r="4352" spans="1:11" ht="11.25" x14ac:dyDescent="0.15">
      <c r="A4352" s="326">
        <v>1.1000000000000001</v>
      </c>
      <c r="B4352" s="327">
        <v>105</v>
      </c>
      <c r="C4352" s="327" t="s">
        <v>116</v>
      </c>
      <c r="D4352" s="327" t="s">
        <v>79</v>
      </c>
      <c r="E4352" s="328" t="s">
        <v>3692</v>
      </c>
      <c r="F4352" s="328">
        <v>10791.883080000001</v>
      </c>
      <c r="G4352" s="328">
        <v>8629.3713000000007</v>
      </c>
      <c r="H4352" s="328">
        <v>7993.1524200000013</v>
      </c>
      <c r="I4352" s="329">
        <v>0.42843331007572694</v>
      </c>
      <c r="J4352" s="329">
        <v>0.72010975472493177</v>
      </c>
      <c r="K4352" s="329">
        <v>0.83147873525102634</v>
      </c>
    </row>
    <row r="4353" spans="1:11" ht="11.25" x14ac:dyDescent="0.15">
      <c r="A4353" s="326">
        <v>1.1000000000000001</v>
      </c>
      <c r="B4353" s="327">
        <v>105</v>
      </c>
      <c r="C4353" s="327" t="s">
        <v>116</v>
      </c>
      <c r="D4353" s="327" t="s">
        <v>114</v>
      </c>
      <c r="E4353" s="328" t="s">
        <v>3693</v>
      </c>
      <c r="F4353" s="328">
        <v>2518.6913399999999</v>
      </c>
      <c r="G4353" s="328">
        <v>8123.7448600000007</v>
      </c>
      <c r="H4353" s="328">
        <v>7879.7631000000001</v>
      </c>
      <c r="I4353" s="329">
        <v>9.9991008043358823E-2</v>
      </c>
      <c r="J4353" s="329">
        <v>0.67791588925864454</v>
      </c>
      <c r="K4353" s="329">
        <v>0.81968353813346972</v>
      </c>
    </row>
    <row r="4354" spans="1:11" ht="11.25" x14ac:dyDescent="0.15">
      <c r="A4354" s="326">
        <v>1.1000000000000001</v>
      </c>
      <c r="B4354" s="327">
        <v>105</v>
      </c>
      <c r="C4354" s="327" t="s">
        <v>116</v>
      </c>
      <c r="D4354" s="327" t="s">
        <v>113</v>
      </c>
      <c r="E4354" s="328" t="s">
        <v>3694</v>
      </c>
      <c r="F4354" s="328">
        <v>942.86799199999996</v>
      </c>
      <c r="G4354" s="328">
        <v>7768.6679400000012</v>
      </c>
      <c r="H4354" s="328">
        <v>7762.0006200000007</v>
      </c>
      <c r="I4354" s="329">
        <v>3.7431470650904602E-2</v>
      </c>
      <c r="J4354" s="329">
        <v>0.64828518443896854</v>
      </c>
      <c r="K4354" s="329">
        <v>0.80743342794097273</v>
      </c>
    </row>
    <row r="4355" spans="1:11" ht="11.25" x14ac:dyDescent="0.15">
      <c r="A4355" s="326">
        <v>1.125</v>
      </c>
      <c r="B4355" s="327">
        <v>105</v>
      </c>
      <c r="C4355" s="327" t="s">
        <v>116</v>
      </c>
      <c r="D4355" s="327" t="s">
        <v>79</v>
      </c>
      <c r="E4355" s="328" t="s">
        <v>3695</v>
      </c>
      <c r="F4355" s="328">
        <v>11496.777749999999</v>
      </c>
      <c r="G4355" s="328">
        <v>9238.6959750000005</v>
      </c>
      <c r="H4355" s="328">
        <v>8377.8959250000007</v>
      </c>
      <c r="I4355" s="329">
        <v>0.45641733793111733</v>
      </c>
      <c r="J4355" s="329">
        <v>0.77095710234828629</v>
      </c>
      <c r="K4355" s="329">
        <v>0.87150124778725624</v>
      </c>
    </row>
    <row r="4356" spans="1:11" ht="11.25" x14ac:dyDescent="0.15">
      <c r="A4356" s="326">
        <v>1.125</v>
      </c>
      <c r="B4356" s="327">
        <v>105</v>
      </c>
      <c r="C4356" s="327" t="s">
        <v>116</v>
      </c>
      <c r="D4356" s="327" t="s">
        <v>114</v>
      </c>
      <c r="E4356" s="328" t="s">
        <v>3696</v>
      </c>
      <c r="F4356" s="328">
        <v>2685.3777</v>
      </c>
      <c r="G4356" s="328">
        <v>8673.9653249999992</v>
      </c>
      <c r="H4356" s="328">
        <v>8260.2481500000013</v>
      </c>
      <c r="I4356" s="329">
        <v>0.10660838783054553</v>
      </c>
      <c r="J4356" s="329">
        <v>0.72383106781815176</v>
      </c>
      <c r="K4356" s="329">
        <v>0.85926306965401644</v>
      </c>
    </row>
    <row r="4357" spans="1:11" ht="11.25" x14ac:dyDescent="0.15">
      <c r="A4357" s="326">
        <v>1.125</v>
      </c>
      <c r="B4357" s="327">
        <v>105</v>
      </c>
      <c r="C4357" s="327" t="s">
        <v>116</v>
      </c>
      <c r="D4357" s="327" t="s">
        <v>113</v>
      </c>
      <c r="E4357" s="328" t="s">
        <v>3697</v>
      </c>
      <c r="F4357" s="328">
        <v>1004.1776550000001</v>
      </c>
      <c r="G4357" s="328">
        <v>8249.7888000000003</v>
      </c>
      <c r="H4357" s="328">
        <v>8138.4513750000006</v>
      </c>
      <c r="I4357" s="329">
        <v>3.9865439001376887E-2</v>
      </c>
      <c r="J4357" s="329">
        <v>0.6884340912877962</v>
      </c>
      <c r="K4357" s="329">
        <v>0.84659329643897563</v>
      </c>
    </row>
    <row r="4358" spans="1:11" ht="11.25" x14ac:dyDescent="0.15">
      <c r="A4358" s="326">
        <v>1.1499999999999999</v>
      </c>
      <c r="B4358" s="327">
        <v>105</v>
      </c>
      <c r="C4358" s="327" t="s">
        <v>116</v>
      </c>
      <c r="D4358" s="327" t="s">
        <v>79</v>
      </c>
      <c r="E4358" s="328" t="s">
        <v>3698</v>
      </c>
      <c r="F4358" s="328">
        <v>12237.099399999997</v>
      </c>
      <c r="G4358" s="328">
        <v>9879.8172099999992</v>
      </c>
      <c r="H4358" s="328">
        <v>8772.1326099999987</v>
      </c>
      <c r="I4358" s="329">
        <v>0.48580780229020881</v>
      </c>
      <c r="J4358" s="329">
        <v>0.82445783133937678</v>
      </c>
      <c r="K4358" s="329">
        <v>0.91251127774904639</v>
      </c>
    </row>
    <row r="4359" spans="1:11" ht="11.25" x14ac:dyDescent="0.15">
      <c r="A4359" s="326">
        <v>1.1499999999999999</v>
      </c>
      <c r="B4359" s="327">
        <v>105</v>
      </c>
      <c r="C4359" s="327" t="s">
        <v>116</v>
      </c>
      <c r="D4359" s="327" t="s">
        <v>114</v>
      </c>
      <c r="E4359" s="328" t="s">
        <v>3699</v>
      </c>
      <c r="F4359" s="328">
        <v>2860.9948399999998</v>
      </c>
      <c r="G4359" s="328">
        <v>9255.0592399999987</v>
      </c>
      <c r="H4359" s="328">
        <v>8649.5518100000008</v>
      </c>
      <c r="I4359" s="329">
        <v>0.11358031590264175</v>
      </c>
      <c r="J4359" s="329">
        <v>0.77232259542257875</v>
      </c>
      <c r="K4359" s="329">
        <v>0.89975994721079333</v>
      </c>
    </row>
    <row r="4360" spans="1:11" ht="11.25" x14ac:dyDescent="0.15">
      <c r="A4360" s="326">
        <v>1.1499999999999999</v>
      </c>
      <c r="B4360" s="327">
        <v>105</v>
      </c>
      <c r="C4360" s="327" t="s">
        <v>116</v>
      </c>
      <c r="D4360" s="327" t="s">
        <v>113</v>
      </c>
      <c r="E4360" s="328" t="s">
        <v>3700</v>
      </c>
      <c r="F4360" s="328">
        <v>1068.739482</v>
      </c>
      <c r="G4360" s="328">
        <v>8757.8180999999986</v>
      </c>
      <c r="H4360" s="328">
        <v>8523.6028899999983</v>
      </c>
      <c r="I4360" s="329">
        <v>4.242851692217163E-2</v>
      </c>
      <c r="J4360" s="329">
        <v>0.73082847228007985</v>
      </c>
      <c r="K4360" s="329">
        <v>0.88665825175884616</v>
      </c>
    </row>
    <row r="4361" spans="1:11" ht="11.25" x14ac:dyDescent="0.15">
      <c r="A4361" s="326">
        <v>1.175</v>
      </c>
      <c r="B4361" s="327">
        <v>105</v>
      </c>
      <c r="C4361" s="327" t="s">
        <v>116</v>
      </c>
      <c r="D4361" s="327" t="s">
        <v>79</v>
      </c>
      <c r="E4361" s="328" t="s">
        <v>3701</v>
      </c>
      <c r="F4361" s="328">
        <v>13014.20177</v>
      </c>
      <c r="G4361" s="328">
        <v>10555.338725</v>
      </c>
      <c r="H4361" s="328">
        <v>9174.641345</v>
      </c>
      <c r="I4361" s="329">
        <v>0.51665844607301681</v>
      </c>
      <c r="J4361" s="329">
        <v>0.88082921872863706</v>
      </c>
      <c r="K4361" s="329">
        <v>0.95438179845472959</v>
      </c>
    </row>
    <row r="4362" spans="1:11" ht="11.25" x14ac:dyDescent="0.15">
      <c r="A4362" s="326">
        <v>1.175</v>
      </c>
      <c r="B4362" s="327">
        <v>105</v>
      </c>
      <c r="C4362" s="327" t="s">
        <v>116</v>
      </c>
      <c r="D4362" s="327" t="s">
        <v>114</v>
      </c>
      <c r="E4362" s="328" t="s">
        <v>3702</v>
      </c>
      <c r="F4362" s="328">
        <v>3045.95156</v>
      </c>
      <c r="G4362" s="328">
        <v>9868.0598399999999</v>
      </c>
      <c r="H4362" s="328">
        <v>9047.9777550000017</v>
      </c>
      <c r="I4362" s="329">
        <v>0.12092302145114826</v>
      </c>
      <c r="J4362" s="329">
        <v>0.82347669418203717</v>
      </c>
      <c r="K4362" s="329">
        <v>0.94120576025582914</v>
      </c>
    </row>
    <row r="4363" spans="1:11" ht="11.25" x14ac:dyDescent="0.15">
      <c r="A4363" s="326">
        <v>1.175</v>
      </c>
      <c r="B4363" s="327">
        <v>105</v>
      </c>
      <c r="C4363" s="327" t="s">
        <v>116</v>
      </c>
      <c r="D4363" s="327" t="s">
        <v>113</v>
      </c>
      <c r="E4363" s="328" t="s">
        <v>3703</v>
      </c>
      <c r="F4363" s="328">
        <v>1136.7083010000001</v>
      </c>
      <c r="G4363" s="328">
        <v>9294.7202350000007</v>
      </c>
      <c r="H4363" s="328">
        <v>8918.0483700000004</v>
      </c>
      <c r="I4363" s="329">
        <v>4.512685102107182E-2</v>
      </c>
      <c r="J4363" s="329">
        <v>0.77563225361072485</v>
      </c>
      <c r="K4363" s="329">
        <v>0.92769000138684654</v>
      </c>
    </row>
    <row r="4364" spans="1:11" ht="11.25" x14ac:dyDescent="0.15">
      <c r="A4364" s="326">
        <v>1.2</v>
      </c>
      <c r="B4364" s="327">
        <v>105</v>
      </c>
      <c r="C4364" s="327" t="s">
        <v>116</v>
      </c>
      <c r="D4364" s="327" t="s">
        <v>79</v>
      </c>
      <c r="E4364" s="328" t="s">
        <v>3704</v>
      </c>
      <c r="F4364" s="328">
        <v>13829.4768</v>
      </c>
      <c r="G4364" s="328">
        <v>11262.956400000001</v>
      </c>
      <c r="H4364" s="328">
        <v>9587.1935999999987</v>
      </c>
      <c r="I4364" s="329">
        <v>0.54902452872381113</v>
      </c>
      <c r="J4364" s="329">
        <v>0.93987898871399822</v>
      </c>
      <c r="K4364" s="329">
        <v>0.99729708508858028</v>
      </c>
    </row>
    <row r="4365" spans="1:11" ht="11.25" x14ac:dyDescent="0.15">
      <c r="A4365" s="326">
        <v>1.2</v>
      </c>
      <c r="B4365" s="327">
        <v>105</v>
      </c>
      <c r="C4365" s="327" t="s">
        <v>116</v>
      </c>
      <c r="D4365" s="327" t="s">
        <v>114</v>
      </c>
      <c r="E4365" s="328" t="s">
        <v>3705</v>
      </c>
      <c r="F4365" s="328">
        <v>3240.6763199999996</v>
      </c>
      <c r="G4365" s="328">
        <v>10514.243039999998</v>
      </c>
      <c r="H4365" s="328">
        <v>9455.5557599999993</v>
      </c>
      <c r="I4365" s="329">
        <v>0.12865351416146228</v>
      </c>
      <c r="J4365" s="329">
        <v>0.87739983753540873</v>
      </c>
      <c r="K4365" s="329">
        <v>0.98360360610017683</v>
      </c>
    </row>
    <row r="4366" spans="1:11" ht="11.25" x14ac:dyDescent="0.15">
      <c r="A4366" s="326">
        <v>1.2</v>
      </c>
      <c r="B4366" s="327">
        <v>105</v>
      </c>
      <c r="C4366" s="327" t="s">
        <v>116</v>
      </c>
      <c r="D4366" s="327" t="s">
        <v>113</v>
      </c>
      <c r="E4366" s="328" t="s">
        <v>3706</v>
      </c>
      <c r="F4366" s="328">
        <v>1208.24568</v>
      </c>
      <c r="G4366" s="328">
        <v>9860.9068800000005</v>
      </c>
      <c r="H4366" s="328">
        <v>9321.4579200000007</v>
      </c>
      <c r="I4366" s="329">
        <v>4.7966855481082309E-2</v>
      </c>
      <c r="J4366" s="329">
        <v>0.82287978902034176</v>
      </c>
      <c r="K4366" s="329">
        <v>0.96965422836479098</v>
      </c>
    </row>
    <row r="4367" spans="1:11" ht="11.25" x14ac:dyDescent="0.15">
      <c r="A4367" s="326">
        <v>1.2250000000000001</v>
      </c>
      <c r="B4367" s="327">
        <v>105</v>
      </c>
      <c r="C4367" s="327" t="s">
        <v>116</v>
      </c>
      <c r="D4367" s="327" t="s">
        <v>79</v>
      </c>
      <c r="E4367" s="328" t="s">
        <v>3707</v>
      </c>
      <c r="F4367" s="328">
        <v>14684.378800000002</v>
      </c>
      <c r="G4367" s="328">
        <v>12004.76921</v>
      </c>
      <c r="H4367" s="328">
        <v>10009.104560000002</v>
      </c>
      <c r="I4367" s="329">
        <v>0.58296378575015384</v>
      </c>
      <c r="J4367" s="329">
        <v>1.0017822980154432</v>
      </c>
      <c r="K4367" s="329">
        <v>1.0411859005366095</v>
      </c>
    </row>
    <row r="4368" spans="1:11" ht="11.25" x14ac:dyDescent="0.15">
      <c r="A4368" s="326">
        <v>1.2250000000000001</v>
      </c>
      <c r="B4368" s="327">
        <v>105</v>
      </c>
      <c r="C4368" s="327" t="s">
        <v>116</v>
      </c>
      <c r="D4368" s="327" t="s">
        <v>114</v>
      </c>
      <c r="E4368" s="328" t="s">
        <v>3708</v>
      </c>
      <c r="F4368" s="328">
        <v>3445.6165450000003</v>
      </c>
      <c r="G4368" s="328">
        <v>11193.426475</v>
      </c>
      <c r="H4368" s="328">
        <v>9872.274265</v>
      </c>
      <c r="I4368" s="329">
        <v>0.1367895566216642</v>
      </c>
      <c r="J4368" s="329">
        <v>0.9340768073618303</v>
      </c>
      <c r="K4368" s="329">
        <v>1.0269522822277739</v>
      </c>
    </row>
    <row r="4369" spans="1:11" ht="11.25" x14ac:dyDescent="0.15">
      <c r="A4369" s="326">
        <v>1.2250000000000001</v>
      </c>
      <c r="B4369" s="327">
        <v>105</v>
      </c>
      <c r="C4369" s="327" t="s">
        <v>116</v>
      </c>
      <c r="D4369" s="327" t="s">
        <v>113</v>
      </c>
      <c r="E4369" s="328" t="s">
        <v>3709</v>
      </c>
      <c r="F4369" s="328">
        <v>1283.5219740000002</v>
      </c>
      <c r="G4369" s="328">
        <v>10456.764395000002</v>
      </c>
      <c r="H4369" s="328">
        <v>9733.6113700000005</v>
      </c>
      <c r="I4369" s="329">
        <v>5.0955293325486171E-2</v>
      </c>
      <c r="J4369" s="329">
        <v>0.87260331974588345</v>
      </c>
      <c r="K4369" s="329">
        <v>1.0125280297548247</v>
      </c>
    </row>
    <row r="4370" spans="1:11" ht="11.25" x14ac:dyDescent="0.15">
      <c r="A4370" s="326">
        <v>1.25</v>
      </c>
      <c r="B4370" s="327">
        <v>105</v>
      </c>
      <c r="C4370" s="327" t="s">
        <v>116</v>
      </c>
      <c r="D4370" s="327" t="s">
        <v>79</v>
      </c>
      <c r="E4370" s="328" t="s">
        <v>3710</v>
      </c>
      <c r="F4370" s="328">
        <v>15580.369999999999</v>
      </c>
      <c r="G4370" s="328">
        <v>12782.737500000001</v>
      </c>
      <c r="H4370" s="328">
        <v>10439.784000000001</v>
      </c>
      <c r="I4370" s="329">
        <v>0.61853426708034276</v>
      </c>
      <c r="J4370" s="329">
        <v>1.0667027348606715</v>
      </c>
      <c r="K4370" s="329">
        <v>1.08598684730372</v>
      </c>
    </row>
    <row r="4371" spans="1:11" ht="11.25" x14ac:dyDescent="0.15">
      <c r="A4371" s="326">
        <v>1.25</v>
      </c>
      <c r="B4371" s="327">
        <v>105</v>
      </c>
      <c r="C4371" s="327" t="s">
        <v>116</v>
      </c>
      <c r="D4371" s="327" t="s">
        <v>114</v>
      </c>
      <c r="E4371" s="328" t="s">
        <v>3711</v>
      </c>
      <c r="F4371" s="328">
        <v>3661.239</v>
      </c>
      <c r="G4371" s="328">
        <v>11906.752250000001</v>
      </c>
      <c r="H4371" s="328">
        <v>10298.11325</v>
      </c>
      <c r="I4371" s="329">
        <v>0.14534967920986261</v>
      </c>
      <c r="J4371" s="329">
        <v>0.99360291083059893</v>
      </c>
      <c r="K4371" s="329">
        <v>1.0712497060805248</v>
      </c>
    </row>
    <row r="4372" spans="1:11" ht="11.25" x14ac:dyDescent="0.15">
      <c r="A4372" s="326">
        <v>1.25</v>
      </c>
      <c r="B4372" s="327">
        <v>105</v>
      </c>
      <c r="C4372" s="327" t="s">
        <v>116</v>
      </c>
      <c r="D4372" s="327" t="s">
        <v>113</v>
      </c>
      <c r="E4372" s="328" t="s">
        <v>3712</v>
      </c>
      <c r="F4372" s="328">
        <v>1362.7157999999999</v>
      </c>
      <c r="G4372" s="328">
        <v>11084.294250000001</v>
      </c>
      <c r="H4372" s="328">
        <v>10155.23675</v>
      </c>
      <c r="I4372" s="329">
        <v>5.4099255575560973E-2</v>
      </c>
      <c r="J4372" s="329">
        <v>0.92496986584254082</v>
      </c>
      <c r="K4372" s="329">
        <v>1.0563871380629499</v>
      </c>
    </row>
    <row r="4373" spans="1:11" ht="11.25" x14ac:dyDescent="0.15">
      <c r="A4373" s="326">
        <v>1.2749999999999999</v>
      </c>
      <c r="B4373" s="327">
        <v>105</v>
      </c>
      <c r="C4373" s="327" t="s">
        <v>116</v>
      </c>
      <c r="D4373" s="327" t="s">
        <v>79</v>
      </c>
      <c r="E4373" s="328" t="s">
        <v>3713</v>
      </c>
      <c r="F4373" s="328">
        <v>16519.004549999998</v>
      </c>
      <c r="G4373" s="328">
        <v>13593.978599999999</v>
      </c>
      <c r="H4373" s="328">
        <v>10880.727854999997</v>
      </c>
      <c r="I4373" s="329">
        <v>0.65579767182878823</v>
      </c>
      <c r="J4373" s="329">
        <v>1.1343997442063907</v>
      </c>
      <c r="K4373" s="329">
        <v>1.1318555383541666</v>
      </c>
    </row>
    <row r="4374" spans="1:11" ht="11.25" x14ac:dyDescent="0.15">
      <c r="A4374" s="326">
        <v>1.2749999999999999</v>
      </c>
      <c r="B4374" s="327">
        <v>105</v>
      </c>
      <c r="C4374" s="327" t="s">
        <v>116</v>
      </c>
      <c r="D4374" s="327" t="s">
        <v>114</v>
      </c>
      <c r="E4374" s="328" t="s">
        <v>3714</v>
      </c>
      <c r="F4374" s="328">
        <v>3888.0314099999996</v>
      </c>
      <c r="G4374" s="328">
        <v>12654.70854</v>
      </c>
      <c r="H4374" s="328">
        <v>10733.085659999999</v>
      </c>
      <c r="I4374" s="329">
        <v>0.15435324440752701</v>
      </c>
      <c r="J4374" s="329">
        <v>1.0560188855073251</v>
      </c>
      <c r="K4374" s="329">
        <v>1.1164972242475673</v>
      </c>
    </row>
    <row r="4375" spans="1:11" ht="11.25" x14ac:dyDescent="0.15">
      <c r="A4375" s="326">
        <v>1.2749999999999999</v>
      </c>
      <c r="B4375" s="327">
        <v>105</v>
      </c>
      <c r="C4375" s="327" t="s">
        <v>116</v>
      </c>
      <c r="D4375" s="327" t="s">
        <v>113</v>
      </c>
      <c r="E4375" s="328" t="s">
        <v>3715</v>
      </c>
      <c r="F4375" s="328">
        <v>1446.0160559999997</v>
      </c>
      <c r="G4375" s="328">
        <v>11743.221240000001</v>
      </c>
      <c r="H4375" s="328">
        <v>10585.677555</v>
      </c>
      <c r="I4375" s="329">
        <v>5.7406241404046744E-2</v>
      </c>
      <c r="J4375" s="329">
        <v>0.97995646181281004</v>
      </c>
      <c r="K4375" s="329">
        <v>1.101163261091245</v>
      </c>
    </row>
    <row r="4376" spans="1:11" ht="11.25" x14ac:dyDescent="0.15">
      <c r="A4376" s="326">
        <v>1.3</v>
      </c>
      <c r="B4376" s="327">
        <v>105</v>
      </c>
      <c r="C4376" s="327" t="s">
        <v>116</v>
      </c>
      <c r="D4376" s="327" t="s">
        <v>79</v>
      </c>
      <c r="E4376" s="328" t="s">
        <v>3716</v>
      </c>
      <c r="F4376" s="328">
        <v>17501.835000000003</v>
      </c>
      <c r="G4376" s="328">
        <v>14441.9704</v>
      </c>
      <c r="H4376" s="328">
        <v>11330.693660000001</v>
      </c>
      <c r="I4376" s="329">
        <v>0.69481563559056003</v>
      </c>
      <c r="J4376" s="329">
        <v>1.2051635514268257</v>
      </c>
      <c r="K4376" s="329">
        <v>1.1786627276567838</v>
      </c>
    </row>
    <row r="4377" spans="1:11" ht="11.25" x14ac:dyDescent="0.15">
      <c r="A4377" s="326">
        <v>1.3</v>
      </c>
      <c r="B4377" s="327">
        <v>105</v>
      </c>
      <c r="C4377" s="327" t="s">
        <v>116</v>
      </c>
      <c r="D4377" s="327" t="s">
        <v>114</v>
      </c>
      <c r="E4377" s="328" t="s">
        <v>3717</v>
      </c>
      <c r="F4377" s="328">
        <v>4126.5042000000003</v>
      </c>
      <c r="G4377" s="328">
        <v>13437.515000000001</v>
      </c>
      <c r="H4377" s="328">
        <v>11177.259340000001</v>
      </c>
      <c r="I4377" s="329">
        <v>0.16382051587677035</v>
      </c>
      <c r="J4377" s="329">
        <v>1.121343061314628</v>
      </c>
      <c r="K4377" s="329">
        <v>1.1627018942291008</v>
      </c>
    </row>
    <row r="4378" spans="1:11" ht="11.25" x14ac:dyDescent="0.15">
      <c r="A4378" s="326">
        <v>1.3</v>
      </c>
      <c r="B4378" s="327">
        <v>105</v>
      </c>
      <c r="C4378" s="327" t="s">
        <v>116</v>
      </c>
      <c r="D4378" s="327" t="s">
        <v>113</v>
      </c>
      <c r="E4378" s="328" t="s">
        <v>3718</v>
      </c>
      <c r="F4378" s="328">
        <v>1533.621232</v>
      </c>
      <c r="G4378" s="328">
        <v>12434.138860000001</v>
      </c>
      <c r="H4378" s="328">
        <v>11025.2454</v>
      </c>
      <c r="I4378" s="329">
        <v>6.0884130782129842E-2</v>
      </c>
      <c r="J4378" s="329">
        <v>1.0376126340386285</v>
      </c>
      <c r="K4378" s="329">
        <v>1.1468888142413523</v>
      </c>
    </row>
    <row r="4379" spans="1:11" ht="11.25" x14ac:dyDescent="0.15">
      <c r="A4379" s="326">
        <v>1.325</v>
      </c>
      <c r="B4379" s="327">
        <v>105</v>
      </c>
      <c r="C4379" s="327" t="s">
        <v>116</v>
      </c>
      <c r="D4379" s="327" t="s">
        <v>79</v>
      </c>
      <c r="E4379" s="328" t="s">
        <v>3719</v>
      </c>
      <c r="F4379" s="328">
        <v>18530.498650000001</v>
      </c>
      <c r="G4379" s="328">
        <v>15325.334249999998</v>
      </c>
      <c r="H4379" s="328">
        <v>11790.021454999998</v>
      </c>
      <c r="I4379" s="329">
        <v>0.73565315850079505</v>
      </c>
      <c r="J4379" s="329">
        <v>1.2788791099816383</v>
      </c>
      <c r="K4379" s="329">
        <v>1.2264437874920271</v>
      </c>
    </row>
    <row r="4380" spans="1:11" ht="11.25" x14ac:dyDescent="0.15">
      <c r="A4380" s="326">
        <v>1.325</v>
      </c>
      <c r="B4380" s="327">
        <v>105</v>
      </c>
      <c r="C4380" s="327" t="s">
        <v>116</v>
      </c>
      <c r="D4380" s="327" t="s">
        <v>114</v>
      </c>
      <c r="E4380" s="328" t="s">
        <v>3720</v>
      </c>
      <c r="F4380" s="328">
        <v>4377.190235</v>
      </c>
      <c r="G4380" s="328">
        <v>14256.1891</v>
      </c>
      <c r="H4380" s="328">
        <v>11630.391549999998</v>
      </c>
      <c r="I4380" s="329">
        <v>0.17377264813845616</v>
      </c>
      <c r="J4380" s="329">
        <v>1.1896603447939764</v>
      </c>
      <c r="K4380" s="329">
        <v>1.2098384652682779</v>
      </c>
    </row>
    <row r="4381" spans="1:11" ht="11.25" x14ac:dyDescent="0.15">
      <c r="A4381" s="326">
        <v>1.325</v>
      </c>
      <c r="B4381" s="327">
        <v>105</v>
      </c>
      <c r="C4381" s="327" t="s">
        <v>116</v>
      </c>
      <c r="D4381" s="327" t="s">
        <v>113</v>
      </c>
      <c r="E4381" s="328" t="s">
        <v>3721</v>
      </c>
      <c r="F4381" s="328">
        <v>1625.7413449999997</v>
      </c>
      <c r="G4381" s="328">
        <v>13158.627999999999</v>
      </c>
      <c r="H4381" s="328">
        <v>11473.611985</v>
      </c>
      <c r="I4381" s="329">
        <v>6.4541261298145386E-2</v>
      </c>
      <c r="J4381" s="329">
        <v>1.098070305723966</v>
      </c>
      <c r="K4381" s="329">
        <v>1.1935296464731766</v>
      </c>
    </row>
    <row r="4382" spans="1:11" ht="11.25" x14ac:dyDescent="0.15">
      <c r="A4382" s="326">
        <v>1.35</v>
      </c>
      <c r="B4382" s="327">
        <v>105</v>
      </c>
      <c r="C4382" s="327" t="s">
        <v>116</v>
      </c>
      <c r="D4382" s="327" t="s">
        <v>79</v>
      </c>
      <c r="E4382" s="328" t="s">
        <v>3722</v>
      </c>
      <c r="F4382" s="328">
        <v>19606.668300000001</v>
      </c>
      <c r="G4382" s="328">
        <v>16244.847000000002</v>
      </c>
      <c r="H4382" s="328">
        <v>12259.210950000001</v>
      </c>
      <c r="I4382" s="329">
        <v>0.77837665002999878</v>
      </c>
      <c r="J4382" s="329">
        <v>1.3556112469878361</v>
      </c>
      <c r="K4382" s="329">
        <v>1.2752506996334161</v>
      </c>
    </row>
    <row r="4383" spans="1:11" ht="11.25" x14ac:dyDescent="0.15">
      <c r="A4383" s="326">
        <v>1.35</v>
      </c>
      <c r="B4383" s="327">
        <v>105</v>
      </c>
      <c r="C4383" s="327" t="s">
        <v>116</v>
      </c>
      <c r="D4383" s="327" t="s">
        <v>114</v>
      </c>
      <c r="E4383" s="328" t="s">
        <v>3723</v>
      </c>
      <c r="F4383" s="328">
        <v>4640.6468700000005</v>
      </c>
      <c r="G4383" s="328">
        <v>15110.528400000001</v>
      </c>
      <c r="H4383" s="328">
        <v>12093.030540000002</v>
      </c>
      <c r="I4383" s="329">
        <v>0.18423176795635388</v>
      </c>
      <c r="J4383" s="329">
        <v>1.2609538425919993</v>
      </c>
      <c r="K4383" s="329">
        <v>1.2579639684577959</v>
      </c>
    </row>
    <row r="4384" spans="1:11" ht="11.25" x14ac:dyDescent="0.15">
      <c r="A4384" s="326">
        <v>1.35</v>
      </c>
      <c r="B4384" s="327">
        <v>105</v>
      </c>
      <c r="C4384" s="327" t="s">
        <v>116</v>
      </c>
      <c r="D4384" s="327" t="s">
        <v>113</v>
      </c>
      <c r="E4384" s="328" t="s">
        <v>3724</v>
      </c>
      <c r="F4384" s="328">
        <v>1722.5967600000001</v>
      </c>
      <c r="G4384" s="328">
        <v>13916.836800000003</v>
      </c>
      <c r="H4384" s="328">
        <v>11931.34158</v>
      </c>
      <c r="I4384" s="329">
        <v>6.8386381351763351E-2</v>
      </c>
      <c r="J4384" s="329">
        <v>1.161341838958176</v>
      </c>
      <c r="K4384" s="329">
        <v>1.2411444553419864</v>
      </c>
    </row>
    <row r="4385" spans="1:11" ht="11.25" x14ac:dyDescent="0.15">
      <c r="A4385" s="326">
        <v>1.375</v>
      </c>
      <c r="B4385" s="327">
        <v>105</v>
      </c>
      <c r="C4385" s="327" t="s">
        <v>116</v>
      </c>
      <c r="D4385" s="327" t="s">
        <v>79</v>
      </c>
      <c r="E4385" s="328" t="s">
        <v>3725</v>
      </c>
      <c r="F4385" s="328">
        <v>20732.057500000003</v>
      </c>
      <c r="G4385" s="328">
        <v>17201.816500000001</v>
      </c>
      <c r="H4385" s="328">
        <v>12738.017875</v>
      </c>
      <c r="I4385" s="329">
        <v>0.8230541374068796</v>
      </c>
      <c r="J4385" s="329">
        <v>1.4354691008183045</v>
      </c>
      <c r="K4385" s="329">
        <v>1.3250580541675652</v>
      </c>
    </row>
    <row r="4386" spans="1:11" ht="11.25" x14ac:dyDescent="0.15">
      <c r="A4386" s="326">
        <v>1.375</v>
      </c>
      <c r="B4386" s="327">
        <v>105</v>
      </c>
      <c r="C4386" s="327" t="s">
        <v>116</v>
      </c>
      <c r="D4386" s="327" t="s">
        <v>114</v>
      </c>
      <c r="E4386" s="328" t="s">
        <v>3726</v>
      </c>
      <c r="F4386" s="328">
        <v>4917.4606250000006</v>
      </c>
      <c r="G4386" s="328">
        <v>16001.614750000001</v>
      </c>
      <c r="H4386" s="328">
        <v>12564.723600000001</v>
      </c>
      <c r="I4386" s="329">
        <v>0.19522115993271147</v>
      </c>
      <c r="J4386" s="329">
        <v>1.3353138336770085</v>
      </c>
      <c r="K4386" s="329">
        <v>1.3070313111465379</v>
      </c>
    </row>
    <row r="4387" spans="1:11" ht="11.25" x14ac:dyDescent="0.15">
      <c r="A4387" s="326">
        <v>1.375</v>
      </c>
      <c r="B4387" s="327">
        <v>105</v>
      </c>
      <c r="C4387" s="327" t="s">
        <v>116</v>
      </c>
      <c r="D4387" s="327" t="s">
        <v>113</v>
      </c>
      <c r="E4387" s="328" t="s">
        <v>3727</v>
      </c>
      <c r="F4387" s="328">
        <v>1824.4206749999998</v>
      </c>
      <c r="G4387" s="328">
        <v>14709.607</v>
      </c>
      <c r="H4387" s="328">
        <v>12398.135200000002</v>
      </c>
      <c r="I4387" s="329">
        <v>7.2428748807464083E-2</v>
      </c>
      <c r="J4387" s="329">
        <v>1.2274974758439399</v>
      </c>
      <c r="K4387" s="329">
        <v>1.2897021392677548</v>
      </c>
    </row>
    <row r="4388" spans="1:11" ht="11.25" x14ac:dyDescent="0.15">
      <c r="A4388" s="326">
        <v>1.4</v>
      </c>
      <c r="B4388" s="327">
        <v>105</v>
      </c>
      <c r="C4388" s="327" t="s">
        <v>116</v>
      </c>
      <c r="D4388" s="327" t="s">
        <v>79</v>
      </c>
      <c r="E4388" s="328" t="s">
        <v>3728</v>
      </c>
      <c r="F4388" s="328">
        <v>21908.4768</v>
      </c>
      <c r="G4388" s="328">
        <v>18194.607199999999</v>
      </c>
      <c r="H4388" s="328">
        <v>13226.916079999999</v>
      </c>
      <c r="I4388" s="329">
        <v>0.86975749872016483</v>
      </c>
      <c r="J4388" s="329">
        <v>1.5183161869635249</v>
      </c>
      <c r="K4388" s="329">
        <v>1.3759151428104333</v>
      </c>
    </row>
    <row r="4389" spans="1:11" ht="11.25" x14ac:dyDescent="0.15">
      <c r="A4389" s="326">
        <v>1.4</v>
      </c>
      <c r="B4389" s="327">
        <v>105</v>
      </c>
      <c r="C4389" s="327" t="s">
        <v>116</v>
      </c>
      <c r="D4389" s="327" t="s">
        <v>114</v>
      </c>
      <c r="E4389" s="328" t="s">
        <v>3729</v>
      </c>
      <c r="F4389" s="328">
        <v>5208.2416399999993</v>
      </c>
      <c r="G4389" s="328">
        <v>16929.561600000001</v>
      </c>
      <c r="H4389" s="328">
        <v>13045.97</v>
      </c>
      <c r="I4389" s="329">
        <v>0.20676504637404131</v>
      </c>
      <c r="J4389" s="329">
        <v>1.4127497853032032</v>
      </c>
      <c r="K4389" s="329">
        <v>1.3570924293375142</v>
      </c>
    </row>
    <row r="4390" spans="1:11" ht="11.25" x14ac:dyDescent="0.15">
      <c r="A4390" s="326">
        <v>1.4</v>
      </c>
      <c r="B4390" s="327">
        <v>105</v>
      </c>
      <c r="C4390" s="327" t="s">
        <v>116</v>
      </c>
      <c r="D4390" s="327" t="s">
        <v>113</v>
      </c>
      <c r="E4390" s="328" t="s">
        <v>3730</v>
      </c>
      <c r="F4390" s="328">
        <v>1931.46128</v>
      </c>
      <c r="G4390" s="328">
        <v>15536.785599999997</v>
      </c>
      <c r="H4390" s="328">
        <v>12873.821799999998</v>
      </c>
      <c r="I4390" s="329">
        <v>7.6678216705948626E-2</v>
      </c>
      <c r="J4390" s="329">
        <v>1.2965244487312593</v>
      </c>
      <c r="K4390" s="329">
        <v>1.3391849054857743</v>
      </c>
    </row>
    <row r="4391" spans="1:11" ht="11.25" x14ac:dyDescent="0.15">
      <c r="A4391" s="326">
        <v>0.9</v>
      </c>
      <c r="B4391" s="327">
        <v>125</v>
      </c>
      <c r="C4391" s="327" t="s">
        <v>116</v>
      </c>
      <c r="D4391" s="327" t="s">
        <v>79</v>
      </c>
      <c r="E4391" s="328" t="s">
        <v>3731</v>
      </c>
      <c r="F4391" s="328">
        <v>9084.8970000000008</v>
      </c>
      <c r="G4391" s="328">
        <v>5015.4174000000003</v>
      </c>
      <c r="H4391" s="328">
        <v>5257.7037</v>
      </c>
      <c r="I4391" s="329">
        <v>0.36066666628555072</v>
      </c>
      <c r="J4391" s="329">
        <v>0.41853002590781496</v>
      </c>
      <c r="K4391" s="329">
        <v>0.5469267434288011</v>
      </c>
    </row>
    <row r="4392" spans="1:11" ht="11.25" x14ac:dyDescent="0.15">
      <c r="A4392" s="326">
        <v>0.9</v>
      </c>
      <c r="B4392" s="327">
        <v>125</v>
      </c>
      <c r="C4392" s="327" t="s">
        <v>116</v>
      </c>
      <c r="D4392" s="327" t="s">
        <v>114</v>
      </c>
      <c r="E4392" s="328" t="s">
        <v>3732</v>
      </c>
      <c r="F4392" s="328">
        <v>2336.0328</v>
      </c>
      <c r="G4392" s="328">
        <v>4886.3321999999998</v>
      </c>
      <c r="H4392" s="328">
        <v>5175.9989999999998</v>
      </c>
      <c r="I4392" s="329">
        <v>9.273953929358808E-2</v>
      </c>
      <c r="J4392" s="329">
        <v>0.4077580347071792</v>
      </c>
      <c r="K4392" s="329">
        <v>0.53842750344807966</v>
      </c>
    </row>
    <row r="4393" spans="1:11" ht="11.25" x14ac:dyDescent="0.15">
      <c r="A4393" s="326">
        <v>0.9</v>
      </c>
      <c r="B4393" s="327">
        <v>125</v>
      </c>
      <c r="C4393" s="327" t="s">
        <v>116</v>
      </c>
      <c r="D4393" s="327" t="s">
        <v>113</v>
      </c>
      <c r="E4393" s="328" t="s">
        <v>3733</v>
      </c>
      <c r="F4393" s="328">
        <v>923.34060000000022</v>
      </c>
      <c r="G4393" s="328">
        <v>4863.5028000000002</v>
      </c>
      <c r="H4393" s="328">
        <v>5089.1606999999995</v>
      </c>
      <c r="I4393" s="329">
        <v>3.6656241237308491E-2</v>
      </c>
      <c r="J4393" s="329">
        <v>0.40585295111962777</v>
      </c>
      <c r="K4393" s="329">
        <v>0.52939424647243583</v>
      </c>
    </row>
    <row r="4394" spans="1:11" ht="11.25" x14ac:dyDescent="0.15">
      <c r="A4394" s="326">
        <v>0.92500000000000004</v>
      </c>
      <c r="B4394" s="327">
        <v>125</v>
      </c>
      <c r="C4394" s="327" t="s">
        <v>116</v>
      </c>
      <c r="D4394" s="327" t="s">
        <v>79</v>
      </c>
      <c r="E4394" s="328" t="s">
        <v>3734</v>
      </c>
      <c r="F4394" s="328">
        <v>9735.0515000000014</v>
      </c>
      <c r="G4394" s="328">
        <v>5411.0474250000007</v>
      </c>
      <c r="H4394" s="328">
        <v>5569.7080500000002</v>
      </c>
      <c r="I4394" s="329">
        <v>0.38647753195475415</v>
      </c>
      <c r="J4394" s="329">
        <v>0.45154483432897641</v>
      </c>
      <c r="K4394" s="329">
        <v>0.57938264676947815</v>
      </c>
    </row>
    <row r="4395" spans="1:11" ht="11.25" x14ac:dyDescent="0.15">
      <c r="A4395" s="326">
        <v>0.92500000000000004</v>
      </c>
      <c r="B4395" s="327">
        <v>125</v>
      </c>
      <c r="C4395" s="327" t="s">
        <v>116</v>
      </c>
      <c r="D4395" s="327" t="s">
        <v>114</v>
      </c>
      <c r="E4395" s="328" t="s">
        <v>3735</v>
      </c>
      <c r="F4395" s="328">
        <v>2504.3579500000005</v>
      </c>
      <c r="G4395" s="328">
        <v>5242.8176750000002</v>
      </c>
      <c r="H4395" s="328">
        <v>5484.6543000000001</v>
      </c>
      <c r="I4395" s="329">
        <v>9.9421978368298067E-2</v>
      </c>
      <c r="J4395" s="329">
        <v>0.43750628160035099</v>
      </c>
      <c r="K4395" s="329">
        <v>0.57053502561047154</v>
      </c>
    </row>
    <row r="4396" spans="1:11" ht="11.25" x14ac:dyDescent="0.15">
      <c r="A4396" s="326">
        <v>0.92500000000000004</v>
      </c>
      <c r="B4396" s="327">
        <v>125</v>
      </c>
      <c r="C4396" s="327" t="s">
        <v>116</v>
      </c>
      <c r="D4396" s="327" t="s">
        <v>113</v>
      </c>
      <c r="E4396" s="328" t="s">
        <v>3736</v>
      </c>
      <c r="F4396" s="328">
        <v>988.51235000000008</v>
      </c>
      <c r="G4396" s="328">
        <v>5181.9961499999999</v>
      </c>
      <c r="H4396" s="328">
        <v>5394.1162250000007</v>
      </c>
      <c r="I4396" s="329">
        <v>3.9243532849805064E-2</v>
      </c>
      <c r="J4396" s="329">
        <v>0.43243080484461716</v>
      </c>
      <c r="K4396" s="329">
        <v>0.56111690368091849</v>
      </c>
    </row>
    <row r="4397" spans="1:11" ht="11.25" x14ac:dyDescent="0.15">
      <c r="A4397" s="326">
        <v>0.95</v>
      </c>
      <c r="B4397" s="327">
        <v>125</v>
      </c>
      <c r="C4397" s="327" t="s">
        <v>116</v>
      </c>
      <c r="D4397" s="327" t="s">
        <v>79</v>
      </c>
      <c r="E4397" s="328" t="s">
        <v>3737</v>
      </c>
      <c r="F4397" s="328">
        <v>10419.466999999999</v>
      </c>
      <c r="G4397" s="328">
        <v>5832.6513499999992</v>
      </c>
      <c r="H4397" s="328">
        <v>5890.8284000000003</v>
      </c>
      <c r="I4397" s="329">
        <v>0.41364854520225242</v>
      </c>
      <c r="J4397" s="329">
        <v>0.48672713075221846</v>
      </c>
      <c r="K4397" s="329">
        <v>0.61278683180832261</v>
      </c>
    </row>
    <row r="4398" spans="1:11" ht="11.25" x14ac:dyDescent="0.15">
      <c r="A4398" s="326">
        <v>0.95</v>
      </c>
      <c r="B4398" s="327">
        <v>125</v>
      </c>
      <c r="C4398" s="327" t="s">
        <v>116</v>
      </c>
      <c r="D4398" s="327" t="s">
        <v>114</v>
      </c>
      <c r="E4398" s="328" t="s">
        <v>3738</v>
      </c>
      <c r="F4398" s="328">
        <v>2681.9820500000001</v>
      </c>
      <c r="G4398" s="328">
        <v>5622.3222999999998</v>
      </c>
      <c r="H4398" s="328">
        <v>5802.2665499999994</v>
      </c>
      <c r="I4398" s="329">
        <v>0.10647358192516515</v>
      </c>
      <c r="J4398" s="329">
        <v>0.46917544647053416</v>
      </c>
      <c r="K4398" s="329">
        <v>0.60357428447277561</v>
      </c>
    </row>
    <row r="4399" spans="1:11" ht="11.25" x14ac:dyDescent="0.15">
      <c r="A4399" s="326">
        <v>0.95</v>
      </c>
      <c r="B4399" s="327">
        <v>125</v>
      </c>
      <c r="C4399" s="327" t="s">
        <v>116</v>
      </c>
      <c r="D4399" s="327" t="s">
        <v>113</v>
      </c>
      <c r="E4399" s="328" t="s">
        <v>3739</v>
      </c>
      <c r="F4399" s="328">
        <v>1057.1999000000001</v>
      </c>
      <c r="G4399" s="328">
        <v>5519.4182999999994</v>
      </c>
      <c r="H4399" s="328">
        <v>5707.9305999999997</v>
      </c>
      <c r="I4399" s="329">
        <v>4.1970400273158577E-2</v>
      </c>
      <c r="J4399" s="329">
        <v>0.46058824218599786</v>
      </c>
      <c r="K4399" s="329">
        <v>0.59376109284659817</v>
      </c>
    </row>
    <row r="4400" spans="1:11" ht="11.25" x14ac:dyDescent="0.15">
      <c r="A4400" s="326">
        <v>0.97499999999999998</v>
      </c>
      <c r="B4400" s="327">
        <v>125</v>
      </c>
      <c r="C4400" s="327" t="s">
        <v>116</v>
      </c>
      <c r="D4400" s="327" t="s">
        <v>79</v>
      </c>
      <c r="E4400" s="328" t="s">
        <v>3740</v>
      </c>
      <c r="F4400" s="328">
        <v>11139.462750000001</v>
      </c>
      <c r="G4400" s="328">
        <v>6280.6574999999993</v>
      </c>
      <c r="H4400" s="328">
        <v>6220.8012749999998</v>
      </c>
      <c r="I4400" s="329">
        <v>0.44223207970927714</v>
      </c>
      <c r="J4400" s="329">
        <v>0.52411265833888765</v>
      </c>
      <c r="K4400" s="329">
        <v>0.64711189085331755</v>
      </c>
    </row>
    <row r="4401" spans="1:11" ht="11.25" x14ac:dyDescent="0.15">
      <c r="A4401" s="326">
        <v>0.97499999999999998</v>
      </c>
      <c r="B4401" s="327">
        <v>125</v>
      </c>
      <c r="C4401" s="327" t="s">
        <v>116</v>
      </c>
      <c r="D4401" s="327" t="s">
        <v>114</v>
      </c>
      <c r="E4401" s="328" t="s">
        <v>3741</v>
      </c>
      <c r="F4401" s="328">
        <v>2869.3196999999996</v>
      </c>
      <c r="G4401" s="328">
        <v>6026.7392250000003</v>
      </c>
      <c r="H4401" s="328">
        <v>6129.08205</v>
      </c>
      <c r="I4401" s="329">
        <v>0.11391080941329948</v>
      </c>
      <c r="J4401" s="329">
        <v>0.50292351021051507</v>
      </c>
      <c r="K4401" s="329">
        <v>0.63757090111685455</v>
      </c>
    </row>
    <row r="4402" spans="1:11" ht="11.25" x14ac:dyDescent="0.15">
      <c r="A4402" s="326">
        <v>0.97499999999999998</v>
      </c>
      <c r="B4402" s="327">
        <v>125</v>
      </c>
      <c r="C4402" s="327" t="s">
        <v>116</v>
      </c>
      <c r="D4402" s="327" t="s">
        <v>113</v>
      </c>
      <c r="E4402" s="328" t="s">
        <v>3742</v>
      </c>
      <c r="F4402" s="328">
        <v>1129.5579749999999</v>
      </c>
      <c r="G4402" s="328">
        <v>5876.9158500000003</v>
      </c>
      <c r="H4402" s="328">
        <v>6031.0769999999993</v>
      </c>
      <c r="I4402" s="329">
        <v>4.4842986026094447E-2</v>
      </c>
      <c r="J4402" s="329">
        <v>0.49042094541494163</v>
      </c>
      <c r="K4402" s="329">
        <v>0.62737603546931398</v>
      </c>
    </row>
    <row r="4403" spans="1:11" ht="11.25" x14ac:dyDescent="0.15">
      <c r="A4403" s="326">
        <v>1</v>
      </c>
      <c r="B4403" s="327">
        <v>125</v>
      </c>
      <c r="C4403" s="327" t="s">
        <v>116</v>
      </c>
      <c r="D4403" s="327" t="s">
        <v>79</v>
      </c>
      <c r="E4403" s="328" t="s">
        <v>3743</v>
      </c>
      <c r="F4403" s="328">
        <v>11896.369999999999</v>
      </c>
      <c r="G4403" s="328">
        <v>6756.9950000000008</v>
      </c>
      <c r="H4403" s="328">
        <v>6560.0330000000004</v>
      </c>
      <c r="I4403" s="329">
        <v>0.47228098555211312</v>
      </c>
      <c r="J4403" s="329">
        <v>0.56386240004849375</v>
      </c>
      <c r="K4403" s="329">
        <v>0.68240009140786473</v>
      </c>
    </row>
    <row r="4404" spans="1:11" ht="11.25" x14ac:dyDescent="0.15">
      <c r="A4404" s="326">
        <v>1</v>
      </c>
      <c r="B4404" s="327">
        <v>125</v>
      </c>
      <c r="C4404" s="327" t="s">
        <v>116</v>
      </c>
      <c r="D4404" s="327" t="s">
        <v>114</v>
      </c>
      <c r="E4404" s="328" t="s">
        <v>3744</v>
      </c>
      <c r="F4404" s="328">
        <v>3066.799</v>
      </c>
      <c r="G4404" s="328">
        <v>6456.3600000000006</v>
      </c>
      <c r="H4404" s="328">
        <v>6464.5469999999996</v>
      </c>
      <c r="I4404" s="329">
        <v>0.12175065622624676</v>
      </c>
      <c r="J4404" s="329">
        <v>0.53877480228668118</v>
      </c>
      <c r="K4404" s="329">
        <v>0.67246726711747296</v>
      </c>
    </row>
    <row r="4405" spans="1:11" ht="11.25" x14ac:dyDescent="0.15">
      <c r="A4405" s="326">
        <v>1</v>
      </c>
      <c r="B4405" s="327">
        <v>125</v>
      </c>
      <c r="C4405" s="327" t="s">
        <v>116</v>
      </c>
      <c r="D4405" s="327" t="s">
        <v>113</v>
      </c>
      <c r="E4405" s="328" t="s">
        <v>3745</v>
      </c>
      <c r="F4405" s="328">
        <v>1205.748</v>
      </c>
      <c r="G4405" s="328">
        <v>6255.1100000000006</v>
      </c>
      <c r="H4405" s="328">
        <v>6363.0079999999998</v>
      </c>
      <c r="I4405" s="329">
        <v>4.7867698614576494E-2</v>
      </c>
      <c r="J4405" s="329">
        <v>0.52198075285941958</v>
      </c>
      <c r="K4405" s="329">
        <v>0.66190478627607119</v>
      </c>
    </row>
    <row r="4406" spans="1:11" ht="11.25" x14ac:dyDescent="0.15">
      <c r="A4406" s="326">
        <v>1.0249999999999999</v>
      </c>
      <c r="B4406" s="327">
        <v>125</v>
      </c>
      <c r="C4406" s="327" t="s">
        <v>116</v>
      </c>
      <c r="D4406" s="327" t="s">
        <v>79</v>
      </c>
      <c r="E4406" s="328" t="s">
        <v>3746</v>
      </c>
      <c r="F4406" s="328">
        <v>12691.560249999999</v>
      </c>
      <c r="G4406" s="328">
        <v>7261.4382499999992</v>
      </c>
      <c r="H4406" s="328">
        <v>6908.3298499999992</v>
      </c>
      <c r="I4406" s="329">
        <v>0.50384971071545548</v>
      </c>
      <c r="J4406" s="329">
        <v>0.60595752985593943</v>
      </c>
      <c r="K4406" s="329">
        <v>0.71863128144563904</v>
      </c>
    </row>
    <row r="4407" spans="1:11" ht="11.25" x14ac:dyDescent="0.15">
      <c r="A4407" s="326">
        <v>1.0249999999999999</v>
      </c>
      <c r="B4407" s="327">
        <v>125</v>
      </c>
      <c r="C4407" s="327" t="s">
        <v>116</v>
      </c>
      <c r="D4407" s="327" t="s">
        <v>114</v>
      </c>
      <c r="E4407" s="328" t="s">
        <v>3747</v>
      </c>
      <c r="F4407" s="328">
        <v>3274.8678249999998</v>
      </c>
      <c r="G4407" s="328">
        <v>6913.0725249999996</v>
      </c>
      <c r="H4407" s="328">
        <v>6809.1774999999998</v>
      </c>
      <c r="I4407" s="329">
        <v>0.13001090281690172</v>
      </c>
      <c r="J4407" s="329">
        <v>0.5768868654861814</v>
      </c>
      <c r="K4407" s="329">
        <v>0.70831706919955673</v>
      </c>
    </row>
    <row r="4408" spans="1:11" ht="11.25" x14ac:dyDescent="0.15">
      <c r="A4408" s="326">
        <v>1.0249999999999999</v>
      </c>
      <c r="B4408" s="327">
        <v>125</v>
      </c>
      <c r="C4408" s="327" t="s">
        <v>116</v>
      </c>
      <c r="D4408" s="327" t="s">
        <v>113</v>
      </c>
      <c r="E4408" s="328" t="s">
        <v>3748</v>
      </c>
      <c r="F4408" s="328">
        <v>1285.9383499999997</v>
      </c>
      <c r="G4408" s="328">
        <v>6656.2741500000002</v>
      </c>
      <c r="H4408" s="328">
        <v>6704.2308249999987</v>
      </c>
      <c r="I4408" s="329">
        <v>5.1051222456703862E-2</v>
      </c>
      <c r="J4408" s="329">
        <v>0.55545737677765739</v>
      </c>
      <c r="K4408" s="329">
        <v>0.6974001087798527</v>
      </c>
    </row>
    <row r="4409" spans="1:11" ht="11.25" x14ac:dyDescent="0.15">
      <c r="A4409" s="326">
        <v>1.05</v>
      </c>
      <c r="B4409" s="327">
        <v>125</v>
      </c>
      <c r="C4409" s="327" t="s">
        <v>116</v>
      </c>
      <c r="D4409" s="327" t="s">
        <v>79</v>
      </c>
      <c r="E4409" s="328" t="s">
        <v>3749</v>
      </c>
      <c r="F4409" s="328">
        <v>13526.4465</v>
      </c>
      <c r="G4409" s="328">
        <v>7795.8552</v>
      </c>
      <c r="H4409" s="328">
        <v>7265.7102000000004</v>
      </c>
      <c r="I4409" s="329">
        <v>0.53699435071689361</v>
      </c>
      <c r="J4409" s="329">
        <v>0.65055392574695259</v>
      </c>
      <c r="K4409" s="329">
        <v>0.75580737240545215</v>
      </c>
    </row>
    <row r="4410" spans="1:11" ht="11.25" x14ac:dyDescent="0.15">
      <c r="A4410" s="326">
        <v>1.05</v>
      </c>
      <c r="B4410" s="327">
        <v>125</v>
      </c>
      <c r="C4410" s="327" t="s">
        <v>116</v>
      </c>
      <c r="D4410" s="327" t="s">
        <v>114</v>
      </c>
      <c r="E4410" s="328" t="s">
        <v>3750</v>
      </c>
      <c r="F4410" s="328">
        <v>3493.9894500000005</v>
      </c>
      <c r="G4410" s="328">
        <v>7397.53035</v>
      </c>
      <c r="H4410" s="328">
        <v>7162.9036500000002</v>
      </c>
      <c r="I4410" s="329">
        <v>0.13870994101181167</v>
      </c>
      <c r="J4410" s="329">
        <v>0.61731423770219951</v>
      </c>
      <c r="K4410" s="329">
        <v>0.74511303609383184</v>
      </c>
    </row>
    <row r="4411" spans="1:11" ht="11.25" x14ac:dyDescent="0.15">
      <c r="A4411" s="326">
        <v>1.05</v>
      </c>
      <c r="B4411" s="327">
        <v>125</v>
      </c>
      <c r="C4411" s="327" t="s">
        <v>116</v>
      </c>
      <c r="D4411" s="327" t="s">
        <v>113</v>
      </c>
      <c r="E4411" s="328" t="s">
        <v>3751</v>
      </c>
      <c r="F4411" s="328">
        <v>1370.3035500000001</v>
      </c>
      <c r="G4411" s="328">
        <v>7080.6582000000008</v>
      </c>
      <c r="H4411" s="328">
        <v>7054.1205</v>
      </c>
      <c r="I4411" s="329">
        <v>5.4400486123040846E-2</v>
      </c>
      <c r="J4411" s="329">
        <v>0.59087167099798765</v>
      </c>
      <c r="K4411" s="329">
        <v>0.73379699065570136</v>
      </c>
    </row>
    <row r="4412" spans="1:11" ht="11.25" x14ac:dyDescent="0.15">
      <c r="A4412" s="326">
        <v>1.075</v>
      </c>
      <c r="B4412" s="327">
        <v>125</v>
      </c>
      <c r="C4412" s="327" t="s">
        <v>116</v>
      </c>
      <c r="D4412" s="327" t="s">
        <v>79</v>
      </c>
      <c r="E4412" s="328" t="s">
        <v>3752</v>
      </c>
      <c r="F4412" s="328">
        <v>14402.484499999999</v>
      </c>
      <c r="G4412" s="328">
        <v>8360.6910250000001</v>
      </c>
      <c r="H4412" s="328">
        <v>7632.2753249999996</v>
      </c>
      <c r="I4412" s="329">
        <v>0.57177269823139609</v>
      </c>
      <c r="J4412" s="329">
        <v>0.69768873699335288</v>
      </c>
      <c r="K4412" s="329">
        <v>0.79393889930584038</v>
      </c>
    </row>
    <row r="4413" spans="1:11" ht="11.25" x14ac:dyDescent="0.15">
      <c r="A4413" s="326">
        <v>1.075</v>
      </c>
      <c r="B4413" s="327">
        <v>125</v>
      </c>
      <c r="C4413" s="327" t="s">
        <v>116</v>
      </c>
      <c r="D4413" s="327" t="s">
        <v>114</v>
      </c>
      <c r="E4413" s="328" t="s">
        <v>3753</v>
      </c>
      <c r="F4413" s="328">
        <v>3724.646025</v>
      </c>
      <c r="G4413" s="328">
        <v>7910.7207499999995</v>
      </c>
      <c r="H4413" s="328">
        <v>7525.5353499999992</v>
      </c>
      <c r="I4413" s="329">
        <v>0.14786691196724386</v>
      </c>
      <c r="J4413" s="329">
        <v>0.66013930574292567</v>
      </c>
      <c r="K4413" s="329">
        <v>0.78283539286054149</v>
      </c>
    </row>
    <row r="4414" spans="1:11" ht="11.25" x14ac:dyDescent="0.15">
      <c r="A4414" s="326">
        <v>1.075</v>
      </c>
      <c r="B4414" s="327">
        <v>125</v>
      </c>
      <c r="C4414" s="327" t="s">
        <v>116</v>
      </c>
      <c r="D4414" s="327" t="s">
        <v>113</v>
      </c>
      <c r="E4414" s="328" t="s">
        <v>3754</v>
      </c>
      <c r="F4414" s="328">
        <v>1459.0254749999999</v>
      </c>
      <c r="G4414" s="328">
        <v>7529.8611499999997</v>
      </c>
      <c r="H4414" s="328">
        <v>7412.8398749999997</v>
      </c>
      <c r="I4414" s="329">
        <v>5.792270997612213E-2</v>
      </c>
      <c r="J4414" s="329">
        <v>0.62835706998020724</v>
      </c>
      <c r="K4414" s="329">
        <v>0.77111237219261919</v>
      </c>
    </row>
    <row r="4415" spans="1:11" ht="11.25" x14ac:dyDescent="0.15">
      <c r="A4415" s="326">
        <v>1.1000000000000001</v>
      </c>
      <c r="B4415" s="327">
        <v>125</v>
      </c>
      <c r="C4415" s="327" t="s">
        <v>116</v>
      </c>
      <c r="D4415" s="327" t="s">
        <v>79</v>
      </c>
      <c r="E4415" s="328" t="s">
        <v>3755</v>
      </c>
      <c r="F4415" s="328">
        <v>15321.163</v>
      </c>
      <c r="G4415" s="328">
        <v>8956.5377000000008</v>
      </c>
      <c r="H4415" s="328">
        <v>8007.7745000000004</v>
      </c>
      <c r="I4415" s="329">
        <v>0.60824385602032982</v>
      </c>
      <c r="J4415" s="329">
        <v>0.74741136313506462</v>
      </c>
      <c r="K4415" s="329">
        <v>0.83299978075926884</v>
      </c>
    </row>
    <row r="4416" spans="1:11" ht="11.25" x14ac:dyDescent="0.15">
      <c r="A4416" s="326">
        <v>1.1000000000000001</v>
      </c>
      <c r="B4416" s="327">
        <v>125</v>
      </c>
      <c r="C4416" s="327" t="s">
        <v>116</v>
      </c>
      <c r="D4416" s="327" t="s">
        <v>114</v>
      </c>
      <c r="E4416" s="328" t="s">
        <v>3756</v>
      </c>
      <c r="F4416" s="328">
        <v>3967.3403000000008</v>
      </c>
      <c r="G4416" s="328">
        <v>8453.7519000000011</v>
      </c>
      <c r="H4416" s="328">
        <v>7897.1431000000002</v>
      </c>
      <c r="I4416" s="329">
        <v>0.15750177465097476</v>
      </c>
      <c r="J4416" s="329">
        <v>0.7054545453635106</v>
      </c>
      <c r="K4416" s="329">
        <v>0.82149147318328863</v>
      </c>
    </row>
    <row r="4417" spans="1:11" ht="11.25" x14ac:dyDescent="0.15">
      <c r="A4417" s="326">
        <v>1.1000000000000001</v>
      </c>
      <c r="B4417" s="327">
        <v>125</v>
      </c>
      <c r="C4417" s="327" t="s">
        <v>116</v>
      </c>
      <c r="D4417" s="327" t="s">
        <v>113</v>
      </c>
      <c r="E4417" s="328" t="s">
        <v>3757</v>
      </c>
      <c r="F4417" s="328">
        <v>1552.2958000000001</v>
      </c>
      <c r="G4417" s="328">
        <v>8004.9673000000003</v>
      </c>
      <c r="H4417" s="328">
        <v>7780.6355000000012</v>
      </c>
      <c r="I4417" s="329">
        <v>6.1625503434443112E-2</v>
      </c>
      <c r="J4417" s="329">
        <v>0.66800405714192634</v>
      </c>
      <c r="K4417" s="329">
        <v>0.80937190047843943</v>
      </c>
    </row>
    <row r="4418" spans="1:11" ht="11.25" x14ac:dyDescent="0.15">
      <c r="A4418" s="326">
        <v>1.125</v>
      </c>
      <c r="B4418" s="327">
        <v>125</v>
      </c>
      <c r="C4418" s="327" t="s">
        <v>116</v>
      </c>
      <c r="D4418" s="327" t="s">
        <v>79</v>
      </c>
      <c r="E4418" s="328" t="s">
        <v>3758</v>
      </c>
      <c r="F4418" s="328">
        <v>16284.00375</v>
      </c>
      <c r="G4418" s="328">
        <v>9584.3778750000001</v>
      </c>
      <c r="H4418" s="328">
        <v>8392.708125000001</v>
      </c>
      <c r="I4418" s="329">
        <v>0.64646823693145949</v>
      </c>
      <c r="J4418" s="329">
        <v>0.79980380503007353</v>
      </c>
      <c r="K4418" s="329">
        <v>0.87304207031573311</v>
      </c>
    </row>
    <row r="4419" spans="1:11" ht="11.25" x14ac:dyDescent="0.15">
      <c r="A4419" s="326">
        <v>1.125</v>
      </c>
      <c r="B4419" s="327">
        <v>125</v>
      </c>
      <c r="C4419" s="327" t="s">
        <v>116</v>
      </c>
      <c r="D4419" s="327" t="s">
        <v>114</v>
      </c>
      <c r="E4419" s="328" t="s">
        <v>3759</v>
      </c>
      <c r="F4419" s="328">
        <v>4222.5929999999998</v>
      </c>
      <c r="G4419" s="328">
        <v>9027.9461250000004</v>
      </c>
      <c r="H4419" s="328">
        <v>8278.2562500000004</v>
      </c>
      <c r="I4419" s="329">
        <v>0.16763520163087178</v>
      </c>
      <c r="J4419" s="329">
        <v>0.75337030285666906</v>
      </c>
      <c r="K4419" s="329">
        <v>0.86113634210342049</v>
      </c>
    </row>
    <row r="4420" spans="1:11" ht="11.25" x14ac:dyDescent="0.15">
      <c r="A4420" s="326">
        <v>1.125</v>
      </c>
      <c r="B4420" s="327">
        <v>125</v>
      </c>
      <c r="C4420" s="327" t="s">
        <v>116</v>
      </c>
      <c r="D4420" s="327" t="s">
        <v>113</v>
      </c>
      <c r="E4420" s="328" t="s">
        <v>3760</v>
      </c>
      <c r="F4420" s="328">
        <v>1650.3131250000001</v>
      </c>
      <c r="G4420" s="328">
        <v>8506.7910000000011</v>
      </c>
      <c r="H4420" s="328">
        <v>8157.4953750000004</v>
      </c>
      <c r="I4420" s="329">
        <v>6.5516750836144791E-2</v>
      </c>
      <c r="J4420" s="329">
        <v>0.70988058892613159</v>
      </c>
      <c r="K4420" s="329">
        <v>0.84857432722659076</v>
      </c>
    </row>
    <row r="4421" spans="1:11" ht="11.25" x14ac:dyDescent="0.15">
      <c r="A4421" s="326">
        <v>1.1499999999999999</v>
      </c>
      <c r="B4421" s="327">
        <v>125</v>
      </c>
      <c r="C4421" s="327" t="s">
        <v>116</v>
      </c>
      <c r="D4421" s="327" t="s">
        <v>79</v>
      </c>
      <c r="E4421" s="328" t="s">
        <v>3761</v>
      </c>
      <c r="F4421" s="328">
        <v>17292.595999999998</v>
      </c>
      <c r="G4421" s="328">
        <v>10244.484050000001</v>
      </c>
      <c r="H4421" s="328">
        <v>8786.8820499999983</v>
      </c>
      <c r="I4421" s="329">
        <v>0.68650893353472775</v>
      </c>
      <c r="J4421" s="329">
        <v>0.85488880244716969</v>
      </c>
      <c r="K4421" s="329">
        <v>0.91404557173875878</v>
      </c>
    </row>
    <row r="4422" spans="1:11" ht="11.25" x14ac:dyDescent="0.15">
      <c r="A4422" s="326">
        <v>1.1499999999999999</v>
      </c>
      <c r="B4422" s="327">
        <v>125</v>
      </c>
      <c r="C4422" s="327" t="s">
        <v>116</v>
      </c>
      <c r="D4422" s="327" t="s">
        <v>114</v>
      </c>
      <c r="E4422" s="328" t="s">
        <v>3762</v>
      </c>
      <c r="F4422" s="328">
        <v>4490.9477999999999</v>
      </c>
      <c r="G4422" s="328">
        <v>9633.6649999999991</v>
      </c>
      <c r="H4422" s="328">
        <v>8668.3676500000001</v>
      </c>
      <c r="I4422" s="329">
        <v>0.17828877658034295</v>
      </c>
      <c r="J4422" s="329">
        <v>0.80391675118350259</v>
      </c>
      <c r="K4422" s="329">
        <v>0.90171724390974528</v>
      </c>
    </row>
    <row r="4423" spans="1:11" ht="11.25" x14ac:dyDescent="0.15">
      <c r="A4423" s="326">
        <v>1.1499999999999999</v>
      </c>
      <c r="B4423" s="327">
        <v>125</v>
      </c>
      <c r="C4423" s="327" t="s">
        <v>116</v>
      </c>
      <c r="D4423" s="327" t="s">
        <v>113</v>
      </c>
      <c r="E4423" s="328" t="s">
        <v>3763</v>
      </c>
      <c r="F4423" s="328">
        <v>1753.2819500000001</v>
      </c>
      <c r="G4423" s="328">
        <v>9036.5688999999984</v>
      </c>
      <c r="H4423" s="328">
        <v>8543.2844499999992</v>
      </c>
      <c r="I4423" s="329">
        <v>6.9604570746936323E-2</v>
      </c>
      <c r="J4423" s="329">
        <v>0.75408986215878149</v>
      </c>
      <c r="K4423" s="329">
        <v>0.88870560401195986</v>
      </c>
    </row>
    <row r="4424" spans="1:11" ht="11.25" x14ac:dyDescent="0.15">
      <c r="A4424" s="326">
        <v>1.175</v>
      </c>
      <c r="B4424" s="327">
        <v>125</v>
      </c>
      <c r="C4424" s="327" t="s">
        <v>116</v>
      </c>
      <c r="D4424" s="327" t="s">
        <v>79</v>
      </c>
      <c r="E4424" s="328" t="s">
        <v>3764</v>
      </c>
      <c r="F4424" s="328">
        <v>18348.529749999998</v>
      </c>
      <c r="G4424" s="328">
        <v>10938.816424999999</v>
      </c>
      <c r="H4424" s="328">
        <v>9189.9887250000011</v>
      </c>
      <c r="I4424" s="329">
        <v>0.72842906817476827</v>
      </c>
      <c r="J4424" s="329">
        <v>0.9128299315139915</v>
      </c>
      <c r="K4424" s="329">
        <v>0.95597829248377975</v>
      </c>
    </row>
    <row r="4425" spans="1:11" ht="11.25" x14ac:dyDescent="0.15">
      <c r="A4425" s="326">
        <v>1.175</v>
      </c>
      <c r="B4425" s="327">
        <v>125</v>
      </c>
      <c r="C4425" s="327" t="s">
        <v>116</v>
      </c>
      <c r="D4425" s="327" t="s">
        <v>114</v>
      </c>
      <c r="E4425" s="328" t="s">
        <v>3765</v>
      </c>
      <c r="F4425" s="328">
        <v>4772.9674999999997</v>
      </c>
      <c r="G4425" s="328">
        <v>10270.797199999999</v>
      </c>
      <c r="H4425" s="328">
        <v>9066.8933749999997</v>
      </c>
      <c r="I4425" s="329">
        <v>0.1894848424274132</v>
      </c>
      <c r="J4425" s="329">
        <v>0.85708460041828483</v>
      </c>
      <c r="K4425" s="329">
        <v>0.94317343645761587</v>
      </c>
    </row>
    <row r="4426" spans="1:11" ht="11.25" x14ac:dyDescent="0.15">
      <c r="A4426" s="326">
        <v>1.175</v>
      </c>
      <c r="B4426" s="327">
        <v>125</v>
      </c>
      <c r="C4426" s="327" t="s">
        <v>116</v>
      </c>
      <c r="D4426" s="327" t="s">
        <v>113</v>
      </c>
      <c r="E4426" s="328" t="s">
        <v>3766</v>
      </c>
      <c r="F4426" s="328">
        <v>1861.4220749999999</v>
      </c>
      <c r="G4426" s="328">
        <v>9595.2109749999981</v>
      </c>
      <c r="H4426" s="328">
        <v>8937.9688499999993</v>
      </c>
      <c r="I4426" s="329">
        <v>7.389768913622051E-2</v>
      </c>
      <c r="J4426" s="329">
        <v>0.80070781306411298</v>
      </c>
      <c r="K4426" s="329">
        <v>0.92976220702558166</v>
      </c>
    </row>
    <row r="4427" spans="1:11" ht="11.25" x14ac:dyDescent="0.15">
      <c r="A4427" s="326">
        <v>1.2</v>
      </c>
      <c r="B4427" s="327">
        <v>125</v>
      </c>
      <c r="C4427" s="327" t="s">
        <v>116</v>
      </c>
      <c r="D4427" s="327" t="s">
        <v>79</v>
      </c>
      <c r="E4427" s="328" t="s">
        <v>3767</v>
      </c>
      <c r="F4427" s="328">
        <v>19453.464</v>
      </c>
      <c r="G4427" s="328">
        <v>11665.974</v>
      </c>
      <c r="H4427" s="328">
        <v>9602.7551999999996</v>
      </c>
      <c r="I4427" s="329">
        <v>0.77229450246777409</v>
      </c>
      <c r="J4427" s="329">
        <v>0.97351028061191791</v>
      </c>
      <c r="K4427" s="329">
        <v>0.99891586311339409</v>
      </c>
    </row>
    <row r="4428" spans="1:11" ht="11.25" x14ac:dyDescent="0.15">
      <c r="A4428" s="326">
        <v>1.2</v>
      </c>
      <c r="B4428" s="327">
        <v>125</v>
      </c>
      <c r="C4428" s="327" t="s">
        <v>116</v>
      </c>
      <c r="D4428" s="327" t="s">
        <v>114</v>
      </c>
      <c r="E4428" s="328" t="s">
        <v>3768</v>
      </c>
      <c r="F4428" s="328">
        <v>5069.2392</v>
      </c>
      <c r="G4428" s="328">
        <v>10941.563999999998</v>
      </c>
      <c r="H4428" s="328">
        <v>9474.5819999999985</v>
      </c>
      <c r="I4428" s="329">
        <v>0.2012467068000916</v>
      </c>
      <c r="J4428" s="329">
        <v>0.91305921305612858</v>
      </c>
      <c r="K4428" s="329">
        <v>0.98558278942366739</v>
      </c>
    </row>
    <row r="4429" spans="1:11" ht="11.25" x14ac:dyDescent="0.15">
      <c r="A4429" s="326">
        <v>1.2</v>
      </c>
      <c r="B4429" s="327">
        <v>125</v>
      </c>
      <c r="C4429" s="327" t="s">
        <v>116</v>
      </c>
      <c r="D4429" s="327" t="s">
        <v>113</v>
      </c>
      <c r="E4429" s="328" t="s">
        <v>3769</v>
      </c>
      <c r="F4429" s="328">
        <v>1974.9587999999999</v>
      </c>
      <c r="G4429" s="328">
        <v>10183.027200000002</v>
      </c>
      <c r="H4429" s="328">
        <v>9341.7072000000007</v>
      </c>
      <c r="I4429" s="329">
        <v>7.8405050321133152E-2</v>
      </c>
      <c r="J4429" s="329">
        <v>0.84976030865067886</v>
      </c>
      <c r="K4429" s="329">
        <v>0.97176063705556182</v>
      </c>
    </row>
    <row r="4430" spans="1:11" ht="11.25" x14ac:dyDescent="0.15">
      <c r="A4430" s="326">
        <v>1.2250000000000001</v>
      </c>
      <c r="B4430" s="327">
        <v>125</v>
      </c>
      <c r="C4430" s="327" t="s">
        <v>116</v>
      </c>
      <c r="D4430" s="327" t="s">
        <v>79</v>
      </c>
      <c r="E4430" s="328" t="s">
        <v>3770</v>
      </c>
      <c r="F4430" s="328">
        <v>20609.106000000003</v>
      </c>
      <c r="G4430" s="328">
        <v>12427.588250000001</v>
      </c>
      <c r="H4430" s="328">
        <v>10024.562100000001</v>
      </c>
      <c r="I4430" s="329">
        <v>0.81817301353505067</v>
      </c>
      <c r="J4430" s="329">
        <v>1.0370659941970446</v>
      </c>
      <c r="K4430" s="329">
        <v>1.0427938538363781</v>
      </c>
    </row>
    <row r="4431" spans="1:11" ht="11.25" x14ac:dyDescent="0.15">
      <c r="A4431" s="326">
        <v>1.2250000000000001</v>
      </c>
      <c r="B4431" s="327">
        <v>125</v>
      </c>
      <c r="C4431" s="327" t="s">
        <v>116</v>
      </c>
      <c r="D4431" s="327" t="s">
        <v>114</v>
      </c>
      <c r="E4431" s="328" t="s">
        <v>3771</v>
      </c>
      <c r="F4431" s="328">
        <v>5380.3727250000011</v>
      </c>
      <c r="G4431" s="328">
        <v>11646.622575000001</v>
      </c>
      <c r="H4431" s="328">
        <v>9891.8321250000026</v>
      </c>
      <c r="I4431" s="329">
        <v>0.21359857949952038</v>
      </c>
      <c r="J4431" s="329">
        <v>0.97189542949172947</v>
      </c>
      <c r="K4431" s="329">
        <v>1.028986766726822</v>
      </c>
    </row>
    <row r="4432" spans="1:11" ht="11.25" x14ac:dyDescent="0.15">
      <c r="A4432" s="326">
        <v>1.2250000000000001</v>
      </c>
      <c r="B4432" s="327">
        <v>125</v>
      </c>
      <c r="C4432" s="327" t="s">
        <v>116</v>
      </c>
      <c r="D4432" s="327" t="s">
        <v>113</v>
      </c>
      <c r="E4432" s="328" t="s">
        <v>3772</v>
      </c>
      <c r="F4432" s="328">
        <v>2094.1277000000005</v>
      </c>
      <c r="G4432" s="328">
        <v>10801.749875000001</v>
      </c>
      <c r="H4432" s="328">
        <v>9754.3589500000016</v>
      </c>
      <c r="I4432" s="329">
        <v>8.3136006532074924E-2</v>
      </c>
      <c r="J4432" s="329">
        <v>0.90139190708902661</v>
      </c>
      <c r="K4432" s="329">
        <v>1.0146862735454416</v>
      </c>
    </row>
    <row r="4433" spans="1:11" ht="11.25" x14ac:dyDescent="0.15">
      <c r="A4433" s="326">
        <v>1.25</v>
      </c>
      <c r="B4433" s="327">
        <v>125</v>
      </c>
      <c r="C4433" s="327" t="s">
        <v>116</v>
      </c>
      <c r="D4433" s="327" t="s">
        <v>79</v>
      </c>
      <c r="E4433" s="328" t="s">
        <v>3773</v>
      </c>
      <c r="F4433" s="328">
        <v>21817.199999999997</v>
      </c>
      <c r="G4433" s="328">
        <v>13223.187500000002</v>
      </c>
      <c r="H4433" s="328">
        <v>10456.355000000001</v>
      </c>
      <c r="I4433" s="329">
        <v>0.8661338473826522</v>
      </c>
      <c r="J4433" s="329">
        <v>1.1034577116071926</v>
      </c>
      <c r="K4433" s="329">
        <v>1.0877106270339012</v>
      </c>
    </row>
    <row r="4434" spans="1:11" ht="11.25" x14ac:dyDescent="0.15">
      <c r="A4434" s="326">
        <v>1.25</v>
      </c>
      <c r="B4434" s="327">
        <v>125</v>
      </c>
      <c r="C4434" s="327" t="s">
        <v>116</v>
      </c>
      <c r="D4434" s="327" t="s">
        <v>114</v>
      </c>
      <c r="E4434" s="328" t="s">
        <v>3774</v>
      </c>
      <c r="F4434" s="328">
        <v>5707.0050000000001</v>
      </c>
      <c r="G4434" s="328">
        <v>12385.631250000002</v>
      </c>
      <c r="H4434" s="328">
        <v>10318.016250000001</v>
      </c>
      <c r="I4434" s="329">
        <v>0.22656574618567157</v>
      </c>
      <c r="J4434" s="329">
        <v>1.0335647373929722</v>
      </c>
      <c r="K4434" s="329">
        <v>1.0733200933818221</v>
      </c>
    </row>
    <row r="4435" spans="1:11" ht="11.25" x14ac:dyDescent="0.15">
      <c r="A4435" s="326">
        <v>1.25</v>
      </c>
      <c r="B4435" s="327">
        <v>125</v>
      </c>
      <c r="C4435" s="327" t="s">
        <v>116</v>
      </c>
      <c r="D4435" s="327" t="s">
        <v>113</v>
      </c>
      <c r="E4435" s="328" t="s">
        <v>3775</v>
      </c>
      <c r="F4435" s="328">
        <v>2219.1775000000002</v>
      </c>
      <c r="G4435" s="328">
        <v>11451.826250000002</v>
      </c>
      <c r="H4435" s="328">
        <v>10176.02375</v>
      </c>
      <c r="I4435" s="329">
        <v>8.8100432049026275E-2</v>
      </c>
      <c r="J4435" s="329">
        <v>0.95563993080701437</v>
      </c>
      <c r="K4435" s="329">
        <v>1.0585494824749513</v>
      </c>
    </row>
    <row r="4436" spans="1:11" ht="11.25" x14ac:dyDescent="0.15">
      <c r="A4436" s="326">
        <v>1.2749999999999999</v>
      </c>
      <c r="B4436" s="327">
        <v>125</v>
      </c>
      <c r="C4436" s="327" t="s">
        <v>116</v>
      </c>
      <c r="D4436" s="327" t="s">
        <v>79</v>
      </c>
      <c r="E4436" s="328" t="s">
        <v>3776</v>
      </c>
      <c r="F4436" s="328">
        <v>23079.552749999999</v>
      </c>
      <c r="G4436" s="328">
        <v>14056.517999999998</v>
      </c>
      <c r="H4436" s="328">
        <v>10896.171675</v>
      </c>
      <c r="I4436" s="329">
        <v>0.91624873124087292</v>
      </c>
      <c r="J4436" s="329">
        <v>1.1729980525077865</v>
      </c>
      <c r="K4436" s="329">
        <v>1.1334620644462896</v>
      </c>
    </row>
    <row r="4437" spans="1:11" ht="11.25" x14ac:dyDescent="0.15">
      <c r="A4437" s="326">
        <v>1.2749999999999999</v>
      </c>
      <c r="B4437" s="327">
        <v>125</v>
      </c>
      <c r="C4437" s="327" t="s">
        <v>116</v>
      </c>
      <c r="D4437" s="327" t="s">
        <v>114</v>
      </c>
      <c r="E4437" s="328" t="s">
        <v>3777</v>
      </c>
      <c r="F4437" s="328">
        <v>6049.7959499999997</v>
      </c>
      <c r="G4437" s="328">
        <v>13159.249499999998</v>
      </c>
      <c r="H4437" s="328">
        <v>10753.446900000001</v>
      </c>
      <c r="I4437" s="329">
        <v>0.24017440560903727</v>
      </c>
      <c r="J4437" s="329">
        <v>1.098122169086545</v>
      </c>
      <c r="K4437" s="329">
        <v>1.1186152794520425</v>
      </c>
    </row>
    <row r="4438" spans="1:11" ht="11.25" x14ac:dyDescent="0.15">
      <c r="A4438" s="326">
        <v>1.2749999999999999</v>
      </c>
      <c r="B4438" s="327">
        <v>125</v>
      </c>
      <c r="C4438" s="327" t="s">
        <v>116</v>
      </c>
      <c r="D4438" s="327" t="s">
        <v>113</v>
      </c>
      <c r="E4438" s="328" t="s">
        <v>3778</v>
      </c>
      <c r="F4438" s="328">
        <v>2350.3655999999996</v>
      </c>
      <c r="G4438" s="328">
        <v>12134.353499999999</v>
      </c>
      <c r="H4438" s="328">
        <v>10607.139375000001</v>
      </c>
      <c r="I4438" s="329">
        <v>9.3308545545892033E-2</v>
      </c>
      <c r="J4438" s="329">
        <v>1.0125959376241715</v>
      </c>
      <c r="K4438" s="329">
        <v>1.1033958028985467</v>
      </c>
    </row>
    <row r="4439" spans="1:11" ht="11.25" x14ac:dyDescent="0.15">
      <c r="A4439" s="326">
        <v>1.3</v>
      </c>
      <c r="B4439" s="327">
        <v>125</v>
      </c>
      <c r="C4439" s="327" t="s">
        <v>116</v>
      </c>
      <c r="D4439" s="327" t="s">
        <v>79</v>
      </c>
      <c r="E4439" s="328" t="s">
        <v>3779</v>
      </c>
      <c r="F4439" s="328">
        <v>24397.971000000005</v>
      </c>
      <c r="G4439" s="328">
        <v>14922.752000000002</v>
      </c>
      <c r="H4439" s="328">
        <v>11347.152700000002</v>
      </c>
      <c r="I4439" s="329">
        <v>0.96858939234000618</v>
      </c>
      <c r="J4439" s="329">
        <v>1.2452841474721323</v>
      </c>
      <c r="K4439" s="329">
        <v>1.1803748608732609</v>
      </c>
    </row>
    <row r="4440" spans="1:11" ht="11.25" x14ac:dyDescent="0.15">
      <c r="A4440" s="326">
        <v>1.3</v>
      </c>
      <c r="B4440" s="327">
        <v>125</v>
      </c>
      <c r="C4440" s="327" t="s">
        <v>116</v>
      </c>
      <c r="D4440" s="327" t="s">
        <v>114</v>
      </c>
      <c r="E4440" s="328" t="s">
        <v>3780</v>
      </c>
      <c r="F4440" s="328">
        <v>6409.4341999999997</v>
      </c>
      <c r="G4440" s="328">
        <v>13968.019000000002</v>
      </c>
      <c r="H4440" s="328">
        <v>11197.9491</v>
      </c>
      <c r="I4440" s="329">
        <v>0.25445189589827988</v>
      </c>
      <c r="J4440" s="329">
        <v>1.165612926643125</v>
      </c>
      <c r="K4440" s="329">
        <v>1.1648541233589247</v>
      </c>
    </row>
    <row r="4441" spans="1:11" ht="11.25" x14ac:dyDescent="0.15">
      <c r="A4441" s="326">
        <v>1.3</v>
      </c>
      <c r="B4441" s="327">
        <v>125</v>
      </c>
      <c r="C4441" s="327" t="s">
        <v>116</v>
      </c>
      <c r="D4441" s="327" t="s">
        <v>113</v>
      </c>
      <c r="E4441" s="328" t="s">
        <v>3781</v>
      </c>
      <c r="F4441" s="328">
        <v>2487.9633999999996</v>
      </c>
      <c r="G4441" s="328">
        <v>12849.775900000002</v>
      </c>
      <c r="H4441" s="328">
        <v>11047.142600000003</v>
      </c>
      <c r="I4441" s="329">
        <v>9.8771121490806538E-2</v>
      </c>
      <c r="J4441" s="329">
        <v>1.0722970017084954</v>
      </c>
      <c r="K4441" s="329">
        <v>1.1491666459659149</v>
      </c>
    </row>
    <row r="4442" spans="1:11" ht="11.25" x14ac:dyDescent="0.15">
      <c r="A4442" s="326">
        <v>1.325</v>
      </c>
      <c r="B4442" s="327">
        <v>125</v>
      </c>
      <c r="C4442" s="327" t="s">
        <v>116</v>
      </c>
      <c r="D4442" s="327" t="s">
        <v>79</v>
      </c>
      <c r="E4442" s="328" t="s">
        <v>3782</v>
      </c>
      <c r="F4442" s="328">
        <v>25774.390250000004</v>
      </c>
      <c r="G4442" s="328">
        <v>15826.767249999999</v>
      </c>
      <c r="H4442" s="328">
        <v>11806.755675</v>
      </c>
      <c r="I4442" s="329">
        <v>1.0232326692322766</v>
      </c>
      <c r="J4442" s="329">
        <v>1.3207230383615642</v>
      </c>
      <c r="K4442" s="329">
        <v>1.2281845460000469</v>
      </c>
    </row>
    <row r="4443" spans="1:11" ht="11.25" x14ac:dyDescent="0.15">
      <c r="A4443" s="326">
        <v>1.325</v>
      </c>
      <c r="B4443" s="327">
        <v>125</v>
      </c>
      <c r="C4443" s="327" t="s">
        <v>116</v>
      </c>
      <c r="D4443" s="327" t="s">
        <v>114</v>
      </c>
      <c r="E4443" s="328" t="s">
        <v>3783</v>
      </c>
      <c r="F4443" s="328">
        <v>6786.6380749999998</v>
      </c>
      <c r="G4443" s="328">
        <v>14813.155499999999</v>
      </c>
      <c r="H4443" s="328">
        <v>11651.416649999999</v>
      </c>
      <c r="I4443" s="329">
        <v>0.26942673425982011</v>
      </c>
      <c r="J4443" s="329">
        <v>1.2361384628109897</v>
      </c>
      <c r="K4443" s="329">
        <v>1.2120255777663187</v>
      </c>
    </row>
    <row r="4444" spans="1:11" ht="11.25" x14ac:dyDescent="0.15">
      <c r="A4444" s="326">
        <v>1.325</v>
      </c>
      <c r="B4444" s="327">
        <v>125</v>
      </c>
      <c r="C4444" s="327" t="s">
        <v>116</v>
      </c>
      <c r="D4444" s="327" t="s">
        <v>113</v>
      </c>
      <c r="E4444" s="328" t="s">
        <v>3784</v>
      </c>
      <c r="F4444" s="328">
        <v>2632.2569250000001</v>
      </c>
      <c r="G4444" s="328">
        <v>13598.077499999998</v>
      </c>
      <c r="H4444" s="328">
        <v>11496.019324999999</v>
      </c>
      <c r="I4444" s="329">
        <v>0.10449951495837595</v>
      </c>
      <c r="J4444" s="329">
        <v>1.1347417920533343</v>
      </c>
      <c r="K4444" s="329">
        <v>1.1958605449403348</v>
      </c>
    </row>
    <row r="4445" spans="1:11" ht="11.25" x14ac:dyDescent="0.15">
      <c r="A4445" s="326">
        <v>1.35</v>
      </c>
      <c r="B4445" s="327">
        <v>125</v>
      </c>
      <c r="C4445" s="327" t="s">
        <v>116</v>
      </c>
      <c r="D4445" s="327" t="s">
        <v>79</v>
      </c>
      <c r="E4445" s="328" t="s">
        <v>3785</v>
      </c>
      <c r="F4445" s="328">
        <v>27210.721500000003</v>
      </c>
      <c r="G4445" s="328">
        <v>16766.649000000001</v>
      </c>
      <c r="H4445" s="328">
        <v>12276.053550000001</v>
      </c>
      <c r="I4445" s="329">
        <v>1.0802544278300084</v>
      </c>
      <c r="J4445" s="329">
        <v>1.3991549417915328</v>
      </c>
      <c r="K4445" s="329">
        <v>1.2770027322496462</v>
      </c>
    </row>
    <row r="4446" spans="1:11" ht="11.25" x14ac:dyDescent="0.15">
      <c r="A4446" s="326">
        <v>1.35</v>
      </c>
      <c r="B4446" s="327">
        <v>125</v>
      </c>
      <c r="C4446" s="327" t="s">
        <v>116</v>
      </c>
      <c r="D4446" s="327" t="s">
        <v>114</v>
      </c>
      <c r="E4446" s="328" t="s">
        <v>3786</v>
      </c>
      <c r="F4446" s="328">
        <v>7182.1525499999998</v>
      </c>
      <c r="G4446" s="328">
        <v>15695.477999999999</v>
      </c>
      <c r="H4446" s="328">
        <v>12114.449100000002</v>
      </c>
      <c r="I4446" s="329">
        <v>0.28512849589409395</v>
      </c>
      <c r="J4446" s="329">
        <v>1.3097671220695488</v>
      </c>
      <c r="K4446" s="329">
        <v>1.2601920101920105</v>
      </c>
    </row>
    <row r="4447" spans="1:11" ht="11.25" x14ac:dyDescent="0.15">
      <c r="A4447" s="326">
        <v>1.35</v>
      </c>
      <c r="B4447" s="327">
        <v>125</v>
      </c>
      <c r="C4447" s="327" t="s">
        <v>116</v>
      </c>
      <c r="D4447" s="327" t="s">
        <v>113</v>
      </c>
      <c r="E4447" s="328" t="s">
        <v>3787</v>
      </c>
      <c r="F4447" s="328">
        <v>2783.5434</v>
      </c>
      <c r="G4447" s="328">
        <v>14380.632000000001</v>
      </c>
      <c r="H4447" s="328">
        <v>11953.761300000002</v>
      </c>
      <c r="I4447" s="329">
        <v>0.11050552565858997</v>
      </c>
      <c r="J4447" s="329">
        <v>1.2000449421279977</v>
      </c>
      <c r="K4447" s="329">
        <v>1.2434766416247902</v>
      </c>
    </row>
    <row r="4448" spans="1:11" ht="11.25" x14ac:dyDescent="0.15">
      <c r="A4448" s="326">
        <v>1.375</v>
      </c>
      <c r="B4448" s="327">
        <v>125</v>
      </c>
      <c r="C4448" s="327" t="s">
        <v>116</v>
      </c>
      <c r="D4448" s="327" t="s">
        <v>79</v>
      </c>
      <c r="E4448" s="328" t="s">
        <v>3788</v>
      </c>
      <c r="F4448" s="328">
        <v>28708.982499999998</v>
      </c>
      <c r="G4448" s="328">
        <v>17743.907500000001</v>
      </c>
      <c r="H4448" s="328">
        <v>12755.326374999999</v>
      </c>
      <c r="I4448" s="329">
        <v>1.1397347719765247</v>
      </c>
      <c r="J4448" s="329">
        <v>1.4807058861503477</v>
      </c>
      <c r="K4448" s="329">
        <v>1.3268585515099005</v>
      </c>
    </row>
    <row r="4449" spans="1:11" ht="11.25" x14ac:dyDescent="0.15">
      <c r="A4449" s="326">
        <v>1.375</v>
      </c>
      <c r="B4449" s="327">
        <v>125</v>
      </c>
      <c r="C4449" s="327" t="s">
        <v>116</v>
      </c>
      <c r="D4449" s="327" t="s">
        <v>114</v>
      </c>
      <c r="E4449" s="328" t="s">
        <v>3789</v>
      </c>
      <c r="F4449" s="328">
        <v>7596.7581250000003</v>
      </c>
      <c r="G4449" s="328">
        <v>16613.533749999999</v>
      </c>
      <c r="H4449" s="328">
        <v>12586.304499999998</v>
      </c>
      <c r="I4449" s="329">
        <v>0.30158816632939489</v>
      </c>
      <c r="J4449" s="329">
        <v>1.3863776743303273</v>
      </c>
      <c r="K4449" s="329">
        <v>1.3092762401175753</v>
      </c>
    </row>
    <row r="4450" spans="1:11" ht="11.25" x14ac:dyDescent="0.15">
      <c r="A4450" s="326">
        <v>1.375</v>
      </c>
      <c r="B4450" s="327">
        <v>125</v>
      </c>
      <c r="C4450" s="327" t="s">
        <v>116</v>
      </c>
      <c r="D4450" s="327" t="s">
        <v>113</v>
      </c>
      <c r="E4450" s="328" t="s">
        <v>3790</v>
      </c>
      <c r="F4450" s="328">
        <v>2942.1328749999998</v>
      </c>
      <c r="G4450" s="328">
        <v>15196.61</v>
      </c>
      <c r="H4450" s="328">
        <v>12421.068000000001</v>
      </c>
      <c r="I4450" s="329">
        <v>0.11680146244865217</v>
      </c>
      <c r="J4450" s="329">
        <v>1.2681372395866712</v>
      </c>
      <c r="K4450" s="329">
        <v>1.2920876981233638</v>
      </c>
    </row>
    <row r="4451" spans="1:11" ht="11.25" x14ac:dyDescent="0.15">
      <c r="A4451" s="326">
        <v>1.4</v>
      </c>
      <c r="B4451" s="327">
        <v>125</v>
      </c>
      <c r="C4451" s="327" t="s">
        <v>116</v>
      </c>
      <c r="D4451" s="327" t="s">
        <v>79</v>
      </c>
      <c r="E4451" s="328" t="s">
        <v>3791</v>
      </c>
      <c r="F4451" s="328">
        <v>30271.247999999996</v>
      </c>
      <c r="G4451" s="328">
        <v>18759.748</v>
      </c>
      <c r="H4451" s="328">
        <v>13243.745199999998</v>
      </c>
      <c r="I4451" s="329">
        <v>1.2017560683916551</v>
      </c>
      <c r="J4451" s="329">
        <v>1.5654764479750138</v>
      </c>
      <c r="K4451" s="329">
        <v>1.377665773184749</v>
      </c>
    </row>
    <row r="4452" spans="1:11" ht="11.25" x14ac:dyDescent="0.15">
      <c r="A4452" s="326">
        <v>1.4</v>
      </c>
      <c r="B4452" s="327">
        <v>125</v>
      </c>
      <c r="C4452" s="327" t="s">
        <v>116</v>
      </c>
      <c r="D4452" s="327" t="s">
        <v>114</v>
      </c>
      <c r="E4452" s="328" t="s">
        <v>3792</v>
      </c>
      <c r="F4452" s="328">
        <v>8031.266599999999</v>
      </c>
      <c r="G4452" s="328">
        <v>17570</v>
      </c>
      <c r="H4452" s="328">
        <v>13067.977999999997</v>
      </c>
      <c r="I4452" s="329">
        <v>0.31883797369111488</v>
      </c>
      <c r="J4452" s="329">
        <v>1.4661935326061413</v>
      </c>
      <c r="K4452" s="329">
        <v>1.3593817869080786</v>
      </c>
    </row>
    <row r="4453" spans="1:11" ht="11.25" x14ac:dyDescent="0.15">
      <c r="A4453" s="326">
        <v>1.4</v>
      </c>
      <c r="B4453" s="327">
        <v>125</v>
      </c>
      <c r="C4453" s="327" t="s">
        <v>116</v>
      </c>
      <c r="D4453" s="327" t="s">
        <v>113</v>
      </c>
      <c r="E4453" s="328" t="s">
        <v>3793</v>
      </c>
      <c r="F4453" s="328">
        <v>3108.3584000000001</v>
      </c>
      <c r="G4453" s="328">
        <v>16048.647999999999</v>
      </c>
      <c r="H4453" s="328">
        <v>12897.576999999999</v>
      </c>
      <c r="I4453" s="329">
        <v>0.12340054727628594</v>
      </c>
      <c r="J4453" s="329">
        <v>1.3392386969079388</v>
      </c>
      <c r="K4453" s="329">
        <v>1.3416560135810252</v>
      </c>
    </row>
    <row r="4454" spans="1:11" ht="11.25" x14ac:dyDescent="0.15">
      <c r="A4454" s="326">
        <v>0.9</v>
      </c>
      <c r="B4454" s="327">
        <v>140</v>
      </c>
      <c r="C4454" s="327" t="s">
        <v>116</v>
      </c>
      <c r="D4454" s="327" t="s">
        <v>79</v>
      </c>
      <c r="E4454" s="328" t="s">
        <v>3794</v>
      </c>
      <c r="F4454" s="328">
        <v>12069.433799999999</v>
      </c>
      <c r="G4454" s="328">
        <v>5170.7165400000004</v>
      </c>
      <c r="H4454" s="328">
        <v>5266.7265600000001</v>
      </c>
      <c r="I4454" s="329">
        <v>0.47915154707864549</v>
      </c>
      <c r="J4454" s="329">
        <v>0.43148953613475272</v>
      </c>
      <c r="K4454" s="329">
        <v>0.54786533634270274</v>
      </c>
    </row>
    <row r="4455" spans="1:11" ht="11.25" x14ac:dyDescent="0.15">
      <c r="A4455" s="326">
        <v>0.9</v>
      </c>
      <c r="B4455" s="327">
        <v>140</v>
      </c>
      <c r="C4455" s="327" t="s">
        <v>116</v>
      </c>
      <c r="D4455" s="327" t="s">
        <v>114</v>
      </c>
      <c r="E4455" s="328" t="s">
        <v>3795</v>
      </c>
      <c r="F4455" s="328">
        <v>3380.3447400000005</v>
      </c>
      <c r="G4455" s="328">
        <v>5034.4315200000001</v>
      </c>
      <c r="H4455" s="328">
        <v>5187.0285000000003</v>
      </c>
      <c r="I4455" s="329">
        <v>0.13419829286690832</v>
      </c>
      <c r="J4455" s="329">
        <v>0.42011672936667649</v>
      </c>
      <c r="K4455" s="329">
        <v>0.53957483484232471</v>
      </c>
    </row>
    <row r="4456" spans="1:11" ht="11.25" x14ac:dyDescent="0.15">
      <c r="A4456" s="326">
        <v>0.9</v>
      </c>
      <c r="B4456" s="327">
        <v>140</v>
      </c>
      <c r="C4456" s="327" t="s">
        <v>116</v>
      </c>
      <c r="D4456" s="327" t="s">
        <v>113</v>
      </c>
      <c r="E4456" s="328" t="s">
        <v>3796</v>
      </c>
      <c r="F4456" s="328">
        <v>1395.9388800000002</v>
      </c>
      <c r="G4456" s="328">
        <v>4956.8229000000001</v>
      </c>
      <c r="H4456" s="328">
        <v>5100.72372</v>
      </c>
      <c r="I4456" s="329">
        <v>5.5418198157666007E-2</v>
      </c>
      <c r="J4456" s="329">
        <v>0.41364039147717807</v>
      </c>
      <c r="K4456" s="329">
        <v>0.5305970766876118</v>
      </c>
    </row>
    <row r="4457" spans="1:11" ht="11.25" x14ac:dyDescent="0.15">
      <c r="A4457" s="326">
        <v>0.92500000000000004</v>
      </c>
      <c r="B4457" s="327">
        <v>140</v>
      </c>
      <c r="C4457" s="327" t="s">
        <v>116</v>
      </c>
      <c r="D4457" s="327" t="s">
        <v>79</v>
      </c>
      <c r="E4457" s="328" t="s">
        <v>3797</v>
      </c>
      <c r="F4457" s="328">
        <v>12903.801800000001</v>
      </c>
      <c r="G4457" s="328">
        <v>5578.4271000000008</v>
      </c>
      <c r="H4457" s="328">
        <v>5578.760655000001</v>
      </c>
      <c r="I4457" s="329">
        <v>0.51227561276869604</v>
      </c>
      <c r="J4457" s="329">
        <v>0.46551244941006453</v>
      </c>
      <c r="K4457" s="329">
        <v>0.58032433387371685</v>
      </c>
    </row>
    <row r="4458" spans="1:11" ht="11.25" x14ac:dyDescent="0.15">
      <c r="A4458" s="326">
        <v>0.92500000000000004</v>
      </c>
      <c r="B4458" s="327">
        <v>140</v>
      </c>
      <c r="C4458" s="327" t="s">
        <v>116</v>
      </c>
      <c r="D4458" s="327" t="s">
        <v>114</v>
      </c>
      <c r="E4458" s="328" t="s">
        <v>3798</v>
      </c>
      <c r="F4458" s="328">
        <v>3617.9898700000003</v>
      </c>
      <c r="G4458" s="328">
        <v>5405.1263150000004</v>
      </c>
      <c r="H4458" s="328">
        <v>5495.8225650000004</v>
      </c>
      <c r="I4458" s="329">
        <v>0.14363270657529667</v>
      </c>
      <c r="J4458" s="329">
        <v>0.45105072543951424</v>
      </c>
      <c r="K4458" s="329">
        <v>0.57169679187854783</v>
      </c>
    </row>
    <row r="4459" spans="1:11" ht="11.25" x14ac:dyDescent="0.15">
      <c r="A4459" s="326">
        <v>0.92500000000000004</v>
      </c>
      <c r="B4459" s="327">
        <v>140</v>
      </c>
      <c r="C4459" s="327" t="s">
        <v>116</v>
      </c>
      <c r="D4459" s="327" t="s">
        <v>113</v>
      </c>
      <c r="E4459" s="328" t="s">
        <v>3799</v>
      </c>
      <c r="F4459" s="328">
        <v>1492.0893800000001</v>
      </c>
      <c r="G4459" s="328">
        <v>5286.6436199999998</v>
      </c>
      <c r="H4459" s="328">
        <v>5405.9516000000003</v>
      </c>
      <c r="I4459" s="329">
        <v>5.9235333376335936E-2</v>
      </c>
      <c r="J4459" s="329">
        <v>0.44116349942160038</v>
      </c>
      <c r="K4459" s="329">
        <v>0.56234806532017334</v>
      </c>
    </row>
    <row r="4460" spans="1:11" ht="11.25" x14ac:dyDescent="0.15">
      <c r="A4460" s="326">
        <v>0.95</v>
      </c>
      <c r="B4460" s="327">
        <v>140</v>
      </c>
      <c r="C4460" s="327" t="s">
        <v>116</v>
      </c>
      <c r="D4460" s="327" t="s">
        <v>79</v>
      </c>
      <c r="E4460" s="328" t="s">
        <v>3800</v>
      </c>
      <c r="F4460" s="328">
        <v>13780.016</v>
      </c>
      <c r="G4460" s="328">
        <v>6012.5222599999988</v>
      </c>
      <c r="H4460" s="328">
        <v>5899.9472599999999</v>
      </c>
      <c r="I4460" s="329">
        <v>0.54706095535057231</v>
      </c>
      <c r="J4460" s="329">
        <v>0.50173712306559237</v>
      </c>
      <c r="K4460" s="329">
        <v>0.61373541101478923</v>
      </c>
    </row>
    <row r="4461" spans="1:11" ht="11.25" x14ac:dyDescent="0.15">
      <c r="A4461" s="326">
        <v>0.95</v>
      </c>
      <c r="B4461" s="327">
        <v>140</v>
      </c>
      <c r="C4461" s="327" t="s">
        <v>116</v>
      </c>
      <c r="D4461" s="327" t="s">
        <v>114</v>
      </c>
      <c r="E4461" s="328" t="s">
        <v>3801</v>
      </c>
      <c r="F4461" s="328">
        <v>3868.2842899999996</v>
      </c>
      <c r="G4461" s="328">
        <v>5799.8214399999997</v>
      </c>
      <c r="H4461" s="328">
        <v>5813.5730699999995</v>
      </c>
      <c r="I4461" s="329">
        <v>0.15356929188289842</v>
      </c>
      <c r="J4461" s="329">
        <v>0.48398751767777104</v>
      </c>
      <c r="K4461" s="329">
        <v>0.60475043256250394</v>
      </c>
    </row>
    <row r="4462" spans="1:11" ht="11.25" x14ac:dyDescent="0.15">
      <c r="A4462" s="326">
        <v>0.95</v>
      </c>
      <c r="B4462" s="327">
        <v>140</v>
      </c>
      <c r="C4462" s="327" t="s">
        <v>116</v>
      </c>
      <c r="D4462" s="327" t="s">
        <v>113</v>
      </c>
      <c r="E4462" s="328" t="s">
        <v>3802</v>
      </c>
      <c r="F4462" s="328">
        <v>1593.23018</v>
      </c>
      <c r="G4462" s="328">
        <v>5636.1064200000001</v>
      </c>
      <c r="H4462" s="328">
        <v>5720.1884499999996</v>
      </c>
      <c r="I4462" s="329">
        <v>6.3250581448103138E-2</v>
      </c>
      <c r="J4462" s="329">
        <v>0.47032571326601891</v>
      </c>
      <c r="K4462" s="329">
        <v>0.5950362019749309</v>
      </c>
    </row>
    <row r="4463" spans="1:11" ht="11.25" x14ac:dyDescent="0.15">
      <c r="A4463" s="326">
        <v>0.97499999999999998</v>
      </c>
      <c r="B4463" s="327">
        <v>140</v>
      </c>
      <c r="C4463" s="327" t="s">
        <v>116</v>
      </c>
      <c r="D4463" s="327" t="s">
        <v>79</v>
      </c>
      <c r="E4463" s="328" t="s">
        <v>3803</v>
      </c>
      <c r="F4463" s="328">
        <v>14699.567999999999</v>
      </c>
      <c r="G4463" s="328">
        <v>6473.5033350000003</v>
      </c>
      <c r="H4463" s="328">
        <v>6230.1916949999995</v>
      </c>
      <c r="I4463" s="329">
        <v>0.5835667907294666</v>
      </c>
      <c r="J4463" s="329">
        <v>0.54020539118277111</v>
      </c>
      <c r="K4463" s="329">
        <v>0.64808871878487795</v>
      </c>
    </row>
    <row r="4464" spans="1:11" ht="11.25" x14ac:dyDescent="0.15">
      <c r="A4464" s="326">
        <v>0.97499999999999998</v>
      </c>
      <c r="B4464" s="327">
        <v>140</v>
      </c>
      <c r="C4464" s="327" t="s">
        <v>116</v>
      </c>
      <c r="D4464" s="327" t="s">
        <v>114</v>
      </c>
      <c r="E4464" s="328" t="s">
        <v>3804</v>
      </c>
      <c r="F4464" s="328">
        <v>4131.7631549999996</v>
      </c>
      <c r="G4464" s="328">
        <v>6219.9588750000003</v>
      </c>
      <c r="H4464" s="328">
        <v>6140.5369350000001</v>
      </c>
      <c r="I4464" s="329">
        <v>0.16402929422263332</v>
      </c>
      <c r="J4464" s="329">
        <v>0.51904743742749981</v>
      </c>
      <c r="K4464" s="329">
        <v>0.63876248270967073</v>
      </c>
    </row>
    <row r="4465" spans="1:11" ht="11.25" x14ac:dyDescent="0.15">
      <c r="A4465" s="326">
        <v>0.97499999999999998</v>
      </c>
      <c r="B4465" s="327">
        <v>140</v>
      </c>
      <c r="C4465" s="327" t="s">
        <v>116</v>
      </c>
      <c r="D4465" s="327" t="s">
        <v>113</v>
      </c>
      <c r="E4465" s="328" t="s">
        <v>3805</v>
      </c>
      <c r="F4465" s="328">
        <v>1699.5685199999998</v>
      </c>
      <c r="G4465" s="328">
        <v>6006.39624</v>
      </c>
      <c r="H4465" s="328">
        <v>6043.5363299999999</v>
      </c>
      <c r="I4465" s="329">
        <v>6.747216971554737E-2</v>
      </c>
      <c r="J4465" s="329">
        <v>0.50122591470448752</v>
      </c>
      <c r="K4465" s="329">
        <v>0.6286721033291679</v>
      </c>
    </row>
    <row r="4466" spans="1:11" ht="11.25" x14ac:dyDescent="0.15">
      <c r="A4466" s="326">
        <v>1</v>
      </c>
      <c r="B4466" s="327">
        <v>140</v>
      </c>
      <c r="C4466" s="327" t="s">
        <v>116</v>
      </c>
      <c r="D4466" s="327" t="s">
        <v>79</v>
      </c>
      <c r="E4466" s="328" t="s">
        <v>3806</v>
      </c>
      <c r="F4466" s="328">
        <v>15663.973999999998</v>
      </c>
      <c r="G4466" s="328">
        <v>6962.7847999999994</v>
      </c>
      <c r="H4466" s="328">
        <v>6569.4710000000005</v>
      </c>
      <c r="I4466" s="329">
        <v>0.62185331142043121</v>
      </c>
      <c r="J4466" s="329">
        <v>0.58103528985135711</v>
      </c>
      <c r="K4466" s="329">
        <v>0.68338186879567786</v>
      </c>
    </row>
    <row r="4467" spans="1:11" ht="11.25" x14ac:dyDescent="0.15">
      <c r="A4467" s="326">
        <v>1</v>
      </c>
      <c r="B4467" s="327">
        <v>140</v>
      </c>
      <c r="C4467" s="327" t="s">
        <v>116</v>
      </c>
      <c r="D4467" s="327" t="s">
        <v>114</v>
      </c>
      <c r="E4467" s="328" t="s">
        <v>3807</v>
      </c>
      <c r="F4467" s="328">
        <v>4408.9774000000007</v>
      </c>
      <c r="G4467" s="328">
        <v>6665.7846000000009</v>
      </c>
      <c r="H4467" s="328">
        <v>6476.3447999999999</v>
      </c>
      <c r="I4467" s="329">
        <v>0.17503458548691692</v>
      </c>
      <c r="J4467" s="329">
        <v>0.55625101139815691</v>
      </c>
      <c r="K4467" s="329">
        <v>0.67369452005940356</v>
      </c>
    </row>
    <row r="4468" spans="1:11" ht="11.25" x14ac:dyDescent="0.15">
      <c r="A4468" s="326">
        <v>1</v>
      </c>
      <c r="B4468" s="327">
        <v>140</v>
      </c>
      <c r="C4468" s="327" t="s">
        <v>116</v>
      </c>
      <c r="D4468" s="327" t="s">
        <v>113</v>
      </c>
      <c r="E4468" s="328" t="s">
        <v>3808</v>
      </c>
      <c r="F4468" s="328">
        <v>1811.3201999999999</v>
      </c>
      <c r="G4468" s="328">
        <v>6398.0990000000002</v>
      </c>
      <c r="H4468" s="328">
        <v>6375.7532000000001</v>
      </c>
      <c r="I4468" s="329">
        <v>7.190866534972018E-2</v>
      </c>
      <c r="J4468" s="329">
        <v>0.53391299799509506</v>
      </c>
      <c r="K4468" s="329">
        <v>0.66323059144275431</v>
      </c>
    </row>
    <row r="4469" spans="1:11" ht="11.25" x14ac:dyDescent="0.15">
      <c r="A4469" s="326">
        <v>1.0249999999999999</v>
      </c>
      <c r="B4469" s="327">
        <v>140</v>
      </c>
      <c r="C4469" s="327" t="s">
        <v>116</v>
      </c>
      <c r="D4469" s="327" t="s">
        <v>79</v>
      </c>
      <c r="E4469" s="328" t="s">
        <v>3809</v>
      </c>
      <c r="F4469" s="328">
        <v>16674.786099999998</v>
      </c>
      <c r="G4469" s="328">
        <v>7481.1820549999993</v>
      </c>
      <c r="H4469" s="328">
        <v>6917.9152399999994</v>
      </c>
      <c r="I4469" s="329">
        <v>0.6619821351537214</v>
      </c>
      <c r="J4469" s="329">
        <v>0.62429486313546501</v>
      </c>
      <c r="K4469" s="329">
        <v>0.71962839091325603</v>
      </c>
    </row>
    <row r="4470" spans="1:11" ht="11.25" x14ac:dyDescent="0.15">
      <c r="A4470" s="326">
        <v>1.0249999999999999</v>
      </c>
      <c r="B4470" s="327">
        <v>140</v>
      </c>
      <c r="C4470" s="327" t="s">
        <v>116</v>
      </c>
      <c r="D4470" s="327" t="s">
        <v>114</v>
      </c>
      <c r="E4470" s="328" t="s">
        <v>3810</v>
      </c>
      <c r="F4470" s="328">
        <v>4700.5005550000005</v>
      </c>
      <c r="G4470" s="328">
        <v>7139.5179849999995</v>
      </c>
      <c r="H4470" s="328">
        <v>6821.2696299999998</v>
      </c>
      <c r="I4470" s="329">
        <v>0.18660793458035141</v>
      </c>
      <c r="J4470" s="329">
        <v>0.59578344311509557</v>
      </c>
      <c r="K4470" s="329">
        <v>0.70957493949034878</v>
      </c>
    </row>
    <row r="4471" spans="1:11" ht="11.25" x14ac:dyDescent="0.15">
      <c r="A4471" s="326">
        <v>1.0249999999999999</v>
      </c>
      <c r="B4471" s="327">
        <v>140</v>
      </c>
      <c r="C4471" s="327" t="s">
        <v>116</v>
      </c>
      <c r="D4471" s="327" t="s">
        <v>113</v>
      </c>
      <c r="E4471" s="328" t="s">
        <v>3811</v>
      </c>
      <c r="F4471" s="328">
        <v>1928.7086749999996</v>
      </c>
      <c r="G4471" s="328">
        <v>6812.9736899999998</v>
      </c>
      <c r="H4471" s="328">
        <v>6717.1015449999986</v>
      </c>
      <c r="I4471" s="329">
        <v>7.6568939422017826E-2</v>
      </c>
      <c r="J4471" s="329">
        <v>0.56853374855400096</v>
      </c>
      <c r="K4471" s="329">
        <v>0.69873897102406479</v>
      </c>
    </row>
    <row r="4472" spans="1:11" ht="11.25" x14ac:dyDescent="0.15">
      <c r="A4472" s="326">
        <v>1.05</v>
      </c>
      <c r="B4472" s="327">
        <v>140</v>
      </c>
      <c r="C4472" s="327" t="s">
        <v>116</v>
      </c>
      <c r="D4472" s="327" t="s">
        <v>79</v>
      </c>
      <c r="E4472" s="328" t="s">
        <v>3812</v>
      </c>
      <c r="F4472" s="328">
        <v>17733.611700000001</v>
      </c>
      <c r="G4472" s="328">
        <v>8028.6357900000003</v>
      </c>
      <c r="H4472" s="328">
        <v>7275.2584800000004</v>
      </c>
      <c r="I4472" s="329">
        <v>0.70401707504679878</v>
      </c>
      <c r="J4472" s="329">
        <v>0.66997916169312455</v>
      </c>
      <c r="K4472" s="329">
        <v>0.75680062154684946</v>
      </c>
    </row>
    <row r="4473" spans="1:11" ht="11.25" x14ac:dyDescent="0.15">
      <c r="A4473" s="326">
        <v>1.05</v>
      </c>
      <c r="B4473" s="327">
        <v>140</v>
      </c>
      <c r="C4473" s="327" t="s">
        <v>116</v>
      </c>
      <c r="D4473" s="327" t="s">
        <v>114</v>
      </c>
      <c r="E4473" s="328" t="s">
        <v>3813</v>
      </c>
      <c r="F4473" s="328">
        <v>5006.9281499999997</v>
      </c>
      <c r="G4473" s="328">
        <v>7641.4997400000002</v>
      </c>
      <c r="H4473" s="328">
        <v>7175.2478700000001</v>
      </c>
      <c r="I4473" s="329">
        <v>0.19877298379847119</v>
      </c>
      <c r="J4473" s="329">
        <v>0.63767316438244226</v>
      </c>
      <c r="K4473" s="329">
        <v>0.74639712976475681</v>
      </c>
    </row>
    <row r="4474" spans="1:11" ht="11.25" x14ac:dyDescent="0.15">
      <c r="A4474" s="326">
        <v>1.05</v>
      </c>
      <c r="B4474" s="327">
        <v>140</v>
      </c>
      <c r="C4474" s="327" t="s">
        <v>116</v>
      </c>
      <c r="D4474" s="327" t="s">
        <v>113</v>
      </c>
      <c r="E4474" s="328" t="s">
        <v>3814</v>
      </c>
      <c r="F4474" s="328">
        <v>2051.9654399999999</v>
      </c>
      <c r="G4474" s="328">
        <v>7251.8071499999996</v>
      </c>
      <c r="H4474" s="328">
        <v>7067.2591499999999</v>
      </c>
      <c r="I4474" s="329">
        <v>8.1462182188522678E-2</v>
      </c>
      <c r="J4474" s="329">
        <v>0.60515382715065302</v>
      </c>
      <c r="K4474" s="329">
        <v>0.73516372401831942</v>
      </c>
    </row>
    <row r="4475" spans="1:11" ht="11.25" x14ac:dyDescent="0.15">
      <c r="A4475" s="326">
        <v>1.075</v>
      </c>
      <c r="B4475" s="327">
        <v>140</v>
      </c>
      <c r="C4475" s="327" t="s">
        <v>116</v>
      </c>
      <c r="D4475" s="327" t="s">
        <v>79</v>
      </c>
      <c r="E4475" s="328" t="s">
        <v>3815</v>
      </c>
      <c r="F4475" s="328">
        <v>18842.084000000003</v>
      </c>
      <c r="G4475" s="328">
        <v>8607.3100000000013</v>
      </c>
      <c r="H4475" s="328">
        <v>7641.9658049999998</v>
      </c>
      <c r="I4475" s="329">
        <v>0.74802296846649052</v>
      </c>
      <c r="J4475" s="329">
        <v>0.71826876807832485</v>
      </c>
      <c r="K4475" s="329">
        <v>0.7949469406430999</v>
      </c>
    </row>
    <row r="4476" spans="1:11" ht="11.25" x14ac:dyDescent="0.15">
      <c r="A4476" s="326">
        <v>1.075</v>
      </c>
      <c r="B4476" s="327">
        <v>140</v>
      </c>
      <c r="C4476" s="327" t="s">
        <v>116</v>
      </c>
      <c r="D4476" s="327" t="s">
        <v>114</v>
      </c>
      <c r="E4476" s="328" t="s">
        <v>3816</v>
      </c>
      <c r="F4476" s="328">
        <v>5328.8745450000006</v>
      </c>
      <c r="G4476" s="328">
        <v>8172.466265</v>
      </c>
      <c r="H4476" s="328">
        <v>7538.1386499999999</v>
      </c>
      <c r="I4476" s="329">
        <v>0.2115541229800493</v>
      </c>
      <c r="J4476" s="329">
        <v>0.68198162681757923</v>
      </c>
      <c r="K4476" s="329">
        <v>0.78414643703852682</v>
      </c>
    </row>
    <row r="4477" spans="1:11" ht="11.25" x14ac:dyDescent="0.15">
      <c r="A4477" s="326">
        <v>1.075</v>
      </c>
      <c r="B4477" s="327">
        <v>140</v>
      </c>
      <c r="C4477" s="327" t="s">
        <v>116</v>
      </c>
      <c r="D4477" s="327" t="s">
        <v>113</v>
      </c>
      <c r="E4477" s="328" t="s">
        <v>3817</v>
      </c>
      <c r="F4477" s="328">
        <v>2181.3319499999998</v>
      </c>
      <c r="G4477" s="328">
        <v>7716.0275000000001</v>
      </c>
      <c r="H4477" s="328">
        <v>7426.2371699999994</v>
      </c>
      <c r="I4477" s="329">
        <v>8.659797931321174E-2</v>
      </c>
      <c r="J4477" s="329">
        <v>0.64389240853222163</v>
      </c>
      <c r="K4477" s="329">
        <v>0.77250601081190939</v>
      </c>
    </row>
    <row r="4478" spans="1:11" ht="11.25" x14ac:dyDescent="0.15">
      <c r="A4478" s="326">
        <v>1.1000000000000001</v>
      </c>
      <c r="B4478" s="327">
        <v>140</v>
      </c>
      <c r="C4478" s="327" t="s">
        <v>116</v>
      </c>
      <c r="D4478" s="327" t="s">
        <v>79</v>
      </c>
      <c r="E4478" s="328" t="s">
        <v>3818</v>
      </c>
      <c r="F4478" s="328">
        <v>20001.869800000004</v>
      </c>
      <c r="G4478" s="328">
        <v>9217.27268</v>
      </c>
      <c r="H4478" s="328">
        <v>8017.7266400000008</v>
      </c>
      <c r="I4478" s="329">
        <v>0.79406598668577477</v>
      </c>
      <c r="J4478" s="329">
        <v>0.76916935638493322</v>
      </c>
      <c r="K4478" s="329">
        <v>0.8340350409852012</v>
      </c>
    </row>
    <row r="4479" spans="1:11" ht="11.25" x14ac:dyDescent="0.15">
      <c r="A4479" s="326">
        <v>1.1000000000000001</v>
      </c>
      <c r="B4479" s="327">
        <v>140</v>
      </c>
      <c r="C4479" s="327" t="s">
        <v>116</v>
      </c>
      <c r="D4479" s="327" t="s">
        <v>114</v>
      </c>
      <c r="E4479" s="328" t="s">
        <v>3819</v>
      </c>
      <c r="F4479" s="328">
        <v>5666.9822000000004</v>
      </c>
      <c r="G4479" s="328">
        <v>8733.6486600000007</v>
      </c>
      <c r="H4479" s="328">
        <v>7909.9207000000006</v>
      </c>
      <c r="I4479" s="329">
        <v>0.22497685752227636</v>
      </c>
      <c r="J4479" s="329">
        <v>0.7288115641062205</v>
      </c>
      <c r="K4479" s="329">
        <v>0.82282064872371252</v>
      </c>
    </row>
    <row r="4480" spans="1:11" ht="11.25" x14ac:dyDescent="0.15">
      <c r="A4480" s="326">
        <v>1.1000000000000001</v>
      </c>
      <c r="B4480" s="327">
        <v>140</v>
      </c>
      <c r="C4480" s="327" t="s">
        <v>116</v>
      </c>
      <c r="D4480" s="327" t="s">
        <v>113</v>
      </c>
      <c r="E4480" s="328" t="s">
        <v>3820</v>
      </c>
      <c r="F4480" s="328">
        <v>2317.0582600000002</v>
      </c>
      <c r="G4480" s="328">
        <v>8206.4521000000004</v>
      </c>
      <c r="H4480" s="328">
        <v>7794.29288</v>
      </c>
      <c r="I4480" s="329">
        <v>9.1986257876517347E-2</v>
      </c>
      <c r="J4480" s="329">
        <v>0.68481770032225886</v>
      </c>
      <c r="K4480" s="329">
        <v>0.81079259414879001</v>
      </c>
    </row>
    <row r="4481" spans="1:11" ht="11.25" x14ac:dyDescent="0.15">
      <c r="A4481" s="326">
        <v>1.125</v>
      </c>
      <c r="B4481" s="327">
        <v>140</v>
      </c>
      <c r="C4481" s="327" t="s">
        <v>116</v>
      </c>
      <c r="D4481" s="327" t="s">
        <v>79</v>
      </c>
      <c r="E4481" s="328" t="s">
        <v>3821</v>
      </c>
      <c r="F4481" s="328">
        <v>21214.696499999998</v>
      </c>
      <c r="G4481" s="328">
        <v>9859.3735500000003</v>
      </c>
      <c r="H4481" s="328">
        <v>8402.7757500000007</v>
      </c>
      <c r="I4481" s="329">
        <v>0.8422147067726512</v>
      </c>
      <c r="J4481" s="329">
        <v>0.82275183463620105</v>
      </c>
      <c r="K4481" s="329">
        <v>0.87408934373954972</v>
      </c>
    </row>
    <row r="4482" spans="1:11" ht="11.25" x14ac:dyDescent="0.15">
      <c r="A4482" s="326">
        <v>1.125</v>
      </c>
      <c r="B4482" s="327">
        <v>140</v>
      </c>
      <c r="C4482" s="327" t="s">
        <v>116</v>
      </c>
      <c r="D4482" s="327" t="s">
        <v>114</v>
      </c>
      <c r="E4482" s="328" t="s">
        <v>3822</v>
      </c>
      <c r="F4482" s="328">
        <v>6021.9114750000008</v>
      </c>
      <c r="G4482" s="328">
        <v>9326.6667000000016</v>
      </c>
      <c r="H4482" s="328">
        <v>8291.3755500000007</v>
      </c>
      <c r="I4482" s="329">
        <v>0.23906740344496513</v>
      </c>
      <c r="J4482" s="329">
        <v>0.77829814435475608</v>
      </c>
      <c r="K4482" s="329">
        <v>0.86250106260394344</v>
      </c>
    </row>
    <row r="4483" spans="1:11" ht="11.25" x14ac:dyDescent="0.15">
      <c r="A4483" s="326">
        <v>1.125</v>
      </c>
      <c r="B4483" s="327">
        <v>140</v>
      </c>
      <c r="C4483" s="327" t="s">
        <v>116</v>
      </c>
      <c r="D4483" s="327" t="s">
        <v>113</v>
      </c>
      <c r="E4483" s="328" t="s">
        <v>3823</v>
      </c>
      <c r="F4483" s="328">
        <v>2459.405925</v>
      </c>
      <c r="G4483" s="328">
        <v>8724.3340500000013</v>
      </c>
      <c r="H4483" s="328">
        <v>8171.4827249999998</v>
      </c>
      <c r="I4483" s="329">
        <v>9.7637401504131638E-2</v>
      </c>
      <c r="J4483" s="329">
        <v>0.72803427207772031</v>
      </c>
      <c r="K4483" s="329">
        <v>0.85002934565691779</v>
      </c>
    </row>
    <row r="4484" spans="1:11" ht="11.25" x14ac:dyDescent="0.15">
      <c r="A4484" s="326">
        <v>1.1499999999999999</v>
      </c>
      <c r="B4484" s="327">
        <v>140</v>
      </c>
      <c r="C4484" s="327" t="s">
        <v>116</v>
      </c>
      <c r="D4484" s="327" t="s">
        <v>79</v>
      </c>
      <c r="E4484" s="328" t="s">
        <v>3824</v>
      </c>
      <c r="F4484" s="328">
        <v>22482.320599999999</v>
      </c>
      <c r="G4484" s="328">
        <v>10533.420170000001</v>
      </c>
      <c r="H4484" s="328">
        <v>8797.055409999999</v>
      </c>
      <c r="I4484" s="329">
        <v>0.89253886105312596</v>
      </c>
      <c r="J4484" s="329">
        <v>0.87900014396568493</v>
      </c>
      <c r="K4484" s="329">
        <v>0.91510384412762102</v>
      </c>
    </row>
    <row r="4485" spans="1:11" ht="11.25" x14ac:dyDescent="0.15">
      <c r="A4485" s="326">
        <v>1.1499999999999999</v>
      </c>
      <c r="B4485" s="327">
        <v>140</v>
      </c>
      <c r="C4485" s="327" t="s">
        <v>116</v>
      </c>
      <c r="D4485" s="327" t="s">
        <v>114</v>
      </c>
      <c r="E4485" s="328" t="s">
        <v>3825</v>
      </c>
      <c r="F4485" s="328">
        <v>6394.3507499999996</v>
      </c>
      <c r="G4485" s="328">
        <v>9951.3265100000008</v>
      </c>
      <c r="H4485" s="328">
        <v>8681.5776999999998</v>
      </c>
      <c r="I4485" s="329">
        <v>0.25385308915037896</v>
      </c>
      <c r="J4485" s="329">
        <v>0.83042518894786821</v>
      </c>
      <c r="K4485" s="329">
        <v>0.90309140457745862</v>
      </c>
    </row>
    <row r="4486" spans="1:11" ht="11.25" x14ac:dyDescent="0.15">
      <c r="A4486" s="326">
        <v>1.1499999999999999</v>
      </c>
      <c r="B4486" s="327">
        <v>140</v>
      </c>
      <c r="C4486" s="327" t="s">
        <v>116</v>
      </c>
      <c r="D4486" s="327" t="s">
        <v>113</v>
      </c>
      <c r="E4486" s="328" t="s">
        <v>3826</v>
      </c>
      <c r="F4486" s="328">
        <v>2608.6445899999994</v>
      </c>
      <c r="G4486" s="328">
        <v>9270.5285800000001</v>
      </c>
      <c r="H4486" s="328">
        <v>8557.5087999999996</v>
      </c>
      <c r="I4486" s="329">
        <v>0.10356211499141234</v>
      </c>
      <c r="J4486" s="329">
        <v>0.77361349162415449</v>
      </c>
      <c r="K4486" s="329">
        <v>0.89018527610205722</v>
      </c>
    </row>
    <row r="4487" spans="1:11" ht="11.25" x14ac:dyDescent="0.15">
      <c r="A4487" s="326">
        <v>1.175</v>
      </c>
      <c r="B4487" s="327">
        <v>140</v>
      </c>
      <c r="C4487" s="327" t="s">
        <v>116</v>
      </c>
      <c r="D4487" s="327" t="s">
        <v>79</v>
      </c>
      <c r="E4487" s="328" t="s">
        <v>3827</v>
      </c>
      <c r="F4487" s="328">
        <v>23806.534</v>
      </c>
      <c r="G4487" s="328">
        <v>11242.030580000001</v>
      </c>
      <c r="H4487" s="328">
        <v>9200.4029849999988</v>
      </c>
      <c r="I4487" s="329">
        <v>0.94510958721861305</v>
      </c>
      <c r="J4487" s="329">
        <v>0.93813275638909899</v>
      </c>
      <c r="K4487" s="329">
        <v>0.95706162422554741</v>
      </c>
    </row>
    <row r="4488" spans="1:11" ht="11.25" x14ac:dyDescent="0.15">
      <c r="A4488" s="326">
        <v>1.175</v>
      </c>
      <c r="B4488" s="327">
        <v>140</v>
      </c>
      <c r="C4488" s="327" t="s">
        <v>116</v>
      </c>
      <c r="D4488" s="327" t="s">
        <v>114</v>
      </c>
      <c r="E4488" s="328" t="s">
        <v>3828</v>
      </c>
      <c r="F4488" s="328">
        <v>6785.0142350000006</v>
      </c>
      <c r="G4488" s="328">
        <v>10608.062855</v>
      </c>
      <c r="H4488" s="328">
        <v>9080.3186900000001</v>
      </c>
      <c r="I4488" s="329">
        <v>0.26936226848113481</v>
      </c>
      <c r="J4488" s="329">
        <v>0.88522897845648485</v>
      </c>
      <c r="K4488" s="329">
        <v>0.94456998982604856</v>
      </c>
    </row>
    <row r="4489" spans="1:11" ht="11.25" x14ac:dyDescent="0.15">
      <c r="A4489" s="326">
        <v>1.175</v>
      </c>
      <c r="B4489" s="327">
        <v>140</v>
      </c>
      <c r="C4489" s="327" t="s">
        <v>116</v>
      </c>
      <c r="D4489" s="327" t="s">
        <v>113</v>
      </c>
      <c r="E4489" s="328" t="s">
        <v>3829</v>
      </c>
      <c r="F4489" s="328">
        <v>2765.0565300000003</v>
      </c>
      <c r="G4489" s="328">
        <v>9845.6826700000001</v>
      </c>
      <c r="H4489" s="328">
        <v>8952.3311099999992</v>
      </c>
      <c r="I4489" s="329">
        <v>0.10977160453951132</v>
      </c>
      <c r="J4489" s="329">
        <v>0.82160934859683354</v>
      </c>
      <c r="K4489" s="329">
        <v>0.93125622504909211</v>
      </c>
    </row>
    <row r="4490" spans="1:11" ht="11.25" x14ac:dyDescent="0.15">
      <c r="A4490" s="330">
        <v>1.2</v>
      </c>
      <c r="B4490" s="331">
        <v>140</v>
      </c>
      <c r="C4490" s="331" t="s">
        <v>116</v>
      </c>
      <c r="D4490" s="331" t="s">
        <v>79</v>
      </c>
      <c r="E4490" s="328" t="s">
        <v>3830</v>
      </c>
      <c r="F4490" s="328">
        <v>25189.178399999997</v>
      </c>
      <c r="G4490" s="328">
        <v>11983.4112</v>
      </c>
      <c r="H4490" s="328">
        <v>9613.1771999999983</v>
      </c>
      <c r="I4490" s="329">
        <v>1</v>
      </c>
      <c r="J4490" s="329">
        <v>1</v>
      </c>
      <c r="K4490" s="329">
        <v>1</v>
      </c>
    </row>
    <row r="4491" spans="1:11" ht="11.25" x14ac:dyDescent="0.15">
      <c r="A4491" s="326">
        <v>1.2</v>
      </c>
      <c r="B4491" s="327">
        <v>140</v>
      </c>
      <c r="C4491" s="327" t="s">
        <v>116</v>
      </c>
      <c r="D4491" s="327" t="s">
        <v>114</v>
      </c>
      <c r="E4491" s="328" t="s">
        <v>3831</v>
      </c>
      <c r="F4491" s="328">
        <v>7194.6381600000004</v>
      </c>
      <c r="G4491" s="328">
        <v>11298.467279999999</v>
      </c>
      <c r="H4491" s="328">
        <v>9488.3462399999989</v>
      </c>
      <c r="I4491" s="329">
        <v>0.28562416946477309</v>
      </c>
      <c r="J4491" s="329">
        <v>0.94284232523039835</v>
      </c>
      <c r="K4491" s="329">
        <v>0.9870145990859297</v>
      </c>
    </row>
    <row r="4492" spans="1:11" ht="11.25" x14ac:dyDescent="0.15">
      <c r="A4492" s="326">
        <v>1.2</v>
      </c>
      <c r="B4492" s="327">
        <v>140</v>
      </c>
      <c r="C4492" s="327" t="s">
        <v>116</v>
      </c>
      <c r="D4492" s="327" t="s">
        <v>113</v>
      </c>
      <c r="E4492" s="328" t="s">
        <v>3832</v>
      </c>
      <c r="F4492" s="328">
        <v>2928.9364799999998</v>
      </c>
      <c r="G4492" s="328">
        <v>10451.099040000001</v>
      </c>
      <c r="H4492" s="328">
        <v>9356.4578400000009</v>
      </c>
      <c r="I4492" s="329">
        <v>0.11627757100644459</v>
      </c>
      <c r="J4492" s="329">
        <v>0.87213055327684996</v>
      </c>
      <c r="K4492" s="329">
        <v>0.97329505587393128</v>
      </c>
    </row>
    <row r="4493" spans="1:11" ht="11.25" x14ac:dyDescent="0.15">
      <c r="A4493" s="326">
        <v>1.2250000000000001</v>
      </c>
      <c r="B4493" s="327">
        <v>140</v>
      </c>
      <c r="C4493" s="327" t="s">
        <v>116</v>
      </c>
      <c r="D4493" s="327" t="s">
        <v>79</v>
      </c>
      <c r="E4493" s="328" t="s">
        <v>3833</v>
      </c>
      <c r="F4493" s="328">
        <v>26632.159050000002</v>
      </c>
      <c r="G4493" s="328">
        <v>12760.153700000001</v>
      </c>
      <c r="H4493" s="328">
        <v>10035.018945000002</v>
      </c>
      <c r="I4493" s="329">
        <v>1.057285737036981</v>
      </c>
      <c r="J4493" s="329">
        <v>1.0648181462720732</v>
      </c>
      <c r="K4493" s="329">
        <v>1.0438816154351138</v>
      </c>
    </row>
    <row r="4494" spans="1:11" ht="11.25" x14ac:dyDescent="0.15">
      <c r="A4494" s="326">
        <v>1.2250000000000001</v>
      </c>
      <c r="B4494" s="327">
        <v>140</v>
      </c>
      <c r="C4494" s="327" t="s">
        <v>116</v>
      </c>
      <c r="D4494" s="327" t="s">
        <v>114</v>
      </c>
      <c r="E4494" s="328" t="s">
        <v>3834</v>
      </c>
      <c r="F4494" s="328">
        <v>7623.9918300000008</v>
      </c>
      <c r="G4494" s="328">
        <v>12023.562180000003</v>
      </c>
      <c r="H4494" s="328">
        <v>9906.0117450000016</v>
      </c>
      <c r="I4494" s="329">
        <v>0.30266933319270156</v>
      </c>
      <c r="J4494" s="329">
        <v>1.0033505467958908</v>
      </c>
      <c r="K4494" s="329">
        <v>1.0304617858287273</v>
      </c>
    </row>
    <row r="4495" spans="1:11" ht="11.25" x14ac:dyDescent="0.15">
      <c r="A4495" s="326">
        <v>1.2250000000000001</v>
      </c>
      <c r="B4495" s="327">
        <v>140</v>
      </c>
      <c r="C4495" s="327" t="s">
        <v>116</v>
      </c>
      <c r="D4495" s="327" t="s">
        <v>113</v>
      </c>
      <c r="E4495" s="328" t="s">
        <v>3835</v>
      </c>
      <c r="F4495" s="328">
        <v>3100.5881900000004</v>
      </c>
      <c r="G4495" s="328">
        <v>11087.556095000002</v>
      </c>
      <c r="H4495" s="328">
        <v>9769.4551150000007</v>
      </c>
      <c r="I4495" s="329">
        <v>0.12309207314201248</v>
      </c>
      <c r="J4495" s="329">
        <v>0.92524206254392749</v>
      </c>
      <c r="K4495" s="329">
        <v>1.0162566352152547</v>
      </c>
    </row>
    <row r="4496" spans="1:11" ht="11.25" x14ac:dyDescent="0.15">
      <c r="A4496" s="326">
        <v>1.25</v>
      </c>
      <c r="B4496" s="327">
        <v>140</v>
      </c>
      <c r="C4496" s="327" t="s">
        <v>116</v>
      </c>
      <c r="D4496" s="327" t="s">
        <v>79</v>
      </c>
      <c r="E4496" s="328" t="s">
        <v>3836</v>
      </c>
      <c r="F4496" s="328">
        <v>28137.397499999999</v>
      </c>
      <c r="G4496" s="328">
        <v>13570.842500000001</v>
      </c>
      <c r="H4496" s="328">
        <v>10466.981000000002</v>
      </c>
      <c r="I4496" s="329">
        <v>1.1170430830725309</v>
      </c>
      <c r="J4496" s="329">
        <v>1.1324690669047559</v>
      </c>
      <c r="K4496" s="329">
        <v>1.0888159847922083</v>
      </c>
    </row>
    <row r="4497" spans="1:11" ht="11.25" x14ac:dyDescent="0.15">
      <c r="A4497" s="326">
        <v>1.25</v>
      </c>
      <c r="B4497" s="327">
        <v>140</v>
      </c>
      <c r="C4497" s="327" t="s">
        <v>116</v>
      </c>
      <c r="D4497" s="327" t="s">
        <v>114</v>
      </c>
      <c r="E4497" s="328" t="s">
        <v>3837</v>
      </c>
      <c r="F4497" s="328">
        <v>8073.87075</v>
      </c>
      <c r="G4497" s="328">
        <v>12782.685000000001</v>
      </c>
      <c r="H4497" s="328">
        <v>10332.220499999999</v>
      </c>
      <c r="I4497" s="329">
        <v>0.32052934088552887</v>
      </c>
      <c r="J4497" s="329">
        <v>1.0666983538042991</v>
      </c>
      <c r="K4497" s="329">
        <v>1.0747976745919134</v>
      </c>
    </row>
    <row r="4498" spans="1:11" ht="11.25" x14ac:dyDescent="0.15">
      <c r="A4498" s="326">
        <v>1.25</v>
      </c>
      <c r="B4498" s="327">
        <v>140</v>
      </c>
      <c r="C4498" s="327" t="s">
        <v>116</v>
      </c>
      <c r="D4498" s="327" t="s">
        <v>113</v>
      </c>
      <c r="E4498" s="328" t="s">
        <v>3838</v>
      </c>
      <c r="F4498" s="328">
        <v>3280.3315000000002</v>
      </c>
      <c r="G4498" s="328">
        <v>11755.095500000001</v>
      </c>
      <c r="H4498" s="328">
        <v>10191.35075</v>
      </c>
      <c r="I4498" s="329">
        <v>0.13022780846238322</v>
      </c>
      <c r="J4498" s="329">
        <v>0.98094735328785188</v>
      </c>
      <c r="K4498" s="329">
        <v>1.0601438564973089</v>
      </c>
    </row>
    <row r="4499" spans="1:11" ht="11.25" x14ac:dyDescent="0.15">
      <c r="A4499" s="326">
        <v>1.2749999999999999</v>
      </c>
      <c r="B4499" s="327">
        <v>140</v>
      </c>
      <c r="C4499" s="327" t="s">
        <v>116</v>
      </c>
      <c r="D4499" s="327" t="s">
        <v>79</v>
      </c>
      <c r="E4499" s="328" t="s">
        <v>3839</v>
      </c>
      <c r="F4499" s="328">
        <v>29706.893100000001</v>
      </c>
      <c r="G4499" s="328">
        <v>14418.806699999999</v>
      </c>
      <c r="H4499" s="328">
        <v>10907.088225</v>
      </c>
      <c r="I4499" s="329">
        <v>1.1793514114775576</v>
      </c>
      <c r="J4499" s="329">
        <v>1.2032305709412692</v>
      </c>
      <c r="K4499" s="329">
        <v>1.1345976463431884</v>
      </c>
    </row>
    <row r="4500" spans="1:11" ht="11.25" x14ac:dyDescent="0.15">
      <c r="A4500" s="326">
        <v>1.2749999999999999</v>
      </c>
      <c r="B4500" s="327">
        <v>140</v>
      </c>
      <c r="C4500" s="327" t="s">
        <v>116</v>
      </c>
      <c r="D4500" s="327" t="s">
        <v>114</v>
      </c>
      <c r="E4500" s="328" t="s">
        <v>3840</v>
      </c>
      <c r="F4500" s="328">
        <v>8545.1020200000003</v>
      </c>
      <c r="G4500" s="328">
        <v>13577.161349999998</v>
      </c>
      <c r="H4500" s="328">
        <v>10767.82278</v>
      </c>
      <c r="I4500" s="329">
        <v>0.33923702807234085</v>
      </c>
      <c r="J4500" s="329">
        <v>1.1329963666772944</v>
      </c>
      <c r="K4500" s="329">
        <v>1.1201107142808104</v>
      </c>
    </row>
    <row r="4501" spans="1:11" ht="11.25" x14ac:dyDescent="0.15">
      <c r="A4501" s="326">
        <v>1.2749999999999999</v>
      </c>
      <c r="B4501" s="327">
        <v>140</v>
      </c>
      <c r="C4501" s="327" t="s">
        <v>116</v>
      </c>
      <c r="D4501" s="327" t="s">
        <v>113</v>
      </c>
      <c r="E4501" s="328" t="s">
        <v>3841</v>
      </c>
      <c r="F4501" s="328">
        <v>3468.4964849999997</v>
      </c>
      <c r="G4501" s="328">
        <v>12455.785079999998</v>
      </c>
      <c r="H4501" s="328">
        <v>10622.600789999999</v>
      </c>
      <c r="I4501" s="329">
        <v>0.13769788080900647</v>
      </c>
      <c r="J4501" s="329">
        <v>1.039418982801825</v>
      </c>
      <c r="K4501" s="329">
        <v>1.1050041592908535</v>
      </c>
    </row>
    <row r="4502" spans="1:11" ht="11.25" x14ac:dyDescent="0.15">
      <c r="A4502" s="326">
        <v>1.3</v>
      </c>
      <c r="B4502" s="327">
        <v>140</v>
      </c>
      <c r="C4502" s="327" t="s">
        <v>116</v>
      </c>
      <c r="D4502" s="327" t="s">
        <v>79</v>
      </c>
      <c r="E4502" s="328" t="s">
        <v>3842</v>
      </c>
      <c r="F4502" s="328">
        <v>31342.662000000004</v>
      </c>
      <c r="G4502" s="328">
        <v>15300.201800000001</v>
      </c>
      <c r="H4502" s="328">
        <v>11358.085960000002</v>
      </c>
      <c r="I4502" s="329">
        <v>1.2442907625760438</v>
      </c>
      <c r="J4502" s="329">
        <v>1.2767818398821198</v>
      </c>
      <c r="K4502" s="329">
        <v>1.1815121810092093</v>
      </c>
    </row>
    <row r="4503" spans="1:11" ht="11.25" x14ac:dyDescent="0.15">
      <c r="A4503" s="326">
        <v>1.3</v>
      </c>
      <c r="B4503" s="327">
        <v>140</v>
      </c>
      <c r="C4503" s="327" t="s">
        <v>116</v>
      </c>
      <c r="D4503" s="327" t="s">
        <v>114</v>
      </c>
      <c r="E4503" s="328" t="s">
        <v>3843</v>
      </c>
      <c r="F4503" s="328">
        <v>9038.5419799999981</v>
      </c>
      <c r="G4503" s="328">
        <v>14407.572400000001</v>
      </c>
      <c r="H4503" s="328">
        <v>11212.51482</v>
      </c>
      <c r="I4503" s="329">
        <v>0.35882639109817094</v>
      </c>
      <c r="J4503" s="329">
        <v>1.2022930832916758</v>
      </c>
      <c r="K4503" s="329">
        <v>1.1663693060812406</v>
      </c>
    </row>
    <row r="4504" spans="1:11" ht="11.25" x14ac:dyDescent="0.15">
      <c r="A4504" s="326">
        <v>1.3</v>
      </c>
      <c r="B4504" s="327">
        <v>140</v>
      </c>
      <c r="C4504" s="327" t="s">
        <v>116</v>
      </c>
      <c r="D4504" s="327" t="s">
        <v>113</v>
      </c>
      <c r="E4504" s="328" t="s">
        <v>3844</v>
      </c>
      <c r="F4504" s="328">
        <v>3665.42956</v>
      </c>
      <c r="G4504" s="328">
        <v>13189.455760000003</v>
      </c>
      <c r="H4504" s="328">
        <v>11063.049140000001</v>
      </c>
      <c r="I4504" s="329">
        <v>0.14551604271459687</v>
      </c>
      <c r="J4504" s="329">
        <v>1.1006428419981118</v>
      </c>
      <c r="K4504" s="329">
        <v>1.1508213059882015</v>
      </c>
    </row>
    <row r="4505" spans="1:11" ht="11.25" x14ac:dyDescent="0.15">
      <c r="A4505" s="326">
        <v>1.325</v>
      </c>
      <c r="B4505" s="327">
        <v>140</v>
      </c>
      <c r="C4505" s="327" t="s">
        <v>116</v>
      </c>
      <c r="D4505" s="327" t="s">
        <v>79</v>
      </c>
      <c r="E4505" s="328" t="s">
        <v>3845</v>
      </c>
      <c r="F4505" s="328">
        <v>33046.803800000002</v>
      </c>
      <c r="G4505" s="328">
        <v>16219.799349999999</v>
      </c>
      <c r="H4505" s="328">
        <v>11817.720314999999</v>
      </c>
      <c r="I4505" s="329">
        <v>1.3119444896225756</v>
      </c>
      <c r="J4505" s="329">
        <v>1.3535210533374669</v>
      </c>
      <c r="K4505" s="329">
        <v>1.2293251304053774</v>
      </c>
    </row>
    <row r="4506" spans="1:11" ht="11.25" x14ac:dyDescent="0.15">
      <c r="A4506" s="326">
        <v>1.325</v>
      </c>
      <c r="B4506" s="327">
        <v>140</v>
      </c>
      <c r="C4506" s="327" t="s">
        <v>116</v>
      </c>
      <c r="D4506" s="327" t="s">
        <v>114</v>
      </c>
      <c r="E4506" s="328" t="s">
        <v>3846</v>
      </c>
      <c r="F4506" s="328">
        <v>9555.0840649999991</v>
      </c>
      <c r="G4506" s="328">
        <v>15274.1124</v>
      </c>
      <c r="H4506" s="328">
        <v>11666.287919999999</v>
      </c>
      <c r="I4506" s="329">
        <v>0.37933289896426314</v>
      </c>
      <c r="J4506" s="329">
        <v>1.2746047135560199</v>
      </c>
      <c r="K4506" s="329">
        <v>1.2135725449854395</v>
      </c>
    </row>
    <row r="4507" spans="1:11" ht="11.25" x14ac:dyDescent="0.15">
      <c r="A4507" s="326">
        <v>1.325</v>
      </c>
      <c r="B4507" s="327">
        <v>140</v>
      </c>
      <c r="C4507" s="327" t="s">
        <v>116</v>
      </c>
      <c r="D4507" s="327" t="s">
        <v>113</v>
      </c>
      <c r="E4507" s="328" t="s">
        <v>3847</v>
      </c>
      <c r="F4507" s="328">
        <v>3871.4941800000006</v>
      </c>
      <c r="G4507" s="328">
        <v>13955.922899999998</v>
      </c>
      <c r="H4507" s="328">
        <v>11512.183265</v>
      </c>
      <c r="I4507" s="329">
        <v>0.15369672319284541</v>
      </c>
      <c r="J4507" s="329">
        <v>1.1646035229100706</v>
      </c>
      <c r="K4507" s="329">
        <v>1.197541980709562</v>
      </c>
    </row>
    <row r="4508" spans="1:11" ht="11.25" x14ac:dyDescent="0.15">
      <c r="A4508" s="326">
        <v>1.35</v>
      </c>
      <c r="B4508" s="327">
        <v>140</v>
      </c>
      <c r="C4508" s="327" t="s">
        <v>116</v>
      </c>
      <c r="D4508" s="327" t="s">
        <v>79</v>
      </c>
      <c r="E4508" s="328" t="s">
        <v>3848</v>
      </c>
      <c r="F4508" s="328">
        <v>34821.440999999999</v>
      </c>
      <c r="G4508" s="328">
        <v>17175.771900000003</v>
      </c>
      <c r="H4508" s="328">
        <v>12287.349810000002</v>
      </c>
      <c r="I4508" s="329">
        <v>1.3823968549923011</v>
      </c>
      <c r="J4508" s="329">
        <v>1.4332957129936426</v>
      </c>
      <c r="K4508" s="329">
        <v>1.2781778130543566</v>
      </c>
    </row>
    <row r="4509" spans="1:11" ht="11.25" x14ac:dyDescent="0.15">
      <c r="A4509" s="326">
        <v>1.35</v>
      </c>
      <c r="B4509" s="327">
        <v>140</v>
      </c>
      <c r="C4509" s="327" t="s">
        <v>116</v>
      </c>
      <c r="D4509" s="327" t="s">
        <v>114</v>
      </c>
      <c r="E4509" s="328" t="s">
        <v>3849</v>
      </c>
      <c r="F4509" s="328">
        <v>10095.650460000001</v>
      </c>
      <c r="G4509" s="328">
        <v>16178.302800000001</v>
      </c>
      <c r="H4509" s="328">
        <v>12129.612300000001</v>
      </c>
      <c r="I4509" s="329">
        <v>0.40079316203501109</v>
      </c>
      <c r="J4509" s="329">
        <v>1.350058220483997</v>
      </c>
      <c r="K4509" s="329">
        <v>1.2617693451026788</v>
      </c>
    </row>
    <row r="4510" spans="1:11" ht="11.25" x14ac:dyDescent="0.15">
      <c r="A4510" s="326">
        <v>1.35</v>
      </c>
      <c r="B4510" s="327">
        <v>140</v>
      </c>
      <c r="C4510" s="327" t="s">
        <v>116</v>
      </c>
      <c r="D4510" s="327" t="s">
        <v>113</v>
      </c>
      <c r="E4510" s="328" t="s">
        <v>3850</v>
      </c>
      <c r="F4510" s="328">
        <v>4087.0634400000004</v>
      </c>
      <c r="G4510" s="328">
        <v>14757.1929</v>
      </c>
      <c r="H4510" s="328">
        <v>11970.458640000001</v>
      </c>
      <c r="I4510" s="329">
        <v>0.16225473396146978</v>
      </c>
      <c r="J4510" s="329">
        <v>1.2314684569949497</v>
      </c>
      <c r="K4510" s="329">
        <v>1.2452135637320825</v>
      </c>
    </row>
    <row r="4511" spans="1:11" ht="11.25" x14ac:dyDescent="0.15">
      <c r="A4511" s="326">
        <v>1.375</v>
      </c>
      <c r="B4511" s="327">
        <v>140</v>
      </c>
      <c r="C4511" s="327" t="s">
        <v>116</v>
      </c>
      <c r="D4511" s="327" t="s">
        <v>79</v>
      </c>
      <c r="E4511" s="328" t="s">
        <v>3851</v>
      </c>
      <c r="F4511" s="328">
        <v>36668.780500000001</v>
      </c>
      <c r="G4511" s="328">
        <v>18168.716500000002</v>
      </c>
      <c r="H4511" s="328">
        <v>12766.563699999999</v>
      </c>
      <c r="I4511" s="329">
        <v>1.4557354717055799</v>
      </c>
      <c r="J4511" s="329">
        <v>1.5161556418926858</v>
      </c>
      <c r="K4511" s="329">
        <v>1.3280275016671907</v>
      </c>
    </row>
    <row r="4512" spans="1:11" ht="11.25" x14ac:dyDescent="0.15">
      <c r="A4512" s="326">
        <v>1.375</v>
      </c>
      <c r="B4512" s="327">
        <v>140</v>
      </c>
      <c r="C4512" s="327" t="s">
        <v>116</v>
      </c>
      <c r="D4512" s="327" t="s">
        <v>114</v>
      </c>
      <c r="E4512" s="328" t="s">
        <v>3852</v>
      </c>
      <c r="F4512" s="328">
        <v>10661.204949999999</v>
      </c>
      <c r="G4512" s="328">
        <v>17119.976500000001</v>
      </c>
      <c r="H4512" s="328">
        <v>12601.780674999998</v>
      </c>
      <c r="I4512" s="329">
        <v>0.42324544217766152</v>
      </c>
      <c r="J4512" s="329">
        <v>1.4286396597990396</v>
      </c>
      <c r="K4512" s="329">
        <v>1.3108861319023641</v>
      </c>
    </row>
    <row r="4513" spans="1:11" ht="11.25" x14ac:dyDescent="0.15">
      <c r="A4513" s="326">
        <v>1.375</v>
      </c>
      <c r="B4513" s="327">
        <v>140</v>
      </c>
      <c r="C4513" s="327" t="s">
        <v>116</v>
      </c>
      <c r="D4513" s="327" t="s">
        <v>113</v>
      </c>
      <c r="E4513" s="328" t="s">
        <v>3853</v>
      </c>
      <c r="F4513" s="328">
        <v>4312.535425</v>
      </c>
      <c r="G4513" s="328">
        <v>15592.147999999999</v>
      </c>
      <c r="H4513" s="328">
        <v>12437.9112</v>
      </c>
      <c r="I4513" s="329">
        <v>0.17120587883088717</v>
      </c>
      <c r="J4513" s="329">
        <v>1.3011443686418771</v>
      </c>
      <c r="K4513" s="329">
        <v>1.2938397931539223</v>
      </c>
    </row>
    <row r="4514" spans="1:11" ht="11.25" x14ac:dyDescent="0.15">
      <c r="A4514" s="326">
        <v>1.4</v>
      </c>
      <c r="B4514" s="327">
        <v>140</v>
      </c>
      <c r="C4514" s="327" t="s">
        <v>116</v>
      </c>
      <c r="D4514" s="327" t="s">
        <v>79</v>
      </c>
      <c r="E4514" s="328" t="s">
        <v>3854</v>
      </c>
      <c r="F4514" s="328">
        <v>38591.078399999999</v>
      </c>
      <c r="G4514" s="328">
        <v>19199.815599999998</v>
      </c>
      <c r="H4514" s="328">
        <v>13255.537959999998</v>
      </c>
      <c r="I4514" s="329">
        <v>1.5320499060024921</v>
      </c>
      <c r="J4514" s="329">
        <v>1.6021995139414058</v>
      </c>
      <c r="K4514" s="329">
        <v>1.3788925018463198</v>
      </c>
    </row>
    <row r="4515" spans="1:11" ht="11.25" x14ac:dyDescent="0.15">
      <c r="A4515" s="326">
        <v>1.4</v>
      </c>
      <c r="B4515" s="327">
        <v>140</v>
      </c>
      <c r="C4515" s="327" t="s">
        <v>116</v>
      </c>
      <c r="D4515" s="327" t="s">
        <v>114</v>
      </c>
      <c r="E4515" s="328" t="s">
        <v>3855</v>
      </c>
      <c r="F4515" s="328">
        <v>11252.745559999999</v>
      </c>
      <c r="G4515" s="328">
        <v>18098.914400000001</v>
      </c>
      <c r="H4515" s="328">
        <v>13083.474319999999</v>
      </c>
      <c r="I4515" s="329">
        <v>0.44672936057334844</v>
      </c>
      <c r="J4515" s="329">
        <v>1.5103307478925534</v>
      </c>
      <c r="K4515" s="329">
        <v>1.3609937742539482</v>
      </c>
    </row>
    <row r="4516" spans="1:11" ht="11.25" x14ac:dyDescent="0.15">
      <c r="A4516" s="326">
        <v>1.4</v>
      </c>
      <c r="B4516" s="327">
        <v>140</v>
      </c>
      <c r="C4516" s="327" t="s">
        <v>116</v>
      </c>
      <c r="D4516" s="327" t="s">
        <v>113</v>
      </c>
      <c r="E4516" s="328" t="s">
        <v>3856</v>
      </c>
      <c r="F4516" s="328">
        <v>4548.3174800000006</v>
      </c>
      <c r="G4516" s="328">
        <v>16462.851999999999</v>
      </c>
      <c r="H4516" s="328">
        <v>12914.786079999998</v>
      </c>
      <c r="I4516" s="329">
        <v>0.18056632922969815</v>
      </c>
      <c r="J4516" s="329">
        <v>1.3738034792630665</v>
      </c>
      <c r="K4516" s="329">
        <v>1.3434461688691228</v>
      </c>
    </row>
    <row r="4517" spans="1:11" ht="11.25" x14ac:dyDescent="0.15">
      <c r="A4517" s="326">
        <v>0.9</v>
      </c>
      <c r="B4517" s="327">
        <v>150</v>
      </c>
      <c r="C4517" s="327" t="s">
        <v>116</v>
      </c>
      <c r="D4517" s="327" t="s">
        <v>79</v>
      </c>
      <c r="E4517" s="328" t="s">
        <v>3857</v>
      </c>
      <c r="F4517" s="328">
        <v>14059.124999999998</v>
      </c>
      <c r="G4517" s="328">
        <v>5274.2493000000004</v>
      </c>
      <c r="H4517" s="328">
        <v>5272.7417999999998</v>
      </c>
      <c r="I4517" s="329">
        <v>0.55814146760737537</v>
      </c>
      <c r="J4517" s="329">
        <v>0.44012920961937785</v>
      </c>
      <c r="K4517" s="329">
        <v>0.54849106495197042</v>
      </c>
    </row>
    <row r="4518" spans="1:11" ht="11.25" x14ac:dyDescent="0.15">
      <c r="A4518" s="326">
        <v>0.9</v>
      </c>
      <c r="B4518" s="327">
        <v>150</v>
      </c>
      <c r="C4518" s="327" t="s">
        <v>116</v>
      </c>
      <c r="D4518" s="327" t="s">
        <v>114</v>
      </c>
      <c r="E4518" s="328" t="s">
        <v>3858</v>
      </c>
      <c r="F4518" s="328">
        <v>4076.5527000000006</v>
      </c>
      <c r="G4518" s="328">
        <v>5133.1644000000006</v>
      </c>
      <c r="H4518" s="328">
        <v>5194.3815000000004</v>
      </c>
      <c r="I4518" s="329">
        <v>0.16183746191578846</v>
      </c>
      <c r="J4518" s="329">
        <v>0.42835585913967472</v>
      </c>
      <c r="K4518" s="329">
        <v>0.54033972243848805</v>
      </c>
    </row>
    <row r="4519" spans="1:11" ht="11.25" x14ac:dyDescent="0.15">
      <c r="A4519" s="326">
        <v>0.9</v>
      </c>
      <c r="B4519" s="327">
        <v>150</v>
      </c>
      <c r="C4519" s="327" t="s">
        <v>116</v>
      </c>
      <c r="D4519" s="327" t="s">
        <v>113</v>
      </c>
      <c r="E4519" s="328" t="s">
        <v>3859</v>
      </c>
      <c r="F4519" s="328">
        <v>1711.0044</v>
      </c>
      <c r="G4519" s="328">
        <v>5019.0363000000007</v>
      </c>
      <c r="H4519" s="328">
        <v>5108.4324000000006</v>
      </c>
      <c r="I4519" s="329">
        <v>6.7926169437904346E-2</v>
      </c>
      <c r="J4519" s="329">
        <v>0.41883201838221162</v>
      </c>
      <c r="K4519" s="329">
        <v>0.53139896349772908</v>
      </c>
    </row>
    <row r="4520" spans="1:11" ht="11.25" x14ac:dyDescent="0.15">
      <c r="A4520" s="326">
        <v>0.92500000000000004</v>
      </c>
      <c r="B4520" s="327">
        <v>150</v>
      </c>
      <c r="C4520" s="327" t="s">
        <v>116</v>
      </c>
      <c r="D4520" s="327" t="s">
        <v>79</v>
      </c>
      <c r="E4520" s="328" t="s">
        <v>3860</v>
      </c>
      <c r="F4520" s="328">
        <v>15016.302000000001</v>
      </c>
      <c r="G4520" s="328">
        <v>5690.0135500000006</v>
      </c>
      <c r="H4520" s="328">
        <v>5584.7957250000009</v>
      </c>
      <c r="I4520" s="329">
        <v>0.59614099997799064</v>
      </c>
      <c r="J4520" s="329">
        <v>0.47482419279745658</v>
      </c>
      <c r="K4520" s="329">
        <v>0.5809521252765425</v>
      </c>
    </row>
    <row r="4521" spans="1:11" ht="11.25" x14ac:dyDescent="0.15">
      <c r="A4521" s="326">
        <v>0.92500000000000004</v>
      </c>
      <c r="B4521" s="327">
        <v>150</v>
      </c>
      <c r="C4521" s="327" t="s">
        <v>116</v>
      </c>
      <c r="D4521" s="327" t="s">
        <v>114</v>
      </c>
      <c r="E4521" s="328" t="s">
        <v>3861</v>
      </c>
      <c r="F4521" s="328">
        <v>4360.4111500000008</v>
      </c>
      <c r="G4521" s="328">
        <v>5513.3320750000003</v>
      </c>
      <c r="H4521" s="328">
        <v>5503.268075</v>
      </c>
      <c r="I4521" s="329">
        <v>0.17310652537996243</v>
      </c>
      <c r="J4521" s="329">
        <v>0.46008035466562308</v>
      </c>
      <c r="K4521" s="329">
        <v>0.57247130272393199</v>
      </c>
    </row>
    <row r="4522" spans="1:11" ht="11.25" x14ac:dyDescent="0.15">
      <c r="A4522" s="326">
        <v>0.92500000000000004</v>
      </c>
      <c r="B4522" s="327">
        <v>150</v>
      </c>
      <c r="C4522" s="327" t="s">
        <v>116</v>
      </c>
      <c r="D4522" s="327" t="s">
        <v>113</v>
      </c>
      <c r="E4522" s="328" t="s">
        <v>3862</v>
      </c>
      <c r="F4522" s="328">
        <v>1827.8074000000001</v>
      </c>
      <c r="G4522" s="328">
        <v>5356.4085999999998</v>
      </c>
      <c r="H4522" s="328">
        <v>5413.8418499999998</v>
      </c>
      <c r="I4522" s="329">
        <v>7.2563200394023183E-2</v>
      </c>
      <c r="J4522" s="329">
        <v>0.44698529580625584</v>
      </c>
      <c r="K4522" s="329">
        <v>0.56316883974634324</v>
      </c>
    </row>
    <row r="4523" spans="1:11" ht="11.25" x14ac:dyDescent="0.15">
      <c r="A4523" s="326">
        <v>0.95</v>
      </c>
      <c r="B4523" s="327">
        <v>150</v>
      </c>
      <c r="C4523" s="327" t="s">
        <v>116</v>
      </c>
      <c r="D4523" s="327" t="s">
        <v>79</v>
      </c>
      <c r="E4523" s="328" t="s">
        <v>3863</v>
      </c>
      <c r="F4523" s="328">
        <v>16020.382</v>
      </c>
      <c r="G4523" s="328">
        <v>6132.4361999999992</v>
      </c>
      <c r="H4523" s="328">
        <v>5906.0264999999999</v>
      </c>
      <c r="I4523" s="329">
        <v>0.63600256211611894</v>
      </c>
      <c r="J4523" s="329">
        <v>0.51174378460784176</v>
      </c>
      <c r="K4523" s="329">
        <v>0.61436779715243373</v>
      </c>
    </row>
    <row r="4524" spans="1:11" ht="11.25" x14ac:dyDescent="0.15">
      <c r="A4524" s="326">
        <v>0.95</v>
      </c>
      <c r="B4524" s="327">
        <v>150</v>
      </c>
      <c r="C4524" s="327" t="s">
        <v>116</v>
      </c>
      <c r="D4524" s="327" t="s">
        <v>114</v>
      </c>
      <c r="E4524" s="328" t="s">
        <v>3864</v>
      </c>
      <c r="F4524" s="328">
        <v>4659.1524499999996</v>
      </c>
      <c r="G4524" s="328">
        <v>5918.154199999999</v>
      </c>
      <c r="H4524" s="328">
        <v>5821.1107499999998</v>
      </c>
      <c r="I4524" s="329">
        <v>0.18496643185472061</v>
      </c>
      <c r="J4524" s="329">
        <v>0.49386223181592892</v>
      </c>
      <c r="K4524" s="329">
        <v>0.6055345312889896</v>
      </c>
    </row>
    <row r="4525" spans="1:11" ht="11.25" x14ac:dyDescent="0.15">
      <c r="A4525" s="326">
        <v>0.95</v>
      </c>
      <c r="B4525" s="327">
        <v>150</v>
      </c>
      <c r="C4525" s="327" t="s">
        <v>116</v>
      </c>
      <c r="D4525" s="327" t="s">
        <v>113</v>
      </c>
      <c r="E4525" s="328" t="s">
        <v>3865</v>
      </c>
      <c r="F4525" s="328">
        <v>1950.5836999999999</v>
      </c>
      <c r="G4525" s="328">
        <v>5713.8985000000002</v>
      </c>
      <c r="H4525" s="328">
        <v>5728.3603499999999</v>
      </c>
      <c r="I4525" s="329">
        <v>7.743736889806617E-2</v>
      </c>
      <c r="J4525" s="329">
        <v>0.47681736065269964</v>
      </c>
      <c r="K4525" s="329">
        <v>0.59588627472715272</v>
      </c>
    </row>
    <row r="4526" spans="1:11" ht="11.25" x14ac:dyDescent="0.15">
      <c r="A4526" s="326">
        <v>0.97499999999999998</v>
      </c>
      <c r="B4526" s="327">
        <v>150</v>
      </c>
      <c r="C4526" s="327" t="s">
        <v>116</v>
      </c>
      <c r="D4526" s="327" t="s">
        <v>79</v>
      </c>
      <c r="E4526" s="328" t="s">
        <v>3866</v>
      </c>
      <c r="F4526" s="328">
        <v>17072.9715</v>
      </c>
      <c r="G4526" s="328">
        <v>6602.0672250000007</v>
      </c>
      <c r="H4526" s="328">
        <v>6236.4519749999999</v>
      </c>
      <c r="I4526" s="329">
        <v>0.67778993140959298</v>
      </c>
      <c r="J4526" s="329">
        <v>0.55093387974536001</v>
      </c>
      <c r="K4526" s="329">
        <v>0.64873993740591829</v>
      </c>
    </row>
    <row r="4527" spans="1:11" ht="11.25" x14ac:dyDescent="0.15">
      <c r="A4527" s="326">
        <v>0.97499999999999998</v>
      </c>
      <c r="B4527" s="327">
        <v>150</v>
      </c>
      <c r="C4527" s="327" t="s">
        <v>116</v>
      </c>
      <c r="D4527" s="327" t="s">
        <v>114</v>
      </c>
      <c r="E4527" s="328" t="s">
        <v>3867</v>
      </c>
      <c r="F4527" s="328">
        <v>4973.3921250000003</v>
      </c>
      <c r="G4527" s="328">
        <v>6348.7719749999997</v>
      </c>
      <c r="H4527" s="328">
        <v>6148.1735250000002</v>
      </c>
      <c r="I4527" s="329">
        <v>0.19744161742885591</v>
      </c>
      <c r="J4527" s="329">
        <v>0.5297967222388229</v>
      </c>
      <c r="K4527" s="329">
        <v>0.63955687043821485</v>
      </c>
    </row>
    <row r="4528" spans="1:11" ht="11.25" x14ac:dyDescent="0.15">
      <c r="A4528" s="326">
        <v>0.97499999999999998</v>
      </c>
      <c r="B4528" s="327">
        <v>150</v>
      </c>
      <c r="C4528" s="327" t="s">
        <v>116</v>
      </c>
      <c r="D4528" s="327" t="s">
        <v>113</v>
      </c>
      <c r="E4528" s="328" t="s">
        <v>3868</v>
      </c>
      <c r="F4528" s="328">
        <v>2079.5755499999996</v>
      </c>
      <c r="G4528" s="328">
        <v>6092.7164999999995</v>
      </c>
      <c r="H4528" s="328">
        <v>6051.8425500000003</v>
      </c>
      <c r="I4528" s="329">
        <v>8.2558292175182652E-2</v>
      </c>
      <c r="J4528" s="329">
        <v>0.50842922756418463</v>
      </c>
      <c r="K4528" s="329">
        <v>0.62953614856907048</v>
      </c>
    </row>
    <row r="4529" spans="1:11" ht="11.25" x14ac:dyDescent="0.15">
      <c r="A4529" s="326">
        <v>1</v>
      </c>
      <c r="B4529" s="327">
        <v>150</v>
      </c>
      <c r="C4529" s="327" t="s">
        <v>116</v>
      </c>
      <c r="D4529" s="327" t="s">
        <v>79</v>
      </c>
      <c r="E4529" s="328" t="s">
        <v>3869</v>
      </c>
      <c r="F4529" s="328">
        <v>18175.71</v>
      </c>
      <c r="G4529" s="328">
        <v>7099.9779999999992</v>
      </c>
      <c r="H4529" s="328">
        <v>6575.7629999999999</v>
      </c>
      <c r="I4529" s="329">
        <v>0.72156819533264338</v>
      </c>
      <c r="J4529" s="329">
        <v>0.59248388305326605</v>
      </c>
      <c r="K4529" s="329">
        <v>0.68403638705421976</v>
      </c>
    </row>
    <row r="4530" spans="1:11" ht="11.25" x14ac:dyDescent="0.15">
      <c r="A4530" s="326">
        <v>1</v>
      </c>
      <c r="B4530" s="327">
        <v>150</v>
      </c>
      <c r="C4530" s="327" t="s">
        <v>116</v>
      </c>
      <c r="D4530" s="327" t="s">
        <v>114</v>
      </c>
      <c r="E4530" s="328" t="s">
        <v>3870</v>
      </c>
      <c r="F4530" s="328">
        <v>5303.7630000000008</v>
      </c>
      <c r="G4530" s="328">
        <v>6805.4010000000007</v>
      </c>
      <c r="H4530" s="328">
        <v>6484.21</v>
      </c>
      <c r="I4530" s="329">
        <v>0.21055720499403036</v>
      </c>
      <c r="J4530" s="329">
        <v>0.56790181747247404</v>
      </c>
      <c r="K4530" s="329">
        <v>0.67451268868735725</v>
      </c>
    </row>
    <row r="4531" spans="1:11" ht="11.25" x14ac:dyDescent="0.15">
      <c r="A4531" s="326">
        <v>1</v>
      </c>
      <c r="B4531" s="327">
        <v>150</v>
      </c>
      <c r="C4531" s="327" t="s">
        <v>116</v>
      </c>
      <c r="D4531" s="327" t="s">
        <v>113</v>
      </c>
      <c r="E4531" s="328" t="s">
        <v>3871</v>
      </c>
      <c r="F4531" s="328">
        <v>2215.0349999999999</v>
      </c>
      <c r="G4531" s="328">
        <v>6493.4249999999993</v>
      </c>
      <c r="H4531" s="328">
        <v>6384.25</v>
      </c>
      <c r="I4531" s="329">
        <v>8.7935976506482647E-2</v>
      </c>
      <c r="J4531" s="329">
        <v>0.54186782808554534</v>
      </c>
      <c r="K4531" s="329">
        <v>0.66411446155387643</v>
      </c>
    </row>
    <row r="4532" spans="1:11" ht="11.25" x14ac:dyDescent="0.15">
      <c r="A4532" s="326">
        <v>1.0249999999999999</v>
      </c>
      <c r="B4532" s="327">
        <v>150</v>
      </c>
      <c r="C4532" s="327" t="s">
        <v>116</v>
      </c>
      <c r="D4532" s="327" t="s">
        <v>79</v>
      </c>
      <c r="E4532" s="328" t="s">
        <v>3872</v>
      </c>
      <c r="F4532" s="328">
        <v>19330.269999999997</v>
      </c>
      <c r="G4532" s="328">
        <v>7627.677924999999</v>
      </c>
      <c r="H4532" s="328">
        <v>6924.3054999999995</v>
      </c>
      <c r="I4532" s="329">
        <v>0.76740375144589867</v>
      </c>
      <c r="J4532" s="329">
        <v>0.6365197519884821</v>
      </c>
      <c r="K4532" s="329">
        <v>0.7202931305583341</v>
      </c>
    </row>
    <row r="4533" spans="1:11" ht="11.25" x14ac:dyDescent="0.15">
      <c r="A4533" s="326">
        <v>1.0249999999999999</v>
      </c>
      <c r="B4533" s="327">
        <v>150</v>
      </c>
      <c r="C4533" s="327" t="s">
        <v>116</v>
      </c>
      <c r="D4533" s="327" t="s">
        <v>114</v>
      </c>
      <c r="E4533" s="328" t="s">
        <v>3873</v>
      </c>
      <c r="F4533" s="328">
        <v>5650.9223750000001</v>
      </c>
      <c r="G4533" s="328">
        <v>7290.4816249999994</v>
      </c>
      <c r="H4533" s="328">
        <v>6829.3310499999998</v>
      </c>
      <c r="I4533" s="329">
        <v>0.22433928908931786</v>
      </c>
      <c r="J4533" s="329">
        <v>0.60838116153437172</v>
      </c>
      <c r="K4533" s="329">
        <v>0.71041351968421018</v>
      </c>
    </row>
    <row r="4534" spans="1:11" ht="11.25" x14ac:dyDescent="0.15">
      <c r="A4534" s="326">
        <v>1.0249999999999999</v>
      </c>
      <c r="B4534" s="327">
        <v>150</v>
      </c>
      <c r="C4534" s="327" t="s">
        <v>116</v>
      </c>
      <c r="D4534" s="327" t="s">
        <v>113</v>
      </c>
      <c r="E4534" s="328" t="s">
        <v>3874</v>
      </c>
      <c r="F4534" s="328">
        <v>2357.2222249999995</v>
      </c>
      <c r="G4534" s="328">
        <v>6917.4400499999992</v>
      </c>
      <c r="H4534" s="328">
        <v>6725.6820249999992</v>
      </c>
      <c r="I4534" s="329">
        <v>9.358075073222713E-2</v>
      </c>
      <c r="J4534" s="329">
        <v>0.57725132973823001</v>
      </c>
      <c r="K4534" s="329">
        <v>0.69963154585353948</v>
      </c>
    </row>
    <row r="4535" spans="1:11" ht="11.25" x14ac:dyDescent="0.15">
      <c r="A4535" s="326">
        <v>1.05</v>
      </c>
      <c r="B4535" s="327">
        <v>150</v>
      </c>
      <c r="C4535" s="327" t="s">
        <v>116</v>
      </c>
      <c r="D4535" s="327" t="s">
        <v>79</v>
      </c>
      <c r="E4535" s="328" t="s">
        <v>3875</v>
      </c>
      <c r="F4535" s="328">
        <v>20538.388500000005</v>
      </c>
      <c r="G4535" s="328">
        <v>8183.8228500000005</v>
      </c>
      <c r="H4535" s="328">
        <v>7281.6240000000007</v>
      </c>
      <c r="I4535" s="329">
        <v>0.81536555793340237</v>
      </c>
      <c r="J4535" s="329">
        <v>0.68292931899057263</v>
      </c>
      <c r="K4535" s="329">
        <v>0.7574627876411143</v>
      </c>
    </row>
    <row r="4536" spans="1:11" ht="11.25" x14ac:dyDescent="0.15">
      <c r="A4536" s="326">
        <v>1.05</v>
      </c>
      <c r="B4536" s="327">
        <v>150</v>
      </c>
      <c r="C4536" s="327" t="s">
        <v>116</v>
      </c>
      <c r="D4536" s="327" t="s">
        <v>114</v>
      </c>
      <c r="E4536" s="328" t="s">
        <v>3876</v>
      </c>
      <c r="F4536" s="328">
        <v>6015.5539499999995</v>
      </c>
      <c r="G4536" s="328">
        <v>7804.1460000000006</v>
      </c>
      <c r="H4536" s="328">
        <v>7183.4773500000001</v>
      </c>
      <c r="I4536" s="329">
        <v>0.23881501232291086</v>
      </c>
      <c r="J4536" s="329">
        <v>0.65124578216927087</v>
      </c>
      <c r="K4536" s="329">
        <v>0.74725319221204012</v>
      </c>
    </row>
    <row r="4537" spans="1:11" ht="11.25" x14ac:dyDescent="0.15">
      <c r="A4537" s="326">
        <v>1.05</v>
      </c>
      <c r="B4537" s="327">
        <v>150</v>
      </c>
      <c r="C4537" s="327" t="s">
        <v>116</v>
      </c>
      <c r="D4537" s="327" t="s">
        <v>113</v>
      </c>
      <c r="E4537" s="328" t="s">
        <v>3877</v>
      </c>
      <c r="F4537" s="328">
        <v>2506.4067</v>
      </c>
      <c r="G4537" s="328">
        <v>7365.9064499999995</v>
      </c>
      <c r="H4537" s="328">
        <v>7076.0182500000001</v>
      </c>
      <c r="I4537" s="329">
        <v>9.9503312898843913E-2</v>
      </c>
      <c r="J4537" s="329">
        <v>0.61467526458576327</v>
      </c>
      <c r="K4537" s="329">
        <v>0.73607487959339823</v>
      </c>
    </row>
    <row r="4538" spans="1:11" ht="11.25" x14ac:dyDescent="0.15">
      <c r="A4538" s="326">
        <v>1.075</v>
      </c>
      <c r="B4538" s="327">
        <v>150</v>
      </c>
      <c r="C4538" s="327" t="s">
        <v>116</v>
      </c>
      <c r="D4538" s="327" t="s">
        <v>79</v>
      </c>
      <c r="E4538" s="328" t="s">
        <v>3878</v>
      </c>
      <c r="F4538" s="328">
        <v>21801.817000000003</v>
      </c>
      <c r="G4538" s="328">
        <v>8771.7226500000015</v>
      </c>
      <c r="H4538" s="328">
        <v>7648.426125</v>
      </c>
      <c r="I4538" s="329">
        <v>0.86552314862322011</v>
      </c>
      <c r="J4538" s="329">
        <v>0.73198878880163953</v>
      </c>
      <c r="K4538" s="329">
        <v>0.79561896820127287</v>
      </c>
    </row>
    <row r="4539" spans="1:11" ht="11.25" x14ac:dyDescent="0.15">
      <c r="A4539" s="326">
        <v>1.075</v>
      </c>
      <c r="B4539" s="327">
        <v>150</v>
      </c>
      <c r="C4539" s="327" t="s">
        <v>116</v>
      </c>
      <c r="D4539" s="327" t="s">
        <v>114</v>
      </c>
      <c r="E4539" s="328" t="s">
        <v>3879</v>
      </c>
      <c r="F4539" s="328">
        <v>6398.3602250000004</v>
      </c>
      <c r="G4539" s="328">
        <v>8346.9632750000001</v>
      </c>
      <c r="H4539" s="328">
        <v>7546.5408500000003</v>
      </c>
      <c r="I4539" s="329">
        <v>0.25401226365525287</v>
      </c>
      <c r="J4539" s="329">
        <v>0.69654317420068168</v>
      </c>
      <c r="K4539" s="329">
        <v>0.78502046649051693</v>
      </c>
    </row>
    <row r="4540" spans="1:11" ht="11.25" x14ac:dyDescent="0.15">
      <c r="A4540" s="326">
        <v>1.075</v>
      </c>
      <c r="B4540" s="327">
        <v>150</v>
      </c>
      <c r="C4540" s="327" t="s">
        <v>116</v>
      </c>
      <c r="D4540" s="327" t="s">
        <v>113</v>
      </c>
      <c r="E4540" s="328" t="s">
        <v>3880</v>
      </c>
      <c r="F4540" s="328">
        <v>2662.8696</v>
      </c>
      <c r="G4540" s="328">
        <v>7840.1383999999998</v>
      </c>
      <c r="H4540" s="328">
        <v>7435.1686999999993</v>
      </c>
      <c r="I4540" s="329">
        <v>0.10571482553793816</v>
      </c>
      <c r="J4540" s="329">
        <v>0.65424930090023115</v>
      </c>
      <c r="K4540" s="329">
        <v>0.77343510322476949</v>
      </c>
    </row>
    <row r="4541" spans="1:11" ht="11.25" x14ac:dyDescent="0.15">
      <c r="A4541" s="326">
        <v>1.1000000000000001</v>
      </c>
      <c r="B4541" s="327">
        <v>150</v>
      </c>
      <c r="C4541" s="327" t="s">
        <v>116</v>
      </c>
      <c r="D4541" s="327" t="s">
        <v>79</v>
      </c>
      <c r="E4541" s="328" t="s">
        <v>3881</v>
      </c>
      <c r="F4541" s="328">
        <v>23122.341000000004</v>
      </c>
      <c r="G4541" s="328">
        <v>9391.0959999999995</v>
      </c>
      <c r="H4541" s="328">
        <v>8024.3614000000007</v>
      </c>
      <c r="I4541" s="329">
        <v>0.9179474071294047</v>
      </c>
      <c r="J4541" s="329">
        <v>0.78367468521817885</v>
      </c>
      <c r="K4541" s="329">
        <v>0.83472521446915615</v>
      </c>
    </row>
    <row r="4542" spans="1:11" ht="11.25" x14ac:dyDescent="0.15">
      <c r="A4542" s="326">
        <v>1.1000000000000001</v>
      </c>
      <c r="B4542" s="327">
        <v>150</v>
      </c>
      <c r="C4542" s="327" t="s">
        <v>116</v>
      </c>
      <c r="D4542" s="327" t="s">
        <v>114</v>
      </c>
      <c r="E4542" s="328" t="s">
        <v>3882</v>
      </c>
      <c r="F4542" s="328">
        <v>6800.0768000000007</v>
      </c>
      <c r="G4542" s="328">
        <v>8920.2465000000011</v>
      </c>
      <c r="H4542" s="328">
        <v>7918.4391000000005</v>
      </c>
      <c r="I4542" s="329">
        <v>0.26996024610314412</v>
      </c>
      <c r="J4542" s="329">
        <v>0.7443829099346938</v>
      </c>
      <c r="K4542" s="329">
        <v>0.82370676575066171</v>
      </c>
    </row>
    <row r="4543" spans="1:11" ht="11.25" x14ac:dyDescent="0.15">
      <c r="A4543" s="326">
        <v>1.1000000000000001</v>
      </c>
      <c r="B4543" s="327">
        <v>150</v>
      </c>
      <c r="C4543" s="327" t="s">
        <v>116</v>
      </c>
      <c r="D4543" s="327" t="s">
        <v>113</v>
      </c>
      <c r="E4543" s="328" t="s">
        <v>3883</v>
      </c>
      <c r="F4543" s="328">
        <v>2826.8999000000003</v>
      </c>
      <c r="G4543" s="328">
        <v>8340.7753000000012</v>
      </c>
      <c r="H4543" s="328">
        <v>7803.3977999999997</v>
      </c>
      <c r="I4543" s="329">
        <v>0.11222676083790016</v>
      </c>
      <c r="J4543" s="329">
        <v>0.69602679577581383</v>
      </c>
      <c r="K4543" s="329">
        <v>0.8117397232623571</v>
      </c>
    </row>
    <row r="4544" spans="1:11" ht="11.25" x14ac:dyDescent="0.15">
      <c r="A4544" s="326">
        <v>1.125</v>
      </c>
      <c r="B4544" s="327">
        <v>150</v>
      </c>
      <c r="C4544" s="327" t="s">
        <v>116</v>
      </c>
      <c r="D4544" s="327" t="s">
        <v>79</v>
      </c>
      <c r="E4544" s="328" t="s">
        <v>3884</v>
      </c>
      <c r="F4544" s="328">
        <v>24501.825000000001</v>
      </c>
      <c r="G4544" s="328">
        <v>10042.704</v>
      </c>
      <c r="H4544" s="328">
        <v>8409.4874999999993</v>
      </c>
      <c r="I4544" s="329">
        <v>0.97271235333344586</v>
      </c>
      <c r="J4544" s="329">
        <v>0.83805052104028599</v>
      </c>
      <c r="K4544" s="329">
        <v>0.87478752602209398</v>
      </c>
    </row>
    <row r="4545" spans="1:11" ht="11.25" x14ac:dyDescent="0.15">
      <c r="A4545" s="326">
        <v>1.125</v>
      </c>
      <c r="B4545" s="327">
        <v>150</v>
      </c>
      <c r="C4545" s="327" t="s">
        <v>116</v>
      </c>
      <c r="D4545" s="327" t="s">
        <v>114</v>
      </c>
      <c r="E4545" s="328" t="s">
        <v>3885</v>
      </c>
      <c r="F4545" s="328">
        <v>7221.4571250000008</v>
      </c>
      <c r="G4545" s="328">
        <v>9525.8137500000012</v>
      </c>
      <c r="H4545" s="328">
        <v>8300.1217500000002</v>
      </c>
      <c r="I4545" s="329">
        <v>0.28668887132102733</v>
      </c>
      <c r="J4545" s="329">
        <v>0.79491670535348069</v>
      </c>
      <c r="K4545" s="329">
        <v>0.8634108762709588</v>
      </c>
    </row>
    <row r="4546" spans="1:11" ht="11.25" x14ac:dyDescent="0.15">
      <c r="A4546" s="326">
        <v>1.125</v>
      </c>
      <c r="B4546" s="327">
        <v>150</v>
      </c>
      <c r="C4546" s="327" t="s">
        <v>116</v>
      </c>
      <c r="D4546" s="327" t="s">
        <v>113</v>
      </c>
      <c r="E4546" s="328" t="s">
        <v>3886</v>
      </c>
      <c r="F4546" s="328">
        <v>2998.801125</v>
      </c>
      <c r="G4546" s="328">
        <v>8869.3627500000002</v>
      </c>
      <c r="H4546" s="328">
        <v>8180.8076249999995</v>
      </c>
      <c r="I4546" s="329">
        <v>0.11905116861612287</v>
      </c>
      <c r="J4546" s="329">
        <v>0.74013672751211279</v>
      </c>
      <c r="K4546" s="329">
        <v>0.85099935794380244</v>
      </c>
    </row>
    <row r="4547" spans="1:11" ht="11.25" x14ac:dyDescent="0.15">
      <c r="A4547" s="326">
        <v>1.1499999999999999</v>
      </c>
      <c r="B4547" s="327">
        <v>150</v>
      </c>
      <c r="C4547" s="327" t="s">
        <v>116</v>
      </c>
      <c r="D4547" s="327" t="s">
        <v>79</v>
      </c>
      <c r="E4547" s="328" t="s">
        <v>3887</v>
      </c>
      <c r="F4547" s="328">
        <v>25942.136999999999</v>
      </c>
      <c r="G4547" s="328">
        <v>10726.044250000001</v>
      </c>
      <c r="H4547" s="328">
        <v>8803.8376499999995</v>
      </c>
      <c r="I4547" s="329">
        <v>1.0298921460653914</v>
      </c>
      <c r="J4547" s="329">
        <v>0.89507437164469494</v>
      </c>
      <c r="K4547" s="329">
        <v>0.91580935905352923</v>
      </c>
    </row>
    <row r="4548" spans="1:11" ht="11.25" x14ac:dyDescent="0.15">
      <c r="A4548" s="326">
        <v>1.1499999999999999</v>
      </c>
      <c r="B4548" s="327">
        <v>150</v>
      </c>
      <c r="C4548" s="327" t="s">
        <v>116</v>
      </c>
      <c r="D4548" s="327" t="s">
        <v>114</v>
      </c>
      <c r="E4548" s="328" t="s">
        <v>3888</v>
      </c>
      <c r="F4548" s="328">
        <v>7663.2860499999988</v>
      </c>
      <c r="G4548" s="328">
        <v>10163.100850000001</v>
      </c>
      <c r="H4548" s="328">
        <v>8690.384399999999</v>
      </c>
      <c r="I4548" s="329">
        <v>0.30422929753040295</v>
      </c>
      <c r="J4548" s="329">
        <v>0.84809748079077851</v>
      </c>
      <c r="K4548" s="329">
        <v>0.90400751168926763</v>
      </c>
    </row>
    <row r="4549" spans="1:11" ht="11.25" x14ac:dyDescent="0.15">
      <c r="A4549" s="326">
        <v>1.1499999999999999</v>
      </c>
      <c r="B4549" s="327">
        <v>150</v>
      </c>
      <c r="C4549" s="327" t="s">
        <v>116</v>
      </c>
      <c r="D4549" s="327" t="s">
        <v>113</v>
      </c>
      <c r="E4549" s="328" t="s">
        <v>3889</v>
      </c>
      <c r="F4549" s="328">
        <v>3178.8863499999993</v>
      </c>
      <c r="G4549" s="328">
        <v>9426.5017000000007</v>
      </c>
      <c r="H4549" s="328">
        <v>8566.9916999999987</v>
      </c>
      <c r="I4549" s="329">
        <v>0.12620047782106303</v>
      </c>
      <c r="J4549" s="329">
        <v>0.78662924460106987</v>
      </c>
      <c r="K4549" s="329">
        <v>0.89117172416212198</v>
      </c>
    </row>
    <row r="4550" spans="1:11" ht="11.25" x14ac:dyDescent="0.15">
      <c r="A4550" s="326">
        <v>1.175</v>
      </c>
      <c r="B4550" s="327">
        <v>150</v>
      </c>
      <c r="C4550" s="327" t="s">
        <v>116</v>
      </c>
      <c r="D4550" s="327" t="s">
        <v>79</v>
      </c>
      <c r="E4550" s="328" t="s">
        <v>3890</v>
      </c>
      <c r="F4550" s="328">
        <v>27445.2035</v>
      </c>
      <c r="G4550" s="328">
        <v>11444.173350000001</v>
      </c>
      <c r="H4550" s="328">
        <v>9207.3458249999985</v>
      </c>
      <c r="I4550" s="329">
        <v>1.0895632665811761</v>
      </c>
      <c r="J4550" s="329">
        <v>0.95500130630583724</v>
      </c>
      <c r="K4550" s="329">
        <v>0.95778384538672612</v>
      </c>
    </row>
    <row r="4551" spans="1:11" ht="11.25" x14ac:dyDescent="0.15">
      <c r="A4551" s="326">
        <v>1.175</v>
      </c>
      <c r="B4551" s="327">
        <v>150</v>
      </c>
      <c r="C4551" s="327" t="s">
        <v>116</v>
      </c>
      <c r="D4551" s="327" t="s">
        <v>114</v>
      </c>
      <c r="E4551" s="328" t="s">
        <v>3891</v>
      </c>
      <c r="F4551" s="328">
        <v>8126.3787250000005</v>
      </c>
      <c r="G4551" s="328">
        <v>10832.906625000001</v>
      </c>
      <c r="H4551" s="328">
        <v>9089.2689000000009</v>
      </c>
      <c r="I4551" s="329">
        <v>0.3226138858502825</v>
      </c>
      <c r="J4551" s="329">
        <v>0.90399189714861838</v>
      </c>
      <c r="K4551" s="329">
        <v>0.94550102540500369</v>
      </c>
    </row>
    <row r="4552" spans="1:11" ht="11.25" x14ac:dyDescent="0.15">
      <c r="A4552" s="326">
        <v>1.175</v>
      </c>
      <c r="B4552" s="327">
        <v>150</v>
      </c>
      <c r="C4552" s="327" t="s">
        <v>116</v>
      </c>
      <c r="D4552" s="327" t="s">
        <v>113</v>
      </c>
      <c r="E4552" s="328" t="s">
        <v>3892</v>
      </c>
      <c r="F4552" s="328">
        <v>3367.4795000000004</v>
      </c>
      <c r="G4552" s="328">
        <v>10012.6638</v>
      </c>
      <c r="H4552" s="328">
        <v>8961.9059500000003</v>
      </c>
      <c r="I4552" s="329">
        <v>0.13368754814170519</v>
      </c>
      <c r="J4552" s="329">
        <v>0.83554370561864721</v>
      </c>
      <c r="K4552" s="329">
        <v>0.93225223706476579</v>
      </c>
    </row>
    <row r="4553" spans="1:11" ht="11.25" x14ac:dyDescent="0.15">
      <c r="A4553" s="326">
        <v>1.2</v>
      </c>
      <c r="B4553" s="327">
        <v>150</v>
      </c>
      <c r="C4553" s="327" t="s">
        <v>116</v>
      </c>
      <c r="D4553" s="327" t="s">
        <v>79</v>
      </c>
      <c r="E4553" s="328" t="s">
        <v>3893</v>
      </c>
      <c r="F4553" s="328">
        <v>29012.987999999998</v>
      </c>
      <c r="G4553" s="328">
        <v>12195.036</v>
      </c>
      <c r="H4553" s="328">
        <v>9620.1251999999986</v>
      </c>
      <c r="I4553" s="329">
        <v>1.151803665021484</v>
      </c>
      <c r="J4553" s="329">
        <v>1.017659812925388</v>
      </c>
      <c r="K4553" s="329">
        <v>1.000722757924404</v>
      </c>
    </row>
    <row r="4554" spans="1:11" ht="11.25" x14ac:dyDescent="0.15">
      <c r="A4554" s="326">
        <v>1.2</v>
      </c>
      <c r="B4554" s="327">
        <v>150</v>
      </c>
      <c r="C4554" s="327" t="s">
        <v>116</v>
      </c>
      <c r="D4554" s="327" t="s">
        <v>114</v>
      </c>
      <c r="E4554" s="328" t="s">
        <v>3894</v>
      </c>
      <c r="F4554" s="328">
        <v>8611.5707999999995</v>
      </c>
      <c r="G4554" s="328">
        <v>11536.4028</v>
      </c>
      <c r="H4554" s="328">
        <v>9497.522399999998</v>
      </c>
      <c r="I4554" s="329">
        <v>0.34187581124122735</v>
      </c>
      <c r="J4554" s="329">
        <v>0.96269773334657827</v>
      </c>
      <c r="K4554" s="329">
        <v>0.9879691388607712</v>
      </c>
    </row>
    <row r="4555" spans="1:11" ht="11.25" x14ac:dyDescent="0.15">
      <c r="A4555" s="326">
        <v>1.2</v>
      </c>
      <c r="B4555" s="327">
        <v>150</v>
      </c>
      <c r="C4555" s="327" t="s">
        <v>116</v>
      </c>
      <c r="D4555" s="327" t="s">
        <v>113</v>
      </c>
      <c r="E4555" s="328" t="s">
        <v>3895</v>
      </c>
      <c r="F4555" s="328">
        <v>3564.9216000000001</v>
      </c>
      <c r="G4555" s="328">
        <v>10629.813600000001</v>
      </c>
      <c r="H4555" s="328">
        <v>9366.2916000000005</v>
      </c>
      <c r="I4555" s="329">
        <v>0.14152591812998555</v>
      </c>
      <c r="J4555" s="329">
        <v>0.88704404969429751</v>
      </c>
      <c r="K4555" s="329">
        <v>0.97431800175284422</v>
      </c>
    </row>
    <row r="4556" spans="1:11" ht="11.25" x14ac:dyDescent="0.15">
      <c r="A4556" s="326">
        <v>1.2250000000000001</v>
      </c>
      <c r="B4556" s="327">
        <v>150</v>
      </c>
      <c r="C4556" s="327" t="s">
        <v>116</v>
      </c>
      <c r="D4556" s="327" t="s">
        <v>79</v>
      </c>
      <c r="E4556" s="328" t="s">
        <v>3896</v>
      </c>
      <c r="F4556" s="328">
        <v>30647.527750000001</v>
      </c>
      <c r="G4556" s="328">
        <v>12981.864000000001</v>
      </c>
      <c r="H4556" s="328">
        <v>10041.990175000001</v>
      </c>
      <c r="I4556" s="329">
        <v>1.2166942193716015</v>
      </c>
      <c r="J4556" s="329">
        <v>1.083319580988759</v>
      </c>
      <c r="K4556" s="329">
        <v>1.0446067898342706</v>
      </c>
    </row>
    <row r="4557" spans="1:11" ht="11.25" x14ac:dyDescent="0.15">
      <c r="A4557" s="326">
        <v>1.2250000000000001</v>
      </c>
      <c r="B4557" s="327">
        <v>150</v>
      </c>
      <c r="C4557" s="327" t="s">
        <v>116</v>
      </c>
      <c r="D4557" s="327" t="s">
        <v>114</v>
      </c>
      <c r="E4557" s="328" t="s">
        <v>3897</v>
      </c>
      <c r="F4557" s="328">
        <v>9119.7379000000001</v>
      </c>
      <c r="G4557" s="328">
        <v>12274.855250000002</v>
      </c>
      <c r="H4557" s="328">
        <v>9915.4648250000009</v>
      </c>
      <c r="I4557" s="329">
        <v>0.36204983565482235</v>
      </c>
      <c r="J4557" s="329">
        <v>1.0243206249986649</v>
      </c>
      <c r="K4557" s="329">
        <v>1.031445131896664</v>
      </c>
    </row>
    <row r="4558" spans="1:11" ht="11.25" x14ac:dyDescent="0.15">
      <c r="A4558" s="326">
        <v>1.2250000000000001</v>
      </c>
      <c r="B4558" s="327">
        <v>150</v>
      </c>
      <c r="C4558" s="327" t="s">
        <v>116</v>
      </c>
      <c r="D4558" s="327" t="s">
        <v>113</v>
      </c>
      <c r="E4558" s="328" t="s">
        <v>3898</v>
      </c>
      <c r="F4558" s="328">
        <v>3771.5618500000005</v>
      </c>
      <c r="G4558" s="328">
        <v>11278.093575000001</v>
      </c>
      <c r="H4558" s="328">
        <v>9779.519225</v>
      </c>
      <c r="I4558" s="329">
        <v>0.14972945088197084</v>
      </c>
      <c r="J4558" s="329">
        <v>0.94114216618052804</v>
      </c>
      <c r="K4558" s="329">
        <v>1.0173035429951298</v>
      </c>
    </row>
    <row r="4559" spans="1:11" ht="11.25" x14ac:dyDescent="0.15">
      <c r="A4559" s="326">
        <v>1.25</v>
      </c>
      <c r="B4559" s="327">
        <v>150</v>
      </c>
      <c r="C4559" s="327" t="s">
        <v>116</v>
      </c>
      <c r="D4559" s="327" t="s">
        <v>79</v>
      </c>
      <c r="E4559" s="328" t="s">
        <v>3899</v>
      </c>
      <c r="F4559" s="328">
        <v>32350.862499999999</v>
      </c>
      <c r="G4559" s="328">
        <v>13802.612499999999</v>
      </c>
      <c r="H4559" s="328">
        <v>10474.065000000001</v>
      </c>
      <c r="I4559" s="329">
        <v>1.2843159068657835</v>
      </c>
      <c r="J4559" s="329">
        <v>1.1518099704364646</v>
      </c>
      <c r="K4559" s="329">
        <v>1.0895528899644129</v>
      </c>
    </row>
    <row r="4560" spans="1:11" ht="11.25" x14ac:dyDescent="0.15">
      <c r="A4560" s="326">
        <v>1.25</v>
      </c>
      <c r="B4560" s="327">
        <v>150</v>
      </c>
      <c r="C4560" s="327" t="s">
        <v>116</v>
      </c>
      <c r="D4560" s="327" t="s">
        <v>114</v>
      </c>
      <c r="E4560" s="328" t="s">
        <v>3900</v>
      </c>
      <c r="F4560" s="328">
        <v>9651.78125</v>
      </c>
      <c r="G4560" s="328">
        <v>13047.387500000001</v>
      </c>
      <c r="H4560" s="328">
        <v>10341.689999999999</v>
      </c>
      <c r="I4560" s="329">
        <v>0.38317173735210042</v>
      </c>
      <c r="J4560" s="329">
        <v>1.0887874314118504</v>
      </c>
      <c r="K4560" s="329">
        <v>1.0757827287319743</v>
      </c>
    </row>
    <row r="4561" spans="1:11" ht="11.25" x14ac:dyDescent="0.15">
      <c r="A4561" s="326">
        <v>1.25</v>
      </c>
      <c r="B4561" s="327">
        <v>150</v>
      </c>
      <c r="C4561" s="327" t="s">
        <v>116</v>
      </c>
      <c r="D4561" s="327" t="s">
        <v>113</v>
      </c>
      <c r="E4561" s="328" t="s">
        <v>3901</v>
      </c>
      <c r="F4561" s="328">
        <v>3987.7674999999999</v>
      </c>
      <c r="G4561" s="328">
        <v>11957.275</v>
      </c>
      <c r="H4561" s="328">
        <v>10201.568749999999</v>
      </c>
      <c r="I4561" s="329">
        <v>0.15831272607128782</v>
      </c>
      <c r="J4561" s="329">
        <v>0.99781896827507677</v>
      </c>
      <c r="K4561" s="329">
        <v>1.0612067725122138</v>
      </c>
    </row>
    <row r="4562" spans="1:11" ht="11.25" x14ac:dyDescent="0.15">
      <c r="A4562" s="326">
        <v>1.2749999999999999</v>
      </c>
      <c r="B4562" s="327">
        <v>150</v>
      </c>
      <c r="C4562" s="327" t="s">
        <v>116</v>
      </c>
      <c r="D4562" s="327" t="s">
        <v>79</v>
      </c>
      <c r="E4562" s="328" t="s">
        <v>3902</v>
      </c>
      <c r="F4562" s="328">
        <v>34125.120000000003</v>
      </c>
      <c r="G4562" s="328">
        <v>14660.332499999999</v>
      </c>
      <c r="H4562" s="328">
        <v>10914.365925</v>
      </c>
      <c r="I4562" s="329">
        <v>1.354753198302014</v>
      </c>
      <c r="J4562" s="329">
        <v>1.2233855832302574</v>
      </c>
      <c r="K4562" s="329">
        <v>1.1353547009411209</v>
      </c>
    </row>
    <row r="4563" spans="1:11" ht="11.25" x14ac:dyDescent="0.15">
      <c r="A4563" s="326">
        <v>1.2749999999999999</v>
      </c>
      <c r="B4563" s="327">
        <v>150</v>
      </c>
      <c r="C4563" s="327" t="s">
        <v>116</v>
      </c>
      <c r="D4563" s="327" t="s">
        <v>114</v>
      </c>
      <c r="E4563" s="328" t="s">
        <v>3903</v>
      </c>
      <c r="F4563" s="328">
        <v>10208.6394</v>
      </c>
      <c r="G4563" s="328">
        <v>13855.769249999999</v>
      </c>
      <c r="H4563" s="328">
        <v>10777.4067</v>
      </c>
      <c r="I4563" s="329">
        <v>0.40527877638120985</v>
      </c>
      <c r="J4563" s="329">
        <v>1.1562458317377942</v>
      </c>
      <c r="K4563" s="329">
        <v>1.1211076708333225</v>
      </c>
    </row>
    <row r="4564" spans="1:11" ht="11.25" x14ac:dyDescent="0.15">
      <c r="A4564" s="326">
        <v>1.2749999999999999</v>
      </c>
      <c r="B4564" s="327">
        <v>150</v>
      </c>
      <c r="C4564" s="327" t="s">
        <v>116</v>
      </c>
      <c r="D4564" s="327" t="s">
        <v>113</v>
      </c>
      <c r="E4564" s="328" t="s">
        <v>3904</v>
      </c>
      <c r="F4564" s="328">
        <v>4213.9170749999994</v>
      </c>
      <c r="G4564" s="328">
        <v>12670.072799999998</v>
      </c>
      <c r="H4564" s="328">
        <v>10632.908399999998</v>
      </c>
      <c r="I4564" s="329">
        <v>0.16729077098441605</v>
      </c>
      <c r="J4564" s="329">
        <v>1.0573010129202607</v>
      </c>
      <c r="K4564" s="329">
        <v>1.1060763968857248</v>
      </c>
    </row>
    <row r="4565" spans="1:11" ht="11.25" x14ac:dyDescent="0.15">
      <c r="A4565" s="326">
        <v>1.3</v>
      </c>
      <c r="B4565" s="327">
        <v>150</v>
      </c>
      <c r="C4565" s="327" t="s">
        <v>116</v>
      </c>
      <c r="D4565" s="327" t="s">
        <v>79</v>
      </c>
      <c r="E4565" s="328" t="s">
        <v>3905</v>
      </c>
      <c r="F4565" s="328">
        <v>35972.456000000006</v>
      </c>
      <c r="G4565" s="328">
        <v>15551.835000000001</v>
      </c>
      <c r="H4565" s="328">
        <v>11365.374800000001</v>
      </c>
      <c r="I4565" s="329">
        <v>1.4280916760667355</v>
      </c>
      <c r="J4565" s="329">
        <v>1.2977803014887781</v>
      </c>
      <c r="K4565" s="329">
        <v>1.1822703944331749</v>
      </c>
    </row>
    <row r="4566" spans="1:11" ht="11.25" x14ac:dyDescent="0.15">
      <c r="A4566" s="326">
        <v>1.3</v>
      </c>
      <c r="B4566" s="327">
        <v>150</v>
      </c>
      <c r="C4566" s="327" t="s">
        <v>116</v>
      </c>
      <c r="D4566" s="327" t="s">
        <v>114</v>
      </c>
      <c r="E4566" s="328" t="s">
        <v>3906</v>
      </c>
      <c r="F4566" s="328">
        <v>10791.280499999999</v>
      </c>
      <c r="G4566" s="328">
        <v>14700.608</v>
      </c>
      <c r="H4566" s="328">
        <v>11222.2253</v>
      </c>
      <c r="I4566" s="329">
        <v>0.42840938789809835</v>
      </c>
      <c r="J4566" s="329">
        <v>1.2267465210573762</v>
      </c>
      <c r="K4566" s="329">
        <v>1.1673794278961176</v>
      </c>
    </row>
    <row r="4567" spans="1:11" ht="11.25" x14ac:dyDescent="0.15">
      <c r="A4567" s="326">
        <v>1.3</v>
      </c>
      <c r="B4567" s="327">
        <v>150</v>
      </c>
      <c r="C4567" s="327" t="s">
        <v>116</v>
      </c>
      <c r="D4567" s="327" t="s">
        <v>113</v>
      </c>
      <c r="E4567" s="328" t="s">
        <v>3907</v>
      </c>
      <c r="F4567" s="328">
        <v>4450.4070000000002</v>
      </c>
      <c r="G4567" s="328">
        <v>13415.909000000001</v>
      </c>
      <c r="H4567" s="328">
        <v>11073.6535</v>
      </c>
      <c r="I4567" s="329">
        <v>0.17667932353045707</v>
      </c>
      <c r="J4567" s="329">
        <v>1.1195400688578558</v>
      </c>
      <c r="K4567" s="329">
        <v>1.1519244126697261</v>
      </c>
    </row>
    <row r="4568" spans="1:11" ht="11.25" x14ac:dyDescent="0.15">
      <c r="A4568" s="326">
        <v>1.325</v>
      </c>
      <c r="B4568" s="327">
        <v>150</v>
      </c>
      <c r="C4568" s="327" t="s">
        <v>116</v>
      </c>
      <c r="D4568" s="327" t="s">
        <v>79</v>
      </c>
      <c r="E4568" s="328" t="s">
        <v>3908</v>
      </c>
      <c r="F4568" s="328">
        <v>37895.0795</v>
      </c>
      <c r="G4568" s="328">
        <v>16481.820749999999</v>
      </c>
      <c r="H4568" s="328">
        <v>11825.030074999999</v>
      </c>
      <c r="I4568" s="329">
        <v>1.5044190365494416</v>
      </c>
      <c r="J4568" s="329">
        <v>1.3753863966547353</v>
      </c>
      <c r="K4568" s="329">
        <v>1.2300855200089311</v>
      </c>
    </row>
    <row r="4569" spans="1:11" ht="11.25" x14ac:dyDescent="0.15">
      <c r="A4569" s="326">
        <v>1.325</v>
      </c>
      <c r="B4569" s="327">
        <v>150</v>
      </c>
      <c r="C4569" s="327" t="s">
        <v>116</v>
      </c>
      <c r="D4569" s="327" t="s">
        <v>114</v>
      </c>
      <c r="E4569" s="328" t="s">
        <v>3909</v>
      </c>
      <c r="F4569" s="328">
        <v>11400.714725</v>
      </c>
      <c r="G4569" s="328">
        <v>15581.417000000001</v>
      </c>
      <c r="H4569" s="328">
        <v>11676.202099999999</v>
      </c>
      <c r="I4569" s="329">
        <v>0.45260367543389191</v>
      </c>
      <c r="J4569" s="329">
        <v>1.3002488807193733</v>
      </c>
      <c r="K4569" s="329">
        <v>1.2146038564648534</v>
      </c>
    </row>
    <row r="4570" spans="1:11" ht="11.25" x14ac:dyDescent="0.15">
      <c r="A4570" s="326">
        <v>1.325</v>
      </c>
      <c r="B4570" s="327">
        <v>150</v>
      </c>
      <c r="C4570" s="327" t="s">
        <v>116</v>
      </c>
      <c r="D4570" s="327" t="s">
        <v>113</v>
      </c>
      <c r="E4570" s="328" t="s">
        <v>3910</v>
      </c>
      <c r="F4570" s="328">
        <v>4697.6523500000003</v>
      </c>
      <c r="G4570" s="328">
        <v>14194.486499999999</v>
      </c>
      <c r="H4570" s="328">
        <v>11522.959225000001</v>
      </c>
      <c r="I4570" s="329">
        <v>0.18649486201582505</v>
      </c>
      <c r="J4570" s="329">
        <v>1.1845113434812282</v>
      </c>
      <c r="K4570" s="329">
        <v>1.198662937889047</v>
      </c>
    </row>
    <row r="4571" spans="1:11" ht="11.25" x14ac:dyDescent="0.15">
      <c r="A4571" s="326">
        <v>1.35</v>
      </c>
      <c r="B4571" s="327">
        <v>150</v>
      </c>
      <c r="C4571" s="327" t="s">
        <v>116</v>
      </c>
      <c r="D4571" s="327" t="s">
        <v>79</v>
      </c>
      <c r="E4571" s="328" t="s">
        <v>3911</v>
      </c>
      <c r="F4571" s="328">
        <v>39895.254000000001</v>
      </c>
      <c r="G4571" s="328">
        <v>17448.520500000002</v>
      </c>
      <c r="H4571" s="328">
        <v>12294.880650000001</v>
      </c>
      <c r="I4571" s="329">
        <v>1.583825139767163</v>
      </c>
      <c r="J4571" s="329">
        <v>1.4560562271283823</v>
      </c>
      <c r="K4571" s="329">
        <v>1.2789612002574968</v>
      </c>
    </row>
    <row r="4572" spans="1:11" ht="11.25" x14ac:dyDescent="0.15">
      <c r="A4572" s="326">
        <v>1.35</v>
      </c>
      <c r="B4572" s="327">
        <v>150</v>
      </c>
      <c r="C4572" s="327" t="s">
        <v>116</v>
      </c>
      <c r="D4572" s="327" t="s">
        <v>114</v>
      </c>
      <c r="E4572" s="328" t="s">
        <v>3912</v>
      </c>
      <c r="F4572" s="328">
        <v>12037.982400000001</v>
      </c>
      <c r="G4572" s="328">
        <v>16500.186000000002</v>
      </c>
      <c r="H4572" s="328">
        <v>12139.721100000001</v>
      </c>
      <c r="I4572" s="329">
        <v>0.47790293946228918</v>
      </c>
      <c r="J4572" s="329">
        <v>1.3769189527602959</v>
      </c>
      <c r="K4572" s="329">
        <v>1.2628209017097909</v>
      </c>
    </row>
    <row r="4573" spans="1:11" ht="11.25" x14ac:dyDescent="0.15">
      <c r="A4573" s="326">
        <v>1.35</v>
      </c>
      <c r="B4573" s="327">
        <v>150</v>
      </c>
      <c r="C4573" s="327" t="s">
        <v>116</v>
      </c>
      <c r="D4573" s="327" t="s">
        <v>113</v>
      </c>
      <c r="E4573" s="328" t="s">
        <v>3913</v>
      </c>
      <c r="F4573" s="328">
        <v>4956.0768000000007</v>
      </c>
      <c r="G4573" s="328">
        <v>15008.2335</v>
      </c>
      <c r="H4573" s="328">
        <v>11981.590200000001</v>
      </c>
      <c r="I4573" s="329">
        <v>0.19675420616338965</v>
      </c>
      <c r="J4573" s="329">
        <v>1.2524174669062511</v>
      </c>
      <c r="K4573" s="329">
        <v>1.2463715118036109</v>
      </c>
    </row>
    <row r="4574" spans="1:11" ht="11.25" x14ac:dyDescent="0.15">
      <c r="A4574" s="326">
        <v>1.375</v>
      </c>
      <c r="B4574" s="327">
        <v>150</v>
      </c>
      <c r="C4574" s="327" t="s">
        <v>116</v>
      </c>
      <c r="D4574" s="327" t="s">
        <v>79</v>
      </c>
      <c r="E4574" s="328" t="s">
        <v>3914</v>
      </c>
      <c r="F4574" s="328">
        <v>41975.312500000007</v>
      </c>
      <c r="G4574" s="328">
        <v>18451.922500000001</v>
      </c>
      <c r="H4574" s="328">
        <v>12774.055249999999</v>
      </c>
      <c r="I4574" s="329">
        <v>1.6664026048582836</v>
      </c>
      <c r="J4574" s="329">
        <v>1.5397888123875778</v>
      </c>
      <c r="K4574" s="329">
        <v>1.3288068017720511</v>
      </c>
    </row>
    <row r="4575" spans="1:11" ht="11.25" x14ac:dyDescent="0.15">
      <c r="A4575" s="326">
        <v>1.375</v>
      </c>
      <c r="B4575" s="327">
        <v>150</v>
      </c>
      <c r="C4575" s="327" t="s">
        <v>116</v>
      </c>
      <c r="D4575" s="327" t="s">
        <v>114</v>
      </c>
      <c r="E4575" s="328" t="s">
        <v>3915</v>
      </c>
      <c r="F4575" s="328">
        <v>12704.1695</v>
      </c>
      <c r="G4575" s="328">
        <v>17457.605</v>
      </c>
      <c r="H4575" s="328">
        <v>12612.098124999999</v>
      </c>
      <c r="I4575" s="329">
        <v>0.50435029274317267</v>
      </c>
      <c r="J4575" s="329">
        <v>1.4568143167781806</v>
      </c>
      <c r="K4575" s="329">
        <v>1.3119593930922235</v>
      </c>
    </row>
    <row r="4576" spans="1:11" ht="11.25" x14ac:dyDescent="0.15">
      <c r="A4576" s="326">
        <v>1.375</v>
      </c>
      <c r="B4576" s="327">
        <v>150</v>
      </c>
      <c r="C4576" s="327" t="s">
        <v>116</v>
      </c>
      <c r="D4576" s="327" t="s">
        <v>113</v>
      </c>
      <c r="E4576" s="328" t="s">
        <v>3916</v>
      </c>
      <c r="F4576" s="328">
        <v>5226.1371250000002</v>
      </c>
      <c r="G4576" s="328">
        <v>15855.839999999998</v>
      </c>
      <c r="H4576" s="328">
        <v>12449.14</v>
      </c>
      <c r="I4576" s="329">
        <v>0.2074754897523772</v>
      </c>
      <c r="J4576" s="329">
        <v>1.3231491213453477</v>
      </c>
      <c r="K4576" s="329">
        <v>1.295007856507628</v>
      </c>
    </row>
    <row r="4577" spans="1:11" ht="11.25" x14ac:dyDescent="0.15">
      <c r="A4577" s="326">
        <v>1.4</v>
      </c>
      <c r="B4577" s="327">
        <v>150</v>
      </c>
      <c r="C4577" s="327" t="s">
        <v>116</v>
      </c>
      <c r="D4577" s="327" t="s">
        <v>79</v>
      </c>
      <c r="E4577" s="328" t="s">
        <v>3917</v>
      </c>
      <c r="F4577" s="328">
        <v>44137.632000000005</v>
      </c>
      <c r="G4577" s="328">
        <v>19493.193999999996</v>
      </c>
      <c r="H4577" s="328">
        <v>13263.399799999999</v>
      </c>
      <c r="I4577" s="329">
        <v>1.7522457977430503</v>
      </c>
      <c r="J4577" s="329">
        <v>1.6266815579190002</v>
      </c>
      <c r="K4577" s="329">
        <v>1.379710320954034</v>
      </c>
    </row>
    <row r="4578" spans="1:11" ht="11.25" x14ac:dyDescent="0.15">
      <c r="A4578" s="326">
        <v>1.4</v>
      </c>
      <c r="B4578" s="327">
        <v>150</v>
      </c>
      <c r="C4578" s="327" t="s">
        <v>116</v>
      </c>
      <c r="D4578" s="327" t="s">
        <v>114</v>
      </c>
      <c r="E4578" s="328" t="s">
        <v>3918</v>
      </c>
      <c r="F4578" s="328">
        <v>13400.398200000001</v>
      </c>
      <c r="G4578" s="328">
        <v>18451.524000000001</v>
      </c>
      <c r="H4578" s="328">
        <v>13093.805200000001</v>
      </c>
      <c r="I4578" s="329">
        <v>0.53199028516150426</v>
      </c>
      <c r="J4578" s="329">
        <v>1.5397555580834947</v>
      </c>
      <c r="K4578" s="329">
        <v>1.3620684324845278</v>
      </c>
    </row>
    <row r="4579" spans="1:11" ht="11.25" x14ac:dyDescent="0.15">
      <c r="A4579" s="326">
        <v>1.4</v>
      </c>
      <c r="B4579" s="327">
        <v>150</v>
      </c>
      <c r="C4579" s="327" t="s">
        <v>116</v>
      </c>
      <c r="D4579" s="327" t="s">
        <v>113</v>
      </c>
      <c r="E4579" s="328" t="s">
        <v>3919</v>
      </c>
      <c r="F4579" s="328">
        <v>5508.2902000000004</v>
      </c>
      <c r="G4579" s="328">
        <v>16738.987999999998</v>
      </c>
      <c r="H4579" s="328">
        <v>12926.258799999998</v>
      </c>
      <c r="I4579" s="329">
        <v>0.21867685053197292</v>
      </c>
      <c r="J4579" s="329">
        <v>1.3968466674998181</v>
      </c>
      <c r="K4579" s="329">
        <v>1.3446396057278545</v>
      </c>
    </row>
    <row r="4580" spans="1:11" ht="11.25" x14ac:dyDescent="0.15">
      <c r="A4580" s="326">
        <v>0.9</v>
      </c>
      <c r="B4580" s="327">
        <v>-40</v>
      </c>
      <c r="C4580" s="327" t="s">
        <v>111</v>
      </c>
      <c r="D4580" s="327" t="s">
        <v>79</v>
      </c>
      <c r="E4580" s="328" t="s">
        <v>3920</v>
      </c>
      <c r="F4580" s="328">
        <v>9.2577510000000007</v>
      </c>
      <c r="G4580" s="328">
        <v>4039.9920000000002</v>
      </c>
      <c r="H4580" s="328">
        <v>4495.1040000000003</v>
      </c>
      <c r="I4580" s="329">
        <v>5.6599554199210029E-3</v>
      </c>
      <c r="J4580" s="329">
        <v>0.45091262172019686</v>
      </c>
      <c r="K4580" s="329">
        <v>0.53736302042912498</v>
      </c>
    </row>
    <row r="4581" spans="1:11" ht="11.25" x14ac:dyDescent="0.15">
      <c r="A4581" s="326">
        <v>0.9</v>
      </c>
      <c r="B4581" s="327">
        <v>-40</v>
      </c>
      <c r="C4581" s="327" t="s">
        <v>111</v>
      </c>
      <c r="D4581" s="327" t="s">
        <v>114</v>
      </c>
      <c r="E4581" s="328" t="s">
        <v>3921</v>
      </c>
      <c r="F4581" s="328">
        <v>3.0311829000000001</v>
      </c>
      <c r="G4581" s="328">
        <v>4031.6994000000004</v>
      </c>
      <c r="H4581" s="328">
        <v>4416.1721999999991</v>
      </c>
      <c r="I4581" s="329">
        <v>1.8531887586549758E-3</v>
      </c>
      <c r="J4581" s="329">
        <v>0.4499870659253149</v>
      </c>
      <c r="K4581" s="329">
        <v>0.52792719192417648</v>
      </c>
    </row>
    <row r="4582" spans="1:11" ht="11.25" x14ac:dyDescent="0.15">
      <c r="A4582" s="326">
        <v>0.9</v>
      </c>
      <c r="B4582" s="327">
        <v>-40</v>
      </c>
      <c r="C4582" s="327" t="s">
        <v>111</v>
      </c>
      <c r="D4582" s="327" t="s">
        <v>113</v>
      </c>
      <c r="E4582" s="328" t="s">
        <v>3922</v>
      </c>
      <c r="F4582" s="328">
        <v>2.3091021</v>
      </c>
      <c r="G4582" s="328">
        <v>4029.7941000000001</v>
      </c>
      <c r="H4582" s="328">
        <v>4339.0377000000008</v>
      </c>
      <c r="I4582" s="329">
        <v>1.4117267731704999E-3</v>
      </c>
      <c r="J4582" s="329">
        <v>0.44977441109377969</v>
      </c>
      <c r="K4582" s="329">
        <v>0.51870621997351873</v>
      </c>
    </row>
    <row r="4583" spans="1:11" ht="11.25" x14ac:dyDescent="0.15">
      <c r="A4583" s="326">
        <v>0.92500000000000004</v>
      </c>
      <c r="B4583" s="327">
        <v>-40</v>
      </c>
      <c r="C4583" s="327" t="s">
        <v>111</v>
      </c>
      <c r="D4583" s="327" t="s">
        <v>79</v>
      </c>
      <c r="E4583" s="328" t="s">
        <v>3923</v>
      </c>
      <c r="F4583" s="328">
        <v>10.572639000000001</v>
      </c>
      <c r="G4583" s="328">
        <v>4252.8789750000005</v>
      </c>
      <c r="H4583" s="328">
        <v>4763.8166000000001</v>
      </c>
      <c r="I4583" s="329">
        <v>6.4638447729819222E-3</v>
      </c>
      <c r="J4583" s="329">
        <v>0.47467341729289408</v>
      </c>
      <c r="K4583" s="329">
        <v>0.56948601788666176</v>
      </c>
    </row>
    <row r="4584" spans="1:11" ht="11.25" x14ac:dyDescent="0.15">
      <c r="A4584" s="326">
        <v>0.92500000000000004</v>
      </c>
      <c r="B4584" s="327">
        <v>-40</v>
      </c>
      <c r="C4584" s="327" t="s">
        <v>111</v>
      </c>
      <c r="D4584" s="327" t="s">
        <v>114</v>
      </c>
      <c r="E4584" s="328" t="s">
        <v>3924</v>
      </c>
      <c r="F4584" s="328">
        <v>3.427235075</v>
      </c>
      <c r="G4584" s="328">
        <v>4236.4879749999991</v>
      </c>
      <c r="H4584" s="328">
        <v>4681.1558249999998</v>
      </c>
      <c r="I4584" s="329">
        <v>2.0953250674045579E-3</v>
      </c>
      <c r="J4584" s="329">
        <v>0.47284398080326334</v>
      </c>
      <c r="K4584" s="329">
        <v>0.55960441253892945</v>
      </c>
    </row>
    <row r="4585" spans="1:11" ht="11.25" x14ac:dyDescent="0.15">
      <c r="A4585" s="326">
        <v>0.92500000000000004</v>
      </c>
      <c r="B4585" s="327">
        <v>-40</v>
      </c>
      <c r="C4585" s="327" t="s">
        <v>111</v>
      </c>
      <c r="D4585" s="327" t="s">
        <v>113</v>
      </c>
      <c r="E4585" s="328" t="s">
        <v>3925</v>
      </c>
      <c r="F4585" s="328">
        <v>2.6095082500000002</v>
      </c>
      <c r="G4585" s="328">
        <v>4232.4975250000007</v>
      </c>
      <c r="H4585" s="328">
        <v>4600.9379749999998</v>
      </c>
      <c r="I4585" s="329">
        <v>1.5953875150580385E-3</v>
      </c>
      <c r="J4585" s="329">
        <v>0.47239859767593467</v>
      </c>
      <c r="K4585" s="329">
        <v>0.55001484438470427</v>
      </c>
    </row>
    <row r="4586" spans="1:11" ht="11.25" x14ac:dyDescent="0.15">
      <c r="A4586" s="326">
        <v>0.95</v>
      </c>
      <c r="B4586" s="327">
        <v>-40</v>
      </c>
      <c r="C4586" s="327" t="s">
        <v>111</v>
      </c>
      <c r="D4586" s="327" t="s">
        <v>79</v>
      </c>
      <c r="E4586" s="328" t="s">
        <v>3926</v>
      </c>
      <c r="F4586" s="328">
        <v>12.056108</v>
      </c>
      <c r="G4586" s="328">
        <v>4474.0050499999988</v>
      </c>
      <c r="H4586" s="328">
        <v>5040.0463999999993</v>
      </c>
      <c r="I4586" s="329">
        <v>7.3708002967192519E-3</v>
      </c>
      <c r="J4586" s="329">
        <v>0.49935379740477209</v>
      </c>
      <c r="K4586" s="329">
        <v>0.60250765201582368</v>
      </c>
    </row>
    <row r="4587" spans="1:11" ht="11.25" x14ac:dyDescent="0.15">
      <c r="A4587" s="326">
        <v>0.95</v>
      </c>
      <c r="B4587" s="327">
        <v>-40</v>
      </c>
      <c r="C4587" s="327" t="s">
        <v>111</v>
      </c>
      <c r="D4587" s="327" t="s">
        <v>114</v>
      </c>
      <c r="E4587" s="328" t="s">
        <v>3927</v>
      </c>
      <c r="F4587" s="328">
        <v>3.8708262999999996</v>
      </c>
      <c r="G4587" s="328">
        <v>4448.4063500000002</v>
      </c>
      <c r="H4587" s="328">
        <v>4954.4998499999992</v>
      </c>
      <c r="I4587" s="329">
        <v>2.3665255520760667E-3</v>
      </c>
      <c r="J4587" s="329">
        <v>0.49649666874470832</v>
      </c>
      <c r="K4587" s="329">
        <v>0.59228106938385539</v>
      </c>
    </row>
    <row r="4588" spans="1:11" ht="11.25" x14ac:dyDescent="0.15">
      <c r="A4588" s="326">
        <v>0.95</v>
      </c>
      <c r="B4588" s="327">
        <v>-40</v>
      </c>
      <c r="C4588" s="327" t="s">
        <v>111</v>
      </c>
      <c r="D4588" s="327" t="s">
        <v>113</v>
      </c>
      <c r="E4588" s="328" t="s">
        <v>3928</v>
      </c>
      <c r="F4588" s="328">
        <v>2.9460706499999998</v>
      </c>
      <c r="G4588" s="328">
        <v>4440.4443999999994</v>
      </c>
      <c r="H4588" s="328">
        <v>4870.3820999999998</v>
      </c>
      <c r="I4588" s="329">
        <v>1.8011532760967204E-3</v>
      </c>
      <c r="J4588" s="329">
        <v>0.4956080175423036</v>
      </c>
      <c r="K4588" s="329">
        <v>0.58222529131694045</v>
      </c>
    </row>
    <row r="4589" spans="1:11" ht="11.25" x14ac:dyDescent="0.15">
      <c r="A4589" s="326">
        <v>0.97499999999999998</v>
      </c>
      <c r="B4589" s="327">
        <v>-40</v>
      </c>
      <c r="C4589" s="327" t="s">
        <v>111</v>
      </c>
      <c r="D4589" s="327" t="s">
        <v>79</v>
      </c>
      <c r="E4589" s="328" t="s">
        <v>3929</v>
      </c>
      <c r="F4589" s="328">
        <v>13.73725275</v>
      </c>
      <c r="G4589" s="328">
        <v>4701.5650500000002</v>
      </c>
      <c r="H4589" s="328">
        <v>5323.7330249999995</v>
      </c>
      <c r="I4589" s="329">
        <v>8.3986097873216935E-3</v>
      </c>
      <c r="J4589" s="329">
        <v>0.52475228240143756</v>
      </c>
      <c r="K4589" s="329">
        <v>0.63642070534347639</v>
      </c>
    </row>
    <row r="4590" spans="1:11" ht="11.25" x14ac:dyDescent="0.15">
      <c r="A4590" s="326">
        <v>0.97499999999999998</v>
      </c>
      <c r="B4590" s="327">
        <v>-40</v>
      </c>
      <c r="C4590" s="327" t="s">
        <v>111</v>
      </c>
      <c r="D4590" s="327" t="s">
        <v>114</v>
      </c>
      <c r="E4590" s="328" t="s">
        <v>3930</v>
      </c>
      <c r="F4590" s="328">
        <v>4.3716806249999998</v>
      </c>
      <c r="G4590" s="328">
        <v>4665.0873750000001</v>
      </c>
      <c r="H4590" s="328">
        <v>5234.6638499999999</v>
      </c>
      <c r="I4590" s="329">
        <v>2.6727352515348904E-3</v>
      </c>
      <c r="J4590" s="329">
        <v>0.52068092679763756</v>
      </c>
      <c r="K4590" s="329">
        <v>0.62577301378725647</v>
      </c>
    </row>
    <row r="4591" spans="1:11" ht="11.25" x14ac:dyDescent="0.15">
      <c r="A4591" s="326">
        <v>0.97499999999999998</v>
      </c>
      <c r="B4591" s="327">
        <v>-40</v>
      </c>
      <c r="C4591" s="327" t="s">
        <v>111</v>
      </c>
      <c r="D4591" s="327" t="s">
        <v>113</v>
      </c>
      <c r="E4591" s="328" t="s">
        <v>3931</v>
      </c>
      <c r="F4591" s="328">
        <v>3.3261676499999999</v>
      </c>
      <c r="G4591" s="328">
        <v>4651.8546749999996</v>
      </c>
      <c r="H4591" s="328">
        <v>5147.5602749999998</v>
      </c>
      <c r="I4591" s="329">
        <v>2.0335349933459437E-3</v>
      </c>
      <c r="J4591" s="329">
        <v>0.51920399529642736</v>
      </c>
      <c r="K4591" s="329">
        <v>0.61536029805205328</v>
      </c>
    </row>
    <row r="4592" spans="1:11" ht="11.25" x14ac:dyDescent="0.15">
      <c r="A4592" s="326">
        <v>1</v>
      </c>
      <c r="B4592" s="327">
        <v>-40</v>
      </c>
      <c r="C4592" s="327" t="s">
        <v>111</v>
      </c>
      <c r="D4592" s="327" t="s">
        <v>79</v>
      </c>
      <c r="E4592" s="328" t="s">
        <v>3932</v>
      </c>
      <c r="F4592" s="328">
        <v>15.639419999999999</v>
      </c>
      <c r="G4592" s="328">
        <v>4938.5009999999993</v>
      </c>
      <c r="H4592" s="328">
        <v>5615.143</v>
      </c>
      <c r="I4592" s="329">
        <v>9.561546858780379E-3</v>
      </c>
      <c r="J4592" s="329">
        <v>0.55119723833062384</v>
      </c>
      <c r="K4592" s="329">
        <v>0.67125703935247283</v>
      </c>
    </row>
    <row r="4593" spans="1:11" ht="11.25" x14ac:dyDescent="0.15">
      <c r="A4593" s="326">
        <v>1</v>
      </c>
      <c r="B4593" s="327">
        <v>-40</v>
      </c>
      <c r="C4593" s="327" t="s">
        <v>111</v>
      </c>
      <c r="D4593" s="327" t="s">
        <v>114</v>
      </c>
      <c r="E4593" s="328" t="s">
        <v>3933</v>
      </c>
      <c r="F4593" s="328">
        <v>4.9371869999999998</v>
      </c>
      <c r="G4593" s="328">
        <v>4888.7939999999999</v>
      </c>
      <c r="H4593" s="328">
        <v>5522.8629999999994</v>
      </c>
      <c r="I4593" s="329">
        <v>3.0184715834130245E-3</v>
      </c>
      <c r="J4593" s="329">
        <v>0.54564932791697807</v>
      </c>
      <c r="K4593" s="329">
        <v>0.66022551271255525</v>
      </c>
    </row>
    <row r="4594" spans="1:11" ht="11.25" x14ac:dyDescent="0.15">
      <c r="A4594" s="326">
        <v>1</v>
      </c>
      <c r="B4594" s="327">
        <v>-40</v>
      </c>
      <c r="C4594" s="327" t="s">
        <v>111</v>
      </c>
      <c r="D4594" s="327" t="s">
        <v>113</v>
      </c>
      <c r="E4594" s="328" t="s">
        <v>3934</v>
      </c>
      <c r="F4594" s="328">
        <v>3.7554100000000004</v>
      </c>
      <c r="G4594" s="328">
        <v>4871.3990000000003</v>
      </c>
      <c r="H4594" s="328">
        <v>5432.6559999999999</v>
      </c>
      <c r="I4594" s="329">
        <v>2.2959629378156241E-3</v>
      </c>
      <c r="J4594" s="329">
        <v>0.54370783272222956</v>
      </c>
      <c r="K4594" s="329">
        <v>0.64944180092660997</v>
      </c>
    </row>
    <row r="4595" spans="1:11" ht="11.25" x14ac:dyDescent="0.15">
      <c r="A4595" s="326">
        <v>1.0249999999999999</v>
      </c>
      <c r="B4595" s="327">
        <v>-40</v>
      </c>
      <c r="C4595" s="327" t="s">
        <v>111</v>
      </c>
      <c r="D4595" s="327" t="s">
        <v>79</v>
      </c>
      <c r="E4595" s="328" t="s">
        <v>3935</v>
      </c>
      <c r="F4595" s="328">
        <v>17.779598749999998</v>
      </c>
      <c r="G4595" s="328">
        <v>5187.4050750000006</v>
      </c>
      <c r="H4595" s="328">
        <v>5914.73585</v>
      </c>
      <c r="I4595" s="329">
        <v>1.0869998157120791E-2</v>
      </c>
      <c r="J4595" s="329">
        <v>0.57897798369227083</v>
      </c>
      <c r="K4595" s="329">
        <v>0.70707158753088417</v>
      </c>
    </row>
    <row r="4596" spans="1:11" ht="11.25" x14ac:dyDescent="0.15">
      <c r="A4596" s="326">
        <v>1.0249999999999999</v>
      </c>
      <c r="B4596" s="327">
        <v>-40</v>
      </c>
      <c r="C4596" s="327" t="s">
        <v>111</v>
      </c>
      <c r="D4596" s="327" t="s">
        <v>114</v>
      </c>
      <c r="E4596" s="328" t="s">
        <v>3936</v>
      </c>
      <c r="F4596" s="328">
        <v>5.5721675249999993</v>
      </c>
      <c r="G4596" s="328">
        <v>5118.9770999999992</v>
      </c>
      <c r="H4596" s="328">
        <v>5818.9629249999998</v>
      </c>
      <c r="I4596" s="329">
        <v>3.4066826580053345E-3</v>
      </c>
      <c r="J4596" s="329">
        <v>0.57134058302260249</v>
      </c>
      <c r="K4596" s="329">
        <v>0.69562250242554913</v>
      </c>
    </row>
    <row r="4597" spans="1:11" ht="11.25" x14ac:dyDescent="0.15">
      <c r="A4597" s="326">
        <v>1.0249999999999999</v>
      </c>
      <c r="B4597" s="327">
        <v>-40</v>
      </c>
      <c r="C4597" s="327" t="s">
        <v>111</v>
      </c>
      <c r="D4597" s="327" t="s">
        <v>113</v>
      </c>
      <c r="E4597" s="328" t="s">
        <v>3937</v>
      </c>
      <c r="F4597" s="328">
        <v>4.2374565999999998</v>
      </c>
      <c r="G4597" s="328">
        <v>5093.8051499999992</v>
      </c>
      <c r="H4597" s="328">
        <v>5725.1815750000005</v>
      </c>
      <c r="I4597" s="329">
        <v>2.5906740686641953E-3</v>
      </c>
      <c r="J4597" s="329">
        <v>0.56853108489282655</v>
      </c>
      <c r="K4597" s="329">
        <v>0.68441149829840975</v>
      </c>
    </row>
    <row r="4598" spans="1:11" ht="11.25" x14ac:dyDescent="0.15">
      <c r="A4598" s="326">
        <v>1.05</v>
      </c>
      <c r="B4598" s="327">
        <v>-40</v>
      </c>
      <c r="C4598" s="327" t="s">
        <v>111</v>
      </c>
      <c r="D4598" s="327" t="s">
        <v>79</v>
      </c>
      <c r="E4598" s="328" t="s">
        <v>3938</v>
      </c>
      <c r="F4598" s="328">
        <v>20.1843495</v>
      </c>
      <c r="G4598" s="328">
        <v>5446.78575</v>
      </c>
      <c r="H4598" s="328">
        <v>6222.1886999999997</v>
      </c>
      <c r="I4598" s="329">
        <v>1.2340202102012116E-2</v>
      </c>
      <c r="J4598" s="329">
        <v>0.60792804601610817</v>
      </c>
      <c r="K4598" s="329">
        <v>0.74382575208759805</v>
      </c>
    </row>
    <row r="4599" spans="1:11" ht="11.25" x14ac:dyDescent="0.15">
      <c r="A4599" s="326">
        <v>1.05</v>
      </c>
      <c r="B4599" s="327">
        <v>-40</v>
      </c>
      <c r="C4599" s="327" t="s">
        <v>111</v>
      </c>
      <c r="D4599" s="327" t="s">
        <v>114</v>
      </c>
      <c r="E4599" s="328" t="s">
        <v>3939</v>
      </c>
      <c r="F4599" s="328">
        <v>6.2852359500000006</v>
      </c>
      <c r="G4599" s="328">
        <v>5356.5403500000002</v>
      </c>
      <c r="H4599" s="328">
        <v>6122.35995</v>
      </c>
      <c r="I4599" s="329">
        <v>3.8426347047662906E-3</v>
      </c>
      <c r="J4599" s="329">
        <v>0.59785555332003648</v>
      </c>
      <c r="K4599" s="329">
        <v>0.73189181716069451</v>
      </c>
    </row>
    <row r="4600" spans="1:11" ht="11.25" x14ac:dyDescent="0.15">
      <c r="A4600" s="326">
        <v>1.05</v>
      </c>
      <c r="B4600" s="327">
        <v>-40</v>
      </c>
      <c r="C4600" s="327" t="s">
        <v>111</v>
      </c>
      <c r="D4600" s="327" t="s">
        <v>113</v>
      </c>
      <c r="E4600" s="328" t="s">
        <v>3940</v>
      </c>
      <c r="F4600" s="328">
        <v>4.7788198499999996</v>
      </c>
      <c r="G4600" s="328">
        <v>5324.1142500000005</v>
      </c>
      <c r="H4600" s="328">
        <v>6025.2307499999997</v>
      </c>
      <c r="I4600" s="329">
        <v>2.9216499029660194E-3</v>
      </c>
      <c r="J4600" s="329">
        <v>0.59423640314271908</v>
      </c>
      <c r="K4600" s="329">
        <v>0.72028059742387307</v>
      </c>
    </row>
    <row r="4601" spans="1:11" ht="11.25" x14ac:dyDescent="0.15">
      <c r="A4601" s="326">
        <v>1.075</v>
      </c>
      <c r="B4601" s="327">
        <v>-40</v>
      </c>
      <c r="C4601" s="327" t="s">
        <v>111</v>
      </c>
      <c r="D4601" s="327" t="s">
        <v>79</v>
      </c>
      <c r="E4601" s="328" t="s">
        <v>3941</v>
      </c>
      <c r="F4601" s="328">
        <v>22.883352999999996</v>
      </c>
      <c r="G4601" s="328">
        <v>5718.8989499999998</v>
      </c>
      <c r="H4601" s="328">
        <v>6536.8030250000002</v>
      </c>
      <c r="I4601" s="329">
        <v>1.3990304755260268E-2</v>
      </c>
      <c r="J4601" s="329">
        <v>0.63829921418096391</v>
      </c>
      <c r="K4601" s="329">
        <v>0.78143602850217497</v>
      </c>
    </row>
    <row r="4602" spans="1:11" ht="11.25" x14ac:dyDescent="0.15">
      <c r="A4602" s="326">
        <v>1.075</v>
      </c>
      <c r="B4602" s="327">
        <v>-40</v>
      </c>
      <c r="C4602" s="327" t="s">
        <v>111</v>
      </c>
      <c r="D4602" s="327" t="s">
        <v>114</v>
      </c>
      <c r="E4602" s="328" t="s">
        <v>3942</v>
      </c>
      <c r="F4602" s="328">
        <v>7.0862236999999997</v>
      </c>
      <c r="G4602" s="328">
        <v>5602.1216999999997</v>
      </c>
      <c r="H4602" s="328">
        <v>6433.2880499999992</v>
      </c>
      <c r="I4602" s="329">
        <v>4.3323384089275739E-3</v>
      </c>
      <c r="J4602" s="329">
        <v>0.62526544184805466</v>
      </c>
      <c r="K4602" s="329">
        <v>0.76906142724141535</v>
      </c>
    </row>
    <row r="4603" spans="1:11" ht="11.25" x14ac:dyDescent="0.15">
      <c r="A4603" s="326">
        <v>1.075</v>
      </c>
      <c r="B4603" s="327">
        <v>-40</v>
      </c>
      <c r="C4603" s="327" t="s">
        <v>111</v>
      </c>
      <c r="D4603" s="327" t="s">
        <v>113</v>
      </c>
      <c r="E4603" s="328" t="s">
        <v>3943</v>
      </c>
      <c r="F4603" s="328">
        <v>5.3869185249999996</v>
      </c>
      <c r="G4603" s="328">
        <v>5558.7013749999987</v>
      </c>
      <c r="H4603" s="328">
        <v>6333.04</v>
      </c>
      <c r="I4603" s="329">
        <v>3.2934260926057095E-3</v>
      </c>
      <c r="J4603" s="329">
        <v>0.62041920141448614</v>
      </c>
      <c r="K4603" s="329">
        <v>0.75707736748659549</v>
      </c>
    </row>
    <row r="4604" spans="1:11" ht="11.25" x14ac:dyDescent="0.15">
      <c r="A4604" s="326">
        <v>1.1000000000000001</v>
      </c>
      <c r="B4604" s="327">
        <v>-40</v>
      </c>
      <c r="C4604" s="327" t="s">
        <v>111</v>
      </c>
      <c r="D4604" s="327" t="s">
        <v>79</v>
      </c>
      <c r="E4604" s="328" t="s">
        <v>3944</v>
      </c>
      <c r="F4604" s="328">
        <v>25.909246000000003</v>
      </c>
      <c r="G4604" s="328">
        <v>6005.0969000000005</v>
      </c>
      <c r="H4604" s="328">
        <v>6859.8574000000008</v>
      </c>
      <c r="I4604" s="329">
        <v>1.5840259402501382E-2</v>
      </c>
      <c r="J4604" s="329">
        <v>0.67024241306983456</v>
      </c>
      <c r="K4604" s="329">
        <v>0.82005526283197994</v>
      </c>
    </row>
    <row r="4605" spans="1:11" ht="11.25" x14ac:dyDescent="0.15">
      <c r="A4605" s="326">
        <v>1.1000000000000001</v>
      </c>
      <c r="B4605" s="327">
        <v>-40</v>
      </c>
      <c r="C4605" s="327" t="s">
        <v>111</v>
      </c>
      <c r="D4605" s="327" t="s">
        <v>114</v>
      </c>
      <c r="E4605" s="328" t="s">
        <v>3945</v>
      </c>
      <c r="F4605" s="328">
        <v>7.9861430000000011</v>
      </c>
      <c r="G4605" s="328">
        <v>5859.1654000000008</v>
      </c>
      <c r="H4605" s="328">
        <v>6752.4787000000006</v>
      </c>
      <c r="I4605" s="329">
        <v>4.882526367053313E-3</v>
      </c>
      <c r="J4605" s="329">
        <v>0.65395466911970779</v>
      </c>
      <c r="K4605" s="329">
        <v>0.8072187761652081</v>
      </c>
    </row>
    <row r="4606" spans="1:11" ht="11.25" x14ac:dyDescent="0.15">
      <c r="A4606" s="326">
        <v>1.1000000000000001</v>
      </c>
      <c r="B4606" s="327">
        <v>-40</v>
      </c>
      <c r="C4606" s="327" t="s">
        <v>111</v>
      </c>
      <c r="D4606" s="327" t="s">
        <v>113</v>
      </c>
      <c r="E4606" s="328" t="s">
        <v>3946</v>
      </c>
      <c r="F4606" s="328">
        <v>6.0700519000000011</v>
      </c>
      <c r="G4606" s="328">
        <v>5800.7894999999999</v>
      </c>
      <c r="H4606" s="328">
        <v>6648.6981000000005</v>
      </c>
      <c r="I4606" s="329">
        <v>3.7110766049558669E-3</v>
      </c>
      <c r="J4606" s="329">
        <v>0.64743920321921178</v>
      </c>
      <c r="K4606" s="329">
        <v>0.79481242101125682</v>
      </c>
    </row>
    <row r="4607" spans="1:11" ht="11.25" x14ac:dyDescent="0.15">
      <c r="A4607" s="326">
        <v>1.125</v>
      </c>
      <c r="B4607" s="327">
        <v>-40</v>
      </c>
      <c r="C4607" s="327" t="s">
        <v>111</v>
      </c>
      <c r="D4607" s="327" t="s">
        <v>79</v>
      </c>
      <c r="E4607" s="328" t="s">
        <v>3947</v>
      </c>
      <c r="F4607" s="328">
        <v>29.297879999999999</v>
      </c>
      <c r="G4607" s="328">
        <v>6307.6815000000006</v>
      </c>
      <c r="H4607" s="328">
        <v>7190.0460000000003</v>
      </c>
      <c r="I4607" s="329">
        <v>1.7911984746424386E-2</v>
      </c>
      <c r="J4607" s="329">
        <v>0.70401456293502174</v>
      </c>
      <c r="K4607" s="329">
        <v>0.85952735144378156</v>
      </c>
    </row>
    <row r="4608" spans="1:11" ht="11.25" x14ac:dyDescent="0.15">
      <c r="A4608" s="326">
        <v>1.125</v>
      </c>
      <c r="B4608" s="327">
        <v>-40</v>
      </c>
      <c r="C4608" s="327" t="s">
        <v>111</v>
      </c>
      <c r="D4608" s="327" t="s">
        <v>114</v>
      </c>
      <c r="E4608" s="328" t="s">
        <v>3948</v>
      </c>
      <c r="F4608" s="328">
        <v>8.9973258750000014</v>
      </c>
      <c r="G4608" s="328">
        <v>6126.1132500000003</v>
      </c>
      <c r="H4608" s="328">
        <v>7079.0906250000007</v>
      </c>
      <c r="I4608" s="329">
        <v>5.5007380681335811E-3</v>
      </c>
      <c r="J4608" s="329">
        <v>0.68374932091755036</v>
      </c>
      <c r="K4608" s="329">
        <v>0.84626329449585647</v>
      </c>
    </row>
    <row r="4609" spans="1:11" ht="11.25" x14ac:dyDescent="0.15">
      <c r="A4609" s="326">
        <v>1.125</v>
      </c>
      <c r="B4609" s="327">
        <v>-40</v>
      </c>
      <c r="C4609" s="327" t="s">
        <v>111</v>
      </c>
      <c r="D4609" s="327" t="s">
        <v>113</v>
      </c>
      <c r="E4609" s="328" t="s">
        <v>3949</v>
      </c>
      <c r="F4609" s="328">
        <v>6.8374890000000006</v>
      </c>
      <c r="G4609" s="328">
        <v>6048.9596250000004</v>
      </c>
      <c r="H4609" s="328">
        <v>6970.9769999999999</v>
      </c>
      <c r="I4609" s="329">
        <v>4.1802682880756068E-3</v>
      </c>
      <c r="J4609" s="329">
        <v>0.67513803076549883</v>
      </c>
      <c r="K4609" s="329">
        <v>0.83333895190455221</v>
      </c>
    </row>
    <row r="4610" spans="1:11" ht="11.25" x14ac:dyDescent="0.15">
      <c r="A4610" s="326">
        <v>1.1499999999999999</v>
      </c>
      <c r="B4610" s="327">
        <v>-40</v>
      </c>
      <c r="C4610" s="327" t="s">
        <v>111</v>
      </c>
      <c r="D4610" s="327" t="s">
        <v>79</v>
      </c>
      <c r="E4610" s="328" t="s">
        <v>3950</v>
      </c>
      <c r="F4610" s="328">
        <v>33.088731499999994</v>
      </c>
      <c r="G4610" s="328">
        <v>6627.0808499999994</v>
      </c>
      <c r="H4610" s="328">
        <v>7528.6302499999993</v>
      </c>
      <c r="I4610" s="329">
        <v>2.0229615723271858E-2</v>
      </c>
      <c r="J4610" s="329">
        <v>0.73966344498335901</v>
      </c>
      <c r="K4610" s="329">
        <v>0.90000309021417024</v>
      </c>
    </row>
    <row r="4611" spans="1:11" ht="11.25" x14ac:dyDescent="0.15">
      <c r="A4611" s="326">
        <v>1.1499999999999999</v>
      </c>
      <c r="B4611" s="327">
        <v>-40</v>
      </c>
      <c r="C4611" s="327" t="s">
        <v>111</v>
      </c>
      <c r="D4611" s="327" t="s">
        <v>114</v>
      </c>
      <c r="E4611" s="328" t="s">
        <v>3951</v>
      </c>
      <c r="F4611" s="328">
        <v>10.133564249999999</v>
      </c>
      <c r="G4611" s="328">
        <v>6404.7686000000003</v>
      </c>
      <c r="H4611" s="328">
        <v>7413.5543499999985</v>
      </c>
      <c r="I4611" s="329">
        <v>6.1954055471901545E-3</v>
      </c>
      <c r="J4611" s="329">
        <v>0.71485067320360907</v>
      </c>
      <c r="K4611" s="329">
        <v>0.8862464489434454</v>
      </c>
    </row>
    <row r="4612" spans="1:11" ht="11.25" x14ac:dyDescent="0.15">
      <c r="A4612" s="326">
        <v>1.1499999999999999</v>
      </c>
      <c r="B4612" s="327">
        <v>-40</v>
      </c>
      <c r="C4612" s="327" t="s">
        <v>111</v>
      </c>
      <c r="D4612" s="327" t="s">
        <v>113</v>
      </c>
      <c r="E4612" s="328" t="s">
        <v>3952</v>
      </c>
      <c r="F4612" s="328">
        <v>7.6995857999999995</v>
      </c>
      <c r="G4612" s="328">
        <v>6306.0077499999989</v>
      </c>
      <c r="H4612" s="328">
        <v>7301.4925999999996</v>
      </c>
      <c r="I4612" s="329">
        <v>4.7073325238340047E-3</v>
      </c>
      <c r="J4612" s="329">
        <v>0.7038277519213848</v>
      </c>
      <c r="K4612" s="329">
        <v>0.87285013142674883</v>
      </c>
    </row>
    <row r="4613" spans="1:11" ht="11.25" x14ac:dyDescent="0.15">
      <c r="A4613" s="326">
        <v>1.175</v>
      </c>
      <c r="B4613" s="327">
        <v>-40</v>
      </c>
      <c r="C4613" s="327" t="s">
        <v>111</v>
      </c>
      <c r="D4613" s="327" t="s">
        <v>79</v>
      </c>
      <c r="E4613" s="328" t="s">
        <v>3953</v>
      </c>
      <c r="F4613" s="328">
        <v>37.325214500000001</v>
      </c>
      <c r="G4613" s="328">
        <v>6964.2085500000003</v>
      </c>
      <c r="H4613" s="328">
        <v>7874.9581000000007</v>
      </c>
      <c r="I4613" s="329">
        <v>2.2819694557456662E-2</v>
      </c>
      <c r="J4613" s="329">
        <v>0.7772910281720139</v>
      </c>
      <c r="K4613" s="329">
        <v>0.94140453043328998</v>
      </c>
    </row>
    <row r="4614" spans="1:11" ht="11.25" x14ac:dyDescent="0.15">
      <c r="A4614" s="326">
        <v>1.175</v>
      </c>
      <c r="B4614" s="327">
        <v>-40</v>
      </c>
      <c r="C4614" s="327" t="s">
        <v>111</v>
      </c>
      <c r="D4614" s="327" t="s">
        <v>114</v>
      </c>
      <c r="E4614" s="328" t="s">
        <v>3954</v>
      </c>
      <c r="F4614" s="328">
        <v>11.410300449999999</v>
      </c>
      <c r="G4614" s="328">
        <v>6696.7609250000005</v>
      </c>
      <c r="H4614" s="328">
        <v>7755.4805749999996</v>
      </c>
      <c r="I4614" s="329">
        <v>6.9759698521708506E-3</v>
      </c>
      <c r="J4614" s="329">
        <v>0.74744059535888208</v>
      </c>
      <c r="K4614" s="329">
        <v>0.927121701002114</v>
      </c>
    </row>
    <row r="4615" spans="1:11" ht="11.25" x14ac:dyDescent="0.15">
      <c r="A4615" s="326">
        <v>1.175</v>
      </c>
      <c r="B4615" s="327">
        <v>-40</v>
      </c>
      <c r="C4615" s="327" t="s">
        <v>111</v>
      </c>
      <c r="D4615" s="327" t="s">
        <v>113</v>
      </c>
      <c r="E4615" s="328" t="s">
        <v>3955</v>
      </c>
      <c r="F4615" s="328">
        <v>8.6679092000000004</v>
      </c>
      <c r="G4615" s="328">
        <v>6573.0205000000005</v>
      </c>
      <c r="H4615" s="328">
        <v>7639.9393</v>
      </c>
      <c r="I4615" s="329">
        <v>5.2993410230976314E-3</v>
      </c>
      <c r="J4615" s="329">
        <v>0.73362964735464808</v>
      </c>
      <c r="K4615" s="329">
        <v>0.91330942691051742</v>
      </c>
    </row>
    <row r="4616" spans="1:11" ht="11.25" x14ac:dyDescent="0.15">
      <c r="A4616" s="326">
        <v>1.2</v>
      </c>
      <c r="B4616" s="327">
        <v>-40</v>
      </c>
      <c r="C4616" s="327" t="s">
        <v>111</v>
      </c>
      <c r="D4616" s="327" t="s">
        <v>79</v>
      </c>
      <c r="E4616" s="328" t="s">
        <v>3956</v>
      </c>
      <c r="F4616" s="328">
        <v>42.05521199999999</v>
      </c>
      <c r="G4616" s="328">
        <v>7323.1559999999999</v>
      </c>
      <c r="H4616" s="328">
        <v>8228.7672000000002</v>
      </c>
      <c r="I4616" s="329">
        <v>2.5711495707254031E-2</v>
      </c>
      <c r="J4616" s="329">
        <v>0.81735396288556761</v>
      </c>
      <c r="K4616" s="329">
        <v>0.98370030971477262</v>
      </c>
    </row>
    <row r="4617" spans="1:11" ht="11.25" x14ac:dyDescent="0.15">
      <c r="A4617" s="326">
        <v>1.2</v>
      </c>
      <c r="B4617" s="327">
        <v>-40</v>
      </c>
      <c r="C4617" s="327" t="s">
        <v>111</v>
      </c>
      <c r="D4617" s="327" t="s">
        <v>114</v>
      </c>
      <c r="E4617" s="328" t="s">
        <v>3957</v>
      </c>
      <c r="F4617" s="328">
        <v>12.844823999999999</v>
      </c>
      <c r="G4617" s="328">
        <v>7003.1592000000001</v>
      </c>
      <c r="H4617" s="328">
        <v>8105.0891999999994</v>
      </c>
      <c r="I4617" s="329">
        <v>7.8530013625049289E-3</v>
      </c>
      <c r="J4617" s="329">
        <v>0.78163839809482705</v>
      </c>
      <c r="K4617" s="329">
        <v>0.96891533841252164</v>
      </c>
    </row>
    <row r="4618" spans="1:11" ht="11.25" x14ac:dyDescent="0.15">
      <c r="A4618" s="326">
        <v>1.2</v>
      </c>
      <c r="B4618" s="327">
        <v>-40</v>
      </c>
      <c r="C4618" s="327" t="s">
        <v>111</v>
      </c>
      <c r="D4618" s="327" t="s">
        <v>113</v>
      </c>
      <c r="E4618" s="328" t="s">
        <v>3958</v>
      </c>
      <c r="F4618" s="328">
        <v>9.7553964000000004</v>
      </c>
      <c r="G4618" s="328">
        <v>6850.3896000000004</v>
      </c>
      <c r="H4618" s="328">
        <v>7986.018</v>
      </c>
      <c r="I4618" s="329">
        <v>5.9642032635850578E-3</v>
      </c>
      <c r="J4618" s="329">
        <v>0.76458743837630638</v>
      </c>
      <c r="K4618" s="329">
        <v>0.95468108272497354</v>
      </c>
    </row>
    <row r="4619" spans="1:11" ht="11.25" x14ac:dyDescent="0.15">
      <c r="A4619" s="326">
        <v>1.2250000000000001</v>
      </c>
      <c r="B4619" s="327">
        <v>-40</v>
      </c>
      <c r="C4619" s="327" t="s">
        <v>111</v>
      </c>
      <c r="D4619" s="327" t="s">
        <v>79</v>
      </c>
      <c r="E4619" s="328" t="s">
        <v>3959</v>
      </c>
      <c r="F4619" s="328">
        <v>47.33155</v>
      </c>
      <c r="G4619" s="328">
        <v>7702.5721500000009</v>
      </c>
      <c r="H4619" s="328">
        <v>8590.9078499999996</v>
      </c>
      <c r="I4619" s="329">
        <v>2.8937315656444196E-2</v>
      </c>
      <c r="J4619" s="329">
        <v>0.85970145538542497</v>
      </c>
      <c r="K4619" s="329">
        <v>1.0269920763800526</v>
      </c>
    </row>
    <row r="4620" spans="1:11" ht="11.25" x14ac:dyDescent="0.15">
      <c r="A4620" s="326">
        <v>1.2250000000000001</v>
      </c>
      <c r="B4620" s="327">
        <v>-40</v>
      </c>
      <c r="C4620" s="327" t="s">
        <v>111</v>
      </c>
      <c r="D4620" s="327" t="s">
        <v>114</v>
      </c>
      <c r="E4620" s="328" t="s">
        <v>3960</v>
      </c>
      <c r="F4620" s="328">
        <v>14.456519</v>
      </c>
      <c r="G4620" s="328">
        <v>7326.6649750000006</v>
      </c>
      <c r="H4620" s="328">
        <v>8462.8292000000001</v>
      </c>
      <c r="I4620" s="329">
        <v>8.8383510279376656E-3</v>
      </c>
      <c r="J4620" s="329">
        <v>0.81774560750189373</v>
      </c>
      <c r="K4620" s="329">
        <v>1.0116810334728175</v>
      </c>
    </row>
    <row r="4621" spans="1:11" ht="11.25" x14ac:dyDescent="0.15">
      <c r="A4621" s="326">
        <v>1.2250000000000001</v>
      </c>
      <c r="B4621" s="327">
        <v>-40</v>
      </c>
      <c r="C4621" s="327" t="s">
        <v>111</v>
      </c>
      <c r="D4621" s="327" t="s">
        <v>113</v>
      </c>
      <c r="E4621" s="328" t="s">
        <v>3961</v>
      </c>
      <c r="F4621" s="328">
        <v>10.976520625000001</v>
      </c>
      <c r="G4621" s="328">
        <v>7138.7573250000005</v>
      </c>
      <c r="H4621" s="328">
        <v>8339.7191500000008</v>
      </c>
      <c r="I4621" s="329">
        <v>6.710767809951188E-3</v>
      </c>
      <c r="J4621" s="329">
        <v>0.79677281074814255</v>
      </c>
      <c r="K4621" s="329">
        <v>0.99696395722426334</v>
      </c>
    </row>
    <row r="4622" spans="1:11" ht="11.25" x14ac:dyDescent="0.15">
      <c r="A4622" s="326">
        <v>1.25</v>
      </c>
      <c r="B4622" s="327">
        <v>-40</v>
      </c>
      <c r="C4622" s="327" t="s">
        <v>111</v>
      </c>
      <c r="D4622" s="327" t="s">
        <v>79</v>
      </c>
      <c r="E4622" s="328" t="s">
        <v>3962</v>
      </c>
      <c r="F4622" s="328">
        <v>53.212650000000004</v>
      </c>
      <c r="G4622" s="328">
        <v>8103.0912499999995</v>
      </c>
      <c r="H4622" s="328">
        <v>8960.6312500000004</v>
      </c>
      <c r="I4622" s="329">
        <v>3.2532871836351972E-2</v>
      </c>
      <c r="J4622" s="329">
        <v>0.90440429574501313</v>
      </c>
      <c r="K4622" s="329">
        <v>1.0711903158306473</v>
      </c>
    </row>
    <row r="4623" spans="1:11" ht="11.25" x14ac:dyDescent="0.15">
      <c r="A4623" s="326">
        <v>1.25</v>
      </c>
      <c r="B4623" s="327">
        <v>-40</v>
      </c>
      <c r="C4623" s="327" t="s">
        <v>111</v>
      </c>
      <c r="D4623" s="327" t="s">
        <v>114</v>
      </c>
      <c r="E4623" s="328" t="s">
        <v>3963</v>
      </c>
      <c r="F4623" s="328">
        <v>16.267087500000002</v>
      </c>
      <c r="G4623" s="328">
        <v>7667.2962500000003</v>
      </c>
      <c r="H4623" s="328">
        <v>8828.0999999999985</v>
      </c>
      <c r="I4623" s="329">
        <v>9.9452869343703669E-3</v>
      </c>
      <c r="J4623" s="329">
        <v>0.85576423260069179</v>
      </c>
      <c r="K4623" s="329">
        <v>1.0553469910040696</v>
      </c>
    </row>
    <row r="4624" spans="1:11" ht="11.25" x14ac:dyDescent="0.15">
      <c r="A4624" s="326">
        <v>1.25</v>
      </c>
      <c r="B4624" s="327">
        <v>-40</v>
      </c>
      <c r="C4624" s="327" t="s">
        <v>111</v>
      </c>
      <c r="D4624" s="327" t="s">
        <v>113</v>
      </c>
      <c r="E4624" s="328" t="s">
        <v>3964</v>
      </c>
      <c r="F4624" s="328">
        <v>12.347481249999998</v>
      </c>
      <c r="G4624" s="328">
        <v>7439.6662500000002</v>
      </c>
      <c r="H4624" s="328">
        <v>8700.7212500000005</v>
      </c>
      <c r="I4624" s="329">
        <v>7.5489385514160446E-3</v>
      </c>
      <c r="J4624" s="329">
        <v>0.83035793474609987</v>
      </c>
      <c r="K4624" s="329">
        <v>1.0401196169903681</v>
      </c>
    </row>
    <row r="4625" spans="1:11" ht="11.25" x14ac:dyDescent="0.15">
      <c r="A4625" s="326">
        <v>1.2749999999999999</v>
      </c>
      <c r="B4625" s="327">
        <v>-40</v>
      </c>
      <c r="C4625" s="327" t="s">
        <v>111</v>
      </c>
      <c r="D4625" s="327" t="s">
        <v>79</v>
      </c>
      <c r="E4625" s="328" t="s">
        <v>3965</v>
      </c>
      <c r="F4625" s="328">
        <v>59.763151499999992</v>
      </c>
      <c r="G4625" s="328">
        <v>8528.5298249999996</v>
      </c>
      <c r="H4625" s="328">
        <v>9338.4034499999998</v>
      </c>
      <c r="I4625" s="329">
        <v>3.6537683206643266E-2</v>
      </c>
      <c r="J4625" s="329">
        <v>0.95188845493002006</v>
      </c>
      <c r="K4625" s="329">
        <v>1.1163507415796745</v>
      </c>
    </row>
    <row r="4626" spans="1:11" ht="11.25" x14ac:dyDescent="0.15">
      <c r="A4626" s="326">
        <v>1.2749999999999999</v>
      </c>
      <c r="B4626" s="327">
        <v>-40</v>
      </c>
      <c r="C4626" s="327" t="s">
        <v>111</v>
      </c>
      <c r="D4626" s="327" t="s">
        <v>114</v>
      </c>
      <c r="E4626" s="328" t="s">
        <v>3966</v>
      </c>
      <c r="F4626" s="328">
        <v>18.300891</v>
      </c>
      <c r="G4626" s="328">
        <v>8026.5584999999992</v>
      </c>
      <c r="H4626" s="328">
        <v>9201.2045249999992</v>
      </c>
      <c r="I4626" s="329">
        <v>1.1188703088345483E-2</v>
      </c>
      <c r="J4626" s="329">
        <v>0.89586230285246371</v>
      </c>
      <c r="K4626" s="329">
        <v>1.099949423893225</v>
      </c>
    </row>
    <row r="4627" spans="1:11" ht="11.25" x14ac:dyDescent="0.15">
      <c r="A4627" s="326">
        <v>1.2749999999999999</v>
      </c>
      <c r="B4627" s="327">
        <v>-40</v>
      </c>
      <c r="C4627" s="327" t="s">
        <v>111</v>
      </c>
      <c r="D4627" s="327" t="s">
        <v>113</v>
      </c>
      <c r="E4627" s="328" t="s">
        <v>3967</v>
      </c>
      <c r="F4627" s="328">
        <v>13.886433</v>
      </c>
      <c r="G4627" s="328">
        <v>7754.5793249999997</v>
      </c>
      <c r="H4627" s="328">
        <v>9069.5492999999988</v>
      </c>
      <c r="I4627" s="329">
        <v>8.4898148288628482E-3</v>
      </c>
      <c r="J4627" s="329">
        <v>0.86550609352023089</v>
      </c>
      <c r="K4627" s="329">
        <v>1.0842108226592433</v>
      </c>
    </row>
    <row r="4628" spans="1:11" ht="11.25" x14ac:dyDescent="0.15">
      <c r="A4628" s="326">
        <v>1.3</v>
      </c>
      <c r="B4628" s="327">
        <v>-40</v>
      </c>
      <c r="C4628" s="327" t="s">
        <v>111</v>
      </c>
      <c r="D4628" s="327" t="s">
        <v>79</v>
      </c>
      <c r="E4628" s="328" t="s">
        <v>3968</v>
      </c>
      <c r="F4628" s="328">
        <v>67.054741000000007</v>
      </c>
      <c r="G4628" s="328">
        <v>8977.3267999999989</v>
      </c>
      <c r="H4628" s="328">
        <v>9724.2054000000007</v>
      </c>
      <c r="I4628" s="329">
        <v>4.0995577085012232E-2</v>
      </c>
      <c r="J4628" s="329">
        <v>1.0019796978377642</v>
      </c>
      <c r="K4628" s="329">
        <v>1.1624710763126298</v>
      </c>
    </row>
    <row r="4629" spans="1:11" ht="11.25" x14ac:dyDescent="0.15">
      <c r="A4629" s="326">
        <v>1.3</v>
      </c>
      <c r="B4629" s="327">
        <v>-40</v>
      </c>
      <c r="C4629" s="327" t="s">
        <v>111</v>
      </c>
      <c r="D4629" s="327" t="s">
        <v>114</v>
      </c>
      <c r="E4629" s="328" t="s">
        <v>3969</v>
      </c>
      <c r="F4629" s="328">
        <v>20.585292000000003</v>
      </c>
      <c r="G4629" s="328">
        <v>8406.3642</v>
      </c>
      <c r="H4629" s="328">
        <v>9582.0647000000008</v>
      </c>
      <c r="I4629" s="329">
        <v>1.2585328232100481E-2</v>
      </c>
      <c r="J4629" s="329">
        <v>0.93825327390668234</v>
      </c>
      <c r="K4629" s="329">
        <v>1.1454789987371365</v>
      </c>
    </row>
    <row r="4630" spans="1:11" ht="11.25" x14ac:dyDescent="0.15">
      <c r="A4630" s="326">
        <v>1.3</v>
      </c>
      <c r="B4630" s="327">
        <v>-40</v>
      </c>
      <c r="C4630" s="327" t="s">
        <v>111</v>
      </c>
      <c r="D4630" s="327" t="s">
        <v>113</v>
      </c>
      <c r="E4630" s="328" t="s">
        <v>3970</v>
      </c>
      <c r="F4630" s="328">
        <v>15.613715000000001</v>
      </c>
      <c r="G4630" s="328">
        <v>8084.4972000000007</v>
      </c>
      <c r="H4630" s="328">
        <v>9445.9235000000008</v>
      </c>
      <c r="I4630" s="329">
        <v>9.5458314702298493E-3</v>
      </c>
      <c r="J4630" s="329">
        <v>0.9023289718745956</v>
      </c>
      <c r="K4630" s="329">
        <v>1.129204125800527</v>
      </c>
    </row>
    <row r="4631" spans="1:11" ht="11.25" x14ac:dyDescent="0.15">
      <c r="A4631" s="326">
        <v>1.325</v>
      </c>
      <c r="B4631" s="327">
        <v>-40</v>
      </c>
      <c r="C4631" s="327" t="s">
        <v>111</v>
      </c>
      <c r="D4631" s="327" t="s">
        <v>79</v>
      </c>
      <c r="E4631" s="328" t="s">
        <v>3971</v>
      </c>
      <c r="F4631" s="328">
        <v>75.167038000000005</v>
      </c>
      <c r="G4631" s="328">
        <v>9450.8685749999986</v>
      </c>
      <c r="H4631" s="328">
        <v>10117.661575</v>
      </c>
      <c r="I4631" s="329">
        <v>4.5955230825230439E-2</v>
      </c>
      <c r="J4631" s="329">
        <v>1.054832763700094</v>
      </c>
      <c r="K4631" s="329">
        <v>1.2095064282431947</v>
      </c>
    </row>
    <row r="4632" spans="1:11" ht="11.25" x14ac:dyDescent="0.15">
      <c r="A4632" s="326">
        <v>1.325</v>
      </c>
      <c r="B4632" s="327">
        <v>-40</v>
      </c>
      <c r="C4632" s="327" t="s">
        <v>111</v>
      </c>
      <c r="D4632" s="327" t="s">
        <v>114</v>
      </c>
      <c r="E4632" s="328" t="s">
        <v>3972</v>
      </c>
      <c r="F4632" s="328">
        <v>23.150969749999998</v>
      </c>
      <c r="G4632" s="328">
        <v>8806.0758750000005</v>
      </c>
      <c r="H4632" s="328">
        <v>9970.2142500000009</v>
      </c>
      <c r="I4632" s="329">
        <v>1.4153918885152524E-2</v>
      </c>
      <c r="J4632" s="329">
        <v>0.98286599574039424</v>
      </c>
      <c r="K4632" s="329">
        <v>1.1918799751252704</v>
      </c>
    </row>
    <row r="4633" spans="1:11" ht="11.25" x14ac:dyDescent="0.15">
      <c r="A4633" s="326">
        <v>1.325</v>
      </c>
      <c r="B4633" s="327">
        <v>-40</v>
      </c>
      <c r="C4633" s="327" t="s">
        <v>111</v>
      </c>
      <c r="D4633" s="327" t="s">
        <v>113</v>
      </c>
      <c r="E4633" s="328" t="s">
        <v>3973</v>
      </c>
      <c r="F4633" s="328">
        <v>17.552182250000001</v>
      </c>
      <c r="G4633" s="328">
        <v>8430.3800750000009</v>
      </c>
      <c r="H4633" s="328">
        <v>9830.1378999999997</v>
      </c>
      <c r="I4633" s="329">
        <v>1.0730961445963357E-2</v>
      </c>
      <c r="J4633" s="329">
        <v>0.94093373989749496</v>
      </c>
      <c r="K4633" s="329">
        <v>1.1751346783475567</v>
      </c>
    </row>
    <row r="4634" spans="1:11" ht="11.25" x14ac:dyDescent="0.15">
      <c r="A4634" s="326">
        <v>1.35</v>
      </c>
      <c r="B4634" s="327">
        <v>-40</v>
      </c>
      <c r="C4634" s="327" t="s">
        <v>111</v>
      </c>
      <c r="D4634" s="327" t="s">
        <v>79</v>
      </c>
      <c r="E4634" s="328" t="s">
        <v>3974</v>
      </c>
      <c r="F4634" s="328">
        <v>84.188551500000003</v>
      </c>
      <c r="G4634" s="328">
        <v>9949.1004000000012</v>
      </c>
      <c r="H4634" s="328">
        <v>10519.178400000001</v>
      </c>
      <c r="I4634" s="329">
        <v>5.1470756597117751E-2</v>
      </c>
      <c r="J4634" s="329">
        <v>1.1104415417459885</v>
      </c>
      <c r="K4634" s="329">
        <v>1.2575053830694041</v>
      </c>
    </row>
    <row r="4635" spans="1:11" ht="11.25" x14ac:dyDescent="0.15">
      <c r="A4635" s="326">
        <v>1.35</v>
      </c>
      <c r="B4635" s="327">
        <v>-40</v>
      </c>
      <c r="C4635" s="327" t="s">
        <v>111</v>
      </c>
      <c r="D4635" s="327" t="s">
        <v>114</v>
      </c>
      <c r="E4635" s="328" t="s">
        <v>3975</v>
      </c>
      <c r="F4635" s="328">
        <v>26.032428000000003</v>
      </c>
      <c r="G4635" s="328">
        <v>9229.4559000000008</v>
      </c>
      <c r="H4635" s="328">
        <v>10367.157600000002</v>
      </c>
      <c r="I4635" s="329">
        <v>1.5915569769839703E-2</v>
      </c>
      <c r="J4635" s="329">
        <v>1.0301203955156197</v>
      </c>
      <c r="K4635" s="329">
        <v>1.2393321981428593</v>
      </c>
    </row>
    <row r="4636" spans="1:11" ht="11.25" x14ac:dyDescent="0.15">
      <c r="A4636" s="326">
        <v>1.35</v>
      </c>
      <c r="B4636" s="327">
        <v>-40</v>
      </c>
      <c r="C4636" s="327" t="s">
        <v>111</v>
      </c>
      <c r="D4636" s="327" t="s">
        <v>113</v>
      </c>
      <c r="E4636" s="328" t="s">
        <v>3976</v>
      </c>
      <c r="F4636" s="328">
        <v>19.727428500000002</v>
      </c>
      <c r="G4636" s="328">
        <v>8795.4092999999993</v>
      </c>
      <c r="H4636" s="328">
        <v>10222.538849999999</v>
      </c>
      <c r="I4636" s="329">
        <v>1.2060852129170362E-2</v>
      </c>
      <c r="J4636" s="329">
        <v>0.98167547523985221</v>
      </c>
      <c r="K4636" s="329">
        <v>1.2220438843884531</v>
      </c>
    </row>
    <row r="4637" spans="1:11" ht="11.25" x14ac:dyDescent="0.15">
      <c r="A4637" s="326">
        <v>1.375</v>
      </c>
      <c r="B4637" s="327">
        <v>-40</v>
      </c>
      <c r="C4637" s="327" t="s">
        <v>111</v>
      </c>
      <c r="D4637" s="327" t="s">
        <v>79</v>
      </c>
      <c r="E4637" s="328" t="s">
        <v>3977</v>
      </c>
      <c r="F4637" s="328">
        <v>94.217887500000018</v>
      </c>
      <c r="G4637" s="328">
        <v>10474.157374999999</v>
      </c>
      <c r="H4637" s="328">
        <v>10929.055499999999</v>
      </c>
      <c r="I4637" s="329">
        <v>5.7602439621581132E-2</v>
      </c>
      <c r="J4637" s="329">
        <v>1.1690443353034325</v>
      </c>
      <c r="K4637" s="329">
        <v>1.3065037591827775</v>
      </c>
    </row>
    <row r="4638" spans="1:11" ht="11.25" x14ac:dyDescent="0.15">
      <c r="A4638" s="326">
        <v>1.375</v>
      </c>
      <c r="B4638" s="327">
        <v>-40</v>
      </c>
      <c r="C4638" s="327" t="s">
        <v>111</v>
      </c>
      <c r="D4638" s="327" t="s">
        <v>114</v>
      </c>
      <c r="E4638" s="328" t="s">
        <v>3978</v>
      </c>
      <c r="F4638" s="328">
        <v>29.268428749999998</v>
      </c>
      <c r="G4638" s="328">
        <v>9674.6553750000003</v>
      </c>
      <c r="H4638" s="328">
        <v>10771.215125000001</v>
      </c>
      <c r="I4638" s="329">
        <v>1.7893978995128967E-2</v>
      </c>
      <c r="J4638" s="329">
        <v>1.079810113332067</v>
      </c>
      <c r="K4638" s="329">
        <v>1.2876348785838714</v>
      </c>
    </row>
    <row r="4639" spans="1:11" ht="11.25" x14ac:dyDescent="0.15">
      <c r="A4639" s="326">
        <v>1.375</v>
      </c>
      <c r="B4639" s="327">
        <v>-40</v>
      </c>
      <c r="C4639" s="327" t="s">
        <v>111</v>
      </c>
      <c r="D4639" s="327" t="s">
        <v>113</v>
      </c>
      <c r="E4639" s="328" t="s">
        <v>3979</v>
      </c>
      <c r="F4639" s="328">
        <v>22.1682725</v>
      </c>
      <c r="G4639" s="328">
        <v>9179.39</v>
      </c>
      <c r="H4639" s="328">
        <v>10622.3205</v>
      </c>
      <c r="I4639" s="329">
        <v>1.3553122576602104E-2</v>
      </c>
      <c r="J4639" s="329">
        <v>1.0245324274632617</v>
      </c>
      <c r="K4639" s="329">
        <v>1.2698354093356266</v>
      </c>
    </row>
    <row r="4640" spans="1:11" ht="11.25" x14ac:dyDescent="0.15">
      <c r="A4640" s="326">
        <v>1.4</v>
      </c>
      <c r="B4640" s="327">
        <v>-40</v>
      </c>
      <c r="C4640" s="327" t="s">
        <v>111</v>
      </c>
      <c r="D4640" s="327" t="s">
        <v>79</v>
      </c>
      <c r="E4640" s="328" t="s">
        <v>3980</v>
      </c>
      <c r="F4640" s="328">
        <v>105.36502199999998</v>
      </c>
      <c r="G4640" s="328">
        <v>11025.410199999998</v>
      </c>
      <c r="H4640" s="328">
        <v>11346.631799999999</v>
      </c>
      <c r="I4640" s="329">
        <v>6.4417516450701207E-2</v>
      </c>
      <c r="J4640" s="329">
        <v>1.2305709067796666</v>
      </c>
      <c r="K4640" s="329">
        <v>1.356422528988241</v>
      </c>
    </row>
    <row r="4641" spans="1:11" ht="11.25" x14ac:dyDescent="0.15">
      <c r="A4641" s="326">
        <v>1.4</v>
      </c>
      <c r="B4641" s="327">
        <v>-40</v>
      </c>
      <c r="C4641" s="327" t="s">
        <v>111</v>
      </c>
      <c r="D4641" s="327" t="s">
        <v>114</v>
      </c>
      <c r="E4641" s="328" t="s">
        <v>3981</v>
      </c>
      <c r="F4641" s="328">
        <v>32.902589999999996</v>
      </c>
      <c r="G4641" s="328">
        <v>10143.650999999998</v>
      </c>
      <c r="H4641" s="328">
        <v>11183.099199999999</v>
      </c>
      <c r="I4641" s="329">
        <v>2.0115813505886964E-2</v>
      </c>
      <c r="J4641" s="329">
        <v>1.1321557731363567</v>
      </c>
      <c r="K4641" s="329">
        <v>1.3368731766540953</v>
      </c>
    </row>
    <row r="4642" spans="1:11" ht="11.25" x14ac:dyDescent="0.15">
      <c r="A4642" s="326">
        <v>1.4</v>
      </c>
      <c r="B4642" s="327">
        <v>-40</v>
      </c>
      <c r="C4642" s="327" t="s">
        <v>111</v>
      </c>
      <c r="D4642" s="327" t="s">
        <v>113</v>
      </c>
      <c r="E4642" s="328" t="s">
        <v>3982</v>
      </c>
      <c r="F4642" s="328">
        <v>24.907063999999998</v>
      </c>
      <c r="G4642" s="328">
        <v>9582.6569999999992</v>
      </c>
      <c r="H4642" s="328">
        <v>11029.675999999999</v>
      </c>
      <c r="I4642" s="329">
        <v>1.5227550609334737E-2</v>
      </c>
      <c r="J4642" s="329">
        <v>1.0695419671413697</v>
      </c>
      <c r="K4642" s="329">
        <v>1.3185323431259053</v>
      </c>
    </row>
    <row r="4643" spans="1:11" ht="11.25" x14ac:dyDescent="0.15">
      <c r="A4643" s="326">
        <v>0.9</v>
      </c>
      <c r="B4643" s="327">
        <v>-20</v>
      </c>
      <c r="C4643" s="327" t="s">
        <v>111</v>
      </c>
      <c r="D4643" s="327" t="s">
        <v>79</v>
      </c>
      <c r="E4643" s="328" t="s">
        <v>3983</v>
      </c>
      <c r="F4643" s="328">
        <v>11.044377000000001</v>
      </c>
      <c r="G4643" s="328">
        <v>4039.2602999999999</v>
      </c>
      <c r="H4643" s="328">
        <v>4507.5087000000003</v>
      </c>
      <c r="I4643" s="329">
        <v>6.7522534858413088E-3</v>
      </c>
      <c r="J4643" s="329">
        <v>0.45083095503241316</v>
      </c>
      <c r="K4643" s="329">
        <v>0.53884592873547721</v>
      </c>
    </row>
    <row r="4644" spans="1:11" ht="11.25" x14ac:dyDescent="0.15">
      <c r="A4644" s="326">
        <v>0.9</v>
      </c>
      <c r="B4644" s="327">
        <v>-20</v>
      </c>
      <c r="C4644" s="327" t="s">
        <v>111</v>
      </c>
      <c r="D4644" s="327" t="s">
        <v>114</v>
      </c>
      <c r="E4644" s="328" t="s">
        <v>3984</v>
      </c>
      <c r="F4644" s="328">
        <v>3.2849730000000004</v>
      </c>
      <c r="G4644" s="328">
        <v>4019.0652</v>
      </c>
      <c r="H4644" s="328">
        <v>4428.8397000000004</v>
      </c>
      <c r="I4644" s="329">
        <v>2.008349623536446E-3</v>
      </c>
      <c r="J4644" s="329">
        <v>0.44857693435937679</v>
      </c>
      <c r="K4644" s="329">
        <v>0.52944151641172699</v>
      </c>
    </row>
    <row r="4645" spans="1:11" ht="11.25" x14ac:dyDescent="0.15">
      <c r="A4645" s="326">
        <v>0.9</v>
      </c>
      <c r="B4645" s="327">
        <v>-20</v>
      </c>
      <c r="C4645" s="327" t="s">
        <v>111</v>
      </c>
      <c r="D4645" s="327" t="s">
        <v>113</v>
      </c>
      <c r="E4645" s="328" t="s">
        <v>3985</v>
      </c>
      <c r="F4645" s="328">
        <v>2.4029270999999999</v>
      </c>
      <c r="G4645" s="328">
        <v>4014.0746999999997</v>
      </c>
      <c r="H4645" s="328">
        <v>4351.5261</v>
      </c>
      <c r="I4645" s="329">
        <v>1.4690890112857924E-3</v>
      </c>
      <c r="J4645" s="329">
        <v>0.44801993339534152</v>
      </c>
      <c r="K4645" s="329">
        <v>0.52019913411840313</v>
      </c>
    </row>
    <row r="4646" spans="1:11" ht="11.25" x14ac:dyDescent="0.15">
      <c r="A4646" s="326">
        <v>0.92500000000000004</v>
      </c>
      <c r="B4646" s="327">
        <v>-20</v>
      </c>
      <c r="C4646" s="327" t="s">
        <v>111</v>
      </c>
      <c r="D4646" s="327" t="s">
        <v>79</v>
      </c>
      <c r="E4646" s="328" t="s">
        <v>3986</v>
      </c>
      <c r="F4646" s="328">
        <v>12.530586500000002</v>
      </c>
      <c r="G4646" s="328">
        <v>4256.7204999999994</v>
      </c>
      <c r="H4646" s="328">
        <v>4776.2708000000002</v>
      </c>
      <c r="I4646" s="329">
        <v>7.6608844821451725E-3</v>
      </c>
      <c r="J4646" s="329">
        <v>0.47510217856498405</v>
      </c>
      <c r="K4646" s="329">
        <v>0.57097484362440409</v>
      </c>
    </row>
    <row r="4647" spans="1:11" ht="11.25" x14ac:dyDescent="0.15">
      <c r="A4647" s="326">
        <v>0.92500000000000004</v>
      </c>
      <c r="B4647" s="327">
        <v>-20</v>
      </c>
      <c r="C4647" s="327" t="s">
        <v>111</v>
      </c>
      <c r="D4647" s="327" t="s">
        <v>114</v>
      </c>
      <c r="E4647" s="328" t="s">
        <v>3987</v>
      </c>
      <c r="F4647" s="328">
        <v>3.7079355750000005</v>
      </c>
      <c r="G4647" s="328">
        <v>4226.8078500000001</v>
      </c>
      <c r="H4647" s="328">
        <v>4694.4018249999999</v>
      </c>
      <c r="I4647" s="329">
        <v>2.2669382719884288E-3</v>
      </c>
      <c r="J4647" s="329">
        <v>0.47176356021274513</v>
      </c>
      <c r="K4647" s="329">
        <v>0.56118789327009932</v>
      </c>
    </row>
    <row r="4648" spans="1:11" ht="11.25" x14ac:dyDescent="0.15">
      <c r="A4648" s="326">
        <v>0.92500000000000004</v>
      </c>
      <c r="B4648" s="327">
        <v>-20</v>
      </c>
      <c r="C4648" s="327" t="s">
        <v>111</v>
      </c>
      <c r="D4648" s="327" t="s">
        <v>113</v>
      </c>
      <c r="E4648" s="328" t="s">
        <v>3988</v>
      </c>
      <c r="F4648" s="328">
        <v>2.7149055250000003</v>
      </c>
      <c r="G4648" s="328">
        <v>4216.8030500000004</v>
      </c>
      <c r="H4648" s="328">
        <v>4613.6123250000001</v>
      </c>
      <c r="I4648" s="329">
        <v>1.6598247501793065E-3</v>
      </c>
      <c r="J4648" s="329">
        <v>0.4706469019129797</v>
      </c>
      <c r="K4648" s="329">
        <v>0.55152998774912387</v>
      </c>
    </row>
    <row r="4649" spans="1:11" ht="11.25" x14ac:dyDescent="0.15">
      <c r="A4649" s="326">
        <v>0.95</v>
      </c>
      <c r="B4649" s="327">
        <v>-20</v>
      </c>
      <c r="C4649" s="327" t="s">
        <v>111</v>
      </c>
      <c r="D4649" s="327" t="s">
        <v>79</v>
      </c>
      <c r="E4649" s="328" t="s">
        <v>3989</v>
      </c>
      <c r="F4649" s="328">
        <v>14.200438500000001</v>
      </c>
      <c r="G4649" s="328">
        <v>4482.5322499999993</v>
      </c>
      <c r="H4649" s="328">
        <v>5052.7165500000001</v>
      </c>
      <c r="I4649" s="329">
        <v>8.6817898702751754E-3</v>
      </c>
      <c r="J4649" s="329">
        <v>0.50030553743493367</v>
      </c>
      <c r="K4649" s="329">
        <v>0.60402229329515578</v>
      </c>
    </row>
    <row r="4650" spans="1:11" ht="11.25" x14ac:dyDescent="0.15">
      <c r="A4650" s="326">
        <v>0.95</v>
      </c>
      <c r="B4650" s="327">
        <v>-20</v>
      </c>
      <c r="C4650" s="327" t="s">
        <v>111</v>
      </c>
      <c r="D4650" s="327" t="s">
        <v>114</v>
      </c>
      <c r="E4650" s="328" t="s">
        <v>3990</v>
      </c>
      <c r="F4650" s="328">
        <v>4.1812207499999996</v>
      </c>
      <c r="G4650" s="328">
        <v>4440.1166499999999</v>
      </c>
      <c r="H4650" s="328">
        <v>4967.5072499999997</v>
      </c>
      <c r="I4650" s="329">
        <v>2.5562928886128668E-3</v>
      </c>
      <c r="J4650" s="329">
        <v>0.49557143662536901</v>
      </c>
      <c r="K4650" s="329">
        <v>0.59383602690028447</v>
      </c>
    </row>
    <row r="4651" spans="1:11" ht="11.25" x14ac:dyDescent="0.15">
      <c r="A4651" s="326">
        <v>0.95</v>
      </c>
      <c r="B4651" s="327">
        <v>-20</v>
      </c>
      <c r="C4651" s="327" t="s">
        <v>111</v>
      </c>
      <c r="D4651" s="327" t="s">
        <v>113</v>
      </c>
      <c r="E4651" s="328" t="s">
        <v>3991</v>
      </c>
      <c r="F4651" s="328">
        <v>3.0645023999999998</v>
      </c>
      <c r="G4651" s="328">
        <v>4425.3935499999998</v>
      </c>
      <c r="H4651" s="328">
        <v>4883.1900000000005</v>
      </c>
      <c r="I4651" s="329">
        <v>1.8735594604176455E-3</v>
      </c>
      <c r="J4651" s="329">
        <v>0.49392815821767694</v>
      </c>
      <c r="K4651" s="329">
        <v>0.58375639979170646</v>
      </c>
    </row>
    <row r="4652" spans="1:11" ht="11.25" x14ac:dyDescent="0.15">
      <c r="A4652" s="326">
        <v>0.97499999999999998</v>
      </c>
      <c r="B4652" s="327">
        <v>-20</v>
      </c>
      <c r="C4652" s="327" t="s">
        <v>111</v>
      </c>
      <c r="D4652" s="327" t="s">
        <v>79</v>
      </c>
      <c r="E4652" s="328" t="s">
        <v>3992</v>
      </c>
      <c r="F4652" s="328">
        <v>16.084379999999999</v>
      </c>
      <c r="G4652" s="328">
        <v>4716.5332500000004</v>
      </c>
      <c r="H4652" s="328">
        <v>5336.6868750000003</v>
      </c>
      <c r="I4652" s="329">
        <v>9.8335841779573635E-3</v>
      </c>
      <c r="J4652" s="329">
        <v>0.52642291697309818</v>
      </c>
      <c r="K4652" s="329">
        <v>0.63796926127503795</v>
      </c>
    </row>
    <row r="4653" spans="1:11" ht="11.25" x14ac:dyDescent="0.15">
      <c r="A4653" s="326">
        <v>0.97499999999999998</v>
      </c>
      <c r="B4653" s="327">
        <v>-20</v>
      </c>
      <c r="C4653" s="327" t="s">
        <v>111</v>
      </c>
      <c r="D4653" s="327" t="s">
        <v>114</v>
      </c>
      <c r="E4653" s="328" t="s">
        <v>3993</v>
      </c>
      <c r="F4653" s="328">
        <v>4.7148484499999999</v>
      </c>
      <c r="G4653" s="328">
        <v>4659.7541249999995</v>
      </c>
      <c r="H4653" s="328">
        <v>5247.9043499999998</v>
      </c>
      <c r="I4653" s="329">
        <v>2.8825394027862314E-3</v>
      </c>
      <c r="J4653" s="329">
        <v>0.52008567073282608</v>
      </c>
      <c r="K4653" s="329">
        <v>0.62735583702604958</v>
      </c>
    </row>
    <row r="4654" spans="1:11" ht="11.25" x14ac:dyDescent="0.15">
      <c r="A4654" s="326">
        <v>0.97499999999999998</v>
      </c>
      <c r="B4654" s="327">
        <v>-20</v>
      </c>
      <c r="C4654" s="327" t="s">
        <v>111</v>
      </c>
      <c r="D4654" s="327" t="s">
        <v>113</v>
      </c>
      <c r="E4654" s="328" t="s">
        <v>3994</v>
      </c>
      <c r="F4654" s="328">
        <v>3.4592863499999997</v>
      </c>
      <c r="G4654" s="328">
        <v>4639.8504750000002</v>
      </c>
      <c r="H4654" s="328">
        <v>5161.0464749999992</v>
      </c>
      <c r="I4654" s="329">
        <v>2.114920408395218E-3</v>
      </c>
      <c r="J4654" s="329">
        <v>0.51786417945182828</v>
      </c>
      <c r="K4654" s="329">
        <v>0.61697249326847337</v>
      </c>
    </row>
    <row r="4655" spans="1:11" ht="11.25" x14ac:dyDescent="0.15">
      <c r="A4655" s="326">
        <v>1</v>
      </c>
      <c r="B4655" s="327">
        <v>-20</v>
      </c>
      <c r="C4655" s="327" t="s">
        <v>111</v>
      </c>
      <c r="D4655" s="327" t="s">
        <v>79</v>
      </c>
      <c r="E4655" s="328" t="s">
        <v>3995</v>
      </c>
      <c r="F4655" s="328">
        <v>18.207249999999998</v>
      </c>
      <c r="G4655" s="328">
        <v>4962.3649999999998</v>
      </c>
      <c r="H4655" s="328">
        <v>5628.88</v>
      </c>
      <c r="I4655" s="329">
        <v>1.1131453343188498E-2</v>
      </c>
      <c r="J4655" s="329">
        <v>0.55386075321004213</v>
      </c>
      <c r="K4655" s="329">
        <v>0.67289921622126936</v>
      </c>
    </row>
    <row r="4656" spans="1:11" ht="11.25" x14ac:dyDescent="0.15">
      <c r="A4656" s="326">
        <v>1</v>
      </c>
      <c r="B4656" s="327">
        <v>-20</v>
      </c>
      <c r="C4656" s="327" t="s">
        <v>111</v>
      </c>
      <c r="D4656" s="327" t="s">
        <v>114</v>
      </c>
      <c r="E4656" s="328" t="s">
        <v>3996</v>
      </c>
      <c r="F4656" s="328">
        <v>5.3165589999999998</v>
      </c>
      <c r="G4656" s="328">
        <v>4886.5690000000004</v>
      </c>
      <c r="H4656" s="328">
        <v>5536.74</v>
      </c>
      <c r="I4656" s="329">
        <v>3.2504100539515247E-3</v>
      </c>
      <c r="J4656" s="329">
        <v>0.54540099064716985</v>
      </c>
      <c r="K4656" s="329">
        <v>0.66188442575093998</v>
      </c>
    </row>
    <row r="4657" spans="1:11" ht="11.25" x14ac:dyDescent="0.15">
      <c r="A4657" s="326">
        <v>1</v>
      </c>
      <c r="B4657" s="327">
        <v>-20</v>
      </c>
      <c r="C4657" s="327" t="s">
        <v>111</v>
      </c>
      <c r="D4657" s="327" t="s">
        <v>113</v>
      </c>
      <c r="E4657" s="328" t="s">
        <v>3997</v>
      </c>
      <c r="F4657" s="328">
        <v>3.9050919999999998</v>
      </c>
      <c r="G4657" s="328">
        <v>4859.9980000000005</v>
      </c>
      <c r="H4657" s="328">
        <v>5446.2510000000002</v>
      </c>
      <c r="I4657" s="329">
        <v>2.387474736649338E-3</v>
      </c>
      <c r="J4657" s="329">
        <v>0.54243534139050609</v>
      </c>
      <c r="K4657" s="329">
        <v>0.65106700253768146</v>
      </c>
    </row>
    <row r="4658" spans="1:11" ht="11.25" x14ac:dyDescent="0.15">
      <c r="A4658" s="326">
        <v>1.0249999999999999</v>
      </c>
      <c r="B4658" s="327">
        <v>-20</v>
      </c>
      <c r="C4658" s="327" t="s">
        <v>111</v>
      </c>
      <c r="D4658" s="327" t="s">
        <v>79</v>
      </c>
      <c r="E4658" s="328" t="s">
        <v>3998</v>
      </c>
      <c r="F4658" s="328">
        <v>20.587678499999999</v>
      </c>
      <c r="G4658" s="328">
        <v>5219.0919249999997</v>
      </c>
      <c r="H4658" s="328">
        <v>5928.5149249999986</v>
      </c>
      <c r="I4658" s="329">
        <v>1.2586787277997225E-2</v>
      </c>
      <c r="J4658" s="329">
        <v>0.58251462450927105</v>
      </c>
      <c r="K4658" s="329">
        <v>0.70871879421636219</v>
      </c>
    </row>
    <row r="4659" spans="1:11" ht="11.25" x14ac:dyDescent="0.15">
      <c r="A4659" s="326">
        <v>1.0249999999999999</v>
      </c>
      <c r="B4659" s="327">
        <v>-20</v>
      </c>
      <c r="C4659" s="327" t="s">
        <v>111</v>
      </c>
      <c r="D4659" s="327" t="s">
        <v>114</v>
      </c>
      <c r="E4659" s="328" t="s">
        <v>3999</v>
      </c>
      <c r="F4659" s="328">
        <v>5.99152065</v>
      </c>
      <c r="G4659" s="328">
        <v>5121.3397249999998</v>
      </c>
      <c r="H4659" s="328">
        <v>5832.8916499999987</v>
      </c>
      <c r="I4659" s="329">
        <v>3.6630645797814292E-3</v>
      </c>
      <c r="J4659" s="329">
        <v>0.57160428092915583</v>
      </c>
      <c r="K4659" s="329">
        <v>0.6972875988808761</v>
      </c>
    </row>
    <row r="4660" spans="1:11" ht="11.25" x14ac:dyDescent="0.15">
      <c r="A4660" s="326">
        <v>1.0249999999999999</v>
      </c>
      <c r="B4660" s="327">
        <v>-20</v>
      </c>
      <c r="C4660" s="327" t="s">
        <v>111</v>
      </c>
      <c r="D4660" s="327" t="s">
        <v>113</v>
      </c>
      <c r="E4660" s="328" t="s">
        <v>4000</v>
      </c>
      <c r="F4660" s="328">
        <v>4.4058148999999993</v>
      </c>
      <c r="G4660" s="328">
        <v>5085.4544749999995</v>
      </c>
      <c r="H4660" s="328">
        <v>5739.1246499999997</v>
      </c>
      <c r="I4660" s="329">
        <v>2.6936040861785656E-3</v>
      </c>
      <c r="J4660" s="329">
        <v>0.56759904721617205</v>
      </c>
      <c r="K4660" s="329">
        <v>0.68607831021111954</v>
      </c>
    </row>
    <row r="4661" spans="1:11" ht="11.25" x14ac:dyDescent="0.15">
      <c r="A4661" s="326">
        <v>1.05</v>
      </c>
      <c r="B4661" s="327">
        <v>-20</v>
      </c>
      <c r="C4661" s="327" t="s">
        <v>111</v>
      </c>
      <c r="D4661" s="327" t="s">
        <v>79</v>
      </c>
      <c r="E4661" s="328" t="s">
        <v>4001</v>
      </c>
      <c r="F4661" s="328">
        <v>23.254077000000002</v>
      </c>
      <c r="G4661" s="328">
        <v>5489.5438500000009</v>
      </c>
      <c r="H4661" s="328">
        <v>6236.114849999999</v>
      </c>
      <c r="I4661" s="329">
        <v>1.4216956056758313E-2</v>
      </c>
      <c r="J4661" s="329">
        <v>0.61270037402338506</v>
      </c>
      <c r="K4661" s="329">
        <v>0.74549054071694865</v>
      </c>
    </row>
    <row r="4662" spans="1:11" ht="11.25" x14ac:dyDescent="0.15">
      <c r="A4662" s="326">
        <v>1.05</v>
      </c>
      <c r="B4662" s="327">
        <v>-20</v>
      </c>
      <c r="C4662" s="327" t="s">
        <v>111</v>
      </c>
      <c r="D4662" s="327" t="s">
        <v>114</v>
      </c>
      <c r="E4662" s="328" t="s">
        <v>4002</v>
      </c>
      <c r="F4662" s="328">
        <v>6.7488025500000006</v>
      </c>
      <c r="G4662" s="328">
        <v>5365.0253999999995</v>
      </c>
      <c r="H4662" s="328">
        <v>6136.5496500000008</v>
      </c>
      <c r="I4662" s="329">
        <v>4.1260476298022259E-3</v>
      </c>
      <c r="J4662" s="329">
        <v>0.59880258889360372</v>
      </c>
      <c r="K4662" s="329">
        <v>0.73358811162929494</v>
      </c>
    </row>
    <row r="4663" spans="1:11" ht="11.25" x14ac:dyDescent="0.15">
      <c r="A4663" s="326">
        <v>1.05</v>
      </c>
      <c r="B4663" s="327">
        <v>-20</v>
      </c>
      <c r="C4663" s="327" t="s">
        <v>111</v>
      </c>
      <c r="D4663" s="327" t="s">
        <v>113</v>
      </c>
      <c r="E4663" s="328" t="s">
        <v>4003</v>
      </c>
      <c r="F4663" s="328">
        <v>4.9682577000000006</v>
      </c>
      <c r="G4663" s="328">
        <v>5316.7401</v>
      </c>
      <c r="H4663" s="328">
        <v>6039.6451500000012</v>
      </c>
      <c r="I4663" s="329">
        <v>3.0374674255852479E-3</v>
      </c>
      <c r="J4663" s="329">
        <v>0.59341335762444625</v>
      </c>
      <c r="K4663" s="329">
        <v>0.7220037534446625</v>
      </c>
    </row>
    <row r="4664" spans="1:11" ht="11.25" x14ac:dyDescent="0.15">
      <c r="A4664" s="326">
        <v>1.075</v>
      </c>
      <c r="B4664" s="327">
        <v>-20</v>
      </c>
      <c r="C4664" s="327" t="s">
        <v>111</v>
      </c>
      <c r="D4664" s="327" t="s">
        <v>79</v>
      </c>
      <c r="E4664" s="328" t="s">
        <v>4004</v>
      </c>
      <c r="F4664" s="328">
        <v>26.238159250000002</v>
      </c>
      <c r="G4664" s="328">
        <v>5773.5884999999998</v>
      </c>
      <c r="H4664" s="328">
        <v>6551.3703499999992</v>
      </c>
      <c r="I4664" s="329">
        <v>1.6041348666192026E-2</v>
      </c>
      <c r="J4664" s="329">
        <v>0.64440323824120904</v>
      </c>
      <c r="K4664" s="329">
        <v>0.78317746579963732</v>
      </c>
    </row>
    <row r="4665" spans="1:11" ht="11.25" x14ac:dyDescent="0.15">
      <c r="A4665" s="326">
        <v>1.075</v>
      </c>
      <c r="B4665" s="327">
        <v>-20</v>
      </c>
      <c r="C4665" s="327" t="s">
        <v>111</v>
      </c>
      <c r="D4665" s="327" t="s">
        <v>114</v>
      </c>
      <c r="E4665" s="328" t="s">
        <v>4005</v>
      </c>
      <c r="F4665" s="328">
        <v>7.59869985</v>
      </c>
      <c r="G4665" s="328">
        <v>5617.9080749999994</v>
      </c>
      <c r="H4665" s="328">
        <v>6447.9575000000004</v>
      </c>
      <c r="I4665" s="329">
        <v>4.6456533990123956E-3</v>
      </c>
      <c r="J4665" s="329">
        <v>0.62702739477734459</v>
      </c>
      <c r="K4665" s="329">
        <v>0.77081507297687213</v>
      </c>
    </row>
    <row r="4666" spans="1:11" ht="11.25" x14ac:dyDescent="0.15">
      <c r="A4666" s="326">
        <v>1.075</v>
      </c>
      <c r="B4666" s="327">
        <v>-20</v>
      </c>
      <c r="C4666" s="327" t="s">
        <v>111</v>
      </c>
      <c r="D4666" s="327" t="s">
        <v>113</v>
      </c>
      <c r="E4666" s="328" t="s">
        <v>4006</v>
      </c>
      <c r="F4666" s="328">
        <v>5.6001544499999998</v>
      </c>
      <c r="G4666" s="328">
        <v>5555.252774999999</v>
      </c>
      <c r="H4666" s="328">
        <v>6347.7094499999994</v>
      </c>
      <c r="I4666" s="329">
        <v>3.423793157935682E-3</v>
      </c>
      <c r="J4666" s="329">
        <v>0.62003429538812171</v>
      </c>
      <c r="K4666" s="329">
        <v>0.75883101322205204</v>
      </c>
    </row>
    <row r="4667" spans="1:11" ht="11.25" x14ac:dyDescent="0.15">
      <c r="A4667" s="326">
        <v>1.1000000000000001</v>
      </c>
      <c r="B4667" s="327">
        <v>-20</v>
      </c>
      <c r="C4667" s="327" t="s">
        <v>111</v>
      </c>
      <c r="D4667" s="327" t="s">
        <v>79</v>
      </c>
      <c r="E4667" s="328" t="s">
        <v>4007</v>
      </c>
      <c r="F4667" s="328">
        <v>29.574688000000002</v>
      </c>
      <c r="G4667" s="328">
        <v>6073.0351000000001</v>
      </c>
      <c r="H4667" s="328">
        <v>6874.4247000000005</v>
      </c>
      <c r="I4667" s="329">
        <v>1.8081218174702759E-2</v>
      </c>
      <c r="J4667" s="329">
        <v>0.67782514884677447</v>
      </c>
      <c r="K4667" s="329">
        <v>0.82179669714084069</v>
      </c>
    </row>
    <row r="4668" spans="1:11" ht="11.25" x14ac:dyDescent="0.15">
      <c r="A4668" s="326">
        <v>1.1000000000000001</v>
      </c>
      <c r="B4668" s="327">
        <v>-20</v>
      </c>
      <c r="C4668" s="327" t="s">
        <v>111</v>
      </c>
      <c r="D4668" s="327" t="s">
        <v>114</v>
      </c>
      <c r="E4668" s="328" t="s">
        <v>4008</v>
      </c>
      <c r="F4668" s="328">
        <v>8.5527585000000013</v>
      </c>
      <c r="G4668" s="328">
        <v>5882.0399000000007</v>
      </c>
      <c r="H4668" s="328">
        <v>6767.5201000000006</v>
      </c>
      <c r="I4668" s="329">
        <v>5.2289407899770071E-3</v>
      </c>
      <c r="J4668" s="329">
        <v>0.65650774367172138</v>
      </c>
      <c r="K4668" s="329">
        <v>0.80901688631693813</v>
      </c>
    </row>
    <row r="4669" spans="1:11" ht="11.25" x14ac:dyDescent="0.15">
      <c r="A4669" s="326">
        <v>1.1000000000000001</v>
      </c>
      <c r="B4669" s="327">
        <v>-20</v>
      </c>
      <c r="C4669" s="327" t="s">
        <v>111</v>
      </c>
      <c r="D4669" s="327" t="s">
        <v>113</v>
      </c>
      <c r="E4669" s="328" t="s">
        <v>4009</v>
      </c>
      <c r="F4669" s="328">
        <v>6.3101676000000007</v>
      </c>
      <c r="G4669" s="328">
        <v>5801.1822000000002</v>
      </c>
      <c r="H4669" s="328">
        <v>6663.2742000000007</v>
      </c>
      <c r="I4669" s="329">
        <v>3.8578772866358045E-3</v>
      </c>
      <c r="J4669" s="329">
        <v>0.64748303335217983</v>
      </c>
      <c r="K4669" s="329">
        <v>0.79655490730792022</v>
      </c>
    </row>
    <row r="4670" spans="1:11" ht="11.25" x14ac:dyDescent="0.15">
      <c r="A4670" s="326">
        <v>1.125</v>
      </c>
      <c r="B4670" s="327">
        <v>-20</v>
      </c>
      <c r="C4670" s="327" t="s">
        <v>111</v>
      </c>
      <c r="D4670" s="327" t="s">
        <v>79</v>
      </c>
      <c r="E4670" s="328" t="s">
        <v>4010</v>
      </c>
      <c r="F4670" s="328">
        <v>33.302103750000001</v>
      </c>
      <c r="G4670" s="328">
        <v>6390.0146250000007</v>
      </c>
      <c r="H4670" s="328">
        <v>7205.2368749999996</v>
      </c>
      <c r="I4670" s="329">
        <v>2.0360066134267819E-2</v>
      </c>
      <c r="J4670" s="329">
        <v>0.71320394876751014</v>
      </c>
      <c r="K4670" s="329">
        <v>0.86134333044514855</v>
      </c>
    </row>
    <row r="4671" spans="1:11" ht="11.25" x14ac:dyDescent="0.15">
      <c r="A4671" s="326">
        <v>1.125</v>
      </c>
      <c r="B4671" s="327">
        <v>-20</v>
      </c>
      <c r="C4671" s="327" t="s">
        <v>111</v>
      </c>
      <c r="D4671" s="327" t="s">
        <v>114</v>
      </c>
      <c r="E4671" s="328" t="s">
        <v>4011</v>
      </c>
      <c r="F4671" s="328">
        <v>9.6239148750000005</v>
      </c>
      <c r="G4671" s="328">
        <v>6157.5637500000003</v>
      </c>
      <c r="H4671" s="328">
        <v>7094.7022500000003</v>
      </c>
      <c r="I4671" s="329">
        <v>5.8838187760304429E-3</v>
      </c>
      <c r="J4671" s="329">
        <v>0.6872595821778229</v>
      </c>
      <c r="K4671" s="329">
        <v>0.84812957166403913</v>
      </c>
    </row>
    <row r="4672" spans="1:11" ht="11.25" x14ac:dyDescent="0.15">
      <c r="A4672" s="326">
        <v>1.125</v>
      </c>
      <c r="B4672" s="327">
        <v>-20</v>
      </c>
      <c r="C4672" s="327" t="s">
        <v>111</v>
      </c>
      <c r="D4672" s="327" t="s">
        <v>113</v>
      </c>
      <c r="E4672" s="328" t="s">
        <v>4012</v>
      </c>
      <c r="F4672" s="328">
        <v>7.1079749999999997</v>
      </c>
      <c r="G4672" s="328">
        <v>6055.3057499999995</v>
      </c>
      <c r="H4672" s="328">
        <v>6986.6651249999995</v>
      </c>
      <c r="I4672" s="329">
        <v>4.3456366050364697E-3</v>
      </c>
      <c r="J4672" s="329">
        <v>0.67584633609420086</v>
      </c>
      <c r="K4672" s="329">
        <v>0.83521437419397404</v>
      </c>
    </row>
    <row r="4673" spans="1:11" ht="11.25" x14ac:dyDescent="0.15">
      <c r="A4673" s="326">
        <v>1.1499999999999999</v>
      </c>
      <c r="B4673" s="327">
        <v>-20</v>
      </c>
      <c r="C4673" s="327" t="s">
        <v>111</v>
      </c>
      <c r="D4673" s="327" t="s">
        <v>79</v>
      </c>
      <c r="E4673" s="328" t="s">
        <v>4013</v>
      </c>
      <c r="F4673" s="328">
        <v>37.462584</v>
      </c>
      <c r="G4673" s="328">
        <v>6725.4782999999998</v>
      </c>
      <c r="H4673" s="328">
        <v>7543.9712499999987</v>
      </c>
      <c r="I4673" s="329">
        <v>2.2903678804392754E-2</v>
      </c>
      <c r="J4673" s="329">
        <v>0.75064580637171874</v>
      </c>
      <c r="K4673" s="329">
        <v>0.90183701576881881</v>
      </c>
    </row>
    <row r="4674" spans="1:11" ht="11.25" x14ac:dyDescent="0.15">
      <c r="A4674" s="326">
        <v>1.1499999999999999</v>
      </c>
      <c r="B4674" s="327">
        <v>-20</v>
      </c>
      <c r="C4674" s="327" t="s">
        <v>111</v>
      </c>
      <c r="D4674" s="327" t="s">
        <v>114</v>
      </c>
      <c r="E4674" s="328" t="s">
        <v>4014</v>
      </c>
      <c r="F4674" s="328">
        <v>10.826604849999999</v>
      </c>
      <c r="G4674" s="328">
        <v>6446.8792999999996</v>
      </c>
      <c r="H4674" s="328">
        <v>7429.5071499999995</v>
      </c>
      <c r="I4674" s="329">
        <v>6.6191130869798186E-3</v>
      </c>
      <c r="J4674" s="329">
        <v>0.71955074343629077</v>
      </c>
      <c r="K4674" s="329">
        <v>0.88815351155919409</v>
      </c>
    </row>
    <row r="4675" spans="1:11" ht="11.25" x14ac:dyDescent="0.15">
      <c r="A4675" s="326">
        <v>1.1499999999999999</v>
      </c>
      <c r="B4675" s="327">
        <v>-20</v>
      </c>
      <c r="C4675" s="327" t="s">
        <v>111</v>
      </c>
      <c r="D4675" s="327" t="s">
        <v>113</v>
      </c>
      <c r="E4675" s="328" t="s">
        <v>4015</v>
      </c>
      <c r="F4675" s="328">
        <v>8.0043967499999997</v>
      </c>
      <c r="G4675" s="328">
        <v>6318.83025</v>
      </c>
      <c r="H4675" s="328">
        <v>7317.33385</v>
      </c>
      <c r="I4675" s="329">
        <v>4.8936862493234642E-3</v>
      </c>
      <c r="J4675" s="329">
        <v>0.70525890007514547</v>
      </c>
      <c r="K4675" s="329">
        <v>0.87474385890165773</v>
      </c>
    </row>
    <row r="4676" spans="1:11" ht="11.25" x14ac:dyDescent="0.15">
      <c r="A4676" s="326">
        <v>1.175</v>
      </c>
      <c r="B4676" s="327">
        <v>-20</v>
      </c>
      <c r="C4676" s="327" t="s">
        <v>111</v>
      </c>
      <c r="D4676" s="327" t="s">
        <v>79</v>
      </c>
      <c r="E4676" s="328" t="s">
        <v>4016</v>
      </c>
      <c r="F4676" s="328">
        <v>42.102576500000005</v>
      </c>
      <c r="G4676" s="328">
        <v>7080.9236500000006</v>
      </c>
      <c r="H4676" s="328">
        <v>7890.610275</v>
      </c>
      <c r="I4676" s="329">
        <v>2.5740453167709267E-2</v>
      </c>
      <c r="J4676" s="329">
        <v>0.79031786380320701</v>
      </c>
      <c r="K4676" s="329">
        <v>0.94327565511344968</v>
      </c>
    </row>
    <row r="4677" spans="1:11" ht="11.25" x14ac:dyDescent="0.15">
      <c r="A4677" s="326">
        <v>1.175</v>
      </c>
      <c r="B4677" s="327">
        <v>-20</v>
      </c>
      <c r="C4677" s="327" t="s">
        <v>111</v>
      </c>
      <c r="D4677" s="327" t="s">
        <v>114</v>
      </c>
      <c r="E4677" s="328" t="s">
        <v>4017</v>
      </c>
      <c r="F4677" s="328">
        <v>12.177053750000001</v>
      </c>
      <c r="G4677" s="328">
        <v>6750.7768500000002</v>
      </c>
      <c r="H4677" s="328">
        <v>7771.9047250000003</v>
      </c>
      <c r="I4677" s="329">
        <v>7.4447434772205332E-3</v>
      </c>
      <c r="J4677" s="329">
        <v>0.75346943461311611</v>
      </c>
      <c r="K4677" s="329">
        <v>0.92908511071454358</v>
      </c>
    </row>
    <row r="4678" spans="1:11" ht="11.25" x14ac:dyDescent="0.15">
      <c r="A4678" s="326">
        <v>1.175</v>
      </c>
      <c r="B4678" s="327">
        <v>-20</v>
      </c>
      <c r="C4678" s="327" t="s">
        <v>111</v>
      </c>
      <c r="D4678" s="327" t="s">
        <v>113</v>
      </c>
      <c r="E4678" s="328" t="s">
        <v>4018</v>
      </c>
      <c r="F4678" s="328">
        <v>9.0115285499999995</v>
      </c>
      <c r="G4678" s="328">
        <v>6591.5114750000012</v>
      </c>
      <c r="H4678" s="328">
        <v>7655.7512750000005</v>
      </c>
      <c r="I4678" s="329">
        <v>5.509421225343536E-3</v>
      </c>
      <c r="J4678" s="329">
        <v>0.73569346679176895</v>
      </c>
      <c r="K4678" s="329">
        <v>0.9151996547328215</v>
      </c>
    </row>
    <row r="4679" spans="1:11" ht="11.25" x14ac:dyDescent="0.15">
      <c r="A4679" s="326">
        <v>1.2</v>
      </c>
      <c r="B4679" s="327">
        <v>-20</v>
      </c>
      <c r="C4679" s="327" t="s">
        <v>111</v>
      </c>
      <c r="D4679" s="327" t="s">
        <v>79</v>
      </c>
      <c r="E4679" s="328" t="s">
        <v>4019</v>
      </c>
      <c r="F4679" s="328">
        <v>47.273352000000003</v>
      </c>
      <c r="G4679" s="328">
        <v>7456.7003999999988</v>
      </c>
      <c r="H4679" s="328">
        <v>8245.1579999999994</v>
      </c>
      <c r="I4679" s="329">
        <v>2.8901734867381221E-2</v>
      </c>
      <c r="J4679" s="329">
        <v>0.83225915465823697</v>
      </c>
      <c r="K4679" s="329">
        <v>0.98565973263251816</v>
      </c>
    </row>
    <row r="4680" spans="1:11" ht="11.25" x14ac:dyDescent="0.15">
      <c r="A4680" s="326">
        <v>1.2</v>
      </c>
      <c r="B4680" s="327">
        <v>-20</v>
      </c>
      <c r="C4680" s="327" t="s">
        <v>111</v>
      </c>
      <c r="D4680" s="327" t="s">
        <v>114</v>
      </c>
      <c r="E4680" s="328" t="s">
        <v>4020</v>
      </c>
      <c r="F4680" s="328">
        <v>13.693368</v>
      </c>
      <c r="G4680" s="328">
        <v>7071.6443999999992</v>
      </c>
      <c r="H4680" s="328">
        <v>8122.1699999999992</v>
      </c>
      <c r="I4680" s="329">
        <v>8.3717797582342421E-3</v>
      </c>
      <c r="J4680" s="329">
        <v>0.78928218577585008</v>
      </c>
      <c r="K4680" s="329">
        <v>0.97095724673752271</v>
      </c>
    </row>
    <row r="4681" spans="1:11" ht="11.25" x14ac:dyDescent="0.15">
      <c r="A4681" s="326">
        <v>1.2</v>
      </c>
      <c r="B4681" s="327">
        <v>-20</v>
      </c>
      <c r="C4681" s="327" t="s">
        <v>111</v>
      </c>
      <c r="D4681" s="327" t="s">
        <v>113</v>
      </c>
      <c r="E4681" s="328" t="s">
        <v>4021</v>
      </c>
      <c r="F4681" s="328">
        <v>10.142902799999998</v>
      </c>
      <c r="G4681" s="328">
        <v>6877.8167999999996</v>
      </c>
      <c r="H4681" s="328">
        <v>8002.4975999999988</v>
      </c>
      <c r="I4681" s="329">
        <v>6.2011149010803915E-3</v>
      </c>
      <c r="J4681" s="329">
        <v>0.7676486500466374</v>
      </c>
      <c r="K4681" s="329">
        <v>0.95665112115600059</v>
      </c>
    </row>
    <row r="4682" spans="1:11" ht="11.25" x14ac:dyDescent="0.15">
      <c r="A4682" s="326">
        <v>1.2250000000000001</v>
      </c>
      <c r="B4682" s="327">
        <v>-20</v>
      </c>
      <c r="C4682" s="327" t="s">
        <v>111</v>
      </c>
      <c r="D4682" s="327" t="s">
        <v>79</v>
      </c>
      <c r="E4682" s="328" t="s">
        <v>4022</v>
      </c>
      <c r="F4682" s="328">
        <v>53.031511750000014</v>
      </c>
      <c r="G4682" s="328">
        <v>7855.0724000000009</v>
      </c>
      <c r="H4682" s="328">
        <v>8607.6352250000018</v>
      </c>
      <c r="I4682" s="329">
        <v>3.2422128479802158E-2</v>
      </c>
      <c r="J4682" s="329">
        <v>0.87672235234276685</v>
      </c>
      <c r="K4682" s="329">
        <v>1.0289917348426492</v>
      </c>
    </row>
    <row r="4683" spans="1:11" ht="11.25" x14ac:dyDescent="0.15">
      <c r="A4683" s="326">
        <v>1.2250000000000001</v>
      </c>
      <c r="B4683" s="327">
        <v>-20</v>
      </c>
      <c r="C4683" s="327" t="s">
        <v>111</v>
      </c>
      <c r="D4683" s="327" t="s">
        <v>114</v>
      </c>
      <c r="E4683" s="328" t="s">
        <v>4023</v>
      </c>
      <c r="F4683" s="328">
        <v>15.395898000000001</v>
      </c>
      <c r="G4683" s="328">
        <v>7408.1201250000004</v>
      </c>
      <c r="H4683" s="328">
        <v>8479.7256249999991</v>
      </c>
      <c r="I4683" s="329">
        <v>9.4126636512097718E-3</v>
      </c>
      <c r="J4683" s="329">
        <v>0.82683700056383846</v>
      </c>
      <c r="K4683" s="329">
        <v>1.0137009008601912</v>
      </c>
    </row>
    <row r="4684" spans="1:11" ht="11.25" x14ac:dyDescent="0.15">
      <c r="A4684" s="326">
        <v>1.2250000000000001</v>
      </c>
      <c r="B4684" s="327">
        <v>-20</v>
      </c>
      <c r="C4684" s="327" t="s">
        <v>111</v>
      </c>
      <c r="D4684" s="327" t="s">
        <v>113</v>
      </c>
      <c r="E4684" s="328" t="s">
        <v>4024</v>
      </c>
      <c r="F4684" s="328">
        <v>11.4136729</v>
      </c>
      <c r="G4684" s="328">
        <v>7175.6592250000012</v>
      </c>
      <c r="H4684" s="328">
        <v>8356.2823750000007</v>
      </c>
      <c r="I4684" s="329">
        <v>6.9780316830254409E-3</v>
      </c>
      <c r="J4684" s="329">
        <v>0.80089151506128398</v>
      </c>
      <c r="K4684" s="329">
        <v>0.99894399252801758</v>
      </c>
    </row>
    <row r="4685" spans="1:11" ht="11.25" x14ac:dyDescent="0.15">
      <c r="A4685" s="326">
        <v>1.25</v>
      </c>
      <c r="B4685" s="327">
        <v>-20</v>
      </c>
      <c r="C4685" s="327" t="s">
        <v>111</v>
      </c>
      <c r="D4685" s="327" t="s">
        <v>79</v>
      </c>
      <c r="E4685" s="328" t="s">
        <v>4025</v>
      </c>
      <c r="F4685" s="328">
        <v>59.439637500000003</v>
      </c>
      <c r="G4685" s="328">
        <v>8274.9274999999998</v>
      </c>
      <c r="H4685" s="328">
        <v>8977.3237499999996</v>
      </c>
      <c r="I4685" s="329">
        <v>3.6339894908197973E-2</v>
      </c>
      <c r="J4685" s="329">
        <v>0.92358332728618131</v>
      </c>
      <c r="K4685" s="329">
        <v>1.073185805193855</v>
      </c>
    </row>
    <row r="4686" spans="1:11" ht="11.25" x14ac:dyDescent="0.15">
      <c r="A4686" s="326">
        <v>1.25</v>
      </c>
      <c r="B4686" s="327">
        <v>-20</v>
      </c>
      <c r="C4686" s="327" t="s">
        <v>111</v>
      </c>
      <c r="D4686" s="327" t="s">
        <v>114</v>
      </c>
      <c r="E4686" s="328" t="s">
        <v>4026</v>
      </c>
      <c r="F4686" s="328">
        <v>17.307412499999998</v>
      </c>
      <c r="G4686" s="328">
        <v>7763.55</v>
      </c>
      <c r="H4686" s="328">
        <v>8845.1637499999997</v>
      </c>
      <c r="I4686" s="329">
        <v>1.0581315395519224E-2</v>
      </c>
      <c r="J4686" s="329">
        <v>0.86650733079566356</v>
      </c>
      <c r="K4686" s="329">
        <v>1.0573868611027031</v>
      </c>
    </row>
    <row r="4687" spans="1:11" ht="11.25" x14ac:dyDescent="0.15">
      <c r="A4687" s="326">
        <v>1.25</v>
      </c>
      <c r="B4687" s="327">
        <v>-20</v>
      </c>
      <c r="C4687" s="327" t="s">
        <v>111</v>
      </c>
      <c r="D4687" s="327" t="s">
        <v>113</v>
      </c>
      <c r="E4687" s="328" t="s">
        <v>4027</v>
      </c>
      <c r="F4687" s="328">
        <v>12.8408125</v>
      </c>
      <c r="G4687" s="328">
        <v>7487.6224999999995</v>
      </c>
      <c r="H4687" s="328">
        <v>8717.9974999999995</v>
      </c>
      <c r="I4687" s="329">
        <v>7.8505488326013912E-3</v>
      </c>
      <c r="J4687" s="329">
        <v>0.8357104400023897</v>
      </c>
      <c r="K4687" s="329">
        <v>1.0421848902035549</v>
      </c>
    </row>
    <row r="4688" spans="1:11" ht="11.25" x14ac:dyDescent="0.15">
      <c r="A4688" s="326">
        <v>1.2749999999999999</v>
      </c>
      <c r="B4688" s="327">
        <v>-20</v>
      </c>
      <c r="C4688" s="327" t="s">
        <v>111</v>
      </c>
      <c r="D4688" s="327" t="s">
        <v>79</v>
      </c>
      <c r="E4688" s="328" t="s">
        <v>4028</v>
      </c>
      <c r="F4688" s="328">
        <v>66.567048749999998</v>
      </c>
      <c r="G4688" s="328">
        <v>8720.0756249999995</v>
      </c>
      <c r="H4688" s="328">
        <v>9355.7268750000003</v>
      </c>
      <c r="I4688" s="329">
        <v>4.0697414346174146E-2</v>
      </c>
      <c r="J4688" s="329">
        <v>0.97326731381327836</v>
      </c>
      <c r="K4688" s="329">
        <v>1.1184216542842922</v>
      </c>
    </row>
    <row r="4689" spans="1:11" ht="11.25" x14ac:dyDescent="0.15">
      <c r="A4689" s="326">
        <v>1.2749999999999999</v>
      </c>
      <c r="B4689" s="327">
        <v>-20</v>
      </c>
      <c r="C4689" s="327" t="s">
        <v>111</v>
      </c>
      <c r="D4689" s="327" t="s">
        <v>114</v>
      </c>
      <c r="E4689" s="328" t="s">
        <v>4029</v>
      </c>
      <c r="F4689" s="328">
        <v>19.4534655</v>
      </c>
      <c r="G4689" s="328">
        <v>8139.0275249999995</v>
      </c>
      <c r="H4689" s="328">
        <v>9218.6082749999987</v>
      </c>
      <c r="I4689" s="329">
        <v>1.1893358062122349E-2</v>
      </c>
      <c r="J4689" s="329">
        <v>0.90841522447336398</v>
      </c>
      <c r="K4689" s="329">
        <v>1.1020299389751438</v>
      </c>
    </row>
    <row r="4690" spans="1:11" ht="11.25" x14ac:dyDescent="0.15">
      <c r="A4690" s="326">
        <v>1.2749999999999999</v>
      </c>
      <c r="B4690" s="327">
        <v>-20</v>
      </c>
      <c r="C4690" s="327" t="s">
        <v>111</v>
      </c>
      <c r="D4690" s="327" t="s">
        <v>113</v>
      </c>
      <c r="E4690" s="328" t="s">
        <v>4030</v>
      </c>
      <c r="F4690" s="328">
        <v>14.443327499999999</v>
      </c>
      <c r="G4690" s="328">
        <v>7814.2276499999998</v>
      </c>
      <c r="H4690" s="328">
        <v>9087.1799999999985</v>
      </c>
      <c r="I4690" s="329">
        <v>8.8302860776142116E-3</v>
      </c>
      <c r="J4690" s="329">
        <v>0.87216357764568664</v>
      </c>
      <c r="K4690" s="329">
        <v>1.0863184682675051</v>
      </c>
    </row>
    <row r="4691" spans="1:11" ht="11.25" x14ac:dyDescent="0.15">
      <c r="A4691" s="326">
        <v>1.3</v>
      </c>
      <c r="B4691" s="327">
        <v>-20</v>
      </c>
      <c r="C4691" s="327" t="s">
        <v>111</v>
      </c>
      <c r="D4691" s="327" t="s">
        <v>79</v>
      </c>
      <c r="E4691" s="328" t="s">
        <v>4031</v>
      </c>
      <c r="F4691" s="328">
        <v>74.490650000000002</v>
      </c>
      <c r="G4691" s="328">
        <v>9188.9187000000002</v>
      </c>
      <c r="H4691" s="328">
        <v>9741.6813000000002</v>
      </c>
      <c r="I4691" s="329">
        <v>4.5541704264992482E-2</v>
      </c>
      <c r="J4691" s="329">
        <v>1.025595947167901</v>
      </c>
      <c r="K4691" s="329">
        <v>1.1645602164990898</v>
      </c>
    </row>
    <row r="4692" spans="1:11" ht="11.25" x14ac:dyDescent="0.15">
      <c r="A4692" s="326">
        <v>1.3</v>
      </c>
      <c r="B4692" s="327">
        <v>-20</v>
      </c>
      <c r="C4692" s="327" t="s">
        <v>111</v>
      </c>
      <c r="D4692" s="327" t="s">
        <v>114</v>
      </c>
      <c r="E4692" s="328" t="s">
        <v>4032</v>
      </c>
      <c r="F4692" s="328">
        <v>21.862736999999999</v>
      </c>
      <c r="G4692" s="328">
        <v>8536.5202000000008</v>
      </c>
      <c r="H4692" s="328">
        <v>9599.8513000000003</v>
      </c>
      <c r="I4692" s="329">
        <v>1.3366325879520569E-2</v>
      </c>
      <c r="J4692" s="329">
        <v>0.95278027871080428</v>
      </c>
      <c r="K4692" s="329">
        <v>1.1476052812656752</v>
      </c>
    </row>
    <row r="4693" spans="1:11" ht="11.25" x14ac:dyDescent="0.15">
      <c r="A4693" s="326">
        <v>1.3</v>
      </c>
      <c r="B4693" s="327">
        <v>-20</v>
      </c>
      <c r="C4693" s="327" t="s">
        <v>111</v>
      </c>
      <c r="D4693" s="327" t="s">
        <v>113</v>
      </c>
      <c r="E4693" s="328" t="s">
        <v>4033</v>
      </c>
      <c r="F4693" s="328">
        <v>16.242590000000003</v>
      </c>
      <c r="G4693" s="328">
        <v>8157.5650000000005</v>
      </c>
      <c r="H4693" s="328">
        <v>9464.3523000000005</v>
      </c>
      <c r="I4693" s="329">
        <v>9.9303097808587301E-3</v>
      </c>
      <c r="J4693" s="329">
        <v>0.91048423388039335</v>
      </c>
      <c r="K4693" s="329">
        <v>1.1314071795298475</v>
      </c>
    </row>
    <row r="4694" spans="1:11" ht="11.25" x14ac:dyDescent="0.15">
      <c r="A4694" s="326">
        <v>1.325</v>
      </c>
      <c r="B4694" s="327">
        <v>-20</v>
      </c>
      <c r="C4694" s="327" t="s">
        <v>111</v>
      </c>
      <c r="D4694" s="327" t="s">
        <v>79</v>
      </c>
      <c r="E4694" s="328" t="s">
        <v>4034</v>
      </c>
      <c r="F4694" s="328">
        <v>83.295833499999986</v>
      </c>
      <c r="G4694" s="328">
        <v>9682.8694500000001</v>
      </c>
      <c r="H4694" s="328">
        <v>10135.871050000002</v>
      </c>
      <c r="I4694" s="329">
        <v>5.0924971332147767E-2</v>
      </c>
      <c r="J4694" s="329">
        <v>1.0807269047745394</v>
      </c>
      <c r="K4694" s="329">
        <v>1.2116832629696948</v>
      </c>
    </row>
    <row r="4695" spans="1:11" ht="11.25" x14ac:dyDescent="0.15">
      <c r="A4695" s="326">
        <v>1.325</v>
      </c>
      <c r="B4695" s="327">
        <v>-20</v>
      </c>
      <c r="C4695" s="327" t="s">
        <v>111</v>
      </c>
      <c r="D4695" s="327" t="s">
        <v>114</v>
      </c>
      <c r="E4695" s="328" t="s">
        <v>4035</v>
      </c>
      <c r="F4695" s="328">
        <v>24.567460999999998</v>
      </c>
      <c r="G4695" s="328">
        <v>8953.9352749999998</v>
      </c>
      <c r="H4695" s="328">
        <v>9988.5032249999986</v>
      </c>
      <c r="I4695" s="329">
        <v>1.501992590216002E-2</v>
      </c>
      <c r="J4695" s="329">
        <v>0.99936891695904395</v>
      </c>
      <c r="K4695" s="329">
        <v>1.1940663136052145</v>
      </c>
    </row>
    <row r="4696" spans="1:11" ht="11.25" x14ac:dyDescent="0.15">
      <c r="A4696" s="326">
        <v>1.325</v>
      </c>
      <c r="B4696" s="327">
        <v>-20</v>
      </c>
      <c r="C4696" s="327" t="s">
        <v>111</v>
      </c>
      <c r="D4696" s="327" t="s">
        <v>113</v>
      </c>
      <c r="E4696" s="328" t="s">
        <v>4036</v>
      </c>
      <c r="F4696" s="328">
        <v>18.262474999999998</v>
      </c>
      <c r="G4696" s="328">
        <v>8518.7588999999989</v>
      </c>
      <c r="H4696" s="328">
        <v>9848.6044249999995</v>
      </c>
      <c r="I4696" s="329">
        <v>1.1165216515050123E-2</v>
      </c>
      <c r="J4696" s="329">
        <v>0.95079789994664843</v>
      </c>
      <c r="K4696" s="329">
        <v>1.1773422418768609</v>
      </c>
    </row>
    <row r="4697" spans="1:11" ht="11.25" x14ac:dyDescent="0.15">
      <c r="A4697" s="326">
        <v>1.35</v>
      </c>
      <c r="B4697" s="327">
        <v>-20</v>
      </c>
      <c r="C4697" s="327" t="s">
        <v>111</v>
      </c>
      <c r="D4697" s="327" t="s">
        <v>79</v>
      </c>
      <c r="E4697" s="328" t="s">
        <v>4037</v>
      </c>
      <c r="F4697" s="328">
        <v>93.077586000000011</v>
      </c>
      <c r="G4697" s="328">
        <v>10201.2804</v>
      </c>
      <c r="H4697" s="328">
        <v>10537.6167</v>
      </c>
      <c r="I4697" s="329">
        <v>5.6905288050398337E-2</v>
      </c>
      <c r="J4697" s="329">
        <v>1.1385879204876788</v>
      </c>
      <c r="K4697" s="329">
        <v>1.2597095724673752</v>
      </c>
    </row>
    <row r="4698" spans="1:11" ht="11.25" x14ac:dyDescent="0.15">
      <c r="A4698" s="326">
        <v>1.35</v>
      </c>
      <c r="B4698" s="327">
        <v>-20</v>
      </c>
      <c r="C4698" s="327" t="s">
        <v>111</v>
      </c>
      <c r="D4698" s="327" t="s">
        <v>114</v>
      </c>
      <c r="E4698" s="328" t="s">
        <v>4038</v>
      </c>
      <c r="F4698" s="328">
        <v>27.603828</v>
      </c>
      <c r="G4698" s="328">
        <v>9394.9942500000016</v>
      </c>
      <c r="H4698" s="328">
        <v>10385.571599999999</v>
      </c>
      <c r="I4698" s="329">
        <v>1.6876284088777838E-2</v>
      </c>
      <c r="J4698" s="329">
        <v>1.0485965042291359</v>
      </c>
      <c r="K4698" s="329">
        <v>1.241533482619966</v>
      </c>
    </row>
    <row r="4699" spans="1:11" ht="11.25" x14ac:dyDescent="0.15">
      <c r="A4699" s="326">
        <v>1.35</v>
      </c>
      <c r="B4699" s="327">
        <v>-20</v>
      </c>
      <c r="C4699" s="327" t="s">
        <v>111</v>
      </c>
      <c r="D4699" s="327" t="s">
        <v>113</v>
      </c>
      <c r="E4699" s="328" t="s">
        <v>4039</v>
      </c>
      <c r="F4699" s="328">
        <v>20.529949500000004</v>
      </c>
      <c r="G4699" s="328">
        <v>8900.3502000000008</v>
      </c>
      <c r="H4699" s="328">
        <v>10241.584650000001</v>
      </c>
      <c r="I4699" s="329">
        <v>1.255149322370298E-2</v>
      </c>
      <c r="J4699" s="329">
        <v>0.99338816584534795</v>
      </c>
      <c r="K4699" s="329">
        <v>1.22432069680803</v>
      </c>
    </row>
    <row r="4700" spans="1:11" ht="11.25" x14ac:dyDescent="0.15">
      <c r="A4700" s="326">
        <v>1.375</v>
      </c>
      <c r="B4700" s="327">
        <v>-20</v>
      </c>
      <c r="C4700" s="327" t="s">
        <v>111</v>
      </c>
      <c r="D4700" s="327" t="s">
        <v>79</v>
      </c>
      <c r="E4700" s="328" t="s">
        <v>4040</v>
      </c>
      <c r="F4700" s="328">
        <v>103.94176375000002</v>
      </c>
      <c r="G4700" s="328">
        <v>10746.161250000001</v>
      </c>
      <c r="H4700" s="328">
        <v>10947.517625</v>
      </c>
      <c r="I4700" s="329">
        <v>6.3547372260602059E-2</v>
      </c>
      <c r="J4700" s="329">
        <v>1.1994033014583911</v>
      </c>
      <c r="K4700" s="329">
        <v>1.3087107967181806</v>
      </c>
    </row>
    <row r="4701" spans="1:11" ht="11.25" x14ac:dyDescent="0.15">
      <c r="A4701" s="326">
        <v>1.375</v>
      </c>
      <c r="B4701" s="327">
        <v>-20</v>
      </c>
      <c r="C4701" s="327" t="s">
        <v>111</v>
      </c>
      <c r="D4701" s="327" t="s">
        <v>114</v>
      </c>
      <c r="E4701" s="328" t="s">
        <v>4041</v>
      </c>
      <c r="F4701" s="328">
        <v>31.012520000000002</v>
      </c>
      <c r="G4701" s="328">
        <v>9860.296875</v>
      </c>
      <c r="H4701" s="328">
        <v>10790.329</v>
      </c>
      <c r="I4701" s="329">
        <v>1.8960272387905926E-2</v>
      </c>
      <c r="J4701" s="329">
        <v>1.1005299799716719</v>
      </c>
      <c r="K4701" s="329">
        <v>1.2899198289659104</v>
      </c>
    </row>
    <row r="4702" spans="1:11" ht="11.25" x14ac:dyDescent="0.15">
      <c r="A4702" s="326">
        <v>1.375</v>
      </c>
      <c r="B4702" s="327">
        <v>-20</v>
      </c>
      <c r="C4702" s="327" t="s">
        <v>111</v>
      </c>
      <c r="D4702" s="327" t="s">
        <v>113</v>
      </c>
      <c r="E4702" s="328" t="s">
        <v>4042</v>
      </c>
      <c r="F4702" s="328">
        <v>23.075195000000001</v>
      </c>
      <c r="G4702" s="328">
        <v>9299.3381250000002</v>
      </c>
      <c r="H4702" s="328">
        <v>10641.527875</v>
      </c>
      <c r="I4702" s="329">
        <v>1.4107592114540995E-2</v>
      </c>
      <c r="J4702" s="329">
        <v>1.037920108308712</v>
      </c>
      <c r="K4702" s="329">
        <v>1.272131537088069</v>
      </c>
    </row>
    <row r="4703" spans="1:11" ht="11.25" x14ac:dyDescent="0.15">
      <c r="A4703" s="326">
        <v>1.4</v>
      </c>
      <c r="B4703" s="327">
        <v>-20</v>
      </c>
      <c r="C4703" s="327" t="s">
        <v>111</v>
      </c>
      <c r="D4703" s="327" t="s">
        <v>79</v>
      </c>
      <c r="E4703" s="328" t="s">
        <v>4043</v>
      </c>
      <c r="F4703" s="328">
        <v>116.006422</v>
      </c>
      <c r="G4703" s="328">
        <v>11318.054999999998</v>
      </c>
      <c r="H4703" s="328">
        <v>11365.813200000001</v>
      </c>
      <c r="I4703" s="329">
        <v>7.0923399964477662E-2</v>
      </c>
      <c r="J4703" s="329">
        <v>1.2632336531417345</v>
      </c>
      <c r="K4703" s="329">
        <v>1.3587155515835048</v>
      </c>
    </row>
    <row r="4704" spans="1:11" ht="11.25" x14ac:dyDescent="0.15">
      <c r="A4704" s="326">
        <v>1.4</v>
      </c>
      <c r="B4704" s="327">
        <v>-20</v>
      </c>
      <c r="C4704" s="327" t="s">
        <v>111</v>
      </c>
      <c r="D4704" s="327" t="s">
        <v>114</v>
      </c>
      <c r="E4704" s="328" t="s">
        <v>4044</v>
      </c>
      <c r="F4704" s="328">
        <v>34.839293999999995</v>
      </c>
      <c r="G4704" s="328">
        <v>10347.8914</v>
      </c>
      <c r="H4704" s="328">
        <v>11202.850400000001</v>
      </c>
      <c r="I4704" s="329">
        <v>2.1299865475051253E-2</v>
      </c>
      <c r="J4704" s="329">
        <v>1.1549515049658214</v>
      </c>
      <c r="K4704" s="329">
        <v>1.3392343154595825</v>
      </c>
    </row>
    <row r="4705" spans="1:11" ht="11.25" x14ac:dyDescent="0.15">
      <c r="A4705" s="326">
        <v>1.4</v>
      </c>
      <c r="B4705" s="327">
        <v>-20</v>
      </c>
      <c r="C4705" s="327" t="s">
        <v>111</v>
      </c>
      <c r="D4705" s="327" t="s">
        <v>113</v>
      </c>
      <c r="E4705" s="328" t="s">
        <v>4045</v>
      </c>
      <c r="F4705" s="328">
        <v>25.932227999999999</v>
      </c>
      <c r="G4705" s="328">
        <v>9719.3040000000001</v>
      </c>
      <c r="H4705" s="328">
        <v>11049.1626</v>
      </c>
      <c r="I4705" s="329">
        <v>1.5854310017543911E-2</v>
      </c>
      <c r="J4705" s="329">
        <v>1.0847934470997953</v>
      </c>
      <c r="K4705" s="329">
        <v>1.3208618505708707</v>
      </c>
    </row>
    <row r="4706" spans="1:11" ht="11.25" x14ac:dyDescent="0.15">
      <c r="A4706" s="326">
        <v>0.9</v>
      </c>
      <c r="B4706" s="327">
        <v>0</v>
      </c>
      <c r="C4706" s="327" t="s">
        <v>111</v>
      </c>
      <c r="D4706" s="327" t="s">
        <v>79</v>
      </c>
      <c r="E4706" s="328" t="s">
        <v>4046</v>
      </c>
      <c r="F4706" s="328">
        <v>15.559235999999999</v>
      </c>
      <c r="G4706" s="328">
        <v>4045.0247999999997</v>
      </c>
      <c r="H4706" s="328">
        <v>4519.5623999999998</v>
      </c>
      <c r="I4706" s="329">
        <v>9.5125243839491863E-3</v>
      </c>
      <c r="J4706" s="329">
        <v>0.45147434388266483</v>
      </c>
      <c r="K4706" s="329">
        <v>0.54028687707379075</v>
      </c>
    </row>
    <row r="4707" spans="1:11" ht="11.25" x14ac:dyDescent="0.15">
      <c r="A4707" s="326">
        <v>0.9</v>
      </c>
      <c r="B4707" s="327">
        <v>0</v>
      </c>
      <c r="C4707" s="327" t="s">
        <v>111</v>
      </c>
      <c r="D4707" s="327" t="s">
        <v>114</v>
      </c>
      <c r="E4707" s="328" t="s">
        <v>4047</v>
      </c>
      <c r="F4707" s="328">
        <v>3.9974661</v>
      </c>
      <c r="G4707" s="328">
        <v>4011.4313999999999</v>
      </c>
      <c r="H4707" s="328">
        <v>4440.9204</v>
      </c>
      <c r="I4707" s="329">
        <v>2.4439499311058885E-3</v>
      </c>
      <c r="J4707" s="329">
        <v>0.44772490871880927</v>
      </c>
      <c r="K4707" s="329">
        <v>0.5308856924398897</v>
      </c>
    </row>
    <row r="4708" spans="1:11" ht="11.25" x14ac:dyDescent="0.15">
      <c r="A4708" s="326">
        <v>0.9</v>
      </c>
      <c r="B4708" s="327">
        <v>0</v>
      </c>
      <c r="C4708" s="327" t="s">
        <v>111</v>
      </c>
      <c r="D4708" s="327" t="s">
        <v>113</v>
      </c>
      <c r="E4708" s="328" t="s">
        <v>4048</v>
      </c>
      <c r="F4708" s="328">
        <v>2.6433000000000004</v>
      </c>
      <c r="G4708" s="328">
        <v>4000.1949</v>
      </c>
      <c r="H4708" s="328">
        <v>4363.7912999999999</v>
      </c>
      <c r="I4708" s="329">
        <v>1.6160469385574517E-3</v>
      </c>
      <c r="J4708" s="329">
        <v>0.44647077760321324</v>
      </c>
      <c r="K4708" s="329">
        <v>0.52166536602720148</v>
      </c>
    </row>
    <row r="4709" spans="1:11" ht="11.25" x14ac:dyDescent="0.15">
      <c r="A4709" s="326">
        <v>0.92500000000000004</v>
      </c>
      <c r="B4709" s="327">
        <v>0</v>
      </c>
      <c r="C4709" s="327" t="s">
        <v>111</v>
      </c>
      <c r="D4709" s="327" t="s">
        <v>79</v>
      </c>
      <c r="E4709" s="328" t="s">
        <v>4049</v>
      </c>
      <c r="F4709" s="328">
        <v>17.444362250000001</v>
      </c>
      <c r="G4709" s="328">
        <v>4267.089750000001</v>
      </c>
      <c r="H4709" s="328">
        <v>4788.4780250000003</v>
      </c>
      <c r="I4709" s="329">
        <v>1.0665043017894177E-2</v>
      </c>
      <c r="J4709" s="329">
        <v>0.47625951395148303</v>
      </c>
      <c r="K4709" s="329">
        <v>0.572434144965832</v>
      </c>
    </row>
    <row r="4710" spans="1:11" ht="11.25" x14ac:dyDescent="0.15">
      <c r="A4710" s="326">
        <v>0.92500000000000004</v>
      </c>
      <c r="B4710" s="327">
        <v>0</v>
      </c>
      <c r="C4710" s="327" t="s">
        <v>111</v>
      </c>
      <c r="D4710" s="327" t="s">
        <v>114</v>
      </c>
      <c r="E4710" s="328" t="s">
        <v>4050</v>
      </c>
      <c r="F4710" s="328">
        <v>4.4859521500000001</v>
      </c>
      <c r="G4710" s="328">
        <v>4220.8379000000004</v>
      </c>
      <c r="H4710" s="328">
        <v>4706.7237500000001</v>
      </c>
      <c r="I4710" s="329">
        <v>2.7425979792391015E-3</v>
      </c>
      <c r="J4710" s="329">
        <v>0.47109724062447905</v>
      </c>
      <c r="K4710" s="329">
        <v>0.5626609063161826</v>
      </c>
    </row>
    <row r="4711" spans="1:11" ht="11.25" x14ac:dyDescent="0.15">
      <c r="A4711" s="326">
        <v>0.92500000000000004</v>
      </c>
      <c r="B4711" s="327">
        <v>0</v>
      </c>
      <c r="C4711" s="327" t="s">
        <v>111</v>
      </c>
      <c r="D4711" s="327" t="s">
        <v>113</v>
      </c>
      <c r="E4711" s="328" t="s">
        <v>4051</v>
      </c>
      <c r="F4711" s="328">
        <v>2.9789403000000001</v>
      </c>
      <c r="G4711" s="328">
        <v>4205.5078750000002</v>
      </c>
      <c r="H4711" s="328">
        <v>4626.3865750000004</v>
      </c>
      <c r="I4711" s="329">
        <v>1.8212489509175714E-3</v>
      </c>
      <c r="J4711" s="329">
        <v>0.46938622194825735</v>
      </c>
      <c r="K4711" s="329">
        <v>0.55305707356598532</v>
      </c>
    </row>
    <row r="4712" spans="1:11" ht="11.25" x14ac:dyDescent="0.15">
      <c r="A4712" s="326">
        <v>0.95</v>
      </c>
      <c r="B4712" s="327">
        <v>0</v>
      </c>
      <c r="C4712" s="327" t="s">
        <v>111</v>
      </c>
      <c r="D4712" s="327" t="s">
        <v>79</v>
      </c>
      <c r="E4712" s="328" t="s">
        <v>4052</v>
      </c>
      <c r="F4712" s="328">
        <v>19.543656499999997</v>
      </c>
      <c r="G4712" s="328">
        <v>4499.7111000000004</v>
      </c>
      <c r="H4712" s="328">
        <v>5065.1909999999998</v>
      </c>
      <c r="I4712" s="329">
        <v>1.1948498564311063E-2</v>
      </c>
      <c r="J4712" s="329">
        <v>0.50222290764052779</v>
      </c>
      <c r="K4712" s="329">
        <v>0.60551353980028488</v>
      </c>
    </row>
    <row r="4713" spans="1:11" ht="11.25" x14ac:dyDescent="0.15">
      <c r="A4713" s="326">
        <v>0.95</v>
      </c>
      <c r="B4713" s="327">
        <v>0</v>
      </c>
      <c r="C4713" s="327" t="s">
        <v>111</v>
      </c>
      <c r="D4713" s="327" t="s">
        <v>114</v>
      </c>
      <c r="E4713" s="328" t="s">
        <v>4053</v>
      </c>
      <c r="F4713" s="328">
        <v>5.0302072499999992</v>
      </c>
      <c r="G4713" s="328">
        <v>4436.9075499999999</v>
      </c>
      <c r="H4713" s="328">
        <v>4980.4414999999999</v>
      </c>
      <c r="I4713" s="329">
        <v>3.0753418176794143E-3</v>
      </c>
      <c r="J4713" s="329">
        <v>0.49521326173433894</v>
      </c>
      <c r="K4713" s="329">
        <v>0.59538223976810367</v>
      </c>
    </row>
    <row r="4714" spans="1:11" ht="11.25" x14ac:dyDescent="0.15">
      <c r="A4714" s="326">
        <v>0.95</v>
      </c>
      <c r="B4714" s="327">
        <v>0</v>
      </c>
      <c r="C4714" s="327" t="s">
        <v>111</v>
      </c>
      <c r="D4714" s="327" t="s">
        <v>113</v>
      </c>
      <c r="E4714" s="328" t="s">
        <v>4054</v>
      </c>
      <c r="F4714" s="328">
        <v>3.3544851499999999</v>
      </c>
      <c r="G4714" s="328">
        <v>4415.0689499999999</v>
      </c>
      <c r="H4714" s="328">
        <v>4896.8149000000003</v>
      </c>
      <c r="I4714" s="329">
        <v>2.0508475984920113E-3</v>
      </c>
      <c r="J4714" s="329">
        <v>0.49277580631841267</v>
      </c>
      <c r="K4714" s="329">
        <v>0.5853851757704257</v>
      </c>
    </row>
    <row r="4715" spans="1:11" ht="11.25" x14ac:dyDescent="0.15">
      <c r="A4715" s="326">
        <v>0.97499999999999998</v>
      </c>
      <c r="B4715" s="327">
        <v>0</v>
      </c>
      <c r="C4715" s="327" t="s">
        <v>111</v>
      </c>
      <c r="D4715" s="327" t="s">
        <v>79</v>
      </c>
      <c r="E4715" s="328" t="s">
        <v>4055</v>
      </c>
      <c r="F4715" s="328">
        <v>21.889841999999998</v>
      </c>
      <c r="G4715" s="328">
        <v>4741.4298749999998</v>
      </c>
      <c r="H4715" s="328">
        <v>5349.4486500000003</v>
      </c>
      <c r="I4715" s="329">
        <v>1.3382897192753875E-2</v>
      </c>
      <c r="J4715" s="329">
        <v>0.52920168545846502</v>
      </c>
      <c r="K4715" s="329">
        <v>0.63949485577964493</v>
      </c>
    </row>
    <row r="4716" spans="1:11" ht="11.25" x14ac:dyDescent="0.15">
      <c r="A4716" s="326">
        <v>0.97499999999999998</v>
      </c>
      <c r="B4716" s="327">
        <v>0</v>
      </c>
      <c r="C4716" s="327" t="s">
        <v>111</v>
      </c>
      <c r="D4716" s="327" t="s">
        <v>114</v>
      </c>
      <c r="E4716" s="328" t="s">
        <v>4056</v>
      </c>
      <c r="F4716" s="328">
        <v>5.6407201499999999</v>
      </c>
      <c r="G4716" s="328">
        <v>4660.1372999999994</v>
      </c>
      <c r="H4716" s="328">
        <v>5261.3018250000005</v>
      </c>
      <c r="I4716" s="329">
        <v>3.448594003581443E-3</v>
      </c>
      <c r="J4716" s="329">
        <v>0.52012843775905482</v>
      </c>
      <c r="K4716" s="329">
        <v>0.62895742569499336</v>
      </c>
    </row>
    <row r="4717" spans="1:11" ht="11.25" x14ac:dyDescent="0.15">
      <c r="A4717" s="326">
        <v>0.97499999999999998</v>
      </c>
      <c r="B4717" s="327">
        <v>0</v>
      </c>
      <c r="C4717" s="327" t="s">
        <v>111</v>
      </c>
      <c r="D4717" s="327" t="s">
        <v>113</v>
      </c>
      <c r="E4717" s="328" t="s">
        <v>4057</v>
      </c>
      <c r="F4717" s="328">
        <v>3.7777506000000001</v>
      </c>
      <c r="G4717" s="328">
        <v>4630.7186249999995</v>
      </c>
      <c r="H4717" s="328">
        <v>5174.5219500000003</v>
      </c>
      <c r="I4717" s="329">
        <v>2.3096214170784911E-3</v>
      </c>
      <c r="J4717" s="329">
        <v>0.51684495307101963</v>
      </c>
      <c r="K4717" s="329">
        <v>0.61858340637475917</v>
      </c>
    </row>
    <row r="4718" spans="1:11" ht="11.25" x14ac:dyDescent="0.15">
      <c r="A4718" s="326">
        <v>1</v>
      </c>
      <c r="B4718" s="327">
        <v>0</v>
      </c>
      <c r="C4718" s="327" t="s">
        <v>111</v>
      </c>
      <c r="D4718" s="327" t="s">
        <v>79</v>
      </c>
      <c r="E4718" s="328" t="s">
        <v>4058</v>
      </c>
      <c r="F4718" s="328">
        <v>24.510169999999999</v>
      </c>
      <c r="G4718" s="328">
        <v>4995.9390000000003</v>
      </c>
      <c r="H4718" s="328">
        <v>5642.0320000000002</v>
      </c>
      <c r="I4718" s="329">
        <v>1.4984899630016528E-2</v>
      </c>
      <c r="J4718" s="329">
        <v>0.55760802309612956</v>
      </c>
      <c r="K4718" s="329">
        <v>0.67447145981000145</v>
      </c>
    </row>
    <row r="4719" spans="1:11" ht="11.25" x14ac:dyDescent="0.15">
      <c r="A4719" s="326">
        <v>1</v>
      </c>
      <c r="B4719" s="327">
        <v>0</v>
      </c>
      <c r="C4719" s="327" t="s">
        <v>111</v>
      </c>
      <c r="D4719" s="327" t="s">
        <v>114</v>
      </c>
      <c r="E4719" s="328" t="s">
        <v>4059</v>
      </c>
      <c r="F4719" s="328">
        <v>6.325717</v>
      </c>
      <c r="G4719" s="328">
        <v>4891.9849999999997</v>
      </c>
      <c r="H4719" s="328">
        <v>5550.3109999999997</v>
      </c>
      <c r="I4719" s="329">
        <v>3.8673837975374821E-3</v>
      </c>
      <c r="J4719" s="329">
        <v>0.54600548262617277</v>
      </c>
      <c r="K4719" s="329">
        <v>0.66350675830436778</v>
      </c>
    </row>
    <row r="4720" spans="1:11" ht="11.25" x14ac:dyDescent="0.15">
      <c r="A4720" s="326">
        <v>1</v>
      </c>
      <c r="B4720" s="327">
        <v>0</v>
      </c>
      <c r="C4720" s="327" t="s">
        <v>111</v>
      </c>
      <c r="D4720" s="327" t="s">
        <v>113</v>
      </c>
      <c r="E4720" s="328" t="s">
        <v>4060</v>
      </c>
      <c r="F4720" s="328">
        <v>4.2548339999999998</v>
      </c>
      <c r="G4720" s="328">
        <v>4852.2729999999992</v>
      </c>
      <c r="H4720" s="328">
        <v>5459.817</v>
      </c>
      <c r="I4720" s="329">
        <v>2.6012981726516683E-3</v>
      </c>
      <c r="J4720" s="329">
        <v>0.54157313671218266</v>
      </c>
      <c r="K4720" s="329">
        <v>0.65268873737076694</v>
      </c>
    </row>
    <row r="4721" spans="1:11" ht="11.25" x14ac:dyDescent="0.15">
      <c r="A4721" s="326">
        <v>1.0249999999999999</v>
      </c>
      <c r="B4721" s="327">
        <v>0</v>
      </c>
      <c r="C4721" s="327" t="s">
        <v>111</v>
      </c>
      <c r="D4721" s="327" t="s">
        <v>79</v>
      </c>
      <c r="E4721" s="328" t="s">
        <v>4061</v>
      </c>
      <c r="F4721" s="328">
        <v>27.425935249999995</v>
      </c>
      <c r="G4721" s="328">
        <v>5263.2817249999998</v>
      </c>
      <c r="H4721" s="328">
        <v>5941.9239750000006</v>
      </c>
      <c r="I4721" s="329">
        <v>1.6767524949055115E-2</v>
      </c>
      <c r="J4721" s="329">
        <v>0.58744674778359718</v>
      </c>
      <c r="K4721" s="329">
        <v>0.71032176660789892</v>
      </c>
    </row>
    <row r="4722" spans="1:11" ht="11.25" x14ac:dyDescent="0.15">
      <c r="A4722" s="326">
        <v>1.0249999999999999</v>
      </c>
      <c r="B4722" s="327">
        <v>0</v>
      </c>
      <c r="C4722" s="327" t="s">
        <v>111</v>
      </c>
      <c r="D4722" s="327" t="s">
        <v>114</v>
      </c>
      <c r="E4722" s="328" t="s">
        <v>4062</v>
      </c>
      <c r="F4722" s="328">
        <v>7.0909633249999997</v>
      </c>
      <c r="G4722" s="328">
        <v>5131.2576249999993</v>
      </c>
      <c r="H4722" s="328">
        <v>5846.6830249999994</v>
      </c>
      <c r="I4722" s="329">
        <v>4.3352360960880023E-3</v>
      </c>
      <c r="J4722" s="329">
        <v>0.57271124012386665</v>
      </c>
      <c r="K4722" s="329">
        <v>0.69893627595839669</v>
      </c>
    </row>
    <row r="4723" spans="1:11" ht="11.25" x14ac:dyDescent="0.15">
      <c r="A4723" s="326">
        <v>1.0249999999999999</v>
      </c>
      <c r="B4723" s="327">
        <v>0</v>
      </c>
      <c r="C4723" s="327" t="s">
        <v>111</v>
      </c>
      <c r="D4723" s="327" t="s">
        <v>113</v>
      </c>
      <c r="E4723" s="328" t="s">
        <v>4063</v>
      </c>
      <c r="F4723" s="328">
        <v>4.7899449249999995</v>
      </c>
      <c r="G4723" s="328">
        <v>5079.548425</v>
      </c>
      <c r="H4723" s="328">
        <v>5753.1958499999992</v>
      </c>
      <c r="I4723" s="329">
        <v>2.9284514931733254E-3</v>
      </c>
      <c r="J4723" s="329">
        <v>0.5669398596510703</v>
      </c>
      <c r="K4723" s="329">
        <v>0.68776043870760417</v>
      </c>
    </row>
    <row r="4724" spans="1:11" ht="11.25" x14ac:dyDescent="0.15">
      <c r="A4724" s="326">
        <v>1.05</v>
      </c>
      <c r="B4724" s="327">
        <v>0</v>
      </c>
      <c r="C4724" s="327" t="s">
        <v>111</v>
      </c>
      <c r="D4724" s="327" t="s">
        <v>79</v>
      </c>
      <c r="E4724" s="328" t="s">
        <v>4064</v>
      </c>
      <c r="F4724" s="328">
        <v>30.668505000000003</v>
      </c>
      <c r="G4724" s="328">
        <v>5544.8095499999999</v>
      </c>
      <c r="H4724" s="328">
        <v>6250.0556999999999</v>
      </c>
      <c r="I4724" s="329">
        <v>1.8749950295230924E-2</v>
      </c>
      <c r="J4724" s="329">
        <v>0.61886870348497847</v>
      </c>
      <c r="K4724" s="329">
        <v>0.74715708664410629</v>
      </c>
    </row>
    <row r="4725" spans="1:11" ht="11.25" x14ac:dyDescent="0.15">
      <c r="A4725" s="326">
        <v>1.05</v>
      </c>
      <c r="B4725" s="327">
        <v>0</v>
      </c>
      <c r="C4725" s="327" t="s">
        <v>111</v>
      </c>
      <c r="D4725" s="327" t="s">
        <v>114</v>
      </c>
      <c r="E4725" s="328" t="s">
        <v>4065</v>
      </c>
      <c r="F4725" s="328">
        <v>7.9461186000000001</v>
      </c>
      <c r="G4725" s="328">
        <v>5381.3686500000003</v>
      </c>
      <c r="H4725" s="328">
        <v>6150.7803000000004</v>
      </c>
      <c r="I4725" s="329">
        <v>4.8580564585723992E-3</v>
      </c>
      <c r="J4725" s="329">
        <v>0.60062669589800588</v>
      </c>
      <c r="K4725" s="329">
        <v>0.73528930142749971</v>
      </c>
    </row>
    <row r="4726" spans="1:11" ht="11.25" x14ac:dyDescent="0.15">
      <c r="A4726" s="326">
        <v>1.05</v>
      </c>
      <c r="B4726" s="327">
        <v>0</v>
      </c>
      <c r="C4726" s="327" t="s">
        <v>111</v>
      </c>
      <c r="D4726" s="327" t="s">
        <v>113</v>
      </c>
      <c r="E4726" s="328" t="s">
        <v>4066</v>
      </c>
      <c r="F4726" s="328">
        <v>5.3902169999999998</v>
      </c>
      <c r="G4726" s="328">
        <v>5315.2480500000001</v>
      </c>
      <c r="H4726" s="328">
        <v>6054.0879000000014</v>
      </c>
      <c r="I4726" s="329">
        <v>3.2954426970114364E-3</v>
      </c>
      <c r="J4726" s="329">
        <v>0.59324682655774175</v>
      </c>
      <c r="K4726" s="329">
        <v>0.72373029853979332</v>
      </c>
    </row>
    <row r="4727" spans="1:11" ht="11.25" x14ac:dyDescent="0.15">
      <c r="A4727" s="326">
        <v>1.075</v>
      </c>
      <c r="B4727" s="327">
        <v>0</v>
      </c>
      <c r="C4727" s="327" t="s">
        <v>111</v>
      </c>
      <c r="D4727" s="327" t="s">
        <v>79</v>
      </c>
      <c r="E4727" s="328" t="s">
        <v>4067</v>
      </c>
      <c r="F4727" s="328">
        <v>34.272397500000004</v>
      </c>
      <c r="G4727" s="328">
        <v>5841.6488999999992</v>
      </c>
      <c r="H4727" s="328">
        <v>6565.3313749999998</v>
      </c>
      <c r="I4727" s="329">
        <v>2.0953279255816238E-2</v>
      </c>
      <c r="J4727" s="329">
        <v>0.65199961303584353</v>
      </c>
      <c r="K4727" s="329">
        <v>0.78484642352837664</v>
      </c>
    </row>
    <row r="4728" spans="1:11" ht="11.25" x14ac:dyDescent="0.15">
      <c r="A4728" s="326">
        <v>1.075</v>
      </c>
      <c r="B4728" s="327">
        <v>0</v>
      </c>
      <c r="C4728" s="327" t="s">
        <v>111</v>
      </c>
      <c r="D4728" s="327" t="s">
        <v>114</v>
      </c>
      <c r="E4728" s="328" t="s">
        <v>4068</v>
      </c>
      <c r="F4728" s="328">
        <v>8.902111549999999</v>
      </c>
      <c r="G4728" s="328">
        <v>5641.28395</v>
      </c>
      <c r="H4728" s="328">
        <v>6462.7462749999995</v>
      </c>
      <c r="I4728" s="329">
        <v>5.4425264317612184E-3</v>
      </c>
      <c r="J4728" s="329">
        <v>0.62963642892425731</v>
      </c>
      <c r="K4728" s="329">
        <v>0.77258298330830077</v>
      </c>
    </row>
    <row r="4729" spans="1:11" ht="11.25" x14ac:dyDescent="0.15">
      <c r="A4729" s="326">
        <v>1.075</v>
      </c>
      <c r="B4729" s="327">
        <v>0</v>
      </c>
      <c r="C4729" s="327" t="s">
        <v>111</v>
      </c>
      <c r="D4729" s="327" t="s">
        <v>113</v>
      </c>
      <c r="E4729" s="328" t="s">
        <v>4069</v>
      </c>
      <c r="F4729" s="328">
        <v>6.0637696999999999</v>
      </c>
      <c r="G4729" s="328">
        <v>5557.6962500000009</v>
      </c>
      <c r="H4729" s="328">
        <v>6362.5046750000001</v>
      </c>
      <c r="I4729" s="329">
        <v>3.7072358263543436E-3</v>
      </c>
      <c r="J4729" s="329">
        <v>0.62030701714558023</v>
      </c>
      <c r="K4729" s="329">
        <v>0.7605996946127227</v>
      </c>
    </row>
    <row r="4730" spans="1:11" ht="11.25" x14ac:dyDescent="0.15">
      <c r="A4730" s="326">
        <v>1.1000000000000001</v>
      </c>
      <c r="B4730" s="327">
        <v>0</v>
      </c>
      <c r="C4730" s="327" t="s">
        <v>111</v>
      </c>
      <c r="D4730" s="327" t="s">
        <v>79</v>
      </c>
      <c r="E4730" s="328" t="s">
        <v>4070</v>
      </c>
      <c r="F4730" s="328">
        <v>38.276105999999999</v>
      </c>
      <c r="G4730" s="328">
        <v>6156.0202000000008</v>
      </c>
      <c r="H4730" s="328">
        <v>6888.7742000000007</v>
      </c>
      <c r="I4730" s="329">
        <v>2.3401045632807663E-2</v>
      </c>
      <c r="J4730" s="329">
        <v>0.6870873030799296</v>
      </c>
      <c r="K4730" s="329">
        <v>0.82351209475158516</v>
      </c>
    </row>
    <row r="4731" spans="1:11" ht="11.25" x14ac:dyDescent="0.15">
      <c r="A4731" s="326">
        <v>1.1000000000000001</v>
      </c>
      <c r="B4731" s="327">
        <v>0</v>
      </c>
      <c r="C4731" s="327" t="s">
        <v>111</v>
      </c>
      <c r="D4731" s="327" t="s">
        <v>114</v>
      </c>
      <c r="E4731" s="328" t="s">
        <v>4071</v>
      </c>
      <c r="F4731" s="328">
        <v>9.9712943000000021</v>
      </c>
      <c r="G4731" s="328">
        <v>5914.5955000000004</v>
      </c>
      <c r="H4731" s="328">
        <v>6782.4360999999999</v>
      </c>
      <c r="I4731" s="329">
        <v>6.0961977932774821E-3</v>
      </c>
      <c r="J4731" s="329">
        <v>0.66014134763620291</v>
      </c>
      <c r="K4731" s="329">
        <v>0.81080000564248</v>
      </c>
    </row>
    <row r="4732" spans="1:11" ht="11.25" x14ac:dyDescent="0.15">
      <c r="A4732" s="326">
        <v>1.1000000000000001</v>
      </c>
      <c r="B4732" s="327">
        <v>0</v>
      </c>
      <c r="C4732" s="327" t="s">
        <v>111</v>
      </c>
      <c r="D4732" s="327" t="s">
        <v>113</v>
      </c>
      <c r="E4732" s="328" t="s">
        <v>4072</v>
      </c>
      <c r="F4732" s="328">
        <v>6.8196909000000003</v>
      </c>
      <c r="G4732" s="328">
        <v>5808.3190000000004</v>
      </c>
      <c r="H4732" s="328">
        <v>6678.444300000001</v>
      </c>
      <c r="I4732" s="329">
        <v>4.1693869787209591E-3</v>
      </c>
      <c r="J4732" s="329">
        <v>0.64827958770146876</v>
      </c>
      <c r="K4732" s="329">
        <v>0.79836840278126464</v>
      </c>
    </row>
    <row r="4733" spans="1:11" ht="11.25" x14ac:dyDescent="0.15">
      <c r="A4733" s="326">
        <v>1.125</v>
      </c>
      <c r="B4733" s="327">
        <v>0</v>
      </c>
      <c r="C4733" s="327" t="s">
        <v>111</v>
      </c>
      <c r="D4733" s="327" t="s">
        <v>79</v>
      </c>
      <c r="E4733" s="328" t="s">
        <v>4073</v>
      </c>
      <c r="F4733" s="328">
        <v>42.721391249999996</v>
      </c>
      <c r="G4733" s="328">
        <v>6488.0561249999992</v>
      </c>
      <c r="H4733" s="328">
        <v>7219.95075</v>
      </c>
      <c r="I4733" s="329">
        <v>2.6118780895273933E-2</v>
      </c>
      <c r="J4733" s="329">
        <v>0.72414658177331315</v>
      </c>
      <c r="K4733" s="329">
        <v>0.86310228692584778</v>
      </c>
    </row>
    <row r="4734" spans="1:11" ht="11.25" x14ac:dyDescent="0.15">
      <c r="A4734" s="326">
        <v>1.125</v>
      </c>
      <c r="B4734" s="327">
        <v>0</v>
      </c>
      <c r="C4734" s="327" t="s">
        <v>111</v>
      </c>
      <c r="D4734" s="327" t="s">
        <v>114</v>
      </c>
      <c r="E4734" s="328" t="s">
        <v>4074</v>
      </c>
      <c r="F4734" s="328">
        <v>11.167333875000001</v>
      </c>
      <c r="G4734" s="328">
        <v>6200.2822500000002</v>
      </c>
      <c r="H4734" s="328">
        <v>7109.9111250000005</v>
      </c>
      <c r="I4734" s="329">
        <v>6.8274262174337656E-3</v>
      </c>
      <c r="J4734" s="329">
        <v>0.69202749033975841</v>
      </c>
      <c r="K4734" s="329">
        <v>0.84994770245863904</v>
      </c>
    </row>
    <row r="4735" spans="1:11" ht="11.25" x14ac:dyDescent="0.15">
      <c r="A4735" s="326">
        <v>1.125</v>
      </c>
      <c r="B4735" s="327">
        <v>0</v>
      </c>
      <c r="C4735" s="327" t="s">
        <v>111</v>
      </c>
      <c r="D4735" s="327" t="s">
        <v>113</v>
      </c>
      <c r="E4735" s="328" t="s">
        <v>4075</v>
      </c>
      <c r="F4735" s="328">
        <v>7.6681406249999995</v>
      </c>
      <c r="G4735" s="328">
        <v>6068.444625000001</v>
      </c>
      <c r="H4735" s="328">
        <v>7002.0258749999994</v>
      </c>
      <c r="I4735" s="329">
        <v>4.688107737093509E-3</v>
      </c>
      <c r="J4735" s="329">
        <v>0.67731279557548318</v>
      </c>
      <c r="K4735" s="329">
        <v>0.83705066074397527</v>
      </c>
    </row>
    <row r="4736" spans="1:11" ht="11.25" x14ac:dyDescent="0.15">
      <c r="A4736" s="326">
        <v>1.1499999999999999</v>
      </c>
      <c r="B4736" s="327">
        <v>0</v>
      </c>
      <c r="C4736" s="327" t="s">
        <v>111</v>
      </c>
      <c r="D4736" s="327" t="s">
        <v>79</v>
      </c>
      <c r="E4736" s="328" t="s">
        <v>4076</v>
      </c>
      <c r="F4736" s="328">
        <v>47.654711999999996</v>
      </c>
      <c r="G4736" s="328">
        <v>6839.5755499999996</v>
      </c>
      <c r="H4736" s="328">
        <v>7559.1972499999993</v>
      </c>
      <c r="I4736" s="329">
        <v>2.9134888750969257E-2</v>
      </c>
      <c r="J4736" s="329">
        <v>0.763380457858297</v>
      </c>
      <c r="K4736" s="329">
        <v>0.90365719375559161</v>
      </c>
    </row>
    <row r="4737" spans="1:11" ht="11.25" x14ac:dyDescent="0.15">
      <c r="A4737" s="326">
        <v>1.1499999999999999</v>
      </c>
      <c r="B4737" s="327">
        <v>0</v>
      </c>
      <c r="C4737" s="327" t="s">
        <v>111</v>
      </c>
      <c r="D4737" s="327" t="s">
        <v>114</v>
      </c>
      <c r="E4737" s="328" t="s">
        <v>4077</v>
      </c>
      <c r="F4737" s="328">
        <v>12.505674999999998</v>
      </c>
      <c r="G4737" s="328">
        <v>6500.8752499999991</v>
      </c>
      <c r="H4737" s="328">
        <v>7444.9619999999995</v>
      </c>
      <c r="I4737" s="329">
        <v>7.6456542194773408E-3</v>
      </c>
      <c r="J4737" s="329">
        <v>0.72557735323570938</v>
      </c>
      <c r="K4737" s="329">
        <v>0.8900010472060399</v>
      </c>
    </row>
    <row r="4738" spans="1:11" ht="11.25" x14ac:dyDescent="0.15">
      <c r="A4738" s="326">
        <v>1.1499999999999999</v>
      </c>
      <c r="B4738" s="327">
        <v>0</v>
      </c>
      <c r="C4738" s="327" t="s">
        <v>111</v>
      </c>
      <c r="D4738" s="327" t="s">
        <v>113</v>
      </c>
      <c r="E4738" s="328" t="s">
        <v>4078</v>
      </c>
      <c r="F4738" s="328">
        <v>8.6204758999999989</v>
      </c>
      <c r="G4738" s="328">
        <v>6339.2473499999996</v>
      </c>
      <c r="H4738" s="328">
        <v>7333.0738999999994</v>
      </c>
      <c r="I4738" s="329">
        <v>5.270341500057992E-3</v>
      </c>
      <c r="J4738" s="329">
        <v>0.7075376986690346</v>
      </c>
      <c r="K4738" s="329">
        <v>0.87662548851683575</v>
      </c>
    </row>
    <row r="4739" spans="1:11" ht="11.25" x14ac:dyDescent="0.15">
      <c r="A4739" s="326">
        <v>1.175</v>
      </c>
      <c r="B4739" s="327">
        <v>0</v>
      </c>
      <c r="C4739" s="327" t="s">
        <v>111</v>
      </c>
      <c r="D4739" s="327" t="s">
        <v>79</v>
      </c>
      <c r="E4739" s="328" t="s">
        <v>4079</v>
      </c>
      <c r="F4739" s="328">
        <v>53.126790749999998</v>
      </c>
      <c r="G4739" s="328">
        <v>7212.1453000000001</v>
      </c>
      <c r="H4739" s="328">
        <v>7906.1614000000009</v>
      </c>
      <c r="I4739" s="329">
        <v>3.2480379656837977E-2</v>
      </c>
      <c r="J4739" s="329">
        <v>0.80496380820803504</v>
      </c>
      <c r="K4739" s="329">
        <v>0.94513469986548915</v>
      </c>
    </row>
    <row r="4740" spans="1:11" ht="11.25" x14ac:dyDescent="0.15">
      <c r="A4740" s="326">
        <v>1.175</v>
      </c>
      <c r="B4740" s="327">
        <v>0</v>
      </c>
      <c r="C4740" s="327" t="s">
        <v>111</v>
      </c>
      <c r="D4740" s="327" t="s">
        <v>114</v>
      </c>
      <c r="E4740" s="328" t="s">
        <v>4080</v>
      </c>
      <c r="F4740" s="328">
        <v>14.00340325</v>
      </c>
      <c r="G4740" s="328">
        <v>6817.6214250000003</v>
      </c>
      <c r="H4740" s="328">
        <v>7787.8905999999997</v>
      </c>
      <c r="I4740" s="329">
        <v>8.5613274889524329E-3</v>
      </c>
      <c r="J4740" s="329">
        <v>0.76093010843648567</v>
      </c>
      <c r="K4740" s="329">
        <v>0.9309961272503573</v>
      </c>
    </row>
    <row r="4741" spans="1:11" ht="11.25" x14ac:dyDescent="0.15">
      <c r="A4741" s="326">
        <v>1.175</v>
      </c>
      <c r="B4741" s="327">
        <v>0</v>
      </c>
      <c r="C4741" s="327" t="s">
        <v>111</v>
      </c>
      <c r="D4741" s="327" t="s">
        <v>113</v>
      </c>
      <c r="E4741" s="328" t="s">
        <v>4081</v>
      </c>
      <c r="F4741" s="328">
        <v>9.6894001500000027</v>
      </c>
      <c r="G4741" s="328">
        <v>6621.1849249999996</v>
      </c>
      <c r="H4741" s="328">
        <v>7672.4092500000006</v>
      </c>
      <c r="I4741" s="329">
        <v>5.9238548211953297E-3</v>
      </c>
      <c r="J4741" s="329">
        <v>0.73900538749235023</v>
      </c>
      <c r="K4741" s="329">
        <v>0.91719101683706483</v>
      </c>
    </row>
    <row r="4742" spans="1:11" ht="11.25" x14ac:dyDescent="0.15">
      <c r="A4742" s="326">
        <v>1.2</v>
      </c>
      <c r="B4742" s="327">
        <v>0</v>
      </c>
      <c r="C4742" s="327" t="s">
        <v>111</v>
      </c>
      <c r="D4742" s="327" t="s">
        <v>79</v>
      </c>
      <c r="E4742" s="328" t="s">
        <v>4082</v>
      </c>
      <c r="F4742" s="328">
        <v>59.193707999999994</v>
      </c>
      <c r="G4742" s="328">
        <v>7606.8444</v>
      </c>
      <c r="H4742" s="328">
        <v>8261.1756000000005</v>
      </c>
      <c r="I4742" s="329">
        <v>3.6189539815860372E-2</v>
      </c>
      <c r="J4742" s="329">
        <v>0.84901706523715836</v>
      </c>
      <c r="K4742" s="329">
        <v>0.98757454170390468</v>
      </c>
    </row>
    <row r="4743" spans="1:11" ht="11.25" x14ac:dyDescent="0.15">
      <c r="A4743" s="326">
        <v>1.2</v>
      </c>
      <c r="B4743" s="327">
        <v>0</v>
      </c>
      <c r="C4743" s="327" t="s">
        <v>111</v>
      </c>
      <c r="D4743" s="327" t="s">
        <v>114</v>
      </c>
      <c r="E4743" s="328" t="s">
        <v>4083</v>
      </c>
      <c r="F4743" s="328">
        <v>15.679836</v>
      </c>
      <c r="G4743" s="328">
        <v>7150.3235999999997</v>
      </c>
      <c r="H4743" s="328">
        <v>8138.1035999999995</v>
      </c>
      <c r="I4743" s="329">
        <v>9.5862561816225603E-3</v>
      </c>
      <c r="J4743" s="329">
        <v>0.79806374879549169</v>
      </c>
      <c r="K4743" s="329">
        <v>0.97286201410715634</v>
      </c>
    </row>
    <row r="4744" spans="1:11" ht="11.25" x14ac:dyDescent="0.15">
      <c r="A4744" s="326">
        <v>1.2</v>
      </c>
      <c r="B4744" s="327">
        <v>0</v>
      </c>
      <c r="C4744" s="327" t="s">
        <v>111</v>
      </c>
      <c r="D4744" s="327" t="s">
        <v>113</v>
      </c>
      <c r="E4744" s="328" t="s">
        <v>4084</v>
      </c>
      <c r="F4744" s="328">
        <v>10.8891276</v>
      </c>
      <c r="G4744" s="328">
        <v>6915.7955999999995</v>
      </c>
      <c r="H4744" s="328">
        <v>8019.0108</v>
      </c>
      <c r="I4744" s="329">
        <v>6.6573379190941057E-3</v>
      </c>
      <c r="J4744" s="329">
        <v>0.77188754959836592</v>
      </c>
      <c r="K4744" s="329">
        <v>0.95862517626772903</v>
      </c>
    </row>
    <row r="4745" spans="1:11" ht="11.25" x14ac:dyDescent="0.15">
      <c r="A4745" s="326">
        <v>1.2250000000000001</v>
      </c>
      <c r="B4745" s="327">
        <v>0</v>
      </c>
      <c r="C4745" s="327" t="s">
        <v>111</v>
      </c>
      <c r="D4745" s="327" t="s">
        <v>79</v>
      </c>
      <c r="E4745" s="328" t="s">
        <v>4085</v>
      </c>
      <c r="F4745" s="328">
        <v>65.917127500000007</v>
      </c>
      <c r="G4745" s="328">
        <v>8023.6397500000003</v>
      </c>
      <c r="H4745" s="328">
        <v>8623.957124999999</v>
      </c>
      <c r="I4745" s="329">
        <v>4.0300068889220372E-2</v>
      </c>
      <c r="J4745" s="329">
        <v>0.8955365345799905</v>
      </c>
      <c r="K4745" s="329">
        <v>1.0309429211740757</v>
      </c>
    </row>
    <row r="4746" spans="1:11" ht="11.25" x14ac:dyDescent="0.15">
      <c r="A4746" s="326">
        <v>1.2250000000000001</v>
      </c>
      <c r="B4746" s="327">
        <v>0</v>
      </c>
      <c r="C4746" s="327" t="s">
        <v>111</v>
      </c>
      <c r="D4746" s="327" t="s">
        <v>114</v>
      </c>
      <c r="E4746" s="328" t="s">
        <v>4086</v>
      </c>
      <c r="F4746" s="328">
        <v>17.55654075</v>
      </c>
      <c r="G4746" s="328">
        <v>7502.3924500000003</v>
      </c>
      <c r="H4746" s="328">
        <v>8496.3782750000009</v>
      </c>
      <c r="I4746" s="329">
        <v>1.0733626122913269E-2</v>
      </c>
      <c r="J4746" s="329">
        <v>0.83735894744427986</v>
      </c>
      <c r="K4746" s="329">
        <v>1.0156916263922702</v>
      </c>
    </row>
    <row r="4747" spans="1:11" ht="11.25" x14ac:dyDescent="0.15">
      <c r="A4747" s="326">
        <v>1.2250000000000001</v>
      </c>
      <c r="B4747" s="327">
        <v>0</v>
      </c>
      <c r="C4747" s="327" t="s">
        <v>111</v>
      </c>
      <c r="D4747" s="327" t="s">
        <v>113</v>
      </c>
      <c r="E4747" s="328" t="s">
        <v>4087</v>
      </c>
      <c r="F4747" s="328">
        <v>12.235575625000001</v>
      </c>
      <c r="G4747" s="328">
        <v>7224.5109999999995</v>
      </c>
      <c r="H4747" s="328">
        <v>8373.0795750000016</v>
      </c>
      <c r="I4747" s="329">
        <v>7.4805222752882487E-3</v>
      </c>
      <c r="J4747" s="329">
        <v>0.80634397188321194</v>
      </c>
      <c r="K4747" s="329">
        <v>1.0009519981551962</v>
      </c>
    </row>
    <row r="4748" spans="1:11" ht="11.25" x14ac:dyDescent="0.15">
      <c r="A4748" s="326">
        <v>1.25</v>
      </c>
      <c r="B4748" s="327">
        <v>0</v>
      </c>
      <c r="C4748" s="327" t="s">
        <v>111</v>
      </c>
      <c r="D4748" s="327" t="s">
        <v>79</v>
      </c>
      <c r="E4748" s="328" t="s">
        <v>4088</v>
      </c>
      <c r="F4748" s="328">
        <v>73.3654875</v>
      </c>
      <c r="G4748" s="328">
        <v>8463.0099999999984</v>
      </c>
      <c r="H4748" s="328">
        <v>8994.3187500000004</v>
      </c>
      <c r="I4748" s="329">
        <v>4.4853808296504358E-2</v>
      </c>
      <c r="J4748" s="329">
        <v>0.94457563944291045</v>
      </c>
      <c r="K4748" s="329">
        <v>1.0752174566377801</v>
      </c>
    </row>
    <row r="4749" spans="1:11" ht="11.25" x14ac:dyDescent="0.15">
      <c r="A4749" s="326">
        <v>1.25</v>
      </c>
      <c r="B4749" s="327">
        <v>0</v>
      </c>
      <c r="C4749" s="327" t="s">
        <v>111</v>
      </c>
      <c r="D4749" s="327" t="s">
        <v>114</v>
      </c>
      <c r="E4749" s="328" t="s">
        <v>4089</v>
      </c>
      <c r="F4749" s="328">
        <v>19.657462499999998</v>
      </c>
      <c r="G4749" s="328">
        <v>7873.5862500000003</v>
      </c>
      <c r="H4749" s="328">
        <v>8861.9225000000006</v>
      </c>
      <c r="I4749" s="329">
        <v>1.2018076681773883E-2</v>
      </c>
      <c r="J4749" s="329">
        <v>0.87878872491024573</v>
      </c>
      <c r="K4749" s="329">
        <v>1.0593902702604483</v>
      </c>
    </row>
    <row r="4750" spans="1:11" ht="11.25" x14ac:dyDescent="0.15">
      <c r="A4750" s="326">
        <v>1.25</v>
      </c>
      <c r="B4750" s="327">
        <v>0</v>
      </c>
      <c r="C4750" s="327" t="s">
        <v>111</v>
      </c>
      <c r="D4750" s="327" t="s">
        <v>113</v>
      </c>
      <c r="E4750" s="328" t="s">
        <v>4090</v>
      </c>
      <c r="F4750" s="328">
        <v>13.746574999999998</v>
      </c>
      <c r="G4750" s="328">
        <v>7547.6649999999991</v>
      </c>
      <c r="H4750" s="328">
        <v>8735.4587499999998</v>
      </c>
      <c r="I4750" s="329">
        <v>8.4043091758031225E-3</v>
      </c>
      <c r="J4750" s="329">
        <v>0.84241191888889122</v>
      </c>
      <c r="K4750" s="329">
        <v>1.0442722790694117</v>
      </c>
    </row>
    <row r="4751" spans="1:11" ht="11.25" x14ac:dyDescent="0.15">
      <c r="A4751" s="326">
        <v>1.2749999999999999</v>
      </c>
      <c r="B4751" s="327">
        <v>0</v>
      </c>
      <c r="C4751" s="327" t="s">
        <v>111</v>
      </c>
      <c r="D4751" s="327" t="s">
        <v>79</v>
      </c>
      <c r="E4751" s="328" t="s">
        <v>4091</v>
      </c>
      <c r="F4751" s="328">
        <v>81.614318249999997</v>
      </c>
      <c r="G4751" s="328">
        <v>8926.8857250000001</v>
      </c>
      <c r="H4751" s="328">
        <v>9372.7659750000003</v>
      </c>
      <c r="I4751" s="329">
        <v>4.9896935327191784E-2</v>
      </c>
      <c r="J4751" s="329">
        <v>0.99634985565722667</v>
      </c>
      <c r="K4751" s="329">
        <v>1.1204585776216374</v>
      </c>
    </row>
    <row r="4752" spans="1:11" ht="11.25" x14ac:dyDescent="0.15">
      <c r="A4752" s="326">
        <v>1.2749999999999999</v>
      </c>
      <c r="B4752" s="327">
        <v>0</v>
      </c>
      <c r="C4752" s="327" t="s">
        <v>111</v>
      </c>
      <c r="D4752" s="327" t="s">
        <v>114</v>
      </c>
      <c r="E4752" s="328" t="s">
        <v>4092</v>
      </c>
      <c r="F4752" s="328">
        <v>22.009840499999996</v>
      </c>
      <c r="G4752" s="328">
        <v>8266.2648749999989</v>
      </c>
      <c r="H4752" s="328">
        <v>9236.0336999999981</v>
      </c>
      <c r="I4752" s="329">
        <v>1.345626124850104E-2</v>
      </c>
      <c r="J4752" s="329">
        <v>0.92261647216623821</v>
      </c>
      <c r="K4752" s="329">
        <v>1.104113045174747</v>
      </c>
    </row>
    <row r="4753" spans="1:11" ht="11.25" x14ac:dyDescent="0.15">
      <c r="A4753" s="326">
        <v>1.2749999999999999</v>
      </c>
      <c r="B4753" s="327">
        <v>0</v>
      </c>
      <c r="C4753" s="327" t="s">
        <v>111</v>
      </c>
      <c r="D4753" s="327" t="s">
        <v>113</v>
      </c>
      <c r="E4753" s="328" t="s">
        <v>4093</v>
      </c>
      <c r="F4753" s="328">
        <v>15.442111499999998</v>
      </c>
      <c r="G4753" s="328">
        <v>7887.6803999999993</v>
      </c>
      <c r="H4753" s="328">
        <v>9105.0070500000002</v>
      </c>
      <c r="I4753" s="329">
        <v>9.4409174193008025E-3</v>
      </c>
      <c r="J4753" s="329">
        <v>0.88036180478946757</v>
      </c>
      <c r="K4753" s="329">
        <v>1.0884495863536143</v>
      </c>
    </row>
    <row r="4754" spans="1:11" ht="11.25" x14ac:dyDescent="0.15">
      <c r="A4754" s="326">
        <v>1.3</v>
      </c>
      <c r="B4754" s="327">
        <v>0</v>
      </c>
      <c r="C4754" s="327" t="s">
        <v>111</v>
      </c>
      <c r="D4754" s="327" t="s">
        <v>79</v>
      </c>
      <c r="E4754" s="328" t="s">
        <v>4094</v>
      </c>
      <c r="F4754" s="328">
        <v>90.747383999999997</v>
      </c>
      <c r="G4754" s="328">
        <v>9415.2174999999988</v>
      </c>
      <c r="H4754" s="328">
        <v>9759.2364999999991</v>
      </c>
      <c r="I4754" s="329">
        <v>5.548066133064633E-2</v>
      </c>
      <c r="J4754" s="329">
        <v>1.0508536667871811</v>
      </c>
      <c r="K4754" s="329">
        <v>1.1666588365301807</v>
      </c>
    </row>
    <row r="4755" spans="1:11" ht="11.25" x14ac:dyDescent="0.15">
      <c r="A4755" s="326">
        <v>1.3</v>
      </c>
      <c r="B4755" s="327">
        <v>0</v>
      </c>
      <c r="C4755" s="327" t="s">
        <v>111</v>
      </c>
      <c r="D4755" s="327" t="s">
        <v>114</v>
      </c>
      <c r="E4755" s="328" t="s">
        <v>4095</v>
      </c>
      <c r="F4755" s="328">
        <v>24.643931000000002</v>
      </c>
      <c r="G4755" s="328">
        <v>8679.4721000000009</v>
      </c>
      <c r="H4755" s="328">
        <v>9617.3622999999989</v>
      </c>
      <c r="I4755" s="329">
        <v>1.5066677731082766E-2</v>
      </c>
      <c r="J4755" s="329">
        <v>0.96873546278267464</v>
      </c>
      <c r="K4755" s="329">
        <v>1.149698617448939</v>
      </c>
    </row>
    <row r="4756" spans="1:11" ht="11.25" x14ac:dyDescent="0.15">
      <c r="A4756" s="326">
        <v>1.3</v>
      </c>
      <c r="B4756" s="327">
        <v>0</v>
      </c>
      <c r="C4756" s="327" t="s">
        <v>111</v>
      </c>
      <c r="D4756" s="327" t="s">
        <v>113</v>
      </c>
      <c r="E4756" s="328" t="s">
        <v>4096</v>
      </c>
      <c r="F4756" s="328">
        <v>17.344626000000002</v>
      </c>
      <c r="G4756" s="328">
        <v>8245.1278000000002</v>
      </c>
      <c r="H4756" s="328">
        <v>9482.4508999999998</v>
      </c>
      <c r="I4756" s="329">
        <v>1.0604066790649559E-2</v>
      </c>
      <c r="J4756" s="329">
        <v>0.92025731553826817</v>
      </c>
      <c r="K4756" s="329">
        <v>1.133570759807754</v>
      </c>
    </row>
    <row r="4757" spans="1:11" ht="11.25" x14ac:dyDescent="0.15">
      <c r="A4757" s="326">
        <v>1.325</v>
      </c>
      <c r="B4757" s="327">
        <v>0</v>
      </c>
      <c r="C4757" s="327" t="s">
        <v>111</v>
      </c>
      <c r="D4757" s="327" t="s">
        <v>79</v>
      </c>
      <c r="E4757" s="328" t="s">
        <v>4097</v>
      </c>
      <c r="F4757" s="328">
        <v>100.85764850000001</v>
      </c>
      <c r="G4757" s="328">
        <v>9928.8861749999996</v>
      </c>
      <c r="H4757" s="328">
        <v>10153.302750000001</v>
      </c>
      <c r="I4757" s="329">
        <v>6.1661821998459709E-2</v>
      </c>
      <c r="J4757" s="329">
        <v>1.1081853864885542</v>
      </c>
      <c r="K4757" s="329">
        <v>1.2137671193083277</v>
      </c>
    </row>
    <row r="4758" spans="1:11" ht="11.25" x14ac:dyDescent="0.15">
      <c r="A4758" s="326">
        <v>1.325</v>
      </c>
      <c r="B4758" s="327">
        <v>0</v>
      </c>
      <c r="C4758" s="327" t="s">
        <v>111</v>
      </c>
      <c r="D4758" s="327" t="s">
        <v>114</v>
      </c>
      <c r="E4758" s="328" t="s">
        <v>4098</v>
      </c>
      <c r="F4758" s="328">
        <v>27.59382725</v>
      </c>
      <c r="G4758" s="328">
        <v>9115.3361749999985</v>
      </c>
      <c r="H4758" s="328">
        <v>10007.00685</v>
      </c>
      <c r="I4758" s="329">
        <v>1.6870169882512647E-2</v>
      </c>
      <c r="J4758" s="329">
        <v>1.0173832355435855</v>
      </c>
      <c r="K4758" s="329">
        <v>1.19627831221946</v>
      </c>
    </row>
    <row r="4759" spans="1:11" ht="11.25" x14ac:dyDescent="0.15">
      <c r="A4759" s="326">
        <v>1.325</v>
      </c>
      <c r="B4759" s="327">
        <v>0</v>
      </c>
      <c r="C4759" s="327" t="s">
        <v>111</v>
      </c>
      <c r="D4759" s="327" t="s">
        <v>113</v>
      </c>
      <c r="E4759" s="328" t="s">
        <v>4099</v>
      </c>
      <c r="F4759" s="328">
        <v>19.4792755</v>
      </c>
      <c r="G4759" s="328">
        <v>8621.218499999999</v>
      </c>
      <c r="H4759" s="328">
        <v>9867.1888749999998</v>
      </c>
      <c r="I4759" s="329">
        <v>1.1909137645024086E-2</v>
      </c>
      <c r="J4759" s="329">
        <v>0.96223364706109882</v>
      </c>
      <c r="K4759" s="329">
        <v>1.1795639026404416</v>
      </c>
    </row>
    <row r="4760" spans="1:11" ht="11.25" x14ac:dyDescent="0.15">
      <c r="A4760" s="326">
        <v>1.35</v>
      </c>
      <c r="B4760" s="327">
        <v>0</v>
      </c>
      <c r="C4760" s="327" t="s">
        <v>111</v>
      </c>
      <c r="D4760" s="327" t="s">
        <v>79</v>
      </c>
      <c r="E4760" s="328" t="s">
        <v>4100</v>
      </c>
      <c r="F4760" s="328">
        <v>112.048407</v>
      </c>
      <c r="G4760" s="328">
        <v>10467.596250000002</v>
      </c>
      <c r="H4760" s="328">
        <v>10555.737750000002</v>
      </c>
      <c r="I4760" s="329">
        <v>6.8503569440695078E-2</v>
      </c>
      <c r="J4760" s="329">
        <v>1.1683120333396706</v>
      </c>
      <c r="K4760" s="329">
        <v>1.2618758365096194</v>
      </c>
    </row>
    <row r="4761" spans="1:11" ht="11.25" x14ac:dyDescent="0.15">
      <c r="A4761" s="326">
        <v>1.35</v>
      </c>
      <c r="B4761" s="327">
        <v>0</v>
      </c>
      <c r="C4761" s="327" t="s">
        <v>111</v>
      </c>
      <c r="D4761" s="327" t="s">
        <v>114</v>
      </c>
      <c r="E4761" s="328" t="s">
        <v>4101</v>
      </c>
      <c r="F4761" s="328">
        <v>30.897747000000003</v>
      </c>
      <c r="G4761" s="328">
        <v>9574.3457999999991</v>
      </c>
      <c r="H4761" s="328">
        <v>10404.02475</v>
      </c>
      <c r="I4761" s="329">
        <v>1.889010307103722E-2</v>
      </c>
      <c r="J4761" s="329">
        <v>1.0686143353585242</v>
      </c>
      <c r="K4761" s="329">
        <v>1.2437394472473544</v>
      </c>
    </row>
    <row r="4762" spans="1:11" ht="11.25" x14ac:dyDescent="0.15">
      <c r="A4762" s="326">
        <v>1.35</v>
      </c>
      <c r="B4762" s="327">
        <v>0</v>
      </c>
      <c r="C4762" s="327" t="s">
        <v>111</v>
      </c>
      <c r="D4762" s="327" t="s">
        <v>113</v>
      </c>
      <c r="E4762" s="328" t="s">
        <v>4102</v>
      </c>
      <c r="F4762" s="328">
        <v>21.874347000000004</v>
      </c>
      <c r="G4762" s="328">
        <v>9016.8862500000014</v>
      </c>
      <c r="H4762" s="328">
        <v>10260.062100000001</v>
      </c>
      <c r="I4762" s="329">
        <v>1.3373423940639874E-2</v>
      </c>
      <c r="J4762" s="329">
        <v>1.0063950173020875</v>
      </c>
      <c r="K4762" s="329">
        <v>1.2265295663562825</v>
      </c>
    </row>
    <row r="4763" spans="1:11" ht="11.25" x14ac:dyDescent="0.15">
      <c r="A4763" s="326">
        <v>1.375</v>
      </c>
      <c r="B4763" s="327">
        <v>0</v>
      </c>
      <c r="C4763" s="327" t="s">
        <v>111</v>
      </c>
      <c r="D4763" s="327" t="s">
        <v>79</v>
      </c>
      <c r="E4763" s="328" t="s">
        <v>4103</v>
      </c>
      <c r="F4763" s="328">
        <v>124.43468125000001</v>
      </c>
      <c r="G4763" s="328">
        <v>11031.9</v>
      </c>
      <c r="H4763" s="328">
        <v>10966.498124999998</v>
      </c>
      <c r="I4763" s="329">
        <v>7.6076225053696073E-2</v>
      </c>
      <c r="J4763" s="329">
        <v>1.2312952479992634</v>
      </c>
      <c r="K4763" s="329">
        <v>1.310979802910085</v>
      </c>
    </row>
    <row r="4764" spans="1:11" ht="11.25" x14ac:dyDescent="0.15">
      <c r="A4764" s="326">
        <v>1.375</v>
      </c>
      <c r="B4764" s="327">
        <v>0</v>
      </c>
      <c r="C4764" s="327" t="s">
        <v>111</v>
      </c>
      <c r="D4764" s="327" t="s">
        <v>114</v>
      </c>
      <c r="E4764" s="328" t="s">
        <v>4104</v>
      </c>
      <c r="F4764" s="328">
        <v>34.598698749999997</v>
      </c>
      <c r="G4764" s="328">
        <v>10057.5365</v>
      </c>
      <c r="H4764" s="328">
        <v>10809.012500000001</v>
      </c>
      <c r="I4764" s="329">
        <v>2.1152771608598728E-2</v>
      </c>
      <c r="J4764" s="329">
        <v>1.1225443395089825</v>
      </c>
      <c r="K4764" s="329">
        <v>1.2921533305694746</v>
      </c>
    </row>
    <row r="4765" spans="1:11" ht="11.25" x14ac:dyDescent="0.15">
      <c r="A4765" s="326">
        <v>1.375</v>
      </c>
      <c r="B4765" s="327">
        <v>0</v>
      </c>
      <c r="C4765" s="327" t="s">
        <v>111</v>
      </c>
      <c r="D4765" s="327" t="s">
        <v>113</v>
      </c>
      <c r="E4765" s="328" t="s">
        <v>4105</v>
      </c>
      <c r="F4765" s="328">
        <v>24.56163875</v>
      </c>
      <c r="G4765" s="328">
        <v>9432.9056249999994</v>
      </c>
      <c r="H4765" s="328">
        <v>10660.533125</v>
      </c>
      <c r="I4765" s="329">
        <v>1.5016366325385529E-2</v>
      </c>
      <c r="J4765" s="329">
        <v>1.0528278783244971</v>
      </c>
      <c r="K4765" s="329">
        <v>1.2744035019956688</v>
      </c>
    </row>
    <row r="4766" spans="1:11" ht="11.25" x14ac:dyDescent="0.15">
      <c r="A4766" s="326">
        <v>1.4</v>
      </c>
      <c r="B4766" s="327">
        <v>0</v>
      </c>
      <c r="C4766" s="327" t="s">
        <v>111</v>
      </c>
      <c r="D4766" s="327" t="s">
        <v>79</v>
      </c>
      <c r="E4766" s="328" t="s">
        <v>4106</v>
      </c>
      <c r="F4766" s="328">
        <v>138.144622</v>
      </c>
      <c r="G4766" s="328">
        <v>11624.262999999999</v>
      </c>
      <c r="H4766" s="328">
        <v>11384.734200000001</v>
      </c>
      <c r="I4766" s="329">
        <v>8.4458136973206352E-2</v>
      </c>
      <c r="J4766" s="329">
        <v>1.2974102188556513</v>
      </c>
      <c r="K4766" s="329">
        <v>1.3609774449033343</v>
      </c>
    </row>
    <row r="4767" spans="1:11" ht="11.25" x14ac:dyDescent="0.15">
      <c r="A4767" s="326">
        <v>1.4</v>
      </c>
      <c r="B4767" s="327">
        <v>0</v>
      </c>
      <c r="C4767" s="327" t="s">
        <v>111</v>
      </c>
      <c r="D4767" s="327" t="s">
        <v>114</v>
      </c>
      <c r="E4767" s="328" t="s">
        <v>4107</v>
      </c>
      <c r="F4767" s="328">
        <v>38.744943999999997</v>
      </c>
      <c r="G4767" s="328">
        <v>10565.736999999999</v>
      </c>
      <c r="H4767" s="328">
        <v>11222.104600000001</v>
      </c>
      <c r="I4767" s="329">
        <v>2.3687681358824157E-2</v>
      </c>
      <c r="J4767" s="329">
        <v>1.1792657438618905</v>
      </c>
      <c r="K4767" s="329">
        <v>1.3415360408630317</v>
      </c>
    </row>
    <row r="4768" spans="1:11" ht="11.25" x14ac:dyDescent="0.15">
      <c r="A4768" s="326">
        <v>1.4</v>
      </c>
      <c r="B4768" s="327">
        <v>0</v>
      </c>
      <c r="C4768" s="327" t="s">
        <v>111</v>
      </c>
      <c r="D4768" s="327" t="s">
        <v>113</v>
      </c>
      <c r="E4768" s="328" t="s">
        <v>4108</v>
      </c>
      <c r="F4768" s="328">
        <v>27.576863999999997</v>
      </c>
      <c r="G4768" s="328">
        <v>9870.7153999999991</v>
      </c>
      <c r="H4768" s="328">
        <v>11068.861999999999</v>
      </c>
      <c r="I4768" s="329">
        <v>1.685979897938758E-2</v>
      </c>
      <c r="J4768" s="329">
        <v>1.1016928150520895</v>
      </c>
      <c r="K4768" s="329">
        <v>1.3232167969936099</v>
      </c>
    </row>
    <row r="4769" spans="1:11" ht="11.25" x14ac:dyDescent="0.15">
      <c r="A4769" s="326">
        <v>0.9</v>
      </c>
      <c r="B4769" s="327">
        <v>25</v>
      </c>
      <c r="C4769" s="327" t="s">
        <v>111</v>
      </c>
      <c r="D4769" s="327" t="s">
        <v>79</v>
      </c>
      <c r="E4769" s="328" t="s">
        <v>4109</v>
      </c>
      <c r="F4769" s="328">
        <v>29.753927999999998</v>
      </c>
      <c r="G4769" s="328">
        <v>4062.6972000000001</v>
      </c>
      <c r="H4769" s="328">
        <v>4534.1487000000006</v>
      </c>
      <c r="I4769" s="329">
        <v>1.8190800989088953E-2</v>
      </c>
      <c r="J4769" s="329">
        <v>0.45344680031725387</v>
      </c>
      <c r="K4769" s="329">
        <v>0.54203058271995275</v>
      </c>
    </row>
    <row r="4770" spans="1:11" ht="11.25" x14ac:dyDescent="0.15">
      <c r="A4770" s="326">
        <v>0.9</v>
      </c>
      <c r="B4770" s="327">
        <v>25</v>
      </c>
      <c r="C4770" s="327" t="s">
        <v>111</v>
      </c>
      <c r="D4770" s="327" t="s">
        <v>114</v>
      </c>
      <c r="E4770" s="328" t="s">
        <v>4110</v>
      </c>
      <c r="F4770" s="328">
        <v>6.6112677</v>
      </c>
      <c r="G4770" s="328">
        <v>4008.0122999999999</v>
      </c>
      <c r="H4770" s="328">
        <v>4456.0529999999999</v>
      </c>
      <c r="I4770" s="329">
        <v>4.0419622920473512E-3</v>
      </c>
      <c r="J4770" s="329">
        <v>0.44734329525399957</v>
      </c>
      <c r="K4770" s="329">
        <v>0.53269470501066574</v>
      </c>
    </row>
    <row r="4771" spans="1:11" ht="11.25" x14ac:dyDescent="0.15">
      <c r="A4771" s="326">
        <v>0.9</v>
      </c>
      <c r="B4771" s="327">
        <v>25</v>
      </c>
      <c r="C4771" s="327" t="s">
        <v>111</v>
      </c>
      <c r="D4771" s="327" t="s">
        <v>113</v>
      </c>
      <c r="E4771" s="328" t="s">
        <v>4111</v>
      </c>
      <c r="F4771" s="328">
        <v>3.5371736999999999</v>
      </c>
      <c r="G4771" s="328">
        <v>3987.9126000000001</v>
      </c>
      <c r="H4771" s="328">
        <v>4379.1480000000001</v>
      </c>
      <c r="I4771" s="329">
        <v>2.162538769353056E-3</v>
      </c>
      <c r="J4771" s="329">
        <v>0.44509992239019452</v>
      </c>
      <c r="K4771" s="329">
        <v>0.5235011684237254</v>
      </c>
    </row>
    <row r="4772" spans="1:11" ht="11.25" x14ac:dyDescent="0.15">
      <c r="A4772" s="326">
        <v>0.92500000000000004</v>
      </c>
      <c r="B4772" s="327">
        <v>25</v>
      </c>
      <c r="C4772" s="327" t="s">
        <v>111</v>
      </c>
      <c r="D4772" s="327" t="s">
        <v>79</v>
      </c>
      <c r="E4772" s="328" t="s">
        <v>4112</v>
      </c>
      <c r="F4772" s="328">
        <v>32.815337</v>
      </c>
      <c r="G4772" s="328">
        <v>4293.0434000000005</v>
      </c>
      <c r="H4772" s="328">
        <v>4803.5943749999997</v>
      </c>
      <c r="I4772" s="329">
        <v>2.0062469222782531E-2</v>
      </c>
      <c r="J4772" s="329">
        <v>0.4791562593818473</v>
      </c>
      <c r="K4772" s="329">
        <v>0.57424121494549507</v>
      </c>
    </row>
    <row r="4773" spans="1:11" ht="11.25" x14ac:dyDescent="0.15">
      <c r="A4773" s="326">
        <v>0.92500000000000004</v>
      </c>
      <c r="B4773" s="327">
        <v>25</v>
      </c>
      <c r="C4773" s="327" t="s">
        <v>111</v>
      </c>
      <c r="D4773" s="327" t="s">
        <v>114</v>
      </c>
      <c r="E4773" s="328" t="s">
        <v>4113</v>
      </c>
      <c r="F4773" s="328">
        <v>7.3186305250000014</v>
      </c>
      <c r="G4773" s="328">
        <v>4220.3421000000008</v>
      </c>
      <c r="H4773" s="328">
        <v>4722.3303500000002</v>
      </c>
      <c r="I4773" s="329">
        <v>4.4744260789011331E-3</v>
      </c>
      <c r="J4773" s="329">
        <v>0.47104190326790785</v>
      </c>
      <c r="K4773" s="329">
        <v>0.56452658277542123</v>
      </c>
    </row>
    <row r="4774" spans="1:11" ht="11.25" x14ac:dyDescent="0.15">
      <c r="A4774" s="326">
        <v>0.92500000000000004</v>
      </c>
      <c r="B4774" s="327">
        <v>25</v>
      </c>
      <c r="C4774" s="327" t="s">
        <v>111</v>
      </c>
      <c r="D4774" s="327" t="s">
        <v>113</v>
      </c>
      <c r="E4774" s="328" t="s">
        <v>4114</v>
      </c>
      <c r="F4774" s="328">
        <v>3.9481136750000001</v>
      </c>
      <c r="G4774" s="328">
        <v>4194.1479500000005</v>
      </c>
      <c r="H4774" s="328">
        <v>4642.1569</v>
      </c>
      <c r="I4774" s="329">
        <v>2.4137771034542272E-3</v>
      </c>
      <c r="J4774" s="329">
        <v>0.468118315089953</v>
      </c>
      <c r="K4774" s="329">
        <v>0.55494232237783669</v>
      </c>
    </row>
    <row r="4775" spans="1:11" ht="11.25" x14ac:dyDescent="0.15">
      <c r="A4775" s="326">
        <v>0.95</v>
      </c>
      <c r="B4775" s="327">
        <v>25</v>
      </c>
      <c r="C4775" s="327" t="s">
        <v>111</v>
      </c>
      <c r="D4775" s="327" t="s">
        <v>79</v>
      </c>
      <c r="E4775" s="328" t="s">
        <v>4115</v>
      </c>
      <c r="F4775" s="328">
        <v>36.171838999999999</v>
      </c>
      <c r="G4775" s="328">
        <v>4533.7172999999993</v>
      </c>
      <c r="H4775" s="328">
        <v>5080.5297</v>
      </c>
      <c r="I4775" s="329">
        <v>2.2114549872486296E-2</v>
      </c>
      <c r="J4775" s="329">
        <v>0.50601841634369871</v>
      </c>
      <c r="K4775" s="329">
        <v>0.60734719040357599</v>
      </c>
    </row>
    <row r="4776" spans="1:11" ht="11.25" x14ac:dyDescent="0.15">
      <c r="A4776" s="326">
        <v>0.95</v>
      </c>
      <c r="B4776" s="327">
        <v>25</v>
      </c>
      <c r="C4776" s="327" t="s">
        <v>111</v>
      </c>
      <c r="D4776" s="327" t="s">
        <v>114</v>
      </c>
      <c r="E4776" s="328" t="s">
        <v>4116</v>
      </c>
      <c r="F4776" s="328">
        <v>8.0972926999999988</v>
      </c>
      <c r="G4776" s="328">
        <v>4441.1046499999993</v>
      </c>
      <c r="H4776" s="328">
        <v>4996.0338499999998</v>
      </c>
      <c r="I4776" s="329">
        <v>4.9504804897055193E-3</v>
      </c>
      <c r="J4776" s="329">
        <v>0.49568170953438945</v>
      </c>
      <c r="K4776" s="329">
        <v>0.59724621272436629</v>
      </c>
    </row>
    <row r="4777" spans="1:11" ht="11.25" x14ac:dyDescent="0.15">
      <c r="A4777" s="326">
        <v>0.95</v>
      </c>
      <c r="B4777" s="327">
        <v>25</v>
      </c>
      <c r="C4777" s="327" t="s">
        <v>111</v>
      </c>
      <c r="D4777" s="327" t="s">
        <v>113</v>
      </c>
      <c r="E4777" s="328" t="s">
        <v>4117</v>
      </c>
      <c r="F4777" s="328">
        <v>4.4046208499999997</v>
      </c>
      <c r="G4777" s="328">
        <v>4406.51325</v>
      </c>
      <c r="H4777" s="328">
        <v>4913.02855</v>
      </c>
      <c r="I4777" s="329">
        <v>2.6928740741303746E-3</v>
      </c>
      <c r="J4777" s="329">
        <v>0.49182088533895246</v>
      </c>
      <c r="K4777" s="329">
        <v>0.5873234214564389</v>
      </c>
    </row>
    <row r="4778" spans="1:11" ht="11.25" x14ac:dyDescent="0.15">
      <c r="A4778" s="326">
        <v>0.97499999999999998</v>
      </c>
      <c r="B4778" s="327">
        <v>25</v>
      </c>
      <c r="C4778" s="327" t="s">
        <v>111</v>
      </c>
      <c r="D4778" s="327" t="s">
        <v>79</v>
      </c>
      <c r="E4778" s="328" t="s">
        <v>4118</v>
      </c>
      <c r="F4778" s="328">
        <v>39.861149249999997</v>
      </c>
      <c r="G4778" s="328">
        <v>4787.1193499999999</v>
      </c>
      <c r="H4778" s="328">
        <v>5365.3723499999996</v>
      </c>
      <c r="I4778" s="329">
        <v>2.4370101090623139E-2</v>
      </c>
      <c r="J4778" s="329">
        <v>0.53430119084294836</v>
      </c>
      <c r="K4778" s="329">
        <v>0.64139843966300047</v>
      </c>
    </row>
    <row r="4779" spans="1:11" ht="11.25" x14ac:dyDescent="0.15">
      <c r="A4779" s="326">
        <v>0.97499999999999998</v>
      </c>
      <c r="B4779" s="327">
        <v>25</v>
      </c>
      <c r="C4779" s="327" t="s">
        <v>111</v>
      </c>
      <c r="D4779" s="327" t="s">
        <v>114</v>
      </c>
      <c r="E4779" s="328" t="s">
        <v>4119</v>
      </c>
      <c r="F4779" s="328">
        <v>8.9587777499999994</v>
      </c>
      <c r="G4779" s="328">
        <v>4669.4426999999996</v>
      </c>
      <c r="H4779" s="328">
        <v>5277.85635</v>
      </c>
      <c r="I4779" s="329">
        <v>5.4771707169462844E-3</v>
      </c>
      <c r="J4779" s="329">
        <v>0.52116703444690848</v>
      </c>
      <c r="K4779" s="329">
        <v>0.63093642096535185</v>
      </c>
    </row>
    <row r="4780" spans="1:11" ht="11.25" x14ac:dyDescent="0.15">
      <c r="A4780" s="326">
        <v>0.97499999999999998</v>
      </c>
      <c r="B4780" s="327">
        <v>25</v>
      </c>
      <c r="C4780" s="327" t="s">
        <v>111</v>
      </c>
      <c r="D4780" s="327" t="s">
        <v>113</v>
      </c>
      <c r="E4780" s="328" t="s">
        <v>4120</v>
      </c>
      <c r="F4780" s="328">
        <v>4.9149554999999996</v>
      </c>
      <c r="G4780" s="328">
        <v>4624.498125000001</v>
      </c>
      <c r="H4780" s="328">
        <v>5191.181775</v>
      </c>
      <c r="I4780" s="329">
        <v>3.0048798051379366E-3</v>
      </c>
      <c r="J4780" s="329">
        <v>0.51615066903198947</v>
      </c>
      <c r="K4780" s="329">
        <v>0.62057498963552926</v>
      </c>
    </row>
    <row r="4781" spans="1:11" ht="11.25" x14ac:dyDescent="0.15">
      <c r="A4781" s="326">
        <v>1</v>
      </c>
      <c r="B4781" s="327">
        <v>25</v>
      </c>
      <c r="C4781" s="327" t="s">
        <v>111</v>
      </c>
      <c r="D4781" s="327" t="s">
        <v>79</v>
      </c>
      <c r="E4781" s="328" t="s">
        <v>4121</v>
      </c>
      <c r="F4781" s="328">
        <v>43.915929999999996</v>
      </c>
      <c r="G4781" s="328">
        <v>5053.7650000000003</v>
      </c>
      <c r="H4781" s="328">
        <v>5658.2649999999994</v>
      </c>
      <c r="I4781" s="329">
        <v>2.6849091752885912E-2</v>
      </c>
      <c r="J4781" s="329">
        <v>0.56406211341699952</v>
      </c>
      <c r="K4781" s="329">
        <v>0.67641201867373979</v>
      </c>
    </row>
    <row r="4782" spans="1:11" ht="11.25" x14ac:dyDescent="0.15">
      <c r="A4782" s="326">
        <v>1</v>
      </c>
      <c r="B4782" s="327">
        <v>25</v>
      </c>
      <c r="C4782" s="327" t="s">
        <v>111</v>
      </c>
      <c r="D4782" s="327" t="s">
        <v>114</v>
      </c>
      <c r="E4782" s="328" t="s">
        <v>4122</v>
      </c>
      <c r="F4782" s="328">
        <v>9.9124349999999986</v>
      </c>
      <c r="G4782" s="328">
        <v>4906.7430000000004</v>
      </c>
      <c r="H4782" s="328">
        <v>5566.9309999999996</v>
      </c>
      <c r="I4782" s="329">
        <v>6.0602127020768469E-3</v>
      </c>
      <c r="J4782" s="329">
        <v>0.54765265630160265</v>
      </c>
      <c r="K4782" s="329">
        <v>0.66549358072261033</v>
      </c>
    </row>
    <row r="4783" spans="1:11" ht="11.25" x14ac:dyDescent="0.15">
      <c r="A4783" s="326">
        <v>1</v>
      </c>
      <c r="B4783" s="327">
        <v>25</v>
      </c>
      <c r="C4783" s="327" t="s">
        <v>111</v>
      </c>
      <c r="D4783" s="327" t="s">
        <v>113</v>
      </c>
      <c r="E4783" s="328" t="s">
        <v>4123</v>
      </c>
      <c r="F4783" s="328">
        <v>5.4857060000000004</v>
      </c>
      <c r="G4783" s="328">
        <v>4848.9990000000007</v>
      </c>
      <c r="H4783" s="328">
        <v>5477.1109999999999</v>
      </c>
      <c r="I4783" s="329">
        <v>3.3538222627496855E-3</v>
      </c>
      <c r="J4783" s="329">
        <v>0.54120771818573232</v>
      </c>
      <c r="K4783" s="329">
        <v>0.65475613249116926</v>
      </c>
    </row>
    <row r="4784" spans="1:11" ht="11.25" x14ac:dyDescent="0.15">
      <c r="A4784" s="326">
        <v>1.0249999999999999</v>
      </c>
      <c r="B4784" s="327">
        <v>25</v>
      </c>
      <c r="C4784" s="327" t="s">
        <v>111</v>
      </c>
      <c r="D4784" s="327" t="s">
        <v>79</v>
      </c>
      <c r="E4784" s="328" t="s">
        <v>4124</v>
      </c>
      <c r="F4784" s="328">
        <v>48.363138749999997</v>
      </c>
      <c r="G4784" s="328">
        <v>5335.0132750000002</v>
      </c>
      <c r="H4784" s="328">
        <v>5958.5310249999993</v>
      </c>
      <c r="I4784" s="329">
        <v>2.956800299472884E-2</v>
      </c>
      <c r="J4784" s="329">
        <v>0.59545286791218988</v>
      </c>
      <c r="K4784" s="329">
        <v>0.71230704093045449</v>
      </c>
    </row>
    <row r="4785" spans="1:11" ht="11.25" x14ac:dyDescent="0.15">
      <c r="A4785" s="326">
        <v>1.0249999999999999</v>
      </c>
      <c r="B4785" s="327">
        <v>25</v>
      </c>
      <c r="C4785" s="327" t="s">
        <v>111</v>
      </c>
      <c r="D4785" s="327" t="s">
        <v>114</v>
      </c>
      <c r="E4785" s="328" t="s">
        <v>4125</v>
      </c>
      <c r="F4785" s="328">
        <v>10.965214249999999</v>
      </c>
      <c r="G4785" s="328">
        <v>5154.9546</v>
      </c>
      <c r="H4785" s="328">
        <v>5863.7257</v>
      </c>
      <c r="I4785" s="329">
        <v>6.7038553774974611E-3</v>
      </c>
      <c r="J4785" s="329">
        <v>0.57535611296621103</v>
      </c>
      <c r="K4785" s="329">
        <v>0.70097362666578678</v>
      </c>
    </row>
    <row r="4786" spans="1:11" ht="11.25" x14ac:dyDescent="0.15">
      <c r="A4786" s="326">
        <v>1.0249999999999999</v>
      </c>
      <c r="B4786" s="327">
        <v>25</v>
      </c>
      <c r="C4786" s="327" t="s">
        <v>111</v>
      </c>
      <c r="D4786" s="327" t="s">
        <v>113</v>
      </c>
      <c r="E4786" s="328" t="s">
        <v>4126</v>
      </c>
      <c r="F4786" s="328">
        <v>6.1216177499999995</v>
      </c>
      <c r="G4786" s="328">
        <v>5081.9212999999991</v>
      </c>
      <c r="H4786" s="328">
        <v>5770.7817749999995</v>
      </c>
      <c r="I4786" s="329">
        <v>3.7426026648153649E-3</v>
      </c>
      <c r="J4786" s="329">
        <v>0.56720470158324832</v>
      </c>
      <c r="K4786" s="329">
        <v>0.68986273173019952</v>
      </c>
    </row>
    <row r="4787" spans="1:11" ht="11.25" x14ac:dyDescent="0.15">
      <c r="A4787" s="326">
        <v>1.05</v>
      </c>
      <c r="B4787" s="327">
        <v>25</v>
      </c>
      <c r="C4787" s="327" t="s">
        <v>111</v>
      </c>
      <c r="D4787" s="327" t="s">
        <v>79</v>
      </c>
      <c r="E4787" s="328" t="s">
        <v>4127</v>
      </c>
      <c r="F4787" s="328">
        <v>53.240144999999998</v>
      </c>
      <c r="G4787" s="328">
        <v>5631.7453500000001</v>
      </c>
      <c r="H4787" s="328">
        <v>6266.9250000000002</v>
      </c>
      <c r="I4787" s="329">
        <v>3.2549681585746906E-2</v>
      </c>
      <c r="J4787" s="329">
        <v>0.62857180425828263</v>
      </c>
      <c r="K4787" s="329">
        <v>0.74917371139862254</v>
      </c>
    </row>
    <row r="4788" spans="1:11" ht="11.25" x14ac:dyDescent="0.15">
      <c r="A4788" s="326">
        <v>1.05</v>
      </c>
      <c r="B4788" s="327">
        <v>25</v>
      </c>
      <c r="C4788" s="327" t="s">
        <v>111</v>
      </c>
      <c r="D4788" s="327" t="s">
        <v>114</v>
      </c>
      <c r="E4788" s="328" t="s">
        <v>4128</v>
      </c>
      <c r="F4788" s="328">
        <v>12.128067</v>
      </c>
      <c r="G4788" s="328">
        <v>5413.1468999999997</v>
      </c>
      <c r="H4788" s="328">
        <v>6168.4780500000006</v>
      </c>
      <c r="I4788" s="329">
        <v>7.4147942140391386E-3</v>
      </c>
      <c r="J4788" s="329">
        <v>0.60417353807521312</v>
      </c>
      <c r="K4788" s="329">
        <v>0.73740496246555343</v>
      </c>
    </row>
    <row r="4789" spans="1:11" ht="11.25" x14ac:dyDescent="0.15">
      <c r="A4789" s="326">
        <v>1.05</v>
      </c>
      <c r="B4789" s="327">
        <v>25</v>
      </c>
      <c r="C4789" s="327" t="s">
        <v>111</v>
      </c>
      <c r="D4789" s="327" t="s">
        <v>113</v>
      </c>
      <c r="E4789" s="328" t="s">
        <v>4129</v>
      </c>
      <c r="F4789" s="328">
        <v>6.8304127500000007</v>
      </c>
      <c r="G4789" s="328">
        <v>5320.8004500000006</v>
      </c>
      <c r="H4789" s="328">
        <v>6071.8486500000008</v>
      </c>
      <c r="I4789" s="329">
        <v>4.1759420473352566E-3</v>
      </c>
      <c r="J4789" s="329">
        <v>0.59386654244847603</v>
      </c>
      <c r="K4789" s="329">
        <v>0.72585349085416162</v>
      </c>
    </row>
    <row r="4790" spans="1:11" ht="11.25" x14ac:dyDescent="0.15">
      <c r="A4790" s="326">
        <v>1.075</v>
      </c>
      <c r="B4790" s="327">
        <v>25</v>
      </c>
      <c r="C4790" s="327" t="s">
        <v>111</v>
      </c>
      <c r="D4790" s="327" t="s">
        <v>79</v>
      </c>
      <c r="E4790" s="328" t="s">
        <v>4130</v>
      </c>
      <c r="F4790" s="328">
        <v>58.588241749999995</v>
      </c>
      <c r="G4790" s="328">
        <v>5946.0529000000006</v>
      </c>
      <c r="H4790" s="328">
        <v>6582.9775000000009</v>
      </c>
      <c r="I4790" s="329">
        <v>3.5819373024458576E-2</v>
      </c>
      <c r="J4790" s="329">
        <v>0.66365237902104257</v>
      </c>
      <c r="K4790" s="329">
        <v>0.7869559131038949</v>
      </c>
    </row>
    <row r="4791" spans="1:11" ht="11.25" x14ac:dyDescent="0.15">
      <c r="A4791" s="326">
        <v>1.075</v>
      </c>
      <c r="B4791" s="327">
        <v>25</v>
      </c>
      <c r="C4791" s="327" t="s">
        <v>111</v>
      </c>
      <c r="D4791" s="327" t="s">
        <v>114</v>
      </c>
      <c r="E4791" s="328" t="s">
        <v>4131</v>
      </c>
      <c r="F4791" s="328">
        <v>13.413355499999998</v>
      </c>
      <c r="G4791" s="328">
        <v>5684.360275</v>
      </c>
      <c r="H4791" s="328">
        <v>6481.1051249999991</v>
      </c>
      <c r="I4791" s="329">
        <v>8.2005871794944771E-3</v>
      </c>
      <c r="J4791" s="329">
        <v>0.63444427474172949</v>
      </c>
      <c r="K4791" s="329">
        <v>0.7747776749300308</v>
      </c>
    </row>
    <row r="4792" spans="1:11" ht="11.25" x14ac:dyDescent="0.15">
      <c r="A4792" s="326">
        <v>1.075</v>
      </c>
      <c r="B4792" s="327">
        <v>25</v>
      </c>
      <c r="C4792" s="327" t="s">
        <v>111</v>
      </c>
      <c r="D4792" s="327" t="s">
        <v>113</v>
      </c>
      <c r="E4792" s="328" t="s">
        <v>4132</v>
      </c>
      <c r="F4792" s="328">
        <v>7.6208588249999991</v>
      </c>
      <c r="G4792" s="328">
        <v>5569.8813749999999</v>
      </c>
      <c r="H4792" s="328">
        <v>6380.8613750000004</v>
      </c>
      <c r="I4792" s="329">
        <v>4.6592008373320419E-3</v>
      </c>
      <c r="J4792" s="329">
        <v>0.62166702643761296</v>
      </c>
      <c r="K4792" s="329">
        <v>0.76279412921470546</v>
      </c>
    </row>
    <row r="4793" spans="1:11" ht="11.25" x14ac:dyDescent="0.15">
      <c r="A4793" s="326">
        <v>1.1000000000000001</v>
      </c>
      <c r="B4793" s="327">
        <v>25</v>
      </c>
      <c r="C4793" s="327" t="s">
        <v>111</v>
      </c>
      <c r="D4793" s="327" t="s">
        <v>79</v>
      </c>
      <c r="E4793" s="328" t="s">
        <v>4133</v>
      </c>
      <c r="F4793" s="328">
        <v>64.452597000000011</v>
      </c>
      <c r="G4793" s="328">
        <v>6278.6878000000006</v>
      </c>
      <c r="H4793" s="328">
        <v>6906.6866</v>
      </c>
      <c r="I4793" s="329">
        <v>3.9404691886629289E-2</v>
      </c>
      <c r="J4793" s="329">
        <v>0.70077851066551999</v>
      </c>
      <c r="K4793" s="329">
        <v>0.82565341592393937</v>
      </c>
    </row>
    <row r="4794" spans="1:11" ht="11.25" x14ac:dyDescent="0.15">
      <c r="A4794" s="326">
        <v>1.1000000000000001</v>
      </c>
      <c r="B4794" s="327">
        <v>25</v>
      </c>
      <c r="C4794" s="327" t="s">
        <v>111</v>
      </c>
      <c r="D4794" s="327" t="s">
        <v>114</v>
      </c>
      <c r="E4794" s="328" t="s">
        <v>4134</v>
      </c>
      <c r="F4794" s="328">
        <v>14.834820000000001</v>
      </c>
      <c r="G4794" s="328">
        <v>5968.8948000000009</v>
      </c>
      <c r="H4794" s="328">
        <v>6800.9282000000012</v>
      </c>
      <c r="I4794" s="329">
        <v>9.0696347160938422E-3</v>
      </c>
      <c r="J4794" s="329">
        <v>0.66620181501350761</v>
      </c>
      <c r="K4794" s="329">
        <v>0.81301062651133604</v>
      </c>
    </row>
    <row r="4795" spans="1:11" ht="11.25" x14ac:dyDescent="0.15">
      <c r="A4795" s="326">
        <v>1.1000000000000001</v>
      </c>
      <c r="B4795" s="327">
        <v>25</v>
      </c>
      <c r="C4795" s="327" t="s">
        <v>111</v>
      </c>
      <c r="D4795" s="327" t="s">
        <v>113</v>
      </c>
      <c r="E4795" s="328" t="s">
        <v>4135</v>
      </c>
      <c r="F4795" s="328">
        <v>8.5027568999999996</v>
      </c>
      <c r="G4795" s="328">
        <v>5827.8363000000008</v>
      </c>
      <c r="H4795" s="328">
        <v>6697.1057999999994</v>
      </c>
      <c r="I4795" s="329">
        <v>5.198371073106816E-3</v>
      </c>
      <c r="J4795" s="329">
        <v>0.65045795758732494</v>
      </c>
      <c r="K4795" s="329">
        <v>0.80059927441532186</v>
      </c>
    </row>
    <row r="4796" spans="1:11" ht="11.25" x14ac:dyDescent="0.15">
      <c r="A4796" s="326">
        <v>1.125</v>
      </c>
      <c r="B4796" s="327">
        <v>25</v>
      </c>
      <c r="C4796" s="327" t="s">
        <v>111</v>
      </c>
      <c r="D4796" s="327" t="s">
        <v>79</v>
      </c>
      <c r="E4796" s="328" t="s">
        <v>4136</v>
      </c>
      <c r="F4796" s="328">
        <v>70.882672499999998</v>
      </c>
      <c r="G4796" s="328">
        <v>6630.9975000000004</v>
      </c>
      <c r="H4796" s="328">
        <v>7238.7719999999999</v>
      </c>
      <c r="I4796" s="329">
        <v>4.3335877838457784E-2</v>
      </c>
      <c r="J4796" s="329">
        <v>0.7401005911261882</v>
      </c>
      <c r="K4796" s="329">
        <v>0.86535225572484586</v>
      </c>
    </row>
    <row r="4797" spans="1:11" ht="11.25" x14ac:dyDescent="0.15">
      <c r="A4797" s="326">
        <v>1.125</v>
      </c>
      <c r="B4797" s="327">
        <v>25</v>
      </c>
      <c r="C4797" s="327" t="s">
        <v>111</v>
      </c>
      <c r="D4797" s="327" t="s">
        <v>114</v>
      </c>
      <c r="E4797" s="328" t="s">
        <v>4137</v>
      </c>
      <c r="F4797" s="328">
        <v>16.407866250000001</v>
      </c>
      <c r="G4797" s="328">
        <v>6267.8778750000001</v>
      </c>
      <c r="H4797" s="328">
        <v>7128.4623750000001</v>
      </c>
      <c r="I4797" s="329">
        <v>1.0031355510752708E-2</v>
      </c>
      <c r="J4797" s="329">
        <v>0.69957199054806707</v>
      </c>
      <c r="K4797" s="329">
        <v>0.85216539435914573</v>
      </c>
    </row>
    <row r="4798" spans="1:11" ht="11.25" x14ac:dyDescent="0.15">
      <c r="A4798" s="326">
        <v>1.125</v>
      </c>
      <c r="B4798" s="327">
        <v>25</v>
      </c>
      <c r="C4798" s="327" t="s">
        <v>111</v>
      </c>
      <c r="D4798" s="327" t="s">
        <v>113</v>
      </c>
      <c r="E4798" s="328" t="s">
        <v>4138</v>
      </c>
      <c r="F4798" s="328">
        <v>9.4870608749999992</v>
      </c>
      <c r="G4798" s="328">
        <v>6096.7305000000006</v>
      </c>
      <c r="H4798" s="328">
        <v>7021.0923749999993</v>
      </c>
      <c r="I4798" s="329">
        <v>5.8001496927900451E-3</v>
      </c>
      <c r="J4798" s="329">
        <v>0.68046984589981541</v>
      </c>
      <c r="K4798" s="329">
        <v>0.83932994772576963</v>
      </c>
    </row>
    <row r="4799" spans="1:11" ht="11.25" x14ac:dyDescent="0.15">
      <c r="A4799" s="326">
        <v>1.1499999999999999</v>
      </c>
      <c r="B4799" s="327">
        <v>25</v>
      </c>
      <c r="C4799" s="327" t="s">
        <v>111</v>
      </c>
      <c r="D4799" s="327" t="s">
        <v>79</v>
      </c>
      <c r="E4799" s="328" t="s">
        <v>4139</v>
      </c>
      <c r="F4799" s="328">
        <v>77.932647999999986</v>
      </c>
      <c r="G4799" s="328">
        <v>7003.3320999999996</v>
      </c>
      <c r="H4799" s="328">
        <v>7578.3470499999994</v>
      </c>
      <c r="I4799" s="329">
        <v>4.7646055012323787E-2</v>
      </c>
      <c r="J4799" s="329">
        <v>0.78165769585390554</v>
      </c>
      <c r="K4799" s="329">
        <v>0.90594643875829095</v>
      </c>
    </row>
    <row r="4800" spans="1:11" ht="11.25" x14ac:dyDescent="0.15">
      <c r="A4800" s="326">
        <v>1.1499999999999999</v>
      </c>
      <c r="B4800" s="327">
        <v>25</v>
      </c>
      <c r="C4800" s="327" t="s">
        <v>111</v>
      </c>
      <c r="D4800" s="327" t="s">
        <v>114</v>
      </c>
      <c r="E4800" s="328" t="s">
        <v>4140</v>
      </c>
      <c r="F4800" s="328">
        <v>18.149587499999999</v>
      </c>
      <c r="G4800" s="328">
        <v>6583.7131999999992</v>
      </c>
      <c r="H4800" s="328">
        <v>7464.3348999999989</v>
      </c>
      <c r="I4800" s="329">
        <v>1.1096199945316684E-2</v>
      </c>
      <c r="J4800" s="329">
        <v>0.7348230837253803</v>
      </c>
      <c r="K4800" s="329">
        <v>0.89231696249041836</v>
      </c>
    </row>
    <row r="4801" spans="1:11" ht="11.25" x14ac:dyDescent="0.15">
      <c r="A4801" s="326">
        <v>1.1499999999999999</v>
      </c>
      <c r="B4801" s="327">
        <v>25</v>
      </c>
      <c r="C4801" s="327" t="s">
        <v>111</v>
      </c>
      <c r="D4801" s="327" t="s">
        <v>113</v>
      </c>
      <c r="E4801" s="328" t="s">
        <v>4141</v>
      </c>
      <c r="F4801" s="328">
        <v>10.585977700000001</v>
      </c>
      <c r="G4801" s="328">
        <v>6376.1324499999992</v>
      </c>
      <c r="H4801" s="328">
        <v>7352.6537999999991</v>
      </c>
      <c r="I4801" s="329">
        <v>6.4719997176720208E-3</v>
      </c>
      <c r="J4801" s="329">
        <v>0.71165452789627348</v>
      </c>
      <c r="K4801" s="329">
        <v>0.87896614942339102</v>
      </c>
    </row>
    <row r="4802" spans="1:11" ht="11.25" x14ac:dyDescent="0.15">
      <c r="A4802" s="326">
        <v>1.175</v>
      </c>
      <c r="B4802" s="327">
        <v>25</v>
      </c>
      <c r="C4802" s="327" t="s">
        <v>111</v>
      </c>
      <c r="D4802" s="327" t="s">
        <v>79</v>
      </c>
      <c r="E4802" s="328" t="s">
        <v>4142</v>
      </c>
      <c r="F4802" s="328">
        <v>85.661871000000005</v>
      </c>
      <c r="G4802" s="328">
        <v>7397.3899250000004</v>
      </c>
      <c r="H4802" s="328">
        <v>7925.7134000000005</v>
      </c>
      <c r="I4802" s="329">
        <v>5.2371506972592345E-2</v>
      </c>
      <c r="J4802" s="329">
        <v>0.82563937873350257</v>
      </c>
      <c r="K4802" s="329">
        <v>0.94747202549253362</v>
      </c>
    </row>
    <row r="4803" spans="1:11" ht="11.25" x14ac:dyDescent="0.15">
      <c r="A4803" s="326">
        <v>1.175</v>
      </c>
      <c r="B4803" s="327">
        <v>25</v>
      </c>
      <c r="C4803" s="327" t="s">
        <v>111</v>
      </c>
      <c r="D4803" s="327" t="s">
        <v>114</v>
      </c>
      <c r="E4803" s="328" t="s">
        <v>4143</v>
      </c>
      <c r="F4803" s="328">
        <v>20.079058000000003</v>
      </c>
      <c r="G4803" s="328">
        <v>6915.7644750000009</v>
      </c>
      <c r="H4803" s="328">
        <v>7807.1288750000012</v>
      </c>
      <c r="I4803" s="329">
        <v>1.2275829535057507E-2</v>
      </c>
      <c r="J4803" s="329">
        <v>0.77188407566689521</v>
      </c>
      <c r="K4803" s="329">
        <v>0.93329594891451606</v>
      </c>
    </row>
    <row r="4804" spans="1:11" ht="11.25" x14ac:dyDescent="0.15">
      <c r="A4804" s="326">
        <v>1.175</v>
      </c>
      <c r="B4804" s="327">
        <v>25</v>
      </c>
      <c r="C4804" s="327" t="s">
        <v>111</v>
      </c>
      <c r="D4804" s="327" t="s">
        <v>113</v>
      </c>
      <c r="E4804" s="328" t="s">
        <v>4144</v>
      </c>
      <c r="F4804" s="328">
        <v>11.8131915</v>
      </c>
      <c r="G4804" s="328">
        <v>6670.1706750000003</v>
      </c>
      <c r="H4804" s="328">
        <v>7692.3066999999992</v>
      </c>
      <c r="I4804" s="329">
        <v>7.2222872765739451E-3</v>
      </c>
      <c r="J4804" s="329">
        <v>0.74447279756628859</v>
      </c>
      <c r="K4804" s="329">
        <v>0.91956963896256783</v>
      </c>
    </row>
    <row r="4805" spans="1:11" ht="11.25" x14ac:dyDescent="0.15">
      <c r="A4805" s="326">
        <v>1.2</v>
      </c>
      <c r="B4805" s="327">
        <v>25</v>
      </c>
      <c r="C4805" s="327" t="s">
        <v>111</v>
      </c>
      <c r="D4805" s="327" t="s">
        <v>79</v>
      </c>
      <c r="E4805" s="328" t="s">
        <v>4145</v>
      </c>
      <c r="F4805" s="328">
        <v>94.135560000000012</v>
      </c>
      <c r="G4805" s="328">
        <v>7813.5731999999989</v>
      </c>
      <c r="H4805" s="328">
        <v>8280.8004000000001</v>
      </c>
      <c r="I4805" s="329">
        <v>5.7552106664923129E-2</v>
      </c>
      <c r="J4805" s="329">
        <v>0.87209053300468609</v>
      </c>
      <c r="K4805" s="329">
        <v>0.98992057013913493</v>
      </c>
    </row>
    <row r="4806" spans="1:11" ht="11.25" x14ac:dyDescent="0.15">
      <c r="A4806" s="326">
        <v>1.2</v>
      </c>
      <c r="B4806" s="327">
        <v>25</v>
      </c>
      <c r="C4806" s="327" t="s">
        <v>111</v>
      </c>
      <c r="D4806" s="327" t="s">
        <v>114</v>
      </c>
      <c r="E4806" s="328" t="s">
        <v>4146</v>
      </c>
      <c r="F4806" s="328">
        <v>22.217580000000002</v>
      </c>
      <c r="G4806" s="328">
        <v>7267.0667999999996</v>
      </c>
      <c r="H4806" s="328">
        <v>8158.2095999999992</v>
      </c>
      <c r="I4806" s="329">
        <v>1.358326793824207E-2</v>
      </c>
      <c r="J4806" s="329">
        <v>0.81109372073108099</v>
      </c>
      <c r="K4806" s="329">
        <v>0.97526556714814228</v>
      </c>
    </row>
    <row r="4807" spans="1:11" ht="11.25" x14ac:dyDescent="0.15">
      <c r="A4807" s="326">
        <v>1.2</v>
      </c>
      <c r="B4807" s="327">
        <v>25</v>
      </c>
      <c r="C4807" s="327" t="s">
        <v>111</v>
      </c>
      <c r="D4807" s="327" t="s">
        <v>113</v>
      </c>
      <c r="E4807" s="328" t="s">
        <v>4147</v>
      </c>
      <c r="F4807" s="328">
        <v>13.18398</v>
      </c>
      <c r="G4807" s="328">
        <v>6978.2784000000001</v>
      </c>
      <c r="H4807" s="328">
        <v>8039.771999999999</v>
      </c>
      <c r="I4807" s="329">
        <v>8.0603527851559297E-3</v>
      </c>
      <c r="J4807" s="329">
        <v>0.77886139587341274</v>
      </c>
      <c r="K4807" s="329">
        <v>0.96110705458238699</v>
      </c>
    </row>
    <row r="4808" spans="1:11" ht="11.25" x14ac:dyDescent="0.15">
      <c r="A4808" s="326">
        <v>1.2250000000000001</v>
      </c>
      <c r="B4808" s="327">
        <v>25</v>
      </c>
      <c r="C4808" s="327" t="s">
        <v>111</v>
      </c>
      <c r="D4808" s="327" t="s">
        <v>79</v>
      </c>
      <c r="E4808" s="328" t="s">
        <v>4148</v>
      </c>
      <c r="F4808" s="328">
        <v>103.42536575000001</v>
      </c>
      <c r="G4808" s="328">
        <v>8253.2255750000004</v>
      </c>
      <c r="H4808" s="328">
        <v>8644.1230749999995</v>
      </c>
      <c r="I4808" s="329">
        <v>6.3231659550362126E-2</v>
      </c>
      <c r="J4808" s="329">
        <v>0.92116112647535675</v>
      </c>
      <c r="K4808" s="329">
        <v>1.0333536408819675</v>
      </c>
    </row>
    <row r="4809" spans="1:11" ht="11.25" x14ac:dyDescent="0.15">
      <c r="A4809" s="326">
        <v>1.2250000000000001</v>
      </c>
      <c r="B4809" s="327">
        <v>25</v>
      </c>
      <c r="C4809" s="327" t="s">
        <v>111</v>
      </c>
      <c r="D4809" s="327" t="s">
        <v>114</v>
      </c>
      <c r="E4809" s="328" t="s">
        <v>4149</v>
      </c>
      <c r="F4809" s="328">
        <v>24.58889825</v>
      </c>
      <c r="G4809" s="328">
        <v>7637.773325000001</v>
      </c>
      <c r="H4809" s="328">
        <v>8516.9166249999998</v>
      </c>
      <c r="I4809" s="329">
        <v>1.5033032096021328E-2</v>
      </c>
      <c r="J4809" s="329">
        <v>0.85246911233495903</v>
      </c>
      <c r="K4809" s="329">
        <v>1.0181468643112659</v>
      </c>
    </row>
    <row r="4810" spans="1:11" ht="11.25" x14ac:dyDescent="0.15">
      <c r="A4810" s="326">
        <v>1.2250000000000001</v>
      </c>
      <c r="B4810" s="327">
        <v>25</v>
      </c>
      <c r="C4810" s="327" t="s">
        <v>111</v>
      </c>
      <c r="D4810" s="327" t="s">
        <v>113</v>
      </c>
      <c r="E4810" s="328" t="s">
        <v>4150</v>
      </c>
      <c r="F4810" s="328">
        <v>14.715434999999999</v>
      </c>
      <c r="G4810" s="328">
        <v>7300.278475000001</v>
      </c>
      <c r="H4810" s="328">
        <v>8394.3798750000005</v>
      </c>
      <c r="I4810" s="329">
        <v>8.9966457387701624E-3</v>
      </c>
      <c r="J4810" s="329">
        <v>0.81480055070647939</v>
      </c>
      <c r="K4810" s="329">
        <v>1.0034983226771752</v>
      </c>
    </row>
    <row r="4811" spans="1:11" ht="11.25" x14ac:dyDescent="0.15">
      <c r="A4811" s="326">
        <v>1.25</v>
      </c>
      <c r="B4811" s="327">
        <v>25</v>
      </c>
      <c r="C4811" s="327" t="s">
        <v>111</v>
      </c>
      <c r="D4811" s="327" t="s">
        <v>79</v>
      </c>
      <c r="E4811" s="328" t="s">
        <v>4151</v>
      </c>
      <c r="F4811" s="328">
        <v>113.61022500000001</v>
      </c>
      <c r="G4811" s="328">
        <v>8715.76</v>
      </c>
      <c r="H4811" s="328">
        <v>9014.9</v>
      </c>
      <c r="I4811" s="329">
        <v>6.9458425566554405E-2</v>
      </c>
      <c r="J4811" s="329">
        <v>0.97278563717057442</v>
      </c>
      <c r="K4811" s="329">
        <v>1.0776778229973141</v>
      </c>
    </row>
    <row r="4812" spans="1:11" ht="11.25" x14ac:dyDescent="0.15">
      <c r="A4812" s="326">
        <v>1.25</v>
      </c>
      <c r="B4812" s="327">
        <v>25</v>
      </c>
      <c r="C4812" s="327" t="s">
        <v>111</v>
      </c>
      <c r="D4812" s="327" t="s">
        <v>114</v>
      </c>
      <c r="E4812" s="328" t="s">
        <v>4152</v>
      </c>
      <c r="F4812" s="328">
        <v>27.2196</v>
      </c>
      <c r="G4812" s="328">
        <v>8028.8824999999997</v>
      </c>
      <c r="H4812" s="328">
        <v>8883.59</v>
      </c>
      <c r="I4812" s="329">
        <v>1.6641376782339654E-2</v>
      </c>
      <c r="J4812" s="329">
        <v>0.89612168973562534</v>
      </c>
      <c r="K4812" s="329">
        <v>1.0619804913643756</v>
      </c>
    </row>
    <row r="4813" spans="1:11" ht="11.25" x14ac:dyDescent="0.15">
      <c r="A4813" s="326">
        <v>1.25</v>
      </c>
      <c r="B4813" s="327">
        <v>25</v>
      </c>
      <c r="C4813" s="327" t="s">
        <v>111</v>
      </c>
      <c r="D4813" s="327" t="s">
        <v>113</v>
      </c>
      <c r="E4813" s="328" t="s">
        <v>4153</v>
      </c>
      <c r="F4813" s="328">
        <v>16.4266875</v>
      </c>
      <c r="G4813" s="328">
        <v>7639.8962499999998</v>
      </c>
      <c r="H4813" s="328">
        <v>8756.9312499999996</v>
      </c>
      <c r="I4813" s="329">
        <v>1.004286234820677E-2</v>
      </c>
      <c r="J4813" s="329">
        <v>0.85270605678372646</v>
      </c>
      <c r="K4813" s="329">
        <v>1.046839189079984</v>
      </c>
    </row>
    <row r="4814" spans="1:11" ht="11.25" x14ac:dyDescent="0.15">
      <c r="A4814" s="326">
        <v>1.2749999999999999</v>
      </c>
      <c r="B4814" s="327">
        <v>25</v>
      </c>
      <c r="C4814" s="327" t="s">
        <v>111</v>
      </c>
      <c r="D4814" s="327" t="s">
        <v>79</v>
      </c>
      <c r="E4814" s="328" t="s">
        <v>4154</v>
      </c>
      <c r="F4814" s="328">
        <v>124.77717375</v>
      </c>
      <c r="G4814" s="328">
        <v>9202.8301499999998</v>
      </c>
      <c r="H4814" s="328">
        <v>9393.6224249999996</v>
      </c>
      <c r="I4814" s="329">
        <v>7.6285616328278558E-2</v>
      </c>
      <c r="J4814" s="329">
        <v>1.0271486354879347</v>
      </c>
      <c r="K4814" s="329">
        <v>1.1229518425088187</v>
      </c>
    </row>
    <row r="4815" spans="1:11" ht="11.25" x14ac:dyDescent="0.15">
      <c r="A4815" s="326">
        <v>1.2749999999999999</v>
      </c>
      <c r="B4815" s="327">
        <v>25</v>
      </c>
      <c r="C4815" s="327" t="s">
        <v>111</v>
      </c>
      <c r="D4815" s="327" t="s">
        <v>114</v>
      </c>
      <c r="E4815" s="328" t="s">
        <v>4155</v>
      </c>
      <c r="F4815" s="328">
        <v>30.139342499999998</v>
      </c>
      <c r="G4815" s="328">
        <v>8440.6721249999991</v>
      </c>
      <c r="H4815" s="328">
        <v>9257.4141749999981</v>
      </c>
      <c r="I4815" s="329">
        <v>1.842643369169579E-2</v>
      </c>
      <c r="J4815" s="329">
        <v>0.94208245881782315</v>
      </c>
      <c r="K4815" s="329">
        <v>1.1066689541424168</v>
      </c>
    </row>
    <row r="4816" spans="1:11" ht="11.25" x14ac:dyDescent="0.15">
      <c r="A4816" s="326">
        <v>1.2749999999999999</v>
      </c>
      <c r="B4816" s="327">
        <v>25</v>
      </c>
      <c r="C4816" s="327" t="s">
        <v>111</v>
      </c>
      <c r="D4816" s="327" t="s">
        <v>113</v>
      </c>
      <c r="E4816" s="328" t="s">
        <v>4156</v>
      </c>
      <c r="F4816" s="328">
        <v>18.339204749999997</v>
      </c>
      <c r="G4816" s="328">
        <v>7996.133174999999</v>
      </c>
      <c r="H4816" s="328">
        <v>9126.8592749999989</v>
      </c>
      <c r="I4816" s="329">
        <v>1.1212127148570259E-2</v>
      </c>
      <c r="J4816" s="329">
        <v>0.89246646368683191</v>
      </c>
      <c r="K4816" s="329">
        <v>1.0910618902355926</v>
      </c>
    </row>
    <row r="4817" spans="1:11" ht="11.25" x14ac:dyDescent="0.15">
      <c r="A4817" s="326">
        <v>1.3</v>
      </c>
      <c r="B4817" s="327">
        <v>25</v>
      </c>
      <c r="C4817" s="327" t="s">
        <v>111</v>
      </c>
      <c r="D4817" s="327" t="s">
        <v>79</v>
      </c>
      <c r="E4817" s="328" t="s">
        <v>4157</v>
      </c>
      <c r="F4817" s="328">
        <v>137.02233999999999</v>
      </c>
      <c r="G4817" s="328">
        <v>9715.6215000000011</v>
      </c>
      <c r="H4817" s="328">
        <v>9780.5461000000014</v>
      </c>
      <c r="I4817" s="329">
        <v>8.3772002069753035E-2</v>
      </c>
      <c r="J4817" s="329">
        <v>1.0843824349667306</v>
      </c>
      <c r="K4817" s="329">
        <v>1.169206272811997</v>
      </c>
    </row>
    <row r="4818" spans="1:11" ht="11.25" x14ac:dyDescent="0.15">
      <c r="A4818" s="326">
        <v>1.3</v>
      </c>
      <c r="B4818" s="327">
        <v>25</v>
      </c>
      <c r="C4818" s="327" t="s">
        <v>111</v>
      </c>
      <c r="D4818" s="327" t="s">
        <v>114</v>
      </c>
      <c r="E4818" s="328" t="s">
        <v>4158</v>
      </c>
      <c r="F4818" s="328">
        <v>33.381374000000001</v>
      </c>
      <c r="G4818" s="328">
        <v>8875.8670000000002</v>
      </c>
      <c r="H4818" s="328">
        <v>9639.6937000000016</v>
      </c>
      <c r="I4818" s="329">
        <v>2.0408529965399807E-2</v>
      </c>
      <c r="J4818" s="329">
        <v>0.99065554065695638</v>
      </c>
      <c r="K4818" s="329">
        <v>1.1523682038599348</v>
      </c>
    </row>
    <row r="4819" spans="1:11" ht="11.25" x14ac:dyDescent="0.15">
      <c r="A4819" s="326">
        <v>1.3</v>
      </c>
      <c r="B4819" s="327">
        <v>25</v>
      </c>
      <c r="C4819" s="327" t="s">
        <v>111</v>
      </c>
      <c r="D4819" s="327" t="s">
        <v>113</v>
      </c>
      <c r="E4819" s="328" t="s">
        <v>4159</v>
      </c>
      <c r="F4819" s="328">
        <v>20.477028000000001</v>
      </c>
      <c r="G4819" s="328">
        <v>8371.2680999999993</v>
      </c>
      <c r="H4819" s="328">
        <v>9504.5496000000003</v>
      </c>
      <c r="I4819" s="329">
        <v>1.2519138353631906E-2</v>
      </c>
      <c r="J4819" s="329">
        <v>0.93433611900559477</v>
      </c>
      <c r="K4819" s="329">
        <v>1.1362125283140128</v>
      </c>
    </row>
    <row r="4820" spans="1:11" ht="11.25" x14ac:dyDescent="0.15">
      <c r="A4820" s="326">
        <v>1.325</v>
      </c>
      <c r="B4820" s="327">
        <v>25</v>
      </c>
      <c r="C4820" s="327" t="s">
        <v>111</v>
      </c>
      <c r="D4820" s="327" t="s">
        <v>79</v>
      </c>
      <c r="E4820" s="328" t="s">
        <v>4160</v>
      </c>
      <c r="F4820" s="328">
        <v>150.45189499999998</v>
      </c>
      <c r="G4820" s="328">
        <v>10253.528399999999</v>
      </c>
      <c r="H4820" s="328">
        <v>10175.08575</v>
      </c>
      <c r="I4820" s="329">
        <v>9.1982493214889383E-2</v>
      </c>
      <c r="J4820" s="329">
        <v>1.1444194376440584</v>
      </c>
      <c r="K4820" s="329">
        <v>1.216371147752165</v>
      </c>
    </row>
    <row r="4821" spans="1:11" ht="11.25" x14ac:dyDescent="0.15">
      <c r="A4821" s="326">
        <v>1.325</v>
      </c>
      <c r="B4821" s="327">
        <v>25</v>
      </c>
      <c r="C4821" s="327" t="s">
        <v>111</v>
      </c>
      <c r="D4821" s="327" t="s">
        <v>114</v>
      </c>
      <c r="E4821" s="328" t="s">
        <v>4161</v>
      </c>
      <c r="F4821" s="328">
        <v>36.982896499999995</v>
      </c>
      <c r="G4821" s="328">
        <v>9333.5543999999991</v>
      </c>
      <c r="H4821" s="328">
        <v>10029.205899999999</v>
      </c>
      <c r="I4821" s="329">
        <v>2.2610409967772135E-2</v>
      </c>
      <c r="J4821" s="329">
        <v>1.0417390639565818</v>
      </c>
      <c r="K4821" s="329">
        <v>1.198932076972991</v>
      </c>
    </row>
    <row r="4822" spans="1:11" ht="11.25" x14ac:dyDescent="0.15">
      <c r="A4822" s="326">
        <v>1.325</v>
      </c>
      <c r="B4822" s="327">
        <v>25</v>
      </c>
      <c r="C4822" s="327" t="s">
        <v>111</v>
      </c>
      <c r="D4822" s="327" t="s">
        <v>113</v>
      </c>
      <c r="E4822" s="328" t="s">
        <v>4162</v>
      </c>
      <c r="F4822" s="328">
        <v>22.867128249999997</v>
      </c>
      <c r="G4822" s="328">
        <v>8765.3480249999993</v>
      </c>
      <c r="H4822" s="328">
        <v>9889.7933749999993</v>
      </c>
      <c r="I4822" s="329">
        <v>1.3980385352405367E-2</v>
      </c>
      <c r="J4822" s="329">
        <v>0.97832026851605136</v>
      </c>
      <c r="K4822" s="329">
        <v>1.1822661365365406</v>
      </c>
    </row>
    <row r="4823" spans="1:11" ht="11.25" x14ac:dyDescent="0.15">
      <c r="A4823" s="326">
        <v>1.35</v>
      </c>
      <c r="B4823" s="327">
        <v>25</v>
      </c>
      <c r="C4823" s="327" t="s">
        <v>111</v>
      </c>
      <c r="D4823" s="327" t="s">
        <v>79</v>
      </c>
      <c r="E4823" s="328" t="s">
        <v>4163</v>
      </c>
      <c r="F4823" s="328">
        <v>165.18384000000003</v>
      </c>
      <c r="G4823" s="328">
        <v>10817.5041</v>
      </c>
      <c r="H4823" s="328">
        <v>10578.1005</v>
      </c>
      <c r="I4823" s="329">
        <v>0.1009892327511686</v>
      </c>
      <c r="J4823" s="329">
        <v>1.20736603790304</v>
      </c>
      <c r="K4823" s="329">
        <v>1.2645491706271617</v>
      </c>
    </row>
    <row r="4824" spans="1:11" ht="11.25" x14ac:dyDescent="0.15">
      <c r="A4824" s="326">
        <v>1.35</v>
      </c>
      <c r="B4824" s="327">
        <v>25</v>
      </c>
      <c r="C4824" s="327" t="s">
        <v>111</v>
      </c>
      <c r="D4824" s="327" t="s">
        <v>114</v>
      </c>
      <c r="E4824" s="328" t="s">
        <v>4164</v>
      </c>
      <c r="F4824" s="328">
        <v>40.985608500000005</v>
      </c>
      <c r="G4824" s="328">
        <v>9815.2695000000003</v>
      </c>
      <c r="H4824" s="328">
        <v>10426.730400000002</v>
      </c>
      <c r="I4824" s="329">
        <v>2.5057567109801865E-2</v>
      </c>
      <c r="J4824" s="329">
        <v>1.095504373061948</v>
      </c>
      <c r="K4824" s="329">
        <v>1.246453773025981</v>
      </c>
    </row>
    <row r="4825" spans="1:11" ht="11.25" x14ac:dyDescent="0.15">
      <c r="A4825" s="326">
        <v>1.35</v>
      </c>
      <c r="B4825" s="327">
        <v>25</v>
      </c>
      <c r="C4825" s="327" t="s">
        <v>111</v>
      </c>
      <c r="D4825" s="327" t="s">
        <v>113</v>
      </c>
      <c r="E4825" s="328" t="s">
        <v>4165</v>
      </c>
      <c r="F4825" s="328">
        <v>25.539812999999999</v>
      </c>
      <c r="G4825" s="328">
        <v>9180.6965999999993</v>
      </c>
      <c r="H4825" s="328">
        <v>10283.063400000001</v>
      </c>
      <c r="I4825" s="329">
        <v>1.5614397385835812E-2</v>
      </c>
      <c r="J4825" s="329">
        <v>1.0246782600370736</v>
      </c>
      <c r="K4825" s="329">
        <v>1.2292792353387569</v>
      </c>
    </row>
    <row r="4826" spans="1:11" ht="11.25" x14ac:dyDescent="0.15">
      <c r="A4826" s="326">
        <v>1.375</v>
      </c>
      <c r="B4826" s="327">
        <v>25</v>
      </c>
      <c r="C4826" s="327" t="s">
        <v>111</v>
      </c>
      <c r="D4826" s="327" t="s">
        <v>79</v>
      </c>
      <c r="E4826" s="328" t="s">
        <v>4166</v>
      </c>
      <c r="F4826" s="328">
        <v>181.34875</v>
      </c>
      <c r="G4826" s="328">
        <v>11407.331375</v>
      </c>
      <c r="H4826" s="328">
        <v>10989.244749999998</v>
      </c>
      <c r="I4826" s="329">
        <v>0.11087205093962874</v>
      </c>
      <c r="J4826" s="329">
        <v>1.2731979907713451</v>
      </c>
      <c r="K4826" s="329">
        <v>1.3136990270069175</v>
      </c>
    </row>
    <row r="4827" spans="1:11" ht="11.25" x14ac:dyDescent="0.15">
      <c r="A4827" s="326">
        <v>1.375</v>
      </c>
      <c r="B4827" s="327">
        <v>25</v>
      </c>
      <c r="C4827" s="327" t="s">
        <v>111</v>
      </c>
      <c r="D4827" s="327" t="s">
        <v>114</v>
      </c>
      <c r="E4827" s="328" t="s">
        <v>4167</v>
      </c>
      <c r="F4827" s="328">
        <v>45.436242500000006</v>
      </c>
      <c r="G4827" s="328">
        <v>10321.13775</v>
      </c>
      <c r="H4827" s="328">
        <v>10831.962625</v>
      </c>
      <c r="I4827" s="329">
        <v>2.777857246308742E-2</v>
      </c>
      <c r="J4827" s="329">
        <v>1.1519654697305821</v>
      </c>
      <c r="K4827" s="329">
        <v>1.2948968818842441</v>
      </c>
    </row>
    <row r="4828" spans="1:11" ht="11.25" x14ac:dyDescent="0.15">
      <c r="A4828" s="326">
        <v>1.375</v>
      </c>
      <c r="B4828" s="327">
        <v>25</v>
      </c>
      <c r="C4828" s="327" t="s">
        <v>111</v>
      </c>
      <c r="D4828" s="327" t="s">
        <v>113</v>
      </c>
      <c r="E4828" s="328" t="s">
        <v>4168</v>
      </c>
      <c r="F4828" s="328">
        <v>28.529104999999998</v>
      </c>
      <c r="G4828" s="328">
        <v>9616.9906250000004</v>
      </c>
      <c r="H4828" s="328">
        <v>10683.839375</v>
      </c>
      <c r="I4828" s="329">
        <v>1.7441975104995299E-2</v>
      </c>
      <c r="J4828" s="329">
        <v>1.0733740204874922</v>
      </c>
      <c r="K4828" s="329">
        <v>1.2771896259418278</v>
      </c>
    </row>
    <row r="4829" spans="1:11" ht="11.25" x14ac:dyDescent="0.15">
      <c r="A4829" s="326">
        <v>1.4</v>
      </c>
      <c r="B4829" s="327">
        <v>25</v>
      </c>
      <c r="C4829" s="327" t="s">
        <v>111</v>
      </c>
      <c r="D4829" s="327" t="s">
        <v>79</v>
      </c>
      <c r="E4829" s="328" t="s">
        <v>4169</v>
      </c>
      <c r="F4829" s="328">
        <v>199.09190000000001</v>
      </c>
      <c r="G4829" s="328">
        <v>12023.948999999999</v>
      </c>
      <c r="H4829" s="328">
        <v>11407.914000000001</v>
      </c>
      <c r="I4829" s="329">
        <v>0.12171976525047716</v>
      </c>
      <c r="J4829" s="329">
        <v>1.342020075044688</v>
      </c>
      <c r="K4829" s="329">
        <v>1.3637484525020336</v>
      </c>
    </row>
    <row r="4830" spans="1:11" ht="11.25" x14ac:dyDescent="0.15">
      <c r="A4830" s="326">
        <v>1.4</v>
      </c>
      <c r="B4830" s="327">
        <v>25</v>
      </c>
      <c r="C4830" s="327" t="s">
        <v>111</v>
      </c>
      <c r="D4830" s="327" t="s">
        <v>114</v>
      </c>
      <c r="E4830" s="328" t="s">
        <v>4170</v>
      </c>
      <c r="F4830" s="328">
        <v>50.387260000000005</v>
      </c>
      <c r="G4830" s="328">
        <v>10851.532999999999</v>
      </c>
      <c r="H4830" s="328">
        <v>11245.204599999997</v>
      </c>
      <c r="I4830" s="329">
        <v>3.0805499665304104E-2</v>
      </c>
      <c r="J4830" s="329">
        <v>1.2111640802044243</v>
      </c>
      <c r="K4830" s="329">
        <v>1.3442975088450653</v>
      </c>
    </row>
    <row r="4831" spans="1:11" ht="11.25" x14ac:dyDescent="0.15">
      <c r="A4831" s="326">
        <v>1.4</v>
      </c>
      <c r="B4831" s="327">
        <v>25</v>
      </c>
      <c r="C4831" s="327" t="s">
        <v>111</v>
      </c>
      <c r="D4831" s="327" t="s">
        <v>113</v>
      </c>
      <c r="E4831" s="328" t="s">
        <v>4171</v>
      </c>
      <c r="F4831" s="328">
        <v>31.873239999999999</v>
      </c>
      <c r="G4831" s="328">
        <v>10076.179400000001</v>
      </c>
      <c r="H4831" s="328">
        <v>11092.884599999999</v>
      </c>
      <c r="I4831" s="329">
        <v>1.9486494882876293E-2</v>
      </c>
      <c r="J4831" s="329">
        <v>1.1246251156381104</v>
      </c>
      <c r="K4831" s="329">
        <v>1.3260885563332294</v>
      </c>
    </row>
    <row r="4832" spans="1:11" ht="11.25" x14ac:dyDescent="0.15">
      <c r="A4832" s="326">
        <v>0.9</v>
      </c>
      <c r="B4832" s="327">
        <v>50</v>
      </c>
      <c r="C4832" s="327" t="s">
        <v>111</v>
      </c>
      <c r="D4832" s="327" t="s">
        <v>79</v>
      </c>
      <c r="E4832" s="328" t="s">
        <v>4172</v>
      </c>
      <c r="F4832" s="328">
        <v>63.415079999999996</v>
      </c>
      <c r="G4832" s="328">
        <v>4093.4870999999998</v>
      </c>
      <c r="H4832" s="328">
        <v>4548.5540999999994</v>
      </c>
      <c r="I4832" s="329">
        <v>3.8770380165844158E-2</v>
      </c>
      <c r="J4832" s="329">
        <v>0.45688333052115093</v>
      </c>
      <c r="K4832" s="329">
        <v>0.54375266284412549</v>
      </c>
    </row>
    <row r="4833" spans="1:11" ht="11.25" x14ac:dyDescent="0.15">
      <c r="A4833" s="326">
        <v>0.9</v>
      </c>
      <c r="B4833" s="327">
        <v>50</v>
      </c>
      <c r="C4833" s="327" t="s">
        <v>111</v>
      </c>
      <c r="D4833" s="327" t="s">
        <v>114</v>
      </c>
      <c r="E4833" s="328" t="s">
        <v>4173</v>
      </c>
      <c r="F4833" s="328">
        <v>13.850541</v>
      </c>
      <c r="G4833" s="328">
        <v>4011.0210000000006</v>
      </c>
      <c r="H4833" s="328">
        <v>4470.9002999999993</v>
      </c>
      <c r="I4833" s="329">
        <v>8.4678713654955783E-3</v>
      </c>
      <c r="J4833" s="329">
        <v>0.44767910304890851</v>
      </c>
      <c r="K4833" s="329">
        <v>0.53446961165870255</v>
      </c>
    </row>
    <row r="4834" spans="1:11" ht="11.25" x14ac:dyDescent="0.15">
      <c r="A4834" s="326">
        <v>0.9</v>
      </c>
      <c r="B4834" s="327">
        <v>50</v>
      </c>
      <c r="C4834" s="327" t="s">
        <v>111</v>
      </c>
      <c r="D4834" s="327" t="s">
        <v>113</v>
      </c>
      <c r="E4834" s="328" t="s">
        <v>4174</v>
      </c>
      <c r="F4834" s="328">
        <v>6.1602695999999995</v>
      </c>
      <c r="G4834" s="328">
        <v>3980.4804000000004</v>
      </c>
      <c r="H4834" s="328">
        <v>4394.5244999999995</v>
      </c>
      <c r="I4834" s="329">
        <v>3.7662334308510327E-3</v>
      </c>
      <c r="J4834" s="329">
        <v>0.44427039778045552</v>
      </c>
      <c r="K4834" s="329">
        <v>0.52533933779280517</v>
      </c>
    </row>
    <row r="4835" spans="1:11" ht="11.25" x14ac:dyDescent="0.15">
      <c r="A4835" s="326">
        <v>0.92500000000000004</v>
      </c>
      <c r="B4835" s="327">
        <v>50</v>
      </c>
      <c r="C4835" s="327" t="s">
        <v>111</v>
      </c>
      <c r="D4835" s="327" t="s">
        <v>79</v>
      </c>
      <c r="E4835" s="328" t="s">
        <v>4175</v>
      </c>
      <c r="F4835" s="328">
        <v>69.12027350000001</v>
      </c>
      <c r="G4835" s="328">
        <v>4332.8295000000007</v>
      </c>
      <c r="H4835" s="328">
        <v>4818.2343500000006</v>
      </c>
      <c r="I4835" s="329">
        <v>4.2258391549172915E-2</v>
      </c>
      <c r="J4835" s="329">
        <v>0.48359687576401389</v>
      </c>
      <c r="K4835" s="329">
        <v>0.5759913371195331</v>
      </c>
    </row>
    <row r="4836" spans="1:11" ht="11.25" x14ac:dyDescent="0.15">
      <c r="A4836" s="326">
        <v>0.92500000000000004</v>
      </c>
      <c r="B4836" s="327">
        <v>50</v>
      </c>
      <c r="C4836" s="327" t="s">
        <v>111</v>
      </c>
      <c r="D4836" s="327" t="s">
        <v>114</v>
      </c>
      <c r="E4836" s="328" t="s">
        <v>4176</v>
      </c>
      <c r="F4836" s="328">
        <v>15.125489000000002</v>
      </c>
      <c r="G4836" s="328">
        <v>4228.1241250000012</v>
      </c>
      <c r="H4836" s="328">
        <v>4737.3773249999995</v>
      </c>
      <c r="I4836" s="329">
        <v>9.2473424101064614E-3</v>
      </c>
      <c r="J4836" s="329">
        <v>0.47191047263513491</v>
      </c>
      <c r="K4836" s="329">
        <v>0.56632535938533302</v>
      </c>
    </row>
    <row r="4837" spans="1:11" ht="11.25" x14ac:dyDescent="0.15">
      <c r="A4837" s="326">
        <v>0.92500000000000004</v>
      </c>
      <c r="B4837" s="327">
        <v>50</v>
      </c>
      <c r="C4837" s="327" t="s">
        <v>111</v>
      </c>
      <c r="D4837" s="327" t="s">
        <v>113</v>
      </c>
      <c r="E4837" s="328" t="s">
        <v>4177</v>
      </c>
      <c r="F4837" s="328">
        <v>6.7726640749999998</v>
      </c>
      <c r="G4837" s="328">
        <v>4189.0160500000002</v>
      </c>
      <c r="H4837" s="328">
        <v>4657.9346250000008</v>
      </c>
      <c r="I4837" s="329">
        <v>4.1406359642423424E-3</v>
      </c>
      <c r="J4837" s="329">
        <v>0.46754553215290606</v>
      </c>
      <c r="K4837" s="329">
        <v>0.5568284558157951</v>
      </c>
    </row>
    <row r="4838" spans="1:11" ht="11.25" x14ac:dyDescent="0.15">
      <c r="A4838" s="326">
        <v>0.95</v>
      </c>
      <c r="B4838" s="327">
        <v>50</v>
      </c>
      <c r="C4838" s="327" t="s">
        <v>111</v>
      </c>
      <c r="D4838" s="327" t="s">
        <v>79</v>
      </c>
      <c r="E4838" s="328" t="s">
        <v>4178</v>
      </c>
      <c r="F4838" s="328">
        <v>75.287338500000004</v>
      </c>
      <c r="G4838" s="328">
        <v>4584.204099999999</v>
      </c>
      <c r="H4838" s="328">
        <v>5095.6565499999997</v>
      </c>
      <c r="I4838" s="329">
        <v>4.6028779516159177E-2</v>
      </c>
      <c r="J4838" s="329">
        <v>0.51165336199464628</v>
      </c>
      <c r="K4838" s="329">
        <v>0.60915551559595826</v>
      </c>
    </row>
    <row r="4839" spans="1:11" ht="11.25" x14ac:dyDescent="0.15">
      <c r="A4839" s="326">
        <v>0.95</v>
      </c>
      <c r="B4839" s="327">
        <v>50</v>
      </c>
      <c r="C4839" s="327" t="s">
        <v>111</v>
      </c>
      <c r="D4839" s="327" t="s">
        <v>114</v>
      </c>
      <c r="E4839" s="328" t="s">
        <v>4179</v>
      </c>
      <c r="F4839" s="328">
        <v>16.507826999999999</v>
      </c>
      <c r="G4839" s="328">
        <v>4453.7719499999994</v>
      </c>
      <c r="H4839" s="328">
        <v>5011.7269000000006</v>
      </c>
      <c r="I4839" s="329">
        <v>1.0092468991633956E-2</v>
      </c>
      <c r="J4839" s="329">
        <v>0.49709553546600421</v>
      </c>
      <c r="K4839" s="329">
        <v>0.59912222376832558</v>
      </c>
    </row>
    <row r="4840" spans="1:11" ht="11.25" x14ac:dyDescent="0.15">
      <c r="A4840" s="326">
        <v>0.95</v>
      </c>
      <c r="B4840" s="327">
        <v>50</v>
      </c>
      <c r="C4840" s="327" t="s">
        <v>111</v>
      </c>
      <c r="D4840" s="327" t="s">
        <v>113</v>
      </c>
      <c r="E4840" s="328" t="s">
        <v>4180</v>
      </c>
      <c r="F4840" s="328">
        <v>7.443415299999999</v>
      </c>
      <c r="G4840" s="328">
        <v>4403.4162500000002</v>
      </c>
      <c r="H4840" s="328">
        <v>4928.8498500000005</v>
      </c>
      <c r="I4840" s="329">
        <v>4.5507163424419071E-3</v>
      </c>
      <c r="J4840" s="329">
        <v>0.49147522218183054</v>
      </c>
      <c r="K4840" s="329">
        <v>0.58921476402718154</v>
      </c>
    </row>
    <row r="4841" spans="1:11" ht="11.25" x14ac:dyDescent="0.15">
      <c r="A4841" s="326">
        <v>0.97499999999999998</v>
      </c>
      <c r="B4841" s="327">
        <v>50</v>
      </c>
      <c r="C4841" s="327" t="s">
        <v>111</v>
      </c>
      <c r="D4841" s="327" t="s">
        <v>79</v>
      </c>
      <c r="E4841" s="328" t="s">
        <v>4181</v>
      </c>
      <c r="F4841" s="328">
        <v>81.962955749999992</v>
      </c>
      <c r="G4841" s="328">
        <v>4849.4121000000005</v>
      </c>
      <c r="H4841" s="328">
        <v>5381.0357250000006</v>
      </c>
      <c r="I4841" s="329">
        <v>5.0110083499756874E-2</v>
      </c>
      <c r="J4841" s="329">
        <v>0.54125382520872456</v>
      </c>
      <c r="K4841" s="329">
        <v>0.64327090323672742</v>
      </c>
    </row>
    <row r="4842" spans="1:11" ht="11.25" x14ac:dyDescent="0.15">
      <c r="A4842" s="326">
        <v>0.97499999999999998</v>
      </c>
      <c r="B4842" s="327">
        <v>50</v>
      </c>
      <c r="C4842" s="327" t="s">
        <v>111</v>
      </c>
      <c r="D4842" s="327" t="s">
        <v>114</v>
      </c>
      <c r="E4842" s="328" t="s">
        <v>4182</v>
      </c>
      <c r="F4842" s="328">
        <v>18.011067749999999</v>
      </c>
      <c r="G4842" s="328">
        <v>4689.47505</v>
      </c>
      <c r="H4842" s="328">
        <v>5293.8941249999998</v>
      </c>
      <c r="I4842" s="329">
        <v>1.1011512464547476E-2</v>
      </c>
      <c r="J4842" s="329">
        <v>0.52340289022526565</v>
      </c>
      <c r="K4842" s="329">
        <v>0.63285364183831994</v>
      </c>
    </row>
    <row r="4843" spans="1:11" ht="11.25" x14ac:dyDescent="0.15">
      <c r="A4843" s="326">
        <v>0.97499999999999998</v>
      </c>
      <c r="B4843" s="327">
        <v>50</v>
      </c>
      <c r="C4843" s="327" t="s">
        <v>111</v>
      </c>
      <c r="D4843" s="327" t="s">
        <v>113</v>
      </c>
      <c r="E4843" s="328" t="s">
        <v>4183</v>
      </c>
      <c r="F4843" s="328">
        <v>8.1815545500000013</v>
      </c>
      <c r="G4843" s="328">
        <v>4625.502375</v>
      </c>
      <c r="H4843" s="328">
        <v>5207.8347749999994</v>
      </c>
      <c r="I4843" s="329">
        <v>5.0019960591564669E-3</v>
      </c>
      <c r="J4843" s="329">
        <v>0.51626275564017132</v>
      </c>
      <c r="K4843" s="329">
        <v>0.62256575700803185</v>
      </c>
    </row>
    <row r="4844" spans="1:11" ht="11.25" x14ac:dyDescent="0.15">
      <c r="A4844" s="326">
        <v>1</v>
      </c>
      <c r="B4844" s="327">
        <v>50</v>
      </c>
      <c r="C4844" s="327" t="s">
        <v>111</v>
      </c>
      <c r="D4844" s="327" t="s">
        <v>79</v>
      </c>
      <c r="E4844" s="328" t="s">
        <v>4184</v>
      </c>
      <c r="F4844" s="328">
        <v>89.189710000000005</v>
      </c>
      <c r="G4844" s="328">
        <v>5128.9160000000002</v>
      </c>
      <c r="H4844" s="328">
        <v>5674.2259999999997</v>
      </c>
      <c r="I4844" s="329">
        <v>5.4528338741848037E-2</v>
      </c>
      <c r="J4844" s="329">
        <v>0.57244988607469161</v>
      </c>
      <c r="K4844" s="329">
        <v>0.6783200615508499</v>
      </c>
    </row>
    <row r="4845" spans="1:11" ht="11.25" x14ac:dyDescent="0.15">
      <c r="A4845" s="326">
        <v>1</v>
      </c>
      <c r="B4845" s="327">
        <v>50</v>
      </c>
      <c r="C4845" s="327" t="s">
        <v>111</v>
      </c>
      <c r="D4845" s="327" t="s">
        <v>114</v>
      </c>
      <c r="E4845" s="328" t="s">
        <v>4185</v>
      </c>
      <c r="F4845" s="328">
        <v>19.646660000000001</v>
      </c>
      <c r="G4845" s="328">
        <v>4933.7539999999999</v>
      </c>
      <c r="H4845" s="328">
        <v>5583.6290000000008</v>
      </c>
      <c r="I4845" s="329">
        <v>1.201147230578411E-2</v>
      </c>
      <c r="J4845" s="329">
        <v>0.55066741495094751</v>
      </c>
      <c r="K4845" s="329">
        <v>0.66748972757819502</v>
      </c>
    </row>
    <row r="4846" spans="1:11" ht="11.25" x14ac:dyDescent="0.15">
      <c r="A4846" s="326">
        <v>1</v>
      </c>
      <c r="B4846" s="327">
        <v>50</v>
      </c>
      <c r="C4846" s="327" t="s">
        <v>111</v>
      </c>
      <c r="D4846" s="327" t="s">
        <v>113</v>
      </c>
      <c r="E4846" s="328" t="s">
        <v>4186</v>
      </c>
      <c r="F4846" s="328">
        <v>8.9943880000000007</v>
      </c>
      <c r="G4846" s="328">
        <v>4854.7149999999992</v>
      </c>
      <c r="H4846" s="328">
        <v>5494.0199999999995</v>
      </c>
      <c r="I4846" s="329">
        <v>5.4989419254711461E-3</v>
      </c>
      <c r="J4846" s="329">
        <v>0.54184569384156334</v>
      </c>
      <c r="K4846" s="329">
        <v>0.65677750314520433</v>
      </c>
    </row>
    <row r="4847" spans="1:11" ht="11.25" x14ac:dyDescent="0.15">
      <c r="A4847" s="326">
        <v>1.0249999999999999</v>
      </c>
      <c r="B4847" s="327">
        <v>50</v>
      </c>
      <c r="C4847" s="327" t="s">
        <v>111</v>
      </c>
      <c r="D4847" s="327" t="s">
        <v>79</v>
      </c>
      <c r="E4847" s="328" t="s">
        <v>4187</v>
      </c>
      <c r="F4847" s="328">
        <v>97.003806499999996</v>
      </c>
      <c r="G4847" s="328">
        <v>5424.9191000000001</v>
      </c>
      <c r="H4847" s="328">
        <v>5974.9074499999997</v>
      </c>
      <c r="I4847" s="329">
        <v>5.9305680218947679E-2</v>
      </c>
      <c r="J4847" s="329">
        <v>0.60548745987639851</v>
      </c>
      <c r="K4847" s="329">
        <v>0.71426474540221552</v>
      </c>
    </row>
    <row r="4848" spans="1:11" ht="11.25" x14ac:dyDescent="0.15">
      <c r="A4848" s="326">
        <v>1.0249999999999999</v>
      </c>
      <c r="B4848" s="327">
        <v>50</v>
      </c>
      <c r="C4848" s="327" t="s">
        <v>111</v>
      </c>
      <c r="D4848" s="327" t="s">
        <v>114</v>
      </c>
      <c r="E4848" s="328" t="s">
        <v>4188</v>
      </c>
      <c r="F4848" s="328">
        <v>21.423811999999998</v>
      </c>
      <c r="G4848" s="328">
        <v>5189.8271500000001</v>
      </c>
      <c r="H4848" s="328">
        <v>5880.6351249999998</v>
      </c>
      <c r="I4848" s="329">
        <v>1.3097978207101119E-2</v>
      </c>
      <c r="J4848" s="329">
        <v>0.57924831694744872</v>
      </c>
      <c r="K4848" s="329">
        <v>0.70299504812605107</v>
      </c>
    </row>
    <row r="4849" spans="1:11" ht="11.25" x14ac:dyDescent="0.15">
      <c r="A4849" s="326">
        <v>1.0249999999999999</v>
      </c>
      <c r="B4849" s="327">
        <v>50</v>
      </c>
      <c r="C4849" s="327" t="s">
        <v>111</v>
      </c>
      <c r="D4849" s="327" t="s">
        <v>113</v>
      </c>
      <c r="E4849" s="328" t="s">
        <v>4189</v>
      </c>
      <c r="F4849" s="328">
        <v>9.8876819750000013</v>
      </c>
      <c r="G4849" s="328">
        <v>5091.3512999999994</v>
      </c>
      <c r="H4849" s="328">
        <v>5787.9945999999991</v>
      </c>
      <c r="I4849" s="329">
        <v>6.0450793270262352E-3</v>
      </c>
      <c r="J4849" s="329">
        <v>0.56825720515821132</v>
      </c>
      <c r="K4849" s="329">
        <v>0.69192042286084243</v>
      </c>
    </row>
    <row r="4850" spans="1:11" ht="11.25" x14ac:dyDescent="0.15">
      <c r="A4850" s="326">
        <v>1.05</v>
      </c>
      <c r="B4850" s="327">
        <v>50</v>
      </c>
      <c r="C4850" s="327" t="s">
        <v>111</v>
      </c>
      <c r="D4850" s="327" t="s">
        <v>79</v>
      </c>
      <c r="E4850" s="328" t="s">
        <v>4190</v>
      </c>
      <c r="F4850" s="328">
        <v>105.45402</v>
      </c>
      <c r="G4850" s="328">
        <v>5738.2898999999998</v>
      </c>
      <c r="H4850" s="328">
        <v>6283.8562499999998</v>
      </c>
      <c r="I4850" s="329">
        <v>6.4471927582785249E-2</v>
      </c>
      <c r="J4850" s="329">
        <v>0.64046348185826263</v>
      </c>
      <c r="K4850" s="329">
        <v>0.75119774190818156</v>
      </c>
    </row>
    <row r="4851" spans="1:11" ht="11.25" x14ac:dyDescent="0.15">
      <c r="A4851" s="326">
        <v>1.05</v>
      </c>
      <c r="B4851" s="327">
        <v>50</v>
      </c>
      <c r="C4851" s="327" t="s">
        <v>111</v>
      </c>
      <c r="D4851" s="327" t="s">
        <v>114</v>
      </c>
      <c r="E4851" s="328" t="s">
        <v>4191</v>
      </c>
      <c r="F4851" s="328">
        <v>23.355864000000004</v>
      </c>
      <c r="G4851" s="328">
        <v>5458.4922000000006</v>
      </c>
      <c r="H4851" s="328">
        <v>6185.3672999999999</v>
      </c>
      <c r="I4851" s="329">
        <v>1.4279186060819505E-2</v>
      </c>
      <c r="J4851" s="329">
        <v>0.60923462931145544</v>
      </c>
      <c r="K4851" s="329">
        <v>0.73942397212423594</v>
      </c>
    </row>
    <row r="4852" spans="1:11" ht="11.25" x14ac:dyDescent="0.15">
      <c r="A4852" s="326">
        <v>1.05</v>
      </c>
      <c r="B4852" s="327">
        <v>50</v>
      </c>
      <c r="C4852" s="327" t="s">
        <v>111</v>
      </c>
      <c r="D4852" s="327" t="s">
        <v>113</v>
      </c>
      <c r="E4852" s="328" t="s">
        <v>4192</v>
      </c>
      <c r="F4852" s="328">
        <v>10.870051500000001</v>
      </c>
      <c r="G4852" s="328">
        <v>5337.2151000000003</v>
      </c>
      <c r="H4852" s="328">
        <v>6089.5642500000004</v>
      </c>
      <c r="I4852" s="329">
        <v>6.6456752727790391E-3</v>
      </c>
      <c r="J4852" s="329">
        <v>0.59569861856796325</v>
      </c>
      <c r="K4852" s="329">
        <v>0.72797128575383774</v>
      </c>
    </row>
    <row r="4853" spans="1:11" ht="11.25" x14ac:dyDescent="0.15">
      <c r="A4853" s="326">
        <v>1.075</v>
      </c>
      <c r="B4853" s="327">
        <v>50</v>
      </c>
      <c r="C4853" s="327" t="s">
        <v>111</v>
      </c>
      <c r="D4853" s="327" t="s">
        <v>79</v>
      </c>
      <c r="E4853" s="328" t="s">
        <v>4193</v>
      </c>
      <c r="F4853" s="328">
        <v>114.59274249999999</v>
      </c>
      <c r="G4853" s="328">
        <v>6069.7122999999992</v>
      </c>
      <c r="H4853" s="328">
        <v>6600.1710499999999</v>
      </c>
      <c r="I4853" s="329">
        <v>7.0059111980489294E-2</v>
      </c>
      <c r="J4853" s="329">
        <v>0.67745428364222648</v>
      </c>
      <c r="K4853" s="329">
        <v>0.78901130002261777</v>
      </c>
    </row>
    <row r="4854" spans="1:11" ht="11.25" x14ac:dyDescent="0.15">
      <c r="A4854" s="326">
        <v>1.075</v>
      </c>
      <c r="B4854" s="327">
        <v>50</v>
      </c>
      <c r="C4854" s="327" t="s">
        <v>111</v>
      </c>
      <c r="D4854" s="327" t="s">
        <v>114</v>
      </c>
      <c r="E4854" s="328" t="s">
        <v>4194</v>
      </c>
      <c r="F4854" s="328">
        <v>25.457709250000001</v>
      </c>
      <c r="G4854" s="328">
        <v>5741.7018499999995</v>
      </c>
      <c r="H4854" s="328">
        <v>6498.5932250000005</v>
      </c>
      <c r="I4854" s="329">
        <v>1.5564201224283364E-2</v>
      </c>
      <c r="J4854" s="329">
        <v>0.64084429729544123</v>
      </c>
      <c r="K4854" s="329">
        <v>0.77686827355412647</v>
      </c>
    </row>
    <row r="4855" spans="1:11" ht="11.25" x14ac:dyDescent="0.15">
      <c r="A4855" s="326">
        <v>1.075</v>
      </c>
      <c r="B4855" s="327">
        <v>50</v>
      </c>
      <c r="C4855" s="327" t="s">
        <v>111</v>
      </c>
      <c r="D4855" s="327" t="s">
        <v>113</v>
      </c>
      <c r="E4855" s="328" t="s">
        <v>4195</v>
      </c>
      <c r="F4855" s="328">
        <v>11.951301749999999</v>
      </c>
      <c r="G4855" s="328">
        <v>5593.4163499999995</v>
      </c>
      <c r="H4855" s="328">
        <v>6398.8267749999995</v>
      </c>
      <c r="I4855" s="329">
        <v>7.3067243993734385E-3</v>
      </c>
      <c r="J4855" s="329">
        <v>0.62429381809447004</v>
      </c>
      <c r="K4855" s="329">
        <v>0.76494178622268949</v>
      </c>
    </row>
    <row r="4856" spans="1:11" ht="11.25" x14ac:dyDescent="0.15">
      <c r="A4856" s="326">
        <v>1.1000000000000001</v>
      </c>
      <c r="B4856" s="327">
        <v>50</v>
      </c>
      <c r="C4856" s="327" t="s">
        <v>111</v>
      </c>
      <c r="D4856" s="327" t="s">
        <v>79</v>
      </c>
      <c r="E4856" s="328" t="s">
        <v>4196</v>
      </c>
      <c r="F4856" s="328">
        <v>124.47545000000002</v>
      </c>
      <c r="G4856" s="328">
        <v>6420.6977999999999</v>
      </c>
      <c r="H4856" s="328">
        <v>6924.5869000000002</v>
      </c>
      <c r="I4856" s="329">
        <v>7.6101150038989582E-2</v>
      </c>
      <c r="J4856" s="329">
        <v>0.71662856715337564</v>
      </c>
      <c r="K4856" s="329">
        <v>0.82779329061306506</v>
      </c>
    </row>
    <row r="4857" spans="1:11" ht="11.25" x14ac:dyDescent="0.15">
      <c r="A4857" s="326">
        <v>1.1000000000000001</v>
      </c>
      <c r="B4857" s="327">
        <v>50</v>
      </c>
      <c r="C4857" s="327" t="s">
        <v>111</v>
      </c>
      <c r="D4857" s="327" t="s">
        <v>114</v>
      </c>
      <c r="E4857" s="328" t="s">
        <v>4197</v>
      </c>
      <c r="F4857" s="328">
        <v>27.745761999999999</v>
      </c>
      <c r="G4857" s="328">
        <v>6038.4929000000002</v>
      </c>
      <c r="H4857" s="328">
        <v>6818.9253000000008</v>
      </c>
      <c r="I4857" s="329">
        <v>1.6963058955867163E-2</v>
      </c>
      <c r="J4857" s="329">
        <v>0.67396981597433725</v>
      </c>
      <c r="K4857" s="329">
        <v>0.81516207306629107</v>
      </c>
    </row>
    <row r="4858" spans="1:11" ht="11.25" x14ac:dyDescent="0.15">
      <c r="A4858" s="326">
        <v>1.1000000000000001</v>
      </c>
      <c r="B4858" s="327">
        <v>50</v>
      </c>
      <c r="C4858" s="327" t="s">
        <v>111</v>
      </c>
      <c r="D4858" s="327" t="s">
        <v>113</v>
      </c>
      <c r="E4858" s="328" t="s">
        <v>4198</v>
      </c>
      <c r="F4858" s="328">
        <v>13.142316000000001</v>
      </c>
      <c r="G4858" s="328">
        <v>5859.5988000000007</v>
      </c>
      <c r="H4858" s="328">
        <v>6715.72</v>
      </c>
      <c r="I4858" s="329">
        <v>8.0348804665965317E-3</v>
      </c>
      <c r="J4858" s="329">
        <v>0.65400304187149871</v>
      </c>
      <c r="K4858" s="329">
        <v>0.80282449161493996</v>
      </c>
    </row>
    <row r="4859" spans="1:11" ht="11.25" x14ac:dyDescent="0.15">
      <c r="A4859" s="326">
        <v>1.125</v>
      </c>
      <c r="B4859" s="327">
        <v>50</v>
      </c>
      <c r="C4859" s="327" t="s">
        <v>111</v>
      </c>
      <c r="D4859" s="327" t="s">
        <v>79</v>
      </c>
      <c r="E4859" s="328" t="s">
        <v>4199</v>
      </c>
      <c r="F4859" s="328">
        <v>135.16582499999998</v>
      </c>
      <c r="G4859" s="328">
        <v>6792.1064999999999</v>
      </c>
      <c r="H4859" s="328">
        <v>7256.5841249999994</v>
      </c>
      <c r="I4859" s="329">
        <v>8.2636975632293802E-2</v>
      </c>
      <c r="J4859" s="329">
        <v>0.75808233009317594</v>
      </c>
      <c r="K4859" s="329">
        <v>0.86748158961573274</v>
      </c>
    </row>
    <row r="4860" spans="1:11" ht="11.25" x14ac:dyDescent="0.15">
      <c r="A4860" s="326">
        <v>1.125</v>
      </c>
      <c r="B4860" s="327">
        <v>50</v>
      </c>
      <c r="C4860" s="327" t="s">
        <v>111</v>
      </c>
      <c r="D4860" s="327" t="s">
        <v>114</v>
      </c>
      <c r="E4860" s="328" t="s">
        <v>4200</v>
      </c>
      <c r="F4860" s="328">
        <v>30.238177499999999</v>
      </c>
      <c r="G4860" s="328">
        <v>6351.4754999999996</v>
      </c>
      <c r="H4860" s="328">
        <v>7146.8842499999992</v>
      </c>
      <c r="I4860" s="329">
        <v>1.8486858917425873E-2</v>
      </c>
      <c r="J4860" s="329">
        <v>0.70890251007838578</v>
      </c>
      <c r="K4860" s="329">
        <v>0.85436762024579205</v>
      </c>
    </row>
    <row r="4861" spans="1:11" ht="11.25" x14ac:dyDescent="0.15">
      <c r="A4861" s="326">
        <v>1.125</v>
      </c>
      <c r="B4861" s="327">
        <v>50</v>
      </c>
      <c r="C4861" s="327" t="s">
        <v>111</v>
      </c>
      <c r="D4861" s="327" t="s">
        <v>113</v>
      </c>
      <c r="E4861" s="328" t="s">
        <v>4201</v>
      </c>
      <c r="F4861" s="328">
        <v>14.455237499999999</v>
      </c>
      <c r="G4861" s="328">
        <v>6136.9470000000001</v>
      </c>
      <c r="H4861" s="328">
        <v>7040.3613750000004</v>
      </c>
      <c r="I4861" s="329">
        <v>8.8375675511655379E-3</v>
      </c>
      <c r="J4861" s="329">
        <v>0.68495850019700466</v>
      </c>
      <c r="K4861" s="329">
        <v>0.84163344238143267</v>
      </c>
    </row>
    <row r="4862" spans="1:11" ht="11.25" x14ac:dyDescent="0.15">
      <c r="A4862" s="326">
        <v>1.1499999999999999</v>
      </c>
      <c r="B4862" s="327">
        <v>50</v>
      </c>
      <c r="C4862" s="327" t="s">
        <v>111</v>
      </c>
      <c r="D4862" s="327" t="s">
        <v>79</v>
      </c>
      <c r="E4862" s="328" t="s">
        <v>4202</v>
      </c>
      <c r="F4862" s="328">
        <v>146.73045499999998</v>
      </c>
      <c r="G4862" s="328">
        <v>7185.3287999999993</v>
      </c>
      <c r="H4862" s="328">
        <v>7596.7435999999998</v>
      </c>
      <c r="I4862" s="329">
        <v>8.9707298678126532E-2</v>
      </c>
      <c r="J4862" s="329">
        <v>0.80197075814250018</v>
      </c>
      <c r="K4862" s="329">
        <v>0.90814563719140295</v>
      </c>
    </row>
    <row r="4863" spans="1:11" ht="11.25" x14ac:dyDescent="0.15">
      <c r="A4863" s="326">
        <v>1.1499999999999999</v>
      </c>
      <c r="B4863" s="327">
        <v>50</v>
      </c>
      <c r="C4863" s="327" t="s">
        <v>111</v>
      </c>
      <c r="D4863" s="327" t="s">
        <v>114</v>
      </c>
      <c r="E4863" s="328" t="s">
        <v>4203</v>
      </c>
      <c r="F4863" s="328">
        <v>32.955273999999996</v>
      </c>
      <c r="G4863" s="328">
        <v>6682.6005499999992</v>
      </c>
      <c r="H4863" s="328">
        <v>7482.8153999999995</v>
      </c>
      <c r="I4863" s="329">
        <v>2.0148023174449352E-2</v>
      </c>
      <c r="J4863" s="329">
        <v>0.74586012395800017</v>
      </c>
      <c r="K4863" s="329">
        <v>0.89452619664807986</v>
      </c>
    </row>
    <row r="4864" spans="1:11" ht="11.25" x14ac:dyDescent="0.15">
      <c r="A4864" s="326">
        <v>1.1499999999999999</v>
      </c>
      <c r="B4864" s="327">
        <v>50</v>
      </c>
      <c r="C4864" s="327" t="s">
        <v>111</v>
      </c>
      <c r="D4864" s="327" t="s">
        <v>113</v>
      </c>
      <c r="E4864" s="328" t="s">
        <v>4204</v>
      </c>
      <c r="F4864" s="328">
        <v>15.90358</v>
      </c>
      <c r="G4864" s="328">
        <v>6428.4229499999992</v>
      </c>
      <c r="H4864" s="328">
        <v>7372.3509999999987</v>
      </c>
      <c r="I4864" s="329">
        <v>9.7230476189246445E-3</v>
      </c>
      <c r="J4864" s="329">
        <v>0.71749078857353721</v>
      </c>
      <c r="K4864" s="329">
        <v>0.88132083284917972</v>
      </c>
    </row>
    <row r="4865" spans="1:11" ht="11.25" x14ac:dyDescent="0.15">
      <c r="A4865" s="326">
        <v>1.175</v>
      </c>
      <c r="B4865" s="327">
        <v>50</v>
      </c>
      <c r="C4865" s="327" t="s">
        <v>111</v>
      </c>
      <c r="D4865" s="327" t="s">
        <v>79</v>
      </c>
      <c r="E4865" s="328" t="s">
        <v>4205</v>
      </c>
      <c r="F4865" s="328">
        <v>159.24258</v>
      </c>
      <c r="G4865" s="328">
        <v>7600.046875</v>
      </c>
      <c r="H4865" s="328">
        <v>7944.4993000000004</v>
      </c>
      <c r="I4865" s="329">
        <v>9.7356896264892384E-2</v>
      </c>
      <c r="J4865" s="329">
        <v>0.84825837813605554</v>
      </c>
      <c r="K4865" s="329">
        <v>0.94971776840871069</v>
      </c>
    </row>
    <row r="4866" spans="1:11" ht="11.25" x14ac:dyDescent="0.15">
      <c r="A4866" s="326">
        <v>1.175</v>
      </c>
      <c r="B4866" s="327">
        <v>50</v>
      </c>
      <c r="C4866" s="327" t="s">
        <v>111</v>
      </c>
      <c r="D4866" s="327" t="s">
        <v>114</v>
      </c>
      <c r="E4866" s="328" t="s">
        <v>4206</v>
      </c>
      <c r="F4866" s="328">
        <v>35.919303500000005</v>
      </c>
      <c r="G4866" s="328">
        <v>7032.1846500000001</v>
      </c>
      <c r="H4866" s="328">
        <v>7826.4893499999998</v>
      </c>
      <c r="I4866" s="329">
        <v>2.1960156038395552E-2</v>
      </c>
      <c r="J4866" s="329">
        <v>0.78487799405345982</v>
      </c>
      <c r="K4866" s="329">
        <v>0.93561037886384357</v>
      </c>
    </row>
    <row r="4867" spans="1:11" ht="11.25" x14ac:dyDescent="0.15">
      <c r="A4867" s="326">
        <v>1.175</v>
      </c>
      <c r="B4867" s="327">
        <v>50</v>
      </c>
      <c r="C4867" s="327" t="s">
        <v>111</v>
      </c>
      <c r="D4867" s="327" t="s">
        <v>113</v>
      </c>
      <c r="E4867" s="328" t="s">
        <v>4207</v>
      </c>
      <c r="F4867" s="328">
        <v>17.502412250000003</v>
      </c>
      <c r="G4867" s="328">
        <v>6733.9355750000004</v>
      </c>
      <c r="H4867" s="328">
        <v>7712.1160250000003</v>
      </c>
      <c r="I4867" s="329">
        <v>1.0700533323490689E-2</v>
      </c>
      <c r="J4867" s="329">
        <v>0.75158974191487304</v>
      </c>
      <c r="K4867" s="329">
        <v>0.92193772626703563</v>
      </c>
    </row>
    <row r="4868" spans="1:11" ht="11.25" x14ac:dyDescent="0.15">
      <c r="A4868" s="326">
        <v>1.2</v>
      </c>
      <c r="B4868" s="327">
        <v>50</v>
      </c>
      <c r="C4868" s="327" t="s">
        <v>111</v>
      </c>
      <c r="D4868" s="327" t="s">
        <v>79</v>
      </c>
      <c r="E4868" s="328" t="s">
        <v>4208</v>
      </c>
      <c r="F4868" s="328">
        <v>172.78211999999999</v>
      </c>
      <c r="G4868" s="328">
        <v>8037.6431999999995</v>
      </c>
      <c r="H4868" s="328">
        <v>8300.0244000000002</v>
      </c>
      <c r="I4868" s="329">
        <v>0.10563462946448235</v>
      </c>
      <c r="J4868" s="329">
        <v>0.8970994912275847</v>
      </c>
      <c r="K4868" s="329">
        <v>0.99221868531171598</v>
      </c>
    </row>
    <row r="4869" spans="1:11" ht="11.25" x14ac:dyDescent="0.15">
      <c r="A4869" s="326">
        <v>1.2</v>
      </c>
      <c r="B4869" s="327">
        <v>50</v>
      </c>
      <c r="C4869" s="327" t="s">
        <v>111</v>
      </c>
      <c r="D4869" s="327" t="s">
        <v>114</v>
      </c>
      <c r="E4869" s="328" t="s">
        <v>4209</v>
      </c>
      <c r="F4869" s="328">
        <v>39.154500000000006</v>
      </c>
      <c r="G4869" s="328">
        <v>7400.7839999999997</v>
      </c>
      <c r="H4869" s="328">
        <v>8177.8488000000007</v>
      </c>
      <c r="I4869" s="329">
        <v>2.3938073565523302E-2</v>
      </c>
      <c r="J4869" s="329">
        <v>0.82601819910160346</v>
      </c>
      <c r="K4869" s="329">
        <v>0.97761331701795895</v>
      </c>
    </row>
    <row r="4870" spans="1:11" ht="11.25" x14ac:dyDescent="0.15">
      <c r="A4870" s="326">
        <v>1.2</v>
      </c>
      <c r="B4870" s="327">
        <v>50</v>
      </c>
      <c r="C4870" s="327" t="s">
        <v>111</v>
      </c>
      <c r="D4870" s="327" t="s">
        <v>113</v>
      </c>
      <c r="E4870" s="328" t="s">
        <v>4210</v>
      </c>
      <c r="F4870" s="328">
        <v>19.268507999999997</v>
      </c>
      <c r="G4870" s="328">
        <v>7055.25</v>
      </c>
      <c r="H4870" s="328">
        <v>8059.8923999999997</v>
      </c>
      <c r="I4870" s="329">
        <v>1.178027971246917E-2</v>
      </c>
      <c r="J4870" s="329">
        <v>0.7874523698045488</v>
      </c>
      <c r="K4870" s="329">
        <v>0.96351232905795925</v>
      </c>
    </row>
    <row r="4871" spans="1:11" ht="11.25" x14ac:dyDescent="0.15">
      <c r="A4871" s="326">
        <v>1.2250000000000001</v>
      </c>
      <c r="B4871" s="327">
        <v>50</v>
      </c>
      <c r="C4871" s="327" t="s">
        <v>111</v>
      </c>
      <c r="D4871" s="327" t="s">
        <v>79</v>
      </c>
      <c r="E4871" s="328" t="s">
        <v>4211</v>
      </c>
      <c r="F4871" s="328">
        <v>187.43614750000003</v>
      </c>
      <c r="G4871" s="328">
        <v>8498.4656749999995</v>
      </c>
      <c r="H4871" s="328">
        <v>8663.2673749999994</v>
      </c>
      <c r="I4871" s="329">
        <v>0.1145937322068543</v>
      </c>
      <c r="J4871" s="329">
        <v>0.94853292732098293</v>
      </c>
      <c r="K4871" s="329">
        <v>1.0356422283922899</v>
      </c>
    </row>
    <row r="4872" spans="1:11" ht="11.25" x14ac:dyDescent="0.15">
      <c r="A4872" s="326">
        <v>1.2250000000000001</v>
      </c>
      <c r="B4872" s="327">
        <v>50</v>
      </c>
      <c r="C4872" s="327" t="s">
        <v>111</v>
      </c>
      <c r="D4872" s="327" t="s">
        <v>114</v>
      </c>
      <c r="E4872" s="328" t="s">
        <v>4212</v>
      </c>
      <c r="F4872" s="328">
        <v>42.688898000000009</v>
      </c>
      <c r="G4872" s="328">
        <v>7789.8191000000006</v>
      </c>
      <c r="H4872" s="328">
        <v>8536.9502750000011</v>
      </c>
      <c r="I4872" s="329">
        <v>2.6098915341917803E-2</v>
      </c>
      <c r="J4872" s="329">
        <v>0.86943928431221262</v>
      </c>
      <c r="K4872" s="329">
        <v>1.0205417683388971</v>
      </c>
    </row>
    <row r="4873" spans="1:11" ht="11.25" x14ac:dyDescent="0.15">
      <c r="A4873" s="326">
        <v>1.2250000000000001</v>
      </c>
      <c r="B4873" s="327">
        <v>50</v>
      </c>
      <c r="C4873" s="327" t="s">
        <v>111</v>
      </c>
      <c r="D4873" s="327" t="s">
        <v>113</v>
      </c>
      <c r="E4873" s="328" t="s">
        <v>4213</v>
      </c>
      <c r="F4873" s="328">
        <v>21.220699500000002</v>
      </c>
      <c r="G4873" s="328">
        <v>7392.8235500000001</v>
      </c>
      <c r="H4873" s="328">
        <v>8415.0480750000006</v>
      </c>
      <c r="I4873" s="329">
        <v>1.2973800348436667E-2</v>
      </c>
      <c r="J4873" s="329">
        <v>0.82512971531758306</v>
      </c>
      <c r="K4873" s="329">
        <v>1.005969083393464</v>
      </c>
    </row>
    <row r="4874" spans="1:11" ht="11.25" x14ac:dyDescent="0.15">
      <c r="A4874" s="326">
        <v>1.25</v>
      </c>
      <c r="B4874" s="327">
        <v>50</v>
      </c>
      <c r="C4874" s="327" t="s">
        <v>111</v>
      </c>
      <c r="D4874" s="327" t="s">
        <v>79</v>
      </c>
      <c r="E4874" s="328" t="s">
        <v>4214</v>
      </c>
      <c r="F4874" s="328">
        <v>203.30074999999999</v>
      </c>
      <c r="G4874" s="328">
        <v>8984.4549999999999</v>
      </c>
      <c r="H4874" s="328">
        <v>9034.9724999999999</v>
      </c>
      <c r="I4874" s="329">
        <v>0.12429294996554829</v>
      </c>
      <c r="J4874" s="329">
        <v>1.0027752923216509</v>
      </c>
      <c r="K4874" s="329">
        <v>1.0800773713120058</v>
      </c>
    </row>
    <row r="4875" spans="1:11" ht="11.25" x14ac:dyDescent="0.15">
      <c r="A4875" s="326">
        <v>1.25</v>
      </c>
      <c r="B4875" s="327">
        <v>50</v>
      </c>
      <c r="C4875" s="327" t="s">
        <v>111</v>
      </c>
      <c r="D4875" s="327" t="s">
        <v>114</v>
      </c>
      <c r="E4875" s="328" t="s">
        <v>4215</v>
      </c>
      <c r="F4875" s="328">
        <v>46.552700000000002</v>
      </c>
      <c r="G4875" s="328">
        <v>8200.8549999999996</v>
      </c>
      <c r="H4875" s="328">
        <v>8904.2199999999993</v>
      </c>
      <c r="I4875" s="329">
        <v>2.8461146414172994E-2</v>
      </c>
      <c r="J4875" s="329">
        <v>0.9153159284466863</v>
      </c>
      <c r="K4875" s="329">
        <v>1.0644466854972483</v>
      </c>
    </row>
    <row r="4876" spans="1:11" ht="11.25" x14ac:dyDescent="0.15">
      <c r="A4876" s="326">
        <v>1.25</v>
      </c>
      <c r="B4876" s="327">
        <v>50</v>
      </c>
      <c r="C4876" s="327" t="s">
        <v>111</v>
      </c>
      <c r="D4876" s="327" t="s">
        <v>113</v>
      </c>
      <c r="E4876" s="328" t="s">
        <v>4216</v>
      </c>
      <c r="F4876" s="328">
        <v>23.379712499999997</v>
      </c>
      <c r="G4876" s="328">
        <v>7747.36625</v>
      </c>
      <c r="H4876" s="328">
        <v>8777.9825000000001</v>
      </c>
      <c r="I4876" s="329">
        <v>1.4293766432103195E-2</v>
      </c>
      <c r="J4876" s="329">
        <v>0.86470102594610831</v>
      </c>
      <c r="K4876" s="329">
        <v>1.0493557411517067</v>
      </c>
    </row>
    <row r="4877" spans="1:11" ht="11.25" x14ac:dyDescent="0.15">
      <c r="A4877" s="326">
        <v>1.2749999999999999</v>
      </c>
      <c r="B4877" s="327">
        <v>50</v>
      </c>
      <c r="C4877" s="327" t="s">
        <v>111</v>
      </c>
      <c r="D4877" s="327" t="s">
        <v>79</v>
      </c>
      <c r="E4877" s="328" t="s">
        <v>4217</v>
      </c>
      <c r="F4877" s="328">
        <v>220.47886499999998</v>
      </c>
      <c r="G4877" s="328">
        <v>9494.2530749999987</v>
      </c>
      <c r="H4877" s="328">
        <v>9414.0696000000007</v>
      </c>
      <c r="I4877" s="329">
        <v>0.13479521613130238</v>
      </c>
      <c r="J4877" s="329">
        <v>1.0596750056245881</v>
      </c>
      <c r="K4877" s="329">
        <v>1.1253961809973705</v>
      </c>
    </row>
    <row r="4878" spans="1:11" ht="11.25" x14ac:dyDescent="0.15">
      <c r="A4878" s="326">
        <v>1.2749999999999999</v>
      </c>
      <c r="B4878" s="327">
        <v>50</v>
      </c>
      <c r="C4878" s="327" t="s">
        <v>111</v>
      </c>
      <c r="D4878" s="327" t="s">
        <v>114</v>
      </c>
      <c r="E4878" s="328" t="s">
        <v>4218</v>
      </c>
      <c r="F4878" s="328">
        <v>50.779794750000001</v>
      </c>
      <c r="G4878" s="328">
        <v>8633.8562999999995</v>
      </c>
      <c r="H4878" s="328">
        <v>9278.8532999999989</v>
      </c>
      <c r="I4878" s="329">
        <v>3.1045485509141321E-2</v>
      </c>
      <c r="J4878" s="329">
        <v>0.96364418043115885</v>
      </c>
      <c r="K4878" s="329">
        <v>1.1092318743697038</v>
      </c>
    </row>
    <row r="4879" spans="1:11" ht="11.25" x14ac:dyDescent="0.15">
      <c r="A4879" s="326">
        <v>1.2749999999999999</v>
      </c>
      <c r="B4879" s="327">
        <v>50</v>
      </c>
      <c r="C4879" s="327" t="s">
        <v>111</v>
      </c>
      <c r="D4879" s="327" t="s">
        <v>113</v>
      </c>
      <c r="E4879" s="328" t="s">
        <v>4219</v>
      </c>
      <c r="F4879" s="328">
        <v>25.769126999999997</v>
      </c>
      <c r="G4879" s="328">
        <v>8121.4082999999991</v>
      </c>
      <c r="H4879" s="328">
        <v>9148.564875</v>
      </c>
      <c r="I4879" s="329">
        <v>1.5754594180625792E-2</v>
      </c>
      <c r="J4879" s="329">
        <v>0.90644870302049274</v>
      </c>
      <c r="K4879" s="329">
        <v>1.0936566659685294</v>
      </c>
    </row>
    <row r="4880" spans="1:11" ht="11.25" x14ac:dyDescent="0.15">
      <c r="A4880" s="326">
        <v>1.3</v>
      </c>
      <c r="B4880" s="327">
        <v>50</v>
      </c>
      <c r="C4880" s="327" t="s">
        <v>111</v>
      </c>
      <c r="D4880" s="327" t="s">
        <v>79</v>
      </c>
      <c r="E4880" s="328" t="s">
        <v>4220</v>
      </c>
      <c r="F4880" s="328">
        <v>239.08742000000001</v>
      </c>
      <c r="G4880" s="328">
        <v>10030.2631</v>
      </c>
      <c r="H4880" s="328">
        <v>9801.4383999999991</v>
      </c>
      <c r="I4880" s="329">
        <v>0.14617201722793463</v>
      </c>
      <c r="J4880" s="329">
        <v>1.1195002938036385</v>
      </c>
      <c r="K4880" s="329">
        <v>1.1717038233540336</v>
      </c>
    </row>
    <row r="4881" spans="1:11" ht="11.25" x14ac:dyDescent="0.15">
      <c r="A4881" s="326">
        <v>1.3</v>
      </c>
      <c r="B4881" s="327">
        <v>50</v>
      </c>
      <c r="C4881" s="327" t="s">
        <v>111</v>
      </c>
      <c r="D4881" s="327" t="s">
        <v>114</v>
      </c>
      <c r="E4881" s="328" t="s">
        <v>4221</v>
      </c>
      <c r="F4881" s="328">
        <v>55.407845999999999</v>
      </c>
      <c r="G4881" s="328">
        <v>9088.9929000000011</v>
      </c>
      <c r="H4881" s="328">
        <v>9660.9305000000004</v>
      </c>
      <c r="I4881" s="329">
        <v>3.3874959293444834E-2</v>
      </c>
      <c r="J4881" s="329">
        <v>1.0144430031879408</v>
      </c>
      <c r="K4881" s="329">
        <v>1.1549069373335648</v>
      </c>
    </row>
    <row r="4882" spans="1:11" ht="11.25" x14ac:dyDescent="0.15">
      <c r="A4882" s="326">
        <v>1.3</v>
      </c>
      <c r="B4882" s="327">
        <v>50</v>
      </c>
      <c r="C4882" s="327" t="s">
        <v>111</v>
      </c>
      <c r="D4882" s="327" t="s">
        <v>113</v>
      </c>
      <c r="E4882" s="328" t="s">
        <v>4222</v>
      </c>
      <c r="F4882" s="328">
        <v>28.415139999999997</v>
      </c>
      <c r="G4882" s="328">
        <v>8513.8911000000007</v>
      </c>
      <c r="H4882" s="328">
        <v>9526.5650999999998</v>
      </c>
      <c r="I4882" s="329">
        <v>1.7372299778943508E-2</v>
      </c>
      <c r="J4882" s="329">
        <v>0.95025459380643607</v>
      </c>
      <c r="K4882" s="329">
        <v>1.1388443507537731</v>
      </c>
    </row>
    <row r="4883" spans="1:11" ht="11.25" x14ac:dyDescent="0.15">
      <c r="A4883" s="326">
        <v>1.325</v>
      </c>
      <c r="B4883" s="327">
        <v>50</v>
      </c>
      <c r="C4883" s="327" t="s">
        <v>111</v>
      </c>
      <c r="D4883" s="327" t="s">
        <v>79</v>
      </c>
      <c r="E4883" s="328" t="s">
        <v>4223</v>
      </c>
      <c r="F4883" s="328">
        <v>259.25122249999998</v>
      </c>
      <c r="G4883" s="328">
        <v>10592.640949999999</v>
      </c>
      <c r="H4883" s="328">
        <v>10196.512325</v>
      </c>
      <c r="I4883" s="329">
        <v>0.15849965741247746</v>
      </c>
      <c r="J4883" s="329">
        <v>1.1822685544192206</v>
      </c>
      <c r="K4883" s="329">
        <v>1.2189325677013922</v>
      </c>
    </row>
    <row r="4884" spans="1:11" ht="11.25" x14ac:dyDescent="0.15">
      <c r="A4884" s="326">
        <v>1.325</v>
      </c>
      <c r="B4884" s="327">
        <v>50</v>
      </c>
      <c r="C4884" s="327" t="s">
        <v>111</v>
      </c>
      <c r="D4884" s="327" t="s">
        <v>114</v>
      </c>
      <c r="E4884" s="328" t="s">
        <v>4224</v>
      </c>
      <c r="F4884" s="328">
        <v>60.478843249999997</v>
      </c>
      <c r="G4884" s="328">
        <v>9568.0118249999996</v>
      </c>
      <c r="H4884" s="328">
        <v>10051.234025</v>
      </c>
      <c r="I4884" s="329">
        <v>3.6975239088131683E-2</v>
      </c>
      <c r="J4884" s="329">
        <v>1.0679073861187338</v>
      </c>
      <c r="K4884" s="329">
        <v>1.2015654086566163</v>
      </c>
    </row>
    <row r="4885" spans="1:11" ht="11.25" x14ac:dyDescent="0.15">
      <c r="A4885" s="326">
        <v>1.325</v>
      </c>
      <c r="B4885" s="327">
        <v>50</v>
      </c>
      <c r="C4885" s="327" t="s">
        <v>111</v>
      </c>
      <c r="D4885" s="327" t="s">
        <v>113</v>
      </c>
      <c r="E4885" s="328" t="s">
        <v>4225</v>
      </c>
      <c r="F4885" s="328">
        <v>31.34694275</v>
      </c>
      <c r="G4885" s="328">
        <v>8927.6618499999986</v>
      </c>
      <c r="H4885" s="328">
        <v>9912.6270999999997</v>
      </c>
      <c r="I4885" s="329">
        <v>1.9164730020910681E-2</v>
      </c>
      <c r="J4885" s="329">
        <v>0.99643648071948709</v>
      </c>
      <c r="K4885" s="329">
        <v>1.1849957729217382</v>
      </c>
    </row>
    <row r="4886" spans="1:11" ht="11.25" x14ac:dyDescent="0.15">
      <c r="A4886" s="326">
        <v>1.35</v>
      </c>
      <c r="B4886" s="327">
        <v>50</v>
      </c>
      <c r="C4886" s="327" t="s">
        <v>111</v>
      </c>
      <c r="D4886" s="327" t="s">
        <v>79</v>
      </c>
      <c r="E4886" s="328" t="s">
        <v>4226</v>
      </c>
      <c r="F4886" s="328">
        <v>281.109825</v>
      </c>
      <c r="G4886" s="328">
        <v>11180.972700000002</v>
      </c>
      <c r="H4886" s="328">
        <v>10599.958350000003</v>
      </c>
      <c r="I4886" s="329">
        <v>0.17186345556299737</v>
      </c>
      <c r="J4886" s="329">
        <v>1.2479335883682316</v>
      </c>
      <c r="K4886" s="329">
        <v>1.2671621469445256</v>
      </c>
    </row>
    <row r="4887" spans="1:11" ht="11.25" x14ac:dyDescent="0.15">
      <c r="A4887" s="326">
        <v>1.35</v>
      </c>
      <c r="B4887" s="327">
        <v>50</v>
      </c>
      <c r="C4887" s="327" t="s">
        <v>111</v>
      </c>
      <c r="D4887" s="327" t="s">
        <v>114</v>
      </c>
      <c r="E4887" s="328" t="s">
        <v>4227</v>
      </c>
      <c r="F4887" s="328">
        <v>66.039934500000001</v>
      </c>
      <c r="G4887" s="328">
        <v>10071.0756</v>
      </c>
      <c r="H4887" s="328">
        <v>10449.09585</v>
      </c>
      <c r="I4887" s="329">
        <v>4.0375149991018662E-2</v>
      </c>
      <c r="J4887" s="329">
        <v>1.1240554690054596</v>
      </c>
      <c r="K4887" s="329">
        <v>1.2491274299125081</v>
      </c>
    </row>
    <row r="4888" spans="1:11" ht="11.25" x14ac:dyDescent="0.15">
      <c r="A4888" s="326">
        <v>1.35</v>
      </c>
      <c r="B4888" s="327">
        <v>50</v>
      </c>
      <c r="C4888" s="327" t="s">
        <v>111</v>
      </c>
      <c r="D4888" s="327" t="s">
        <v>113</v>
      </c>
      <c r="E4888" s="328" t="s">
        <v>4228</v>
      </c>
      <c r="F4888" s="328">
        <v>34.597529999999999</v>
      </c>
      <c r="G4888" s="328">
        <v>9361.371149999999</v>
      </c>
      <c r="H4888" s="328">
        <v>10305.85815</v>
      </c>
      <c r="I4888" s="329">
        <v>2.1152057064332305E-2</v>
      </c>
      <c r="J4888" s="329">
        <v>1.0448437541812741</v>
      </c>
      <c r="K4888" s="329">
        <v>1.2320042124938853</v>
      </c>
    </row>
    <row r="4889" spans="1:11" ht="11.25" x14ac:dyDescent="0.15">
      <c r="A4889" s="326">
        <v>1.375</v>
      </c>
      <c r="B4889" s="327">
        <v>50</v>
      </c>
      <c r="C4889" s="327" t="s">
        <v>111</v>
      </c>
      <c r="D4889" s="327" t="s">
        <v>79</v>
      </c>
      <c r="E4889" s="328" t="s">
        <v>4229</v>
      </c>
      <c r="F4889" s="328">
        <v>304.81659999999999</v>
      </c>
      <c r="G4889" s="328">
        <v>11794.304499999998</v>
      </c>
      <c r="H4889" s="328">
        <v>11010.929875000002</v>
      </c>
      <c r="I4889" s="329">
        <v>0.18635717975692931</v>
      </c>
      <c r="J4889" s="329">
        <v>1.3163889343001953</v>
      </c>
      <c r="K4889" s="329">
        <v>1.3162913550750523</v>
      </c>
    </row>
    <row r="4890" spans="1:11" ht="11.25" x14ac:dyDescent="0.15">
      <c r="A4890" s="326">
        <v>1.375</v>
      </c>
      <c r="B4890" s="327">
        <v>50</v>
      </c>
      <c r="C4890" s="327" t="s">
        <v>111</v>
      </c>
      <c r="D4890" s="327" t="s">
        <v>114</v>
      </c>
      <c r="E4890" s="328" t="s">
        <v>4230</v>
      </c>
      <c r="F4890" s="328">
        <v>72.142523750000009</v>
      </c>
      <c r="G4890" s="328">
        <v>10599.089875</v>
      </c>
      <c r="H4890" s="328">
        <v>10854.947124999999</v>
      </c>
      <c r="I4890" s="329">
        <v>4.4106119110958179E-2</v>
      </c>
      <c r="J4890" s="329">
        <v>1.1829883334878493</v>
      </c>
      <c r="K4890" s="329">
        <v>1.2976445425263676</v>
      </c>
    </row>
    <row r="4891" spans="1:11" ht="11.25" x14ac:dyDescent="0.15">
      <c r="A4891" s="326">
        <v>1.375</v>
      </c>
      <c r="B4891" s="327">
        <v>50</v>
      </c>
      <c r="C4891" s="327" t="s">
        <v>111</v>
      </c>
      <c r="D4891" s="327" t="s">
        <v>113</v>
      </c>
      <c r="E4891" s="328" t="s">
        <v>4231</v>
      </c>
      <c r="F4891" s="328">
        <v>38.203701250000002</v>
      </c>
      <c r="G4891" s="328">
        <v>9818.6646249999994</v>
      </c>
      <c r="H4891" s="328">
        <v>10707.437125</v>
      </c>
      <c r="I4891" s="329">
        <v>2.3356779195182531E-2</v>
      </c>
      <c r="J4891" s="329">
        <v>1.095883310622918</v>
      </c>
      <c r="K4891" s="329">
        <v>1.280010596983951</v>
      </c>
    </row>
    <row r="4892" spans="1:11" ht="11.25" x14ac:dyDescent="0.15">
      <c r="A4892" s="326">
        <v>1.4</v>
      </c>
      <c r="B4892" s="327">
        <v>50</v>
      </c>
      <c r="C4892" s="327" t="s">
        <v>111</v>
      </c>
      <c r="D4892" s="327" t="s">
        <v>79</v>
      </c>
      <c r="E4892" s="328" t="s">
        <v>4232</v>
      </c>
      <c r="F4892" s="328">
        <v>330.54154</v>
      </c>
      <c r="G4892" s="328">
        <v>12436.134199999999</v>
      </c>
      <c r="H4892" s="328">
        <v>11430.673799999999</v>
      </c>
      <c r="I4892" s="329">
        <v>0.20208475912044241</v>
      </c>
      <c r="J4892" s="329">
        <v>1.38802499514509</v>
      </c>
      <c r="K4892" s="329">
        <v>1.3664692515919683</v>
      </c>
    </row>
    <row r="4893" spans="1:11" ht="11.25" x14ac:dyDescent="0.15">
      <c r="A4893" s="326">
        <v>1.4</v>
      </c>
      <c r="B4893" s="327">
        <v>50</v>
      </c>
      <c r="C4893" s="327" t="s">
        <v>111</v>
      </c>
      <c r="D4893" s="327" t="s">
        <v>114</v>
      </c>
      <c r="E4893" s="328" t="s">
        <v>4233</v>
      </c>
      <c r="F4893" s="328">
        <v>78.845997999999994</v>
      </c>
      <c r="G4893" s="328">
        <v>11151.475999999999</v>
      </c>
      <c r="H4893" s="328">
        <v>11268.371799999999</v>
      </c>
      <c r="I4893" s="329">
        <v>4.8204454161618782E-2</v>
      </c>
      <c r="J4893" s="329">
        <v>1.2446413951339146</v>
      </c>
      <c r="K4893" s="329">
        <v>1.3470670101885018</v>
      </c>
    </row>
    <row r="4894" spans="1:11" ht="11.25" x14ac:dyDescent="0.15">
      <c r="A4894" s="326">
        <v>1.4</v>
      </c>
      <c r="B4894" s="327">
        <v>50</v>
      </c>
      <c r="C4894" s="327" t="s">
        <v>111</v>
      </c>
      <c r="D4894" s="327" t="s">
        <v>113</v>
      </c>
      <c r="E4894" s="328" t="s">
        <v>4234</v>
      </c>
      <c r="F4894" s="328">
        <v>42.206849999999996</v>
      </c>
      <c r="G4894" s="328">
        <v>10297.848399999999</v>
      </c>
      <c r="H4894" s="328">
        <v>11116.768599999999</v>
      </c>
      <c r="I4894" s="329">
        <v>2.580420335514454E-2</v>
      </c>
      <c r="J4894" s="329">
        <v>1.1493660928341278</v>
      </c>
      <c r="K4894" s="329">
        <v>1.3289437468649568</v>
      </c>
    </row>
    <row r="4895" spans="1:11" ht="11.25" x14ac:dyDescent="0.15">
      <c r="A4895" s="326">
        <v>0.9</v>
      </c>
      <c r="B4895" s="327">
        <v>75</v>
      </c>
      <c r="C4895" s="327" t="s">
        <v>111</v>
      </c>
      <c r="D4895" s="327" t="s">
        <v>79</v>
      </c>
      <c r="E4895" s="328" t="s">
        <v>4235</v>
      </c>
      <c r="F4895" s="328">
        <v>133.76772</v>
      </c>
      <c r="G4895" s="328">
        <v>4136.2398000000003</v>
      </c>
      <c r="H4895" s="328">
        <v>4562.7021000000004</v>
      </c>
      <c r="I4895" s="329">
        <v>8.1782209504713946E-2</v>
      </c>
      <c r="J4895" s="329">
        <v>0.46165505582224492</v>
      </c>
      <c r="K4895" s="329">
        <v>0.54544397232507003</v>
      </c>
    </row>
    <row r="4896" spans="1:11" ht="11.25" x14ac:dyDescent="0.15">
      <c r="A4896" s="326">
        <v>0.9</v>
      </c>
      <c r="B4896" s="327">
        <v>75</v>
      </c>
      <c r="C4896" s="327" t="s">
        <v>111</v>
      </c>
      <c r="D4896" s="327" t="s">
        <v>114</v>
      </c>
      <c r="E4896" s="328" t="s">
        <v>4236</v>
      </c>
      <c r="F4896" s="328">
        <v>31.179815999999999</v>
      </c>
      <c r="G4896" s="328">
        <v>4022.8938000000007</v>
      </c>
      <c r="H4896" s="328">
        <v>4486.0464000000002</v>
      </c>
      <c r="I4896" s="329">
        <v>1.9062552941998503E-2</v>
      </c>
      <c r="J4896" s="329">
        <v>0.44900425304305691</v>
      </c>
      <c r="K4896" s="329">
        <v>0.53628023807440328</v>
      </c>
    </row>
    <row r="4897" spans="1:11" ht="11.25" x14ac:dyDescent="0.15">
      <c r="A4897" s="326">
        <v>0.9</v>
      </c>
      <c r="B4897" s="327">
        <v>75</v>
      </c>
      <c r="C4897" s="327" t="s">
        <v>111</v>
      </c>
      <c r="D4897" s="327" t="s">
        <v>113</v>
      </c>
      <c r="E4897" s="328" t="s">
        <v>4237</v>
      </c>
      <c r="F4897" s="328">
        <v>12.868749000000001</v>
      </c>
      <c r="G4897" s="328">
        <v>3978.7398000000003</v>
      </c>
      <c r="H4897" s="328">
        <v>4409.7075000000004</v>
      </c>
      <c r="I4897" s="329">
        <v>7.8676285039587894E-3</v>
      </c>
      <c r="J4897" s="329">
        <v>0.44407612548749897</v>
      </c>
      <c r="K4897" s="329">
        <v>0.52715437538463306</v>
      </c>
    </row>
    <row r="4898" spans="1:11" ht="11.25" x14ac:dyDescent="0.15">
      <c r="A4898" s="326">
        <v>0.92500000000000004</v>
      </c>
      <c r="B4898" s="327">
        <v>75</v>
      </c>
      <c r="C4898" s="327" t="s">
        <v>111</v>
      </c>
      <c r="D4898" s="327" t="s">
        <v>79</v>
      </c>
      <c r="E4898" s="328" t="s">
        <v>4238</v>
      </c>
      <c r="F4898" s="328">
        <v>144.74880999999999</v>
      </c>
      <c r="G4898" s="328">
        <v>4386.0586249999997</v>
      </c>
      <c r="H4898" s="328">
        <v>4832.7994000000008</v>
      </c>
      <c r="I4898" s="329">
        <v>8.8495770915270389E-2</v>
      </c>
      <c r="J4898" s="329">
        <v>0.48953789849515339</v>
      </c>
      <c r="K4898" s="329">
        <v>0.57773250245423979</v>
      </c>
    </row>
    <row r="4899" spans="1:11" ht="11.25" x14ac:dyDescent="0.15">
      <c r="A4899" s="326">
        <v>0.92500000000000004</v>
      </c>
      <c r="B4899" s="327">
        <v>75</v>
      </c>
      <c r="C4899" s="327" t="s">
        <v>111</v>
      </c>
      <c r="D4899" s="327" t="s">
        <v>114</v>
      </c>
      <c r="E4899" s="328" t="s">
        <v>4239</v>
      </c>
      <c r="F4899" s="328">
        <v>33.745739</v>
      </c>
      <c r="G4899" s="328">
        <v>4245.2061000000003</v>
      </c>
      <c r="H4899" s="328">
        <v>4752.8183500000005</v>
      </c>
      <c r="I4899" s="329">
        <v>2.0631293534713727E-2</v>
      </c>
      <c r="J4899" s="329">
        <v>0.47381703040341971</v>
      </c>
      <c r="K4899" s="329">
        <v>0.56817124233543215</v>
      </c>
    </row>
    <row r="4900" spans="1:11" ht="11.25" x14ac:dyDescent="0.15">
      <c r="A4900" s="326">
        <v>0.92500000000000004</v>
      </c>
      <c r="B4900" s="327">
        <v>75</v>
      </c>
      <c r="C4900" s="327" t="s">
        <v>111</v>
      </c>
      <c r="D4900" s="327" t="s">
        <v>113</v>
      </c>
      <c r="E4900" s="328" t="s">
        <v>4240</v>
      </c>
      <c r="F4900" s="328">
        <v>13.966556499999999</v>
      </c>
      <c r="G4900" s="328">
        <v>4189.7357000000002</v>
      </c>
      <c r="H4900" s="328">
        <v>4673.348825</v>
      </c>
      <c r="I4900" s="329">
        <v>8.538800315520248E-3</v>
      </c>
      <c r="J4900" s="329">
        <v>0.46762585391300387</v>
      </c>
      <c r="K4900" s="329">
        <v>0.55867113199625684</v>
      </c>
    </row>
    <row r="4901" spans="1:11" ht="11.25" x14ac:dyDescent="0.15">
      <c r="A4901" s="326">
        <v>0.95</v>
      </c>
      <c r="B4901" s="327">
        <v>75</v>
      </c>
      <c r="C4901" s="327" t="s">
        <v>111</v>
      </c>
      <c r="D4901" s="327" t="s">
        <v>79</v>
      </c>
      <c r="E4901" s="328" t="s">
        <v>4241</v>
      </c>
      <c r="F4901" s="328">
        <v>156.50167000000002</v>
      </c>
      <c r="G4901" s="328">
        <v>4649.1328000000003</v>
      </c>
      <c r="H4901" s="328">
        <v>5110.6133499999996</v>
      </c>
      <c r="I4901" s="329">
        <v>9.5681173034702291E-2</v>
      </c>
      <c r="J4901" s="329">
        <v>0.51890020068687259</v>
      </c>
      <c r="K4901" s="329">
        <v>0.6109435123194944</v>
      </c>
    </row>
    <row r="4902" spans="1:11" ht="11.25" x14ac:dyDescent="0.15">
      <c r="A4902" s="326">
        <v>0.95</v>
      </c>
      <c r="B4902" s="327">
        <v>75</v>
      </c>
      <c r="C4902" s="327" t="s">
        <v>111</v>
      </c>
      <c r="D4902" s="327" t="s">
        <v>114</v>
      </c>
      <c r="E4902" s="328" t="s">
        <v>4242</v>
      </c>
      <c r="F4902" s="328">
        <v>36.494591999999997</v>
      </c>
      <c r="G4902" s="328">
        <v>4476.9928</v>
      </c>
      <c r="H4902" s="328">
        <v>5027.3525</v>
      </c>
      <c r="I4902" s="329">
        <v>2.2311872914729036E-2</v>
      </c>
      <c r="J4902" s="329">
        <v>0.49968726692291593</v>
      </c>
      <c r="K4902" s="329">
        <v>0.60099017156486534</v>
      </c>
    </row>
    <row r="4903" spans="1:11" ht="11.25" x14ac:dyDescent="0.15">
      <c r="A4903" s="326">
        <v>0.95</v>
      </c>
      <c r="B4903" s="327">
        <v>75</v>
      </c>
      <c r="C4903" s="327" t="s">
        <v>111</v>
      </c>
      <c r="D4903" s="327" t="s">
        <v>113</v>
      </c>
      <c r="E4903" s="328" t="s">
        <v>4243</v>
      </c>
      <c r="F4903" s="328">
        <v>15.150324499999998</v>
      </c>
      <c r="G4903" s="328">
        <v>4407.9011999999993</v>
      </c>
      <c r="H4903" s="328">
        <v>4944.8953499999998</v>
      </c>
      <c r="I4903" s="329">
        <v>9.2625262082915109E-3</v>
      </c>
      <c r="J4903" s="329">
        <v>0.49197579756979753</v>
      </c>
      <c r="K4903" s="329">
        <v>0.59113290837807864</v>
      </c>
    </row>
    <row r="4904" spans="1:11" ht="11.25" x14ac:dyDescent="0.15">
      <c r="A4904" s="326">
        <v>0.97499999999999998</v>
      </c>
      <c r="B4904" s="327">
        <v>75</v>
      </c>
      <c r="C4904" s="327" t="s">
        <v>111</v>
      </c>
      <c r="D4904" s="327" t="s">
        <v>79</v>
      </c>
      <c r="E4904" s="328" t="s">
        <v>4244</v>
      </c>
      <c r="F4904" s="328">
        <v>169.08781499999998</v>
      </c>
      <c r="G4904" s="328">
        <v>4927.0503749999998</v>
      </c>
      <c r="H4904" s="328">
        <v>5396.3607750000001</v>
      </c>
      <c r="I4904" s="329">
        <v>0.103376024582196</v>
      </c>
      <c r="J4904" s="329">
        <v>0.54991920824069185</v>
      </c>
      <c r="K4904" s="329">
        <v>0.64510292206348363</v>
      </c>
    </row>
    <row r="4905" spans="1:11" ht="11.25" x14ac:dyDescent="0.15">
      <c r="A4905" s="326">
        <v>0.97499999999999998</v>
      </c>
      <c r="B4905" s="327">
        <v>75</v>
      </c>
      <c r="C4905" s="327" t="s">
        <v>111</v>
      </c>
      <c r="D4905" s="327" t="s">
        <v>114</v>
      </c>
      <c r="E4905" s="328" t="s">
        <v>4245</v>
      </c>
      <c r="F4905" s="328">
        <v>39.443537249999999</v>
      </c>
      <c r="G4905" s="328">
        <v>4719.2710500000003</v>
      </c>
      <c r="H4905" s="328">
        <v>5309.6696249999995</v>
      </c>
      <c r="I4905" s="329">
        <v>2.4114783648749402E-2</v>
      </c>
      <c r="J4905" s="329">
        <v>0.52672848900783131</v>
      </c>
      <c r="K4905" s="329">
        <v>0.63473950929072587</v>
      </c>
    </row>
    <row r="4906" spans="1:11" ht="11.25" x14ac:dyDescent="0.15">
      <c r="A4906" s="326">
        <v>0.97499999999999998</v>
      </c>
      <c r="B4906" s="327">
        <v>75</v>
      </c>
      <c r="C4906" s="327" t="s">
        <v>111</v>
      </c>
      <c r="D4906" s="327" t="s">
        <v>113</v>
      </c>
      <c r="E4906" s="328" t="s">
        <v>4246</v>
      </c>
      <c r="F4906" s="328">
        <v>16.430466000000003</v>
      </c>
      <c r="G4906" s="328">
        <v>4634.15355</v>
      </c>
      <c r="H4906" s="328">
        <v>5224.3200749999987</v>
      </c>
      <c r="I4906" s="329">
        <v>1.0045172427788105E-2</v>
      </c>
      <c r="J4906" s="329">
        <v>0.51722833279978209</v>
      </c>
      <c r="K4906" s="329">
        <v>0.62453647684024927</v>
      </c>
    </row>
    <row r="4907" spans="1:11" ht="11.25" x14ac:dyDescent="0.15">
      <c r="A4907" s="326">
        <v>1</v>
      </c>
      <c r="B4907" s="327">
        <v>75</v>
      </c>
      <c r="C4907" s="327" t="s">
        <v>111</v>
      </c>
      <c r="D4907" s="327" t="s">
        <v>79</v>
      </c>
      <c r="E4907" s="328" t="s">
        <v>4247</v>
      </c>
      <c r="F4907" s="328">
        <v>182.56609999999998</v>
      </c>
      <c r="G4907" s="328">
        <v>5221.1410000000005</v>
      </c>
      <c r="H4907" s="328">
        <v>5689.7039999999997</v>
      </c>
      <c r="I4907" s="329">
        <v>0.11161630802004067</v>
      </c>
      <c r="J4907" s="329">
        <v>0.58274332639292614</v>
      </c>
      <c r="K4907" s="329">
        <v>0.68017036464288116</v>
      </c>
    </row>
    <row r="4908" spans="1:11" ht="11.25" x14ac:dyDescent="0.15">
      <c r="A4908" s="326">
        <v>1</v>
      </c>
      <c r="B4908" s="327">
        <v>75</v>
      </c>
      <c r="C4908" s="327" t="s">
        <v>111</v>
      </c>
      <c r="D4908" s="327" t="s">
        <v>114</v>
      </c>
      <c r="E4908" s="328" t="s">
        <v>4248</v>
      </c>
      <c r="F4908" s="328">
        <v>42.607949999999995</v>
      </c>
      <c r="G4908" s="328">
        <v>4972.8519999999999</v>
      </c>
      <c r="H4908" s="328">
        <v>5599.9259999999995</v>
      </c>
      <c r="I4908" s="329">
        <v>2.6049425776759717E-2</v>
      </c>
      <c r="J4908" s="329">
        <v>0.55503123093969597</v>
      </c>
      <c r="K4908" s="329">
        <v>0.66943793726231648</v>
      </c>
    </row>
    <row r="4909" spans="1:11" ht="11.25" x14ac:dyDescent="0.15">
      <c r="A4909" s="326">
        <v>1</v>
      </c>
      <c r="B4909" s="327">
        <v>75</v>
      </c>
      <c r="C4909" s="327" t="s">
        <v>111</v>
      </c>
      <c r="D4909" s="327" t="s">
        <v>113</v>
      </c>
      <c r="E4909" s="328" t="s">
        <v>4249</v>
      </c>
      <c r="F4909" s="328">
        <v>17.815840000000001</v>
      </c>
      <c r="G4909" s="328">
        <v>4867.9140000000007</v>
      </c>
      <c r="H4909" s="328">
        <v>5511.107</v>
      </c>
      <c r="I4909" s="329">
        <v>1.0892155143127677E-2</v>
      </c>
      <c r="J4909" s="329">
        <v>0.54331886400974327</v>
      </c>
      <c r="K4909" s="329">
        <v>0.65882015264343019</v>
      </c>
    </row>
    <row r="4910" spans="1:11" ht="11.25" x14ac:dyDescent="0.15">
      <c r="A4910" s="326">
        <v>1.0249999999999999</v>
      </c>
      <c r="B4910" s="327">
        <v>75</v>
      </c>
      <c r="C4910" s="327" t="s">
        <v>111</v>
      </c>
      <c r="D4910" s="327" t="s">
        <v>79</v>
      </c>
      <c r="E4910" s="328" t="s">
        <v>4250</v>
      </c>
      <c r="F4910" s="328">
        <v>196.98777999999999</v>
      </c>
      <c r="G4910" s="328">
        <v>5531.6718250000004</v>
      </c>
      <c r="H4910" s="328">
        <v>5990.9148749999995</v>
      </c>
      <c r="I4910" s="329">
        <v>0.12043335936224747</v>
      </c>
      <c r="J4910" s="329">
        <v>0.61740237235779083</v>
      </c>
      <c r="K4910" s="329">
        <v>0.71617833811270515</v>
      </c>
    </row>
    <row r="4911" spans="1:11" ht="11.25" x14ac:dyDescent="0.15">
      <c r="A4911" s="326">
        <v>1.0249999999999999</v>
      </c>
      <c r="B4911" s="327">
        <v>75</v>
      </c>
      <c r="C4911" s="327" t="s">
        <v>111</v>
      </c>
      <c r="D4911" s="327" t="s">
        <v>114</v>
      </c>
      <c r="E4911" s="328" t="s">
        <v>4251</v>
      </c>
      <c r="F4911" s="328">
        <v>46.000964749999987</v>
      </c>
      <c r="G4911" s="328">
        <v>5238.5320749999992</v>
      </c>
      <c r="H4911" s="328">
        <v>5897.5271249999996</v>
      </c>
      <c r="I4911" s="329">
        <v>2.8123829400721341E-2</v>
      </c>
      <c r="J4911" s="329">
        <v>0.58468438350956942</v>
      </c>
      <c r="K4911" s="329">
        <v>0.70501438653092197</v>
      </c>
    </row>
    <row r="4912" spans="1:11" ht="11.25" x14ac:dyDescent="0.15">
      <c r="A4912" s="326">
        <v>1.0249999999999999</v>
      </c>
      <c r="B4912" s="327">
        <v>75</v>
      </c>
      <c r="C4912" s="327" t="s">
        <v>111</v>
      </c>
      <c r="D4912" s="327" t="s">
        <v>113</v>
      </c>
      <c r="E4912" s="328" t="s">
        <v>4252</v>
      </c>
      <c r="F4912" s="328">
        <v>19.313603499999999</v>
      </c>
      <c r="G4912" s="328">
        <v>5110.6479499999996</v>
      </c>
      <c r="H4912" s="328">
        <v>5805.152075</v>
      </c>
      <c r="I4912" s="329">
        <v>1.180784996356353E-2</v>
      </c>
      <c r="J4912" s="329">
        <v>0.57041094779976032</v>
      </c>
      <c r="K4912" s="329">
        <v>0.6939714972272949</v>
      </c>
    </row>
    <row r="4913" spans="1:11" ht="11.25" x14ac:dyDescent="0.15">
      <c r="A4913" s="326">
        <v>1.05</v>
      </c>
      <c r="B4913" s="327">
        <v>75</v>
      </c>
      <c r="C4913" s="327" t="s">
        <v>111</v>
      </c>
      <c r="D4913" s="327" t="s">
        <v>79</v>
      </c>
      <c r="E4913" s="328" t="s">
        <v>4253</v>
      </c>
      <c r="F4913" s="328">
        <v>212.41920000000002</v>
      </c>
      <c r="G4913" s="328">
        <v>5861.2469999999994</v>
      </c>
      <c r="H4913" s="328">
        <v>6300.2520000000004</v>
      </c>
      <c r="I4913" s="329">
        <v>0.12986774026815837</v>
      </c>
      <c r="J4913" s="329">
        <v>0.65418700119199202</v>
      </c>
      <c r="K4913" s="329">
        <v>0.75315775656906614</v>
      </c>
    </row>
    <row r="4914" spans="1:11" ht="11.25" x14ac:dyDescent="0.15">
      <c r="A4914" s="326">
        <v>1.05</v>
      </c>
      <c r="B4914" s="327">
        <v>75</v>
      </c>
      <c r="C4914" s="327" t="s">
        <v>111</v>
      </c>
      <c r="D4914" s="327" t="s">
        <v>114</v>
      </c>
      <c r="E4914" s="328" t="s">
        <v>4254</v>
      </c>
      <c r="F4914" s="328">
        <v>49.640408999999998</v>
      </c>
      <c r="G4914" s="328">
        <v>5518.5574500000002</v>
      </c>
      <c r="H4914" s="328">
        <v>6203.0146500000001</v>
      </c>
      <c r="I4914" s="329">
        <v>3.0348893804407279E-2</v>
      </c>
      <c r="J4914" s="329">
        <v>0.61593864737678305</v>
      </c>
      <c r="K4914" s="329">
        <v>0.74153360814123803</v>
      </c>
    </row>
    <row r="4915" spans="1:11" ht="11.25" x14ac:dyDescent="0.15">
      <c r="A4915" s="326">
        <v>1.05</v>
      </c>
      <c r="B4915" s="327">
        <v>75</v>
      </c>
      <c r="C4915" s="327" t="s">
        <v>111</v>
      </c>
      <c r="D4915" s="327" t="s">
        <v>113</v>
      </c>
      <c r="E4915" s="328" t="s">
        <v>4255</v>
      </c>
      <c r="F4915" s="328">
        <v>20.934060000000002</v>
      </c>
      <c r="G4915" s="328">
        <v>5363.6971500000009</v>
      </c>
      <c r="H4915" s="328">
        <v>6107.2630500000014</v>
      </c>
      <c r="I4915" s="329">
        <v>1.2798556189073509E-2</v>
      </c>
      <c r="J4915" s="329">
        <v>0.5986543399144475</v>
      </c>
      <c r="K4915" s="329">
        <v>0.7300870723131635</v>
      </c>
    </row>
    <row r="4916" spans="1:11" ht="11.25" x14ac:dyDescent="0.15">
      <c r="A4916" s="326">
        <v>1.075</v>
      </c>
      <c r="B4916" s="327">
        <v>75</v>
      </c>
      <c r="C4916" s="327" t="s">
        <v>111</v>
      </c>
      <c r="D4916" s="327" t="s">
        <v>79</v>
      </c>
      <c r="E4916" s="328" t="s">
        <v>4256</v>
      </c>
      <c r="F4916" s="328">
        <v>228.93103249999996</v>
      </c>
      <c r="G4916" s="328">
        <v>6209.6686999999993</v>
      </c>
      <c r="H4916" s="328">
        <v>6616.8733249999996</v>
      </c>
      <c r="I4916" s="329">
        <v>0.1399626581214472</v>
      </c>
      <c r="J4916" s="329">
        <v>0.69307513320096825</v>
      </c>
      <c r="K4916" s="329">
        <v>0.79100795792909506</v>
      </c>
    </row>
    <row r="4917" spans="1:11" ht="11.25" x14ac:dyDescent="0.15">
      <c r="A4917" s="326">
        <v>1.075</v>
      </c>
      <c r="B4917" s="327">
        <v>75</v>
      </c>
      <c r="C4917" s="327" t="s">
        <v>111</v>
      </c>
      <c r="D4917" s="327" t="s">
        <v>114</v>
      </c>
      <c r="E4917" s="328" t="s">
        <v>4257</v>
      </c>
      <c r="F4917" s="328">
        <v>53.545298499999994</v>
      </c>
      <c r="G4917" s="328">
        <v>5812.8894249999994</v>
      </c>
      <c r="H4917" s="328">
        <v>6515.8588</v>
      </c>
      <c r="I4917" s="329">
        <v>3.2736244737664996E-2</v>
      </c>
      <c r="J4917" s="329">
        <v>0.64878970314702544</v>
      </c>
      <c r="K4917" s="329">
        <v>0.77893227063438208</v>
      </c>
    </row>
    <row r="4918" spans="1:11" ht="11.25" x14ac:dyDescent="0.15">
      <c r="A4918" s="326">
        <v>1.075</v>
      </c>
      <c r="B4918" s="327">
        <v>75</v>
      </c>
      <c r="C4918" s="327" t="s">
        <v>111</v>
      </c>
      <c r="D4918" s="327" t="s">
        <v>113</v>
      </c>
      <c r="E4918" s="328" t="s">
        <v>4258</v>
      </c>
      <c r="F4918" s="328">
        <v>22.688681249999998</v>
      </c>
      <c r="G4918" s="328">
        <v>5627.1434000000008</v>
      </c>
      <c r="H4918" s="328">
        <v>6417.0856499999991</v>
      </c>
      <c r="I4918" s="329">
        <v>1.3871287358214485E-2</v>
      </c>
      <c r="J4918" s="329">
        <v>0.62805817023635269</v>
      </c>
      <c r="K4918" s="329">
        <v>0.76712452642617257</v>
      </c>
    </row>
    <row r="4919" spans="1:11" ht="11.25" x14ac:dyDescent="0.15">
      <c r="A4919" s="326">
        <v>1.1000000000000001</v>
      </c>
      <c r="B4919" s="327">
        <v>75</v>
      </c>
      <c r="C4919" s="327" t="s">
        <v>111</v>
      </c>
      <c r="D4919" s="327" t="s">
        <v>79</v>
      </c>
      <c r="E4919" s="328" t="s">
        <v>4259</v>
      </c>
      <c r="F4919" s="328">
        <v>246.59888000000004</v>
      </c>
      <c r="G4919" s="328">
        <v>6579.1814000000004</v>
      </c>
      <c r="H4919" s="328">
        <v>6941.6776000000009</v>
      </c>
      <c r="I4919" s="329">
        <v>0.15076433438342088</v>
      </c>
      <c r="J4919" s="329">
        <v>0.73431727930321533</v>
      </c>
      <c r="K4919" s="329">
        <v>0.82983638242434421</v>
      </c>
    </row>
    <row r="4920" spans="1:11" ht="11.25" x14ac:dyDescent="0.15">
      <c r="A4920" s="326">
        <v>1.1000000000000001</v>
      </c>
      <c r="B4920" s="327">
        <v>75</v>
      </c>
      <c r="C4920" s="327" t="s">
        <v>111</v>
      </c>
      <c r="D4920" s="327" t="s">
        <v>114</v>
      </c>
      <c r="E4920" s="328" t="s">
        <v>4260</v>
      </c>
      <c r="F4920" s="328">
        <v>57.737009000000008</v>
      </c>
      <c r="G4920" s="328">
        <v>6123.7484000000004</v>
      </c>
      <c r="H4920" s="328">
        <v>6836.825600000001</v>
      </c>
      <c r="I4920" s="329">
        <v>3.5298950794807264E-2</v>
      </c>
      <c r="J4920" s="329">
        <v>0.68348537467372728</v>
      </c>
      <c r="K4920" s="329">
        <v>0.81730194775541676</v>
      </c>
    </row>
    <row r="4921" spans="1:11" ht="11.25" x14ac:dyDescent="0.15">
      <c r="A4921" s="326">
        <v>1.1000000000000001</v>
      </c>
      <c r="B4921" s="327">
        <v>75</v>
      </c>
      <c r="C4921" s="327" t="s">
        <v>111</v>
      </c>
      <c r="D4921" s="327" t="s">
        <v>113</v>
      </c>
      <c r="E4921" s="328" t="s">
        <v>4261</v>
      </c>
      <c r="F4921" s="328">
        <v>24.590192000000002</v>
      </c>
      <c r="G4921" s="328">
        <v>5902.1754000000001</v>
      </c>
      <c r="H4921" s="328">
        <v>6733.9910000000009</v>
      </c>
      <c r="I4921" s="329">
        <v>1.503382306213443E-2</v>
      </c>
      <c r="J4921" s="329">
        <v>0.65875511225429451</v>
      </c>
      <c r="K4921" s="329">
        <v>0.8050086812902536</v>
      </c>
    </row>
    <row r="4922" spans="1:11" ht="11.25" x14ac:dyDescent="0.15">
      <c r="A4922" s="326">
        <v>1.125</v>
      </c>
      <c r="B4922" s="327">
        <v>75</v>
      </c>
      <c r="C4922" s="327" t="s">
        <v>111</v>
      </c>
      <c r="D4922" s="327" t="s">
        <v>79</v>
      </c>
      <c r="E4922" s="328" t="s">
        <v>4262</v>
      </c>
      <c r="F4922" s="328">
        <v>265.50382500000001</v>
      </c>
      <c r="G4922" s="328">
        <v>6969.7113749999999</v>
      </c>
      <c r="H4922" s="328">
        <v>7274.2072499999995</v>
      </c>
      <c r="I4922" s="329">
        <v>0.16232234084914438</v>
      </c>
      <c r="J4922" s="329">
        <v>0.7779052108851523</v>
      </c>
      <c r="K4922" s="329">
        <v>0.86958832967767563</v>
      </c>
    </row>
    <row r="4923" spans="1:11" ht="11.25" x14ac:dyDescent="0.15">
      <c r="A4923" s="326">
        <v>1.125</v>
      </c>
      <c r="B4923" s="327">
        <v>75</v>
      </c>
      <c r="C4923" s="327" t="s">
        <v>111</v>
      </c>
      <c r="D4923" s="327" t="s">
        <v>114</v>
      </c>
      <c r="E4923" s="328" t="s">
        <v>4263</v>
      </c>
      <c r="F4923" s="328">
        <v>62.238813749999998</v>
      </c>
      <c r="G4923" s="328">
        <v>6451.317</v>
      </c>
      <c r="H4923" s="328">
        <v>7165.3533749999997</v>
      </c>
      <c r="I4923" s="329">
        <v>3.8051240653779336E-2</v>
      </c>
      <c r="J4923" s="329">
        <v>0.72004604514515758</v>
      </c>
      <c r="K4923" s="329">
        <v>0.85657549458967452</v>
      </c>
    </row>
    <row r="4924" spans="1:11" ht="11.25" x14ac:dyDescent="0.15">
      <c r="A4924" s="326">
        <v>1.125</v>
      </c>
      <c r="B4924" s="327">
        <v>75</v>
      </c>
      <c r="C4924" s="327" t="s">
        <v>111</v>
      </c>
      <c r="D4924" s="327" t="s">
        <v>113</v>
      </c>
      <c r="E4924" s="328" t="s">
        <v>4264</v>
      </c>
      <c r="F4924" s="328">
        <v>26.65263375</v>
      </c>
      <c r="G4924" s="328">
        <v>6191.305875</v>
      </c>
      <c r="H4924" s="328">
        <v>7058.8777499999997</v>
      </c>
      <c r="I4924" s="329">
        <v>1.6294747919714185E-2</v>
      </c>
      <c r="J4924" s="329">
        <v>0.69102561687446595</v>
      </c>
      <c r="K4924" s="329">
        <v>0.84384696518255098</v>
      </c>
    </row>
    <row r="4925" spans="1:11" ht="11.25" x14ac:dyDescent="0.15">
      <c r="A4925" s="326">
        <v>1.1499999999999999</v>
      </c>
      <c r="B4925" s="327">
        <v>75</v>
      </c>
      <c r="C4925" s="327" t="s">
        <v>111</v>
      </c>
      <c r="D4925" s="327" t="s">
        <v>79</v>
      </c>
      <c r="E4925" s="328" t="s">
        <v>4265</v>
      </c>
      <c r="F4925" s="328">
        <v>285.73336999999998</v>
      </c>
      <c r="G4925" s="328">
        <v>7382.1765999999989</v>
      </c>
      <c r="H4925" s="328">
        <v>7614.5801000000001</v>
      </c>
      <c r="I4925" s="329">
        <v>0.17469017433972819</v>
      </c>
      <c r="J4925" s="329">
        <v>0.82394138520756688</v>
      </c>
      <c r="K4925" s="329">
        <v>0.91027788496895923</v>
      </c>
    </row>
    <row r="4926" spans="1:11" ht="11.25" x14ac:dyDescent="0.15">
      <c r="A4926" s="326">
        <v>1.1499999999999999</v>
      </c>
      <c r="B4926" s="327">
        <v>75</v>
      </c>
      <c r="C4926" s="327" t="s">
        <v>111</v>
      </c>
      <c r="D4926" s="327" t="s">
        <v>114</v>
      </c>
      <c r="E4926" s="328" t="s">
        <v>4266</v>
      </c>
      <c r="F4926" s="328">
        <v>67.075026499999993</v>
      </c>
      <c r="G4926" s="328">
        <v>6798.1329999999998</v>
      </c>
      <c r="H4926" s="328">
        <v>7501.6006499999994</v>
      </c>
      <c r="I4926" s="329">
        <v>4.1007979127978253E-2</v>
      </c>
      <c r="J4926" s="329">
        <v>0.75875496135452425</v>
      </c>
      <c r="K4926" s="329">
        <v>0.89677186186061253</v>
      </c>
    </row>
    <row r="4927" spans="1:11" ht="11.25" x14ac:dyDescent="0.15">
      <c r="A4927" s="326">
        <v>1.1499999999999999</v>
      </c>
      <c r="B4927" s="327">
        <v>75</v>
      </c>
      <c r="C4927" s="327" t="s">
        <v>111</v>
      </c>
      <c r="D4927" s="327" t="s">
        <v>113</v>
      </c>
      <c r="E4927" s="328" t="s">
        <v>4267</v>
      </c>
      <c r="F4927" s="328">
        <v>28.891599499999998</v>
      </c>
      <c r="G4927" s="328">
        <v>6494.4536499999995</v>
      </c>
      <c r="H4927" s="328">
        <v>7391.322549999998</v>
      </c>
      <c r="I4927" s="329">
        <v>1.7663595097795557E-2</v>
      </c>
      <c r="J4927" s="329">
        <v>0.72486062397197859</v>
      </c>
      <c r="K4927" s="329">
        <v>0.88358876912167128</v>
      </c>
    </row>
    <row r="4928" spans="1:11" ht="11.25" x14ac:dyDescent="0.15">
      <c r="A4928" s="326">
        <v>1.175</v>
      </c>
      <c r="B4928" s="327">
        <v>75</v>
      </c>
      <c r="C4928" s="327" t="s">
        <v>111</v>
      </c>
      <c r="D4928" s="327" t="s">
        <v>79</v>
      </c>
      <c r="E4928" s="328" t="s">
        <v>4268</v>
      </c>
      <c r="F4928" s="328">
        <v>307.38317250000006</v>
      </c>
      <c r="G4928" s="328">
        <v>7817.5041250000004</v>
      </c>
      <c r="H4928" s="328">
        <v>7962.7364750000006</v>
      </c>
      <c r="I4928" s="329">
        <v>0.18792631743755991</v>
      </c>
      <c r="J4928" s="329">
        <v>0.87252927241247102</v>
      </c>
      <c r="K4928" s="329">
        <v>0.95189791450590766</v>
      </c>
    </row>
    <row r="4929" spans="1:11" ht="11.25" x14ac:dyDescent="0.15">
      <c r="A4929" s="326">
        <v>1.175</v>
      </c>
      <c r="B4929" s="327">
        <v>75</v>
      </c>
      <c r="C4929" s="327" t="s">
        <v>111</v>
      </c>
      <c r="D4929" s="327" t="s">
        <v>114</v>
      </c>
      <c r="E4929" s="328" t="s">
        <v>4269</v>
      </c>
      <c r="F4929" s="328">
        <v>72.274320500000002</v>
      </c>
      <c r="G4929" s="328">
        <v>7164.2534750000004</v>
      </c>
      <c r="H4929" s="328">
        <v>7845.5149500000007</v>
      </c>
      <c r="I4929" s="329">
        <v>4.4186696319125737E-2</v>
      </c>
      <c r="J4929" s="329">
        <v>0.79961849357134396</v>
      </c>
      <c r="K4929" s="329">
        <v>0.93788477649323698</v>
      </c>
    </row>
    <row r="4930" spans="1:11" ht="11.25" x14ac:dyDescent="0.15">
      <c r="A4930" s="326">
        <v>1.175</v>
      </c>
      <c r="B4930" s="327">
        <v>75</v>
      </c>
      <c r="C4930" s="327" t="s">
        <v>111</v>
      </c>
      <c r="D4930" s="327" t="s">
        <v>113</v>
      </c>
      <c r="E4930" s="328" t="s">
        <v>4270</v>
      </c>
      <c r="F4930" s="328">
        <v>31.324454249999999</v>
      </c>
      <c r="G4930" s="328">
        <v>6812.7228500000001</v>
      </c>
      <c r="H4930" s="328">
        <v>7731.8830500000004</v>
      </c>
      <c r="I4930" s="329">
        <v>1.9150981119318823E-2</v>
      </c>
      <c r="J4930" s="329">
        <v>0.76038336742909185</v>
      </c>
      <c r="K4930" s="329">
        <v>0.92430075685740642</v>
      </c>
    </row>
    <row r="4931" spans="1:11" ht="11.25" x14ac:dyDescent="0.15">
      <c r="A4931" s="326">
        <v>1.2</v>
      </c>
      <c r="B4931" s="327">
        <v>75</v>
      </c>
      <c r="C4931" s="327" t="s">
        <v>111</v>
      </c>
      <c r="D4931" s="327" t="s">
        <v>79</v>
      </c>
      <c r="E4931" s="328" t="s">
        <v>4271</v>
      </c>
      <c r="F4931" s="328">
        <v>330.55500000000001</v>
      </c>
      <c r="G4931" s="328">
        <v>8276.1803999999993</v>
      </c>
      <c r="H4931" s="328">
        <v>8318.8260000000009</v>
      </c>
      <c r="I4931" s="329">
        <v>0.20209298822489252</v>
      </c>
      <c r="J4931" s="329">
        <v>0.92372316628184092</v>
      </c>
      <c r="K4931" s="329">
        <v>0.99446630506976841</v>
      </c>
    </row>
    <row r="4932" spans="1:11" ht="11.25" x14ac:dyDescent="0.15">
      <c r="A4932" s="326">
        <v>1.2</v>
      </c>
      <c r="B4932" s="327">
        <v>75</v>
      </c>
      <c r="C4932" s="327" t="s">
        <v>111</v>
      </c>
      <c r="D4932" s="327" t="s">
        <v>114</v>
      </c>
      <c r="E4932" s="328" t="s">
        <v>4272</v>
      </c>
      <c r="F4932" s="328">
        <v>77.866751999999991</v>
      </c>
      <c r="G4932" s="328">
        <v>7550.9856</v>
      </c>
      <c r="H4932" s="328">
        <v>8197.6067999999996</v>
      </c>
      <c r="I4932" s="329">
        <v>4.7605767860255097E-2</v>
      </c>
      <c r="J4932" s="329">
        <v>0.84278253854647578</v>
      </c>
      <c r="K4932" s="329">
        <v>0.97997526872311147</v>
      </c>
    </row>
    <row r="4933" spans="1:11" ht="11.25" x14ac:dyDescent="0.15">
      <c r="A4933" s="326">
        <v>1.2</v>
      </c>
      <c r="B4933" s="327">
        <v>75</v>
      </c>
      <c r="C4933" s="327" t="s">
        <v>111</v>
      </c>
      <c r="D4933" s="327" t="s">
        <v>113</v>
      </c>
      <c r="E4933" s="328" t="s">
        <v>4273</v>
      </c>
      <c r="F4933" s="328">
        <v>33.969996000000002</v>
      </c>
      <c r="G4933" s="328">
        <v>7147.2768000000005</v>
      </c>
      <c r="H4933" s="328">
        <v>8079.6587999999992</v>
      </c>
      <c r="I4933" s="329">
        <v>2.0768398607274571E-2</v>
      </c>
      <c r="J4933" s="329">
        <v>0.79772368857362574</v>
      </c>
      <c r="K4933" s="329">
        <v>0.96587528493328711</v>
      </c>
    </row>
    <row r="4934" spans="1:11" ht="11.25" x14ac:dyDescent="0.15">
      <c r="A4934" s="326">
        <v>1.2250000000000001</v>
      </c>
      <c r="B4934" s="327">
        <v>75</v>
      </c>
      <c r="C4934" s="327" t="s">
        <v>111</v>
      </c>
      <c r="D4934" s="327" t="s">
        <v>79</v>
      </c>
      <c r="E4934" s="328" t="s">
        <v>4274</v>
      </c>
      <c r="F4934" s="328">
        <v>355.36025000000006</v>
      </c>
      <c r="G4934" s="328">
        <v>8758.7781750000013</v>
      </c>
      <c r="H4934" s="328">
        <v>8682.6517750000021</v>
      </c>
      <c r="I4934" s="329">
        <v>0.21725829232304722</v>
      </c>
      <c r="J4934" s="329">
        <v>0.97758699273535488</v>
      </c>
      <c r="K4934" s="329">
        <v>1.0379595184334565</v>
      </c>
    </row>
    <row r="4935" spans="1:11" ht="11.25" x14ac:dyDescent="0.15">
      <c r="A4935" s="326">
        <v>1.2250000000000001</v>
      </c>
      <c r="B4935" s="327">
        <v>75</v>
      </c>
      <c r="C4935" s="327" t="s">
        <v>111</v>
      </c>
      <c r="D4935" s="327" t="s">
        <v>114</v>
      </c>
      <c r="E4935" s="328" t="s">
        <v>4275</v>
      </c>
      <c r="F4935" s="328">
        <v>83.88568475000001</v>
      </c>
      <c r="G4935" s="328">
        <v>7958.4538250000005</v>
      </c>
      <c r="H4935" s="328">
        <v>8557.0439499999993</v>
      </c>
      <c r="I4935" s="329">
        <v>5.1285591506462759E-2</v>
      </c>
      <c r="J4935" s="329">
        <v>0.88826098642519069</v>
      </c>
      <c r="K4935" s="329">
        <v>1.0229438479992388</v>
      </c>
    </row>
    <row r="4936" spans="1:11" ht="11.25" x14ac:dyDescent="0.15">
      <c r="A4936" s="326">
        <v>1.2250000000000001</v>
      </c>
      <c r="B4936" s="327">
        <v>75</v>
      </c>
      <c r="C4936" s="327" t="s">
        <v>111</v>
      </c>
      <c r="D4936" s="327" t="s">
        <v>113</v>
      </c>
      <c r="E4936" s="328" t="s">
        <v>4276</v>
      </c>
      <c r="F4936" s="328">
        <v>36.849494500000006</v>
      </c>
      <c r="G4936" s="328">
        <v>7499.2834000000003</v>
      </c>
      <c r="H4936" s="328">
        <v>8435.3818499999998</v>
      </c>
      <c r="I4936" s="329">
        <v>2.2528851350249558E-2</v>
      </c>
      <c r="J4936" s="329">
        <v>0.83701193935947193</v>
      </c>
      <c r="K4936" s="329">
        <v>1.0083998655846493</v>
      </c>
    </row>
    <row r="4937" spans="1:11" ht="11.25" x14ac:dyDescent="0.15">
      <c r="A4937" s="326">
        <v>1.25</v>
      </c>
      <c r="B4937" s="327">
        <v>75</v>
      </c>
      <c r="C4937" s="327" t="s">
        <v>111</v>
      </c>
      <c r="D4937" s="327" t="s">
        <v>79</v>
      </c>
      <c r="E4937" s="328" t="s">
        <v>4277</v>
      </c>
      <c r="F4937" s="328">
        <v>381.91874999999993</v>
      </c>
      <c r="G4937" s="328">
        <v>9266.2987499999999</v>
      </c>
      <c r="H4937" s="328">
        <v>9054.3649999999998</v>
      </c>
      <c r="I4937" s="329">
        <v>0.23349548924268473</v>
      </c>
      <c r="J4937" s="329">
        <v>1.0342325091250386</v>
      </c>
      <c r="K4937" s="329">
        <v>1.0823956296601267</v>
      </c>
    </row>
    <row r="4938" spans="1:11" ht="11.25" x14ac:dyDescent="0.15">
      <c r="A4938" s="326">
        <v>1.25</v>
      </c>
      <c r="B4938" s="327">
        <v>75</v>
      </c>
      <c r="C4938" s="327" t="s">
        <v>111</v>
      </c>
      <c r="D4938" s="327" t="s">
        <v>114</v>
      </c>
      <c r="E4938" s="328" t="s">
        <v>4278</v>
      </c>
      <c r="F4938" s="328">
        <v>90.367875000000012</v>
      </c>
      <c r="G4938" s="328">
        <v>8387.9499999999989</v>
      </c>
      <c r="H4938" s="328">
        <v>8924.4825000000001</v>
      </c>
      <c r="I4938" s="329">
        <v>5.5248639101763884E-2</v>
      </c>
      <c r="J4938" s="329">
        <v>0.93619802350052295</v>
      </c>
      <c r="K4938" s="329">
        <v>1.0668689471849524</v>
      </c>
    </row>
    <row r="4939" spans="1:11" ht="11.25" x14ac:dyDescent="0.15">
      <c r="A4939" s="326">
        <v>1.25</v>
      </c>
      <c r="B4939" s="327">
        <v>75</v>
      </c>
      <c r="C4939" s="327" t="s">
        <v>111</v>
      </c>
      <c r="D4939" s="327" t="s">
        <v>113</v>
      </c>
      <c r="E4939" s="328" t="s">
        <v>4279</v>
      </c>
      <c r="F4939" s="328">
        <v>39.986787500000005</v>
      </c>
      <c r="G4939" s="328">
        <v>7870.3787499999999</v>
      </c>
      <c r="H4939" s="328">
        <v>8798.723750000001</v>
      </c>
      <c r="I4939" s="329">
        <v>2.4446913147248658E-2</v>
      </c>
      <c r="J4939" s="329">
        <v>0.87843072859882543</v>
      </c>
      <c r="K4939" s="329">
        <v>1.0518352345621986</v>
      </c>
    </row>
    <row r="4940" spans="1:11" ht="11.25" x14ac:dyDescent="0.15">
      <c r="A4940" s="326">
        <v>1.2749999999999999</v>
      </c>
      <c r="B4940" s="327">
        <v>75</v>
      </c>
      <c r="C4940" s="327" t="s">
        <v>111</v>
      </c>
      <c r="D4940" s="327" t="s">
        <v>79</v>
      </c>
      <c r="E4940" s="328" t="s">
        <v>4280</v>
      </c>
      <c r="F4940" s="328">
        <v>410.36142749999999</v>
      </c>
      <c r="G4940" s="328">
        <v>9799.7749499999991</v>
      </c>
      <c r="H4940" s="328">
        <v>9434.1393749999988</v>
      </c>
      <c r="I4940" s="329">
        <v>0.25088462475445111</v>
      </c>
      <c r="J4940" s="329">
        <v>1.0937749913792925</v>
      </c>
      <c r="K4940" s="329">
        <v>1.1277954035544753</v>
      </c>
    </row>
    <row r="4941" spans="1:11" ht="11.25" x14ac:dyDescent="0.15">
      <c r="A4941" s="326">
        <v>1.2749999999999999</v>
      </c>
      <c r="B4941" s="327">
        <v>75</v>
      </c>
      <c r="C4941" s="327" t="s">
        <v>111</v>
      </c>
      <c r="D4941" s="327" t="s">
        <v>114</v>
      </c>
      <c r="E4941" s="328" t="s">
        <v>4281</v>
      </c>
      <c r="F4941" s="328">
        <v>97.354537499999992</v>
      </c>
      <c r="G4941" s="328">
        <v>8840.2826249999998</v>
      </c>
      <c r="H4941" s="328">
        <v>9299.6064750000005</v>
      </c>
      <c r="I4941" s="329">
        <v>5.9520108304600916E-2</v>
      </c>
      <c r="J4941" s="329">
        <v>0.98668388828152476</v>
      </c>
      <c r="K4941" s="329">
        <v>1.1117127933432125</v>
      </c>
    </row>
    <row r="4942" spans="1:11" ht="11.25" x14ac:dyDescent="0.15">
      <c r="A4942" s="326">
        <v>1.2749999999999999</v>
      </c>
      <c r="B4942" s="327">
        <v>75</v>
      </c>
      <c r="C4942" s="327" t="s">
        <v>111</v>
      </c>
      <c r="D4942" s="327" t="s">
        <v>113</v>
      </c>
      <c r="E4942" s="328" t="s">
        <v>4282</v>
      </c>
      <c r="F4942" s="328">
        <v>43.407986999999991</v>
      </c>
      <c r="G4942" s="328">
        <v>8260.6472250000006</v>
      </c>
      <c r="H4942" s="328">
        <v>9169.5003749999996</v>
      </c>
      <c r="I4942" s="329">
        <v>2.6538548216355175E-2</v>
      </c>
      <c r="J4942" s="329">
        <v>0.92198947357579397</v>
      </c>
      <c r="K4942" s="329">
        <v>1.0961593808143246</v>
      </c>
    </row>
    <row r="4943" spans="1:11" ht="11.25" x14ac:dyDescent="0.15">
      <c r="A4943" s="326">
        <v>1.3</v>
      </c>
      <c r="B4943" s="327">
        <v>75</v>
      </c>
      <c r="C4943" s="327" t="s">
        <v>111</v>
      </c>
      <c r="D4943" s="327" t="s">
        <v>79</v>
      </c>
      <c r="E4943" s="328" t="s">
        <v>4283</v>
      </c>
      <c r="F4943" s="328">
        <v>440.83078000000006</v>
      </c>
      <c r="G4943" s="328">
        <v>10358.665200000001</v>
      </c>
      <c r="H4943" s="328">
        <v>9821.8652999999995</v>
      </c>
      <c r="I4943" s="329">
        <v>0.2695128182351203</v>
      </c>
      <c r="J4943" s="329">
        <v>1.1561539930905229</v>
      </c>
      <c r="K4943" s="329">
        <v>1.1741457380865967</v>
      </c>
    </row>
    <row r="4944" spans="1:11" ht="11.25" x14ac:dyDescent="0.15">
      <c r="A4944" s="326">
        <v>1.3</v>
      </c>
      <c r="B4944" s="327">
        <v>75</v>
      </c>
      <c r="C4944" s="327" t="s">
        <v>111</v>
      </c>
      <c r="D4944" s="327" t="s">
        <v>114</v>
      </c>
      <c r="E4944" s="328" t="s">
        <v>4284</v>
      </c>
      <c r="F4944" s="328">
        <v>104.88826400000002</v>
      </c>
      <c r="G4944" s="328">
        <v>9315.8299000000006</v>
      </c>
      <c r="H4944" s="328">
        <v>9682.2882000000009</v>
      </c>
      <c r="I4944" s="329">
        <v>6.4126038636479324E-2</v>
      </c>
      <c r="J4944" s="329">
        <v>1.0397607925234504</v>
      </c>
      <c r="K4944" s="329">
        <v>1.1574601236850752</v>
      </c>
    </row>
    <row r="4945" spans="1:11" ht="11.25" x14ac:dyDescent="0.15">
      <c r="A4945" s="326">
        <v>1.3</v>
      </c>
      <c r="B4945" s="327">
        <v>75</v>
      </c>
      <c r="C4945" s="327" t="s">
        <v>111</v>
      </c>
      <c r="D4945" s="327" t="s">
        <v>113</v>
      </c>
      <c r="E4945" s="328" t="s">
        <v>4285</v>
      </c>
      <c r="F4945" s="328">
        <v>47.142615000000006</v>
      </c>
      <c r="G4945" s="328">
        <v>8671.8853000000017</v>
      </c>
      <c r="H4945" s="328">
        <v>9548.3037000000004</v>
      </c>
      <c r="I4945" s="329">
        <v>2.8821805563629781E-2</v>
      </c>
      <c r="J4945" s="329">
        <v>0.96788868291814356</v>
      </c>
      <c r="K4945" s="329">
        <v>1.14144307144097</v>
      </c>
    </row>
    <row r="4946" spans="1:11" ht="11.25" x14ac:dyDescent="0.15">
      <c r="A4946" s="326">
        <v>1.325</v>
      </c>
      <c r="B4946" s="327">
        <v>75</v>
      </c>
      <c r="C4946" s="327" t="s">
        <v>111</v>
      </c>
      <c r="D4946" s="327" t="s">
        <v>79</v>
      </c>
      <c r="E4946" s="328" t="s">
        <v>4286</v>
      </c>
      <c r="F4946" s="328">
        <v>473.48172749999998</v>
      </c>
      <c r="G4946" s="328">
        <v>10943.482399999999</v>
      </c>
      <c r="H4946" s="328">
        <v>10217.44335</v>
      </c>
      <c r="I4946" s="329">
        <v>0.28947478386458914</v>
      </c>
      <c r="J4946" s="329">
        <v>1.2214267601848794</v>
      </c>
      <c r="K4946" s="329">
        <v>1.2214347475874812</v>
      </c>
    </row>
    <row r="4947" spans="1:11" ht="11.25" x14ac:dyDescent="0.15">
      <c r="A4947" s="326">
        <v>1.325</v>
      </c>
      <c r="B4947" s="327">
        <v>75</v>
      </c>
      <c r="C4947" s="327" t="s">
        <v>111</v>
      </c>
      <c r="D4947" s="327" t="s">
        <v>114</v>
      </c>
      <c r="E4947" s="328" t="s">
        <v>4287</v>
      </c>
      <c r="F4947" s="328">
        <v>113.02098949999998</v>
      </c>
      <c r="G4947" s="328">
        <v>9815.8954749999994</v>
      </c>
      <c r="H4947" s="328">
        <v>10072.8249</v>
      </c>
      <c r="I4947" s="329">
        <v>6.9098181846256129E-2</v>
      </c>
      <c r="J4947" s="329">
        <v>1.0955742395439563</v>
      </c>
      <c r="K4947" s="329">
        <v>1.2041464696962958</v>
      </c>
    </row>
    <row r="4948" spans="1:11" ht="11.25" x14ac:dyDescent="0.15">
      <c r="A4948" s="326">
        <v>1.325</v>
      </c>
      <c r="B4948" s="327">
        <v>75</v>
      </c>
      <c r="C4948" s="327" t="s">
        <v>111</v>
      </c>
      <c r="D4948" s="327" t="s">
        <v>113</v>
      </c>
      <c r="E4948" s="328" t="s">
        <v>4288</v>
      </c>
      <c r="F4948" s="328">
        <v>51.222499249999998</v>
      </c>
      <c r="G4948" s="328">
        <v>9103.6457000000009</v>
      </c>
      <c r="H4948" s="328">
        <v>9934.3266249999997</v>
      </c>
      <c r="I4948" s="329">
        <v>3.1316143872516876E-2</v>
      </c>
      <c r="J4948" s="329">
        <v>1.0160784352540295</v>
      </c>
      <c r="K4948" s="329">
        <v>1.1875898224244588</v>
      </c>
    </row>
    <row r="4949" spans="1:11" ht="11.25" x14ac:dyDescent="0.15">
      <c r="A4949" s="326">
        <v>1.35</v>
      </c>
      <c r="B4949" s="327">
        <v>75</v>
      </c>
      <c r="C4949" s="327" t="s">
        <v>111</v>
      </c>
      <c r="D4949" s="327" t="s">
        <v>79</v>
      </c>
      <c r="E4949" s="328" t="s">
        <v>4289</v>
      </c>
      <c r="F4949" s="328">
        <v>508.48438500000003</v>
      </c>
      <c r="G4949" s="328">
        <v>11554.115400000002</v>
      </c>
      <c r="H4949" s="328">
        <v>10620.971100000001</v>
      </c>
      <c r="I4949" s="329">
        <v>0.31087452566243656</v>
      </c>
      <c r="J4949" s="329">
        <v>1.2895808869600984</v>
      </c>
      <c r="K4949" s="329">
        <v>1.2696740965696114</v>
      </c>
    </row>
    <row r="4950" spans="1:11" ht="11.25" x14ac:dyDescent="0.15">
      <c r="A4950" s="326">
        <v>1.35</v>
      </c>
      <c r="B4950" s="327">
        <v>75</v>
      </c>
      <c r="C4950" s="327" t="s">
        <v>111</v>
      </c>
      <c r="D4950" s="327" t="s">
        <v>114</v>
      </c>
      <c r="E4950" s="328" t="s">
        <v>4290</v>
      </c>
      <c r="F4950" s="328">
        <v>121.80546450000001</v>
      </c>
      <c r="G4950" s="328">
        <v>10339.778250000001</v>
      </c>
      <c r="H4950" s="328">
        <v>10471.216950000002</v>
      </c>
      <c r="I4950" s="329">
        <v>7.4468788258916258E-2</v>
      </c>
      <c r="J4950" s="329">
        <v>1.1540459779902954</v>
      </c>
      <c r="K4950" s="329">
        <v>1.2517718762059009</v>
      </c>
    </row>
    <row r="4951" spans="1:11" ht="11.25" x14ac:dyDescent="0.15">
      <c r="A4951" s="326">
        <v>1.35</v>
      </c>
      <c r="B4951" s="327">
        <v>75</v>
      </c>
      <c r="C4951" s="327" t="s">
        <v>111</v>
      </c>
      <c r="D4951" s="327" t="s">
        <v>113</v>
      </c>
      <c r="E4951" s="328" t="s">
        <v>4291</v>
      </c>
      <c r="F4951" s="328">
        <v>55.684732499999996</v>
      </c>
      <c r="G4951" s="328">
        <v>9557.8096500000011</v>
      </c>
      <c r="H4951" s="328">
        <v>10329.02145</v>
      </c>
      <c r="I4951" s="329">
        <v>3.4044240714642911E-2</v>
      </c>
      <c r="J4951" s="329">
        <v>1.0667686983499218</v>
      </c>
      <c r="K4951" s="329">
        <v>1.2347732476154545</v>
      </c>
    </row>
    <row r="4952" spans="1:11" ht="11.25" x14ac:dyDescent="0.15">
      <c r="A4952" s="326">
        <v>1.375</v>
      </c>
      <c r="B4952" s="327">
        <v>75</v>
      </c>
      <c r="C4952" s="327" t="s">
        <v>111</v>
      </c>
      <c r="D4952" s="327" t="s">
        <v>79</v>
      </c>
      <c r="E4952" s="328" t="s">
        <v>4292</v>
      </c>
      <c r="F4952" s="328">
        <v>546.02267499999994</v>
      </c>
      <c r="G4952" s="328">
        <v>12192.659875000001</v>
      </c>
      <c r="H4952" s="328">
        <v>11032.741500000002</v>
      </c>
      <c r="I4952" s="329">
        <v>0.33382448920542512</v>
      </c>
      <c r="J4952" s="329">
        <v>1.3608502764309678</v>
      </c>
      <c r="K4952" s="329">
        <v>1.3188988054678503</v>
      </c>
    </row>
    <row r="4953" spans="1:11" ht="11.25" x14ac:dyDescent="0.15">
      <c r="A4953" s="326">
        <v>1.375</v>
      </c>
      <c r="B4953" s="327">
        <v>75</v>
      </c>
      <c r="C4953" s="327" t="s">
        <v>111</v>
      </c>
      <c r="D4953" s="327" t="s">
        <v>114</v>
      </c>
      <c r="E4953" s="328" t="s">
        <v>4293</v>
      </c>
      <c r="F4953" s="328">
        <v>131.30371374999999</v>
      </c>
      <c r="G4953" s="328">
        <v>10887.776625</v>
      </c>
      <c r="H4953" s="328">
        <v>10876.5965</v>
      </c>
      <c r="I4953" s="329">
        <v>8.0275778241936754E-2</v>
      </c>
      <c r="J4953" s="329">
        <v>1.2152093129596857</v>
      </c>
      <c r="K4953" s="329">
        <v>1.3002325968940538</v>
      </c>
    </row>
    <row r="4954" spans="1:11" ht="11.25" x14ac:dyDescent="0.15">
      <c r="A4954" s="326">
        <v>1.375</v>
      </c>
      <c r="B4954" s="327">
        <v>75</v>
      </c>
      <c r="C4954" s="327" t="s">
        <v>111</v>
      </c>
      <c r="D4954" s="327" t="s">
        <v>113</v>
      </c>
      <c r="E4954" s="328" t="s">
        <v>4294</v>
      </c>
      <c r="F4954" s="328">
        <v>60.569973750000003</v>
      </c>
      <c r="G4954" s="328">
        <v>10034.166999999999</v>
      </c>
      <c r="H4954" s="328">
        <v>10730.636124999999</v>
      </c>
      <c r="I4954" s="329">
        <v>3.7030953976920022E-2</v>
      </c>
      <c r="J4954" s="329">
        <v>1.1199360168902024</v>
      </c>
      <c r="K4954" s="329">
        <v>1.2827838998287651</v>
      </c>
    </row>
    <row r="4955" spans="1:11" ht="11.25" x14ac:dyDescent="0.15">
      <c r="A4955" s="326">
        <v>1.4</v>
      </c>
      <c r="B4955" s="327">
        <v>75</v>
      </c>
      <c r="C4955" s="327" t="s">
        <v>111</v>
      </c>
      <c r="D4955" s="327" t="s">
        <v>79</v>
      </c>
      <c r="E4955" s="328" t="s">
        <v>4295</v>
      </c>
      <c r="F4955" s="328">
        <v>586.30193999999995</v>
      </c>
      <c r="G4955" s="328">
        <v>12857.917799999997</v>
      </c>
      <c r="H4955" s="328">
        <v>11452.2744</v>
      </c>
      <c r="I4955" s="329">
        <v>0.35845021571796409</v>
      </c>
      <c r="J4955" s="329">
        <v>1.4351012143243811</v>
      </c>
      <c r="K4955" s="329">
        <v>1.3690514751977139</v>
      </c>
    </row>
    <row r="4956" spans="1:11" ht="11.25" x14ac:dyDescent="0.15">
      <c r="A4956" s="326">
        <v>1.4</v>
      </c>
      <c r="B4956" s="327">
        <v>75</v>
      </c>
      <c r="C4956" s="327" t="s">
        <v>111</v>
      </c>
      <c r="D4956" s="327" t="s">
        <v>114</v>
      </c>
      <c r="E4956" s="328" t="s">
        <v>4296</v>
      </c>
      <c r="F4956" s="328">
        <v>141.58326</v>
      </c>
      <c r="G4956" s="328">
        <v>11463.491199999999</v>
      </c>
      <c r="H4956" s="328">
        <v>11291.172199999999</v>
      </c>
      <c r="I4956" s="329">
        <v>8.6560433501299008E-2</v>
      </c>
      <c r="J4956" s="329">
        <v>1.2794661155414182</v>
      </c>
      <c r="K4956" s="329">
        <v>1.3497926627676171</v>
      </c>
    </row>
    <row r="4957" spans="1:11" ht="11.25" x14ac:dyDescent="0.15">
      <c r="A4957" s="326">
        <v>1.4</v>
      </c>
      <c r="B4957" s="327">
        <v>75</v>
      </c>
      <c r="C4957" s="327" t="s">
        <v>111</v>
      </c>
      <c r="D4957" s="327" t="s">
        <v>113</v>
      </c>
      <c r="E4957" s="328" t="s">
        <v>4297</v>
      </c>
      <c r="F4957" s="328">
        <v>65.923801999999995</v>
      </c>
      <c r="G4957" s="328">
        <v>10534.126399999999</v>
      </c>
      <c r="H4957" s="328">
        <v>11140.2102</v>
      </c>
      <c r="I4957" s="329">
        <v>4.0304149510145493E-2</v>
      </c>
      <c r="J4957" s="329">
        <v>1.1757376134794175</v>
      </c>
      <c r="K4957" s="329">
        <v>1.3317460511007857</v>
      </c>
    </row>
    <row r="4958" spans="1:11" ht="11.25" x14ac:dyDescent="0.15">
      <c r="A4958" s="326">
        <v>0.9</v>
      </c>
      <c r="B4958" s="327">
        <v>85</v>
      </c>
      <c r="C4958" s="327" t="s">
        <v>111</v>
      </c>
      <c r="D4958" s="327" t="s">
        <v>79</v>
      </c>
      <c r="E4958" s="328" t="s">
        <v>4298</v>
      </c>
      <c r="F4958" s="328">
        <v>186.99516</v>
      </c>
      <c r="G4958" s="328">
        <v>4159.4191200000005</v>
      </c>
      <c r="H4958" s="328">
        <v>4568.1946200000002</v>
      </c>
      <c r="I4958" s="329">
        <v>0.11432412357396467</v>
      </c>
      <c r="J4958" s="329">
        <v>0.46424215202216101</v>
      </c>
      <c r="K4958" s="329">
        <v>0.54610057051211247</v>
      </c>
    </row>
    <row r="4959" spans="1:11" ht="11.25" x14ac:dyDescent="0.15">
      <c r="A4959" s="326">
        <v>0.9</v>
      </c>
      <c r="B4959" s="327">
        <v>85</v>
      </c>
      <c r="C4959" s="327" t="s">
        <v>111</v>
      </c>
      <c r="D4959" s="327" t="s">
        <v>114</v>
      </c>
      <c r="E4959" s="328" t="s">
        <v>4299</v>
      </c>
      <c r="F4959" s="328">
        <v>45.876834000000002</v>
      </c>
      <c r="G4959" s="328">
        <v>4031.3386800000007</v>
      </c>
      <c r="H4959" s="328">
        <v>4491.7686000000003</v>
      </c>
      <c r="I4959" s="329">
        <v>2.8047938991566754E-2</v>
      </c>
      <c r="J4959" s="329">
        <v>0.44994680515229685</v>
      </c>
      <c r="K4959" s="329">
        <v>0.53696429314309568</v>
      </c>
    </row>
    <row r="4960" spans="1:11" ht="11.25" x14ac:dyDescent="0.15">
      <c r="A4960" s="326">
        <v>0.9</v>
      </c>
      <c r="B4960" s="327">
        <v>85</v>
      </c>
      <c r="C4960" s="327" t="s">
        <v>111</v>
      </c>
      <c r="D4960" s="327" t="s">
        <v>113</v>
      </c>
      <c r="E4960" s="328" t="s">
        <v>4300</v>
      </c>
      <c r="F4960" s="328">
        <v>18.931897800000002</v>
      </c>
      <c r="G4960" s="328">
        <v>3980.4886800000004</v>
      </c>
      <c r="H4960" s="328">
        <v>4415.7173400000011</v>
      </c>
      <c r="I4960" s="329">
        <v>1.1574484727716322E-2</v>
      </c>
      <c r="J4960" s="329">
        <v>0.44427132192993596</v>
      </c>
      <c r="K4960" s="329">
        <v>0.52787281610918502</v>
      </c>
    </row>
    <row r="4961" spans="1:11" ht="11.25" x14ac:dyDescent="0.15">
      <c r="A4961" s="326">
        <v>0.92500000000000004</v>
      </c>
      <c r="B4961" s="327">
        <v>85</v>
      </c>
      <c r="C4961" s="327" t="s">
        <v>111</v>
      </c>
      <c r="D4961" s="327" t="s">
        <v>79</v>
      </c>
      <c r="E4961" s="328" t="s">
        <v>4301</v>
      </c>
      <c r="F4961" s="328">
        <v>201.79603900000001</v>
      </c>
      <c r="G4961" s="328">
        <v>4413.3187449999996</v>
      </c>
      <c r="H4961" s="328">
        <v>4838.4881500000001</v>
      </c>
      <c r="I4961" s="329">
        <v>0.12337300761887417</v>
      </c>
      <c r="J4961" s="329">
        <v>0.49258046198973632</v>
      </c>
      <c r="K4961" s="329">
        <v>0.57841255877384123</v>
      </c>
    </row>
    <row r="4962" spans="1:11" ht="11.25" x14ac:dyDescent="0.15">
      <c r="A4962" s="326">
        <v>0.92500000000000004</v>
      </c>
      <c r="B4962" s="327">
        <v>85</v>
      </c>
      <c r="C4962" s="327" t="s">
        <v>111</v>
      </c>
      <c r="D4962" s="327" t="s">
        <v>114</v>
      </c>
      <c r="E4962" s="328" t="s">
        <v>4302</v>
      </c>
      <c r="F4962" s="328">
        <v>49.490145500000004</v>
      </c>
      <c r="G4962" s="328">
        <v>4255.9013199999999</v>
      </c>
      <c r="H4962" s="328">
        <v>4758.79126</v>
      </c>
      <c r="I4962" s="329">
        <v>3.0257026491142831E-2</v>
      </c>
      <c r="J4962" s="329">
        <v>0.4750107480370373</v>
      </c>
      <c r="K4962" s="329">
        <v>0.56888526829753472</v>
      </c>
    </row>
    <row r="4963" spans="1:11" ht="11.25" x14ac:dyDescent="0.15">
      <c r="A4963" s="326">
        <v>0.92500000000000004</v>
      </c>
      <c r="B4963" s="327">
        <v>85</v>
      </c>
      <c r="C4963" s="327" t="s">
        <v>111</v>
      </c>
      <c r="D4963" s="327" t="s">
        <v>113</v>
      </c>
      <c r="E4963" s="328" t="s">
        <v>4303</v>
      </c>
      <c r="F4963" s="328">
        <v>20.4486235</v>
      </c>
      <c r="G4963" s="328">
        <v>4193.1422900000007</v>
      </c>
      <c r="H4963" s="328">
        <v>4679.5903550000003</v>
      </c>
      <c r="I4963" s="329">
        <v>1.2501772558880551E-2</v>
      </c>
      <c r="J4963" s="329">
        <v>0.46800607110848991</v>
      </c>
      <c r="K4963" s="329">
        <v>0.55941726988603624</v>
      </c>
    </row>
    <row r="4964" spans="1:11" ht="11.25" x14ac:dyDescent="0.15">
      <c r="A4964" s="326">
        <v>0.95</v>
      </c>
      <c r="B4964" s="327">
        <v>85</v>
      </c>
      <c r="C4964" s="327" t="s">
        <v>111</v>
      </c>
      <c r="D4964" s="327" t="s">
        <v>79</v>
      </c>
      <c r="E4964" s="328" t="s">
        <v>4304</v>
      </c>
      <c r="F4964" s="328">
        <v>217.57819599999999</v>
      </c>
      <c r="G4964" s="328">
        <v>4681.0129000000006</v>
      </c>
      <c r="H4964" s="328">
        <v>5116.3745299999991</v>
      </c>
      <c r="I4964" s="329">
        <v>0.13302182027868692</v>
      </c>
      <c r="J4964" s="329">
        <v>0.52245841057236297</v>
      </c>
      <c r="K4964" s="329">
        <v>0.61163222721597632</v>
      </c>
    </row>
    <row r="4965" spans="1:11" ht="11.25" x14ac:dyDescent="0.15">
      <c r="A4965" s="326">
        <v>0.95</v>
      </c>
      <c r="B4965" s="327">
        <v>85</v>
      </c>
      <c r="C4965" s="327" t="s">
        <v>111</v>
      </c>
      <c r="D4965" s="327" t="s">
        <v>114</v>
      </c>
      <c r="E4965" s="328" t="s">
        <v>4305</v>
      </c>
      <c r="F4965" s="328">
        <v>53.343389200000004</v>
      </c>
      <c r="G4965" s="328">
        <v>4490.6249200000002</v>
      </c>
      <c r="H4965" s="328">
        <v>5033.5305399999997</v>
      </c>
      <c r="I4965" s="329">
        <v>3.261280248512792E-2</v>
      </c>
      <c r="J4965" s="329">
        <v>0.50120877859145496</v>
      </c>
      <c r="K4965" s="329">
        <v>0.60172871960173646</v>
      </c>
    </row>
    <row r="4966" spans="1:11" ht="11.25" x14ac:dyDescent="0.15">
      <c r="A4966" s="326">
        <v>0.95</v>
      </c>
      <c r="B4966" s="327">
        <v>85</v>
      </c>
      <c r="C4966" s="327" t="s">
        <v>111</v>
      </c>
      <c r="D4966" s="327" t="s">
        <v>113</v>
      </c>
      <c r="E4966" s="328" t="s">
        <v>4306</v>
      </c>
      <c r="F4966" s="328">
        <v>22.073365899999999</v>
      </c>
      <c r="G4966" s="328">
        <v>4412.4710799999993</v>
      </c>
      <c r="H4966" s="328">
        <v>4951.1790300000002</v>
      </c>
      <c r="I4966" s="329">
        <v>1.349509907553189E-2</v>
      </c>
      <c r="J4966" s="329">
        <v>0.49248585218667468</v>
      </c>
      <c r="K4966" s="329">
        <v>0.59188408505034484</v>
      </c>
    </row>
    <row r="4967" spans="1:11" ht="11.25" x14ac:dyDescent="0.15">
      <c r="A4967" s="326">
        <v>0.97499999999999998</v>
      </c>
      <c r="B4967" s="327">
        <v>85</v>
      </c>
      <c r="C4967" s="327" t="s">
        <v>111</v>
      </c>
      <c r="D4967" s="327" t="s">
        <v>79</v>
      </c>
      <c r="E4967" s="328" t="s">
        <v>4307</v>
      </c>
      <c r="F4967" s="328">
        <v>234.412893</v>
      </c>
      <c r="G4967" s="328">
        <v>4964.2669049999995</v>
      </c>
      <c r="H4967" s="328">
        <v>5402.3691150000004</v>
      </c>
      <c r="I4967" s="329">
        <v>0.14331412934250576</v>
      </c>
      <c r="J4967" s="329">
        <v>0.55407302911796785</v>
      </c>
      <c r="K4967" s="329">
        <v>0.64582118347193274</v>
      </c>
    </row>
    <row r="4968" spans="1:11" ht="11.25" x14ac:dyDescent="0.15">
      <c r="A4968" s="326">
        <v>0.97499999999999998</v>
      </c>
      <c r="B4968" s="327">
        <v>85</v>
      </c>
      <c r="C4968" s="327" t="s">
        <v>111</v>
      </c>
      <c r="D4968" s="327" t="s">
        <v>114</v>
      </c>
      <c r="E4968" s="328" t="s">
        <v>4308</v>
      </c>
      <c r="F4968" s="328">
        <v>57.456631049999999</v>
      </c>
      <c r="G4968" s="328">
        <v>4736.1849599999996</v>
      </c>
      <c r="H4968" s="328">
        <v>5315.9185950000001</v>
      </c>
      <c r="I4968" s="329">
        <v>3.5127534789156548E-2</v>
      </c>
      <c r="J4968" s="329">
        <v>0.52861628866229571</v>
      </c>
      <c r="K4968" s="329">
        <v>0.63548653658837484</v>
      </c>
    </row>
    <row r="4969" spans="1:11" ht="11.25" x14ac:dyDescent="0.15">
      <c r="A4969" s="326">
        <v>0.97499999999999998</v>
      </c>
      <c r="B4969" s="327">
        <v>85</v>
      </c>
      <c r="C4969" s="327" t="s">
        <v>111</v>
      </c>
      <c r="D4969" s="327" t="s">
        <v>113</v>
      </c>
      <c r="E4969" s="328" t="s">
        <v>4309</v>
      </c>
      <c r="F4969" s="328">
        <v>23.817401400000001</v>
      </c>
      <c r="G4969" s="328">
        <v>4640.9173199999996</v>
      </c>
      <c r="H4969" s="328">
        <v>5230.696574999999</v>
      </c>
      <c r="I4969" s="329">
        <v>1.4561358384165233E-2</v>
      </c>
      <c r="J4969" s="329">
        <v>0.51798325242918042</v>
      </c>
      <c r="K4969" s="329">
        <v>0.62529874959295229</v>
      </c>
    </row>
    <row r="4970" spans="1:11" ht="11.25" x14ac:dyDescent="0.15">
      <c r="A4970" s="326">
        <v>1</v>
      </c>
      <c r="B4970" s="327">
        <v>85</v>
      </c>
      <c r="C4970" s="327" t="s">
        <v>111</v>
      </c>
      <c r="D4970" s="327" t="s">
        <v>79</v>
      </c>
      <c r="E4970" s="328" t="s">
        <v>4310</v>
      </c>
      <c r="F4970" s="328">
        <v>252.36805999999996</v>
      </c>
      <c r="G4970" s="328">
        <v>5263.9513999999999</v>
      </c>
      <c r="H4970" s="328">
        <v>5695.8980000000001</v>
      </c>
      <c r="I4970" s="329">
        <v>0.15429146549868844</v>
      </c>
      <c r="J4970" s="329">
        <v>0.58752149172119661</v>
      </c>
      <c r="K4970" s="329">
        <v>0.6809108206030855</v>
      </c>
    </row>
    <row r="4971" spans="1:11" ht="11.25" x14ac:dyDescent="0.15">
      <c r="A4971" s="326">
        <v>1</v>
      </c>
      <c r="B4971" s="327">
        <v>85</v>
      </c>
      <c r="C4971" s="327" t="s">
        <v>111</v>
      </c>
      <c r="D4971" s="327" t="s">
        <v>114</v>
      </c>
      <c r="E4971" s="328" t="s">
        <v>4311</v>
      </c>
      <c r="F4971" s="328">
        <v>61.847262000000001</v>
      </c>
      <c r="G4971" s="328">
        <v>4993.2867999999999</v>
      </c>
      <c r="H4971" s="328">
        <v>5606.2631999999994</v>
      </c>
      <c r="I4971" s="329">
        <v>3.7811855791344384E-2</v>
      </c>
      <c r="J4971" s="329">
        <v>0.55731200507051804</v>
      </c>
      <c r="K4971" s="329">
        <v>0.67019551193312799</v>
      </c>
    </row>
    <row r="4972" spans="1:11" ht="11.25" x14ac:dyDescent="0.15">
      <c r="A4972" s="326">
        <v>1</v>
      </c>
      <c r="B4972" s="327">
        <v>85</v>
      </c>
      <c r="C4972" s="327" t="s">
        <v>111</v>
      </c>
      <c r="D4972" s="327" t="s">
        <v>113</v>
      </c>
      <c r="E4972" s="328" t="s">
        <v>4312</v>
      </c>
      <c r="F4972" s="328">
        <v>25.690624</v>
      </c>
      <c r="G4972" s="328">
        <v>4876.7908000000007</v>
      </c>
      <c r="H4972" s="328">
        <v>5517.5637999999999</v>
      </c>
      <c r="I4972" s="329">
        <v>1.5706599426788707E-2</v>
      </c>
      <c r="J4972" s="329">
        <v>0.5443096236846352</v>
      </c>
      <c r="K4972" s="329">
        <v>0.65959202478483259</v>
      </c>
    </row>
    <row r="4973" spans="1:11" ht="11.25" x14ac:dyDescent="0.15">
      <c r="A4973" s="326">
        <v>1.0249999999999999</v>
      </c>
      <c r="B4973" s="327">
        <v>85</v>
      </c>
      <c r="C4973" s="327" t="s">
        <v>111</v>
      </c>
      <c r="D4973" s="327" t="s">
        <v>79</v>
      </c>
      <c r="E4973" s="328" t="s">
        <v>4313</v>
      </c>
      <c r="F4973" s="328">
        <v>271.50577199999998</v>
      </c>
      <c r="G4973" s="328">
        <v>5580.6614950000003</v>
      </c>
      <c r="H4973" s="328">
        <v>5997.1768050000001</v>
      </c>
      <c r="I4973" s="329">
        <v>0.16599177983629457</v>
      </c>
      <c r="J4973" s="329">
        <v>0.62287021995177305</v>
      </c>
      <c r="K4973" s="329">
        <v>0.71692691470148173</v>
      </c>
    </row>
    <row r="4974" spans="1:11" ht="11.25" x14ac:dyDescent="0.15">
      <c r="A4974" s="326">
        <v>1.0249999999999999</v>
      </c>
      <c r="B4974" s="327">
        <v>85</v>
      </c>
      <c r="C4974" s="327" t="s">
        <v>111</v>
      </c>
      <c r="D4974" s="327" t="s">
        <v>114</v>
      </c>
      <c r="E4974" s="328" t="s">
        <v>4314</v>
      </c>
      <c r="F4974" s="328">
        <v>66.531714749999992</v>
      </c>
      <c r="G4974" s="328">
        <v>5263.2185849999996</v>
      </c>
      <c r="H4974" s="328">
        <v>5903.9780649999993</v>
      </c>
      <c r="I4974" s="329">
        <v>4.0675812029930439E-2</v>
      </c>
      <c r="J4974" s="329">
        <v>0.58743970058574735</v>
      </c>
      <c r="K4974" s="329">
        <v>0.70578555814408306</v>
      </c>
    </row>
    <row r="4975" spans="1:11" ht="11.25" x14ac:dyDescent="0.15">
      <c r="A4975" s="326">
        <v>1.0249999999999999</v>
      </c>
      <c r="B4975" s="327">
        <v>85</v>
      </c>
      <c r="C4975" s="327" t="s">
        <v>111</v>
      </c>
      <c r="D4975" s="327" t="s">
        <v>113</v>
      </c>
      <c r="E4975" s="328" t="s">
        <v>4315</v>
      </c>
      <c r="F4975" s="328">
        <v>27.701289199999998</v>
      </c>
      <c r="G4975" s="328">
        <v>5122.2611999999999</v>
      </c>
      <c r="H4975" s="328">
        <v>5811.9031349999996</v>
      </c>
      <c r="I4975" s="329">
        <v>1.6935869407844206E-2</v>
      </c>
      <c r="J4975" s="329">
        <v>0.57170712883283969</v>
      </c>
      <c r="K4975" s="329">
        <v>0.69477854640629011</v>
      </c>
    </row>
    <row r="4976" spans="1:11" ht="11.25" x14ac:dyDescent="0.15">
      <c r="A4976" s="326">
        <v>1.05</v>
      </c>
      <c r="B4976" s="327">
        <v>85</v>
      </c>
      <c r="C4976" s="327" t="s">
        <v>111</v>
      </c>
      <c r="D4976" s="327" t="s">
        <v>79</v>
      </c>
      <c r="E4976" s="328" t="s">
        <v>4316</v>
      </c>
      <c r="F4976" s="328">
        <v>291.90226800000005</v>
      </c>
      <c r="G4976" s="328">
        <v>5916.9293399999997</v>
      </c>
      <c r="H4976" s="328">
        <v>6306.6519600000001</v>
      </c>
      <c r="I4976" s="329">
        <v>0.17846168295667417</v>
      </c>
      <c r="J4976" s="329">
        <v>0.66040183278396436</v>
      </c>
      <c r="K4976" s="329">
        <v>0.75392283382561587</v>
      </c>
    </row>
    <row r="4977" spans="1:11" ht="11.25" x14ac:dyDescent="0.15">
      <c r="A4977" s="326">
        <v>1.05</v>
      </c>
      <c r="B4977" s="327">
        <v>85</v>
      </c>
      <c r="C4977" s="327" t="s">
        <v>111</v>
      </c>
      <c r="D4977" s="327" t="s">
        <v>114</v>
      </c>
      <c r="E4977" s="328" t="s">
        <v>4317</v>
      </c>
      <c r="F4977" s="328">
        <v>71.530317600000004</v>
      </c>
      <c r="G4977" s="328">
        <v>5547.7407300000004</v>
      </c>
      <c r="H4977" s="328">
        <v>6209.5074299999997</v>
      </c>
      <c r="I4977" s="329">
        <v>4.3731831714721066E-2</v>
      </c>
      <c r="J4977" s="329">
        <v>0.61919585909779495</v>
      </c>
      <c r="K4977" s="329">
        <v>0.74230978147822457</v>
      </c>
    </row>
    <row r="4978" spans="1:11" ht="11.25" x14ac:dyDescent="0.15">
      <c r="A4978" s="326">
        <v>1.05</v>
      </c>
      <c r="B4978" s="327">
        <v>85</v>
      </c>
      <c r="C4978" s="327" t="s">
        <v>111</v>
      </c>
      <c r="D4978" s="327" t="s">
        <v>113</v>
      </c>
      <c r="E4978" s="328" t="s">
        <v>4318</v>
      </c>
      <c r="F4978" s="328">
        <v>29.860748400000006</v>
      </c>
      <c r="G4978" s="328">
        <v>5378.5374300000012</v>
      </c>
      <c r="H4978" s="328">
        <v>6114.2762100000009</v>
      </c>
      <c r="I4978" s="329">
        <v>1.8256108286934636E-2</v>
      </c>
      <c r="J4978" s="329">
        <v>0.60031069704630857</v>
      </c>
      <c r="K4978" s="329">
        <v>0.73092545399250897</v>
      </c>
    </row>
    <row r="4979" spans="1:11" ht="11.25" x14ac:dyDescent="0.15">
      <c r="A4979" s="326">
        <v>1.075</v>
      </c>
      <c r="B4979" s="327">
        <v>85</v>
      </c>
      <c r="C4979" s="327" t="s">
        <v>111</v>
      </c>
      <c r="D4979" s="327" t="s">
        <v>79</v>
      </c>
      <c r="E4979" s="328" t="s">
        <v>4319</v>
      </c>
      <c r="F4979" s="328">
        <v>313.63905449999999</v>
      </c>
      <c r="G4979" s="328">
        <v>6272.0819099999999</v>
      </c>
      <c r="H4979" s="328">
        <v>6623.4321149999996</v>
      </c>
      <c r="I4979" s="329">
        <v>0.19175100587779617</v>
      </c>
      <c r="J4979" s="329">
        <v>0.70004121237911354</v>
      </c>
      <c r="K4979" s="329">
        <v>0.79179202237004243</v>
      </c>
    </row>
    <row r="4980" spans="1:11" ht="11.25" x14ac:dyDescent="0.15">
      <c r="A4980" s="326">
        <v>1.075</v>
      </c>
      <c r="B4980" s="327">
        <v>85</v>
      </c>
      <c r="C4980" s="327" t="s">
        <v>111</v>
      </c>
      <c r="D4980" s="327" t="s">
        <v>114</v>
      </c>
      <c r="E4980" s="328" t="s">
        <v>4320</v>
      </c>
      <c r="F4980" s="328">
        <v>76.865196099999991</v>
      </c>
      <c r="G4980" s="328">
        <v>5847.450675</v>
      </c>
      <c r="H4980" s="328">
        <v>6522.6755899999998</v>
      </c>
      <c r="I4980" s="329">
        <v>4.699344184883409E-2</v>
      </c>
      <c r="J4980" s="329">
        <v>0.65264716223294128</v>
      </c>
      <c r="K4980" s="329">
        <v>0.779747177444999</v>
      </c>
    </row>
    <row r="4981" spans="1:11" ht="11.25" x14ac:dyDescent="0.15">
      <c r="A4981" s="326">
        <v>1.075</v>
      </c>
      <c r="B4981" s="327">
        <v>85</v>
      </c>
      <c r="C4981" s="327" t="s">
        <v>111</v>
      </c>
      <c r="D4981" s="327" t="s">
        <v>113</v>
      </c>
      <c r="E4981" s="328" t="s">
        <v>4321</v>
      </c>
      <c r="F4981" s="328">
        <v>32.181623549999998</v>
      </c>
      <c r="G4981" s="328">
        <v>5645.44506</v>
      </c>
      <c r="H4981" s="328">
        <v>6424.0890599999993</v>
      </c>
      <c r="I4981" s="329">
        <v>1.9675032805881239E-2</v>
      </c>
      <c r="J4981" s="329">
        <v>0.63010085979921104</v>
      </c>
      <c r="K4981" s="329">
        <v>0.76796174255085037</v>
      </c>
    </row>
    <row r="4982" spans="1:11" ht="11.25" x14ac:dyDescent="0.15">
      <c r="A4982" s="326">
        <v>1.1000000000000001</v>
      </c>
      <c r="B4982" s="327">
        <v>85</v>
      </c>
      <c r="C4982" s="327" t="s">
        <v>111</v>
      </c>
      <c r="D4982" s="327" t="s">
        <v>79</v>
      </c>
      <c r="E4982" s="328" t="s">
        <v>4322</v>
      </c>
      <c r="F4982" s="328">
        <v>336.80196000000001</v>
      </c>
      <c r="G4982" s="328">
        <v>6648.6961200000005</v>
      </c>
      <c r="H4982" s="328">
        <v>6948.381440000001</v>
      </c>
      <c r="I4982" s="329">
        <v>0.20591222197940046</v>
      </c>
      <c r="J4982" s="329">
        <v>0.74207597403413195</v>
      </c>
      <c r="K4982" s="329">
        <v>0.83063778673242561</v>
      </c>
    </row>
    <row r="4983" spans="1:11" ht="11.25" x14ac:dyDescent="0.15">
      <c r="A4983" s="326">
        <v>1.1000000000000001</v>
      </c>
      <c r="B4983" s="327">
        <v>85</v>
      </c>
      <c r="C4983" s="327" t="s">
        <v>111</v>
      </c>
      <c r="D4983" s="327" t="s">
        <v>114</v>
      </c>
      <c r="E4983" s="328" t="s">
        <v>4323</v>
      </c>
      <c r="F4983" s="328">
        <v>82.560669400000009</v>
      </c>
      <c r="G4983" s="328">
        <v>6163.6449600000005</v>
      </c>
      <c r="H4983" s="328">
        <v>6843.811920000001</v>
      </c>
      <c r="I4983" s="329">
        <v>5.0475510547090333E-2</v>
      </c>
      <c r="J4983" s="329">
        <v>0.68793831974570196</v>
      </c>
      <c r="K4983" s="329">
        <v>0.81813712087196411</v>
      </c>
    </row>
    <row r="4984" spans="1:11" ht="11.25" x14ac:dyDescent="0.15">
      <c r="A4984" s="326">
        <v>1.1000000000000001</v>
      </c>
      <c r="B4984" s="327">
        <v>85</v>
      </c>
      <c r="C4984" s="327" t="s">
        <v>111</v>
      </c>
      <c r="D4984" s="327" t="s">
        <v>113</v>
      </c>
      <c r="E4984" s="328" t="s">
        <v>4324</v>
      </c>
      <c r="F4984" s="328">
        <v>34.677808000000006</v>
      </c>
      <c r="G4984" s="328">
        <v>5924.6233200000006</v>
      </c>
      <c r="H4984" s="328">
        <v>6741.2866400000003</v>
      </c>
      <c r="I4984" s="329">
        <v>2.1201137008392202E-2</v>
      </c>
      <c r="J4984" s="329">
        <v>0.66126057525010373</v>
      </c>
      <c r="K4984" s="329">
        <v>0.80588083177806502</v>
      </c>
    </row>
    <row r="4985" spans="1:11" ht="11.25" x14ac:dyDescent="0.15">
      <c r="A4985" s="326">
        <v>1.125</v>
      </c>
      <c r="B4985" s="327">
        <v>85</v>
      </c>
      <c r="C4985" s="327" t="s">
        <v>111</v>
      </c>
      <c r="D4985" s="327" t="s">
        <v>79</v>
      </c>
      <c r="E4985" s="328" t="s">
        <v>4325</v>
      </c>
      <c r="F4985" s="328">
        <v>361.48491000000001</v>
      </c>
      <c r="G4985" s="328">
        <v>7046.6532749999997</v>
      </c>
      <c r="H4985" s="328">
        <v>7281.0580499999996</v>
      </c>
      <c r="I4985" s="329">
        <v>0.22100275494276694</v>
      </c>
      <c r="J4985" s="329">
        <v>0.7864928699322824</v>
      </c>
      <c r="K4985" s="329">
        <v>0.87040730218206175</v>
      </c>
    </row>
    <row r="4986" spans="1:11" ht="11.25" x14ac:dyDescent="0.15">
      <c r="A4986" s="326">
        <v>1.125</v>
      </c>
      <c r="B4986" s="327">
        <v>85</v>
      </c>
      <c r="C4986" s="327" t="s">
        <v>111</v>
      </c>
      <c r="D4986" s="327" t="s">
        <v>114</v>
      </c>
      <c r="E4986" s="328" t="s">
        <v>4326</v>
      </c>
      <c r="F4986" s="328">
        <v>88.643063250000012</v>
      </c>
      <c r="G4986" s="328">
        <v>6497.4802499999996</v>
      </c>
      <c r="H4986" s="328">
        <v>7172.575425</v>
      </c>
      <c r="I4986" s="329">
        <v>5.4194132708930899E-2</v>
      </c>
      <c r="J4986" s="329">
        <v>0.72519842962627157</v>
      </c>
      <c r="K4986" s="329">
        <v>0.85743884782948621</v>
      </c>
    </row>
    <row r="4987" spans="1:11" ht="11.25" x14ac:dyDescent="0.15">
      <c r="A4987" s="326">
        <v>1.125</v>
      </c>
      <c r="B4987" s="327">
        <v>85</v>
      </c>
      <c r="C4987" s="327" t="s">
        <v>111</v>
      </c>
      <c r="D4987" s="327" t="s">
        <v>113</v>
      </c>
      <c r="E4987" s="328" t="s">
        <v>4327</v>
      </c>
      <c r="F4987" s="328">
        <v>37.364618249999999</v>
      </c>
      <c r="G4987" s="328">
        <v>6217.9364249999999</v>
      </c>
      <c r="H4987" s="328">
        <v>7066.2896999999994</v>
      </c>
      <c r="I4987" s="329">
        <v>2.2843785016184458E-2</v>
      </c>
      <c r="J4987" s="329">
        <v>0.69399791264097999</v>
      </c>
      <c r="K4987" s="329">
        <v>0.84473301984096805</v>
      </c>
    </row>
    <row r="4988" spans="1:11" ht="11.25" x14ac:dyDescent="0.15">
      <c r="A4988" s="326">
        <v>1.1499999999999999</v>
      </c>
      <c r="B4988" s="327">
        <v>85</v>
      </c>
      <c r="C4988" s="327" t="s">
        <v>111</v>
      </c>
      <c r="D4988" s="327" t="s">
        <v>79</v>
      </c>
      <c r="E4988" s="328" t="s">
        <v>4328</v>
      </c>
      <c r="F4988" s="328">
        <v>387.78731399999998</v>
      </c>
      <c r="G4988" s="328">
        <v>7467.0061199999991</v>
      </c>
      <c r="H4988" s="328">
        <v>7621.6714599999996</v>
      </c>
      <c r="I4988" s="329">
        <v>0.23708338122843306</v>
      </c>
      <c r="J4988" s="329">
        <v>0.8334093993181062</v>
      </c>
      <c r="K4988" s="329">
        <v>0.91112561499446032</v>
      </c>
    </row>
    <row r="4989" spans="1:11" ht="11.25" x14ac:dyDescent="0.15">
      <c r="A4989" s="326">
        <v>1.1499999999999999</v>
      </c>
      <c r="B4989" s="327">
        <v>85</v>
      </c>
      <c r="C4989" s="327" t="s">
        <v>111</v>
      </c>
      <c r="D4989" s="327" t="s">
        <v>114</v>
      </c>
      <c r="E4989" s="328" t="s">
        <v>4329</v>
      </c>
      <c r="F4989" s="328">
        <v>95.140541899999988</v>
      </c>
      <c r="G4989" s="328">
        <v>6850.6755799999992</v>
      </c>
      <c r="H4989" s="328">
        <v>7509.0163099999991</v>
      </c>
      <c r="I4989" s="329">
        <v>5.816652724631783E-2</v>
      </c>
      <c r="J4989" s="329">
        <v>0.76461935724930397</v>
      </c>
      <c r="K4989" s="329">
        <v>0.89765836002752375</v>
      </c>
    </row>
    <row r="4990" spans="1:11" ht="11.25" x14ac:dyDescent="0.15">
      <c r="A4990" s="326">
        <v>1.1499999999999999</v>
      </c>
      <c r="B4990" s="327">
        <v>85</v>
      </c>
      <c r="C4990" s="327" t="s">
        <v>111</v>
      </c>
      <c r="D4990" s="327" t="s">
        <v>113</v>
      </c>
      <c r="E4990" s="328" t="s">
        <v>4330</v>
      </c>
      <c r="F4990" s="328">
        <v>40.258949299999998</v>
      </c>
      <c r="G4990" s="328">
        <v>6525.9010899999994</v>
      </c>
      <c r="H4990" s="328">
        <v>7399.0551499999983</v>
      </c>
      <c r="I4990" s="329">
        <v>2.46133060060548E-2</v>
      </c>
      <c r="J4990" s="329">
        <v>0.72837054369874743</v>
      </c>
      <c r="K4990" s="329">
        <v>0.88451315558564858</v>
      </c>
    </row>
    <row r="4991" spans="1:11" ht="11.25" x14ac:dyDescent="0.15">
      <c r="A4991" s="326">
        <v>1.175</v>
      </c>
      <c r="B4991" s="327">
        <v>85</v>
      </c>
      <c r="C4991" s="327" t="s">
        <v>111</v>
      </c>
      <c r="D4991" s="327" t="s">
        <v>79</v>
      </c>
      <c r="E4991" s="328" t="s">
        <v>4331</v>
      </c>
      <c r="F4991" s="328">
        <v>415.81696650000009</v>
      </c>
      <c r="G4991" s="328">
        <v>7910.0837850000007</v>
      </c>
      <c r="H4991" s="328">
        <v>7969.8955150000002</v>
      </c>
      <c r="I4991" s="329">
        <v>0.25422000367441133</v>
      </c>
      <c r="J4991" s="329">
        <v>0.88286229713345188</v>
      </c>
      <c r="K4991" s="329">
        <v>0.9527537352739639</v>
      </c>
    </row>
    <row r="4992" spans="1:11" ht="11.25" x14ac:dyDescent="0.15">
      <c r="A4992" s="326">
        <v>1.175</v>
      </c>
      <c r="B4992" s="327">
        <v>85</v>
      </c>
      <c r="C4992" s="327" t="s">
        <v>111</v>
      </c>
      <c r="D4992" s="327" t="s">
        <v>114</v>
      </c>
      <c r="E4992" s="328" t="s">
        <v>4332</v>
      </c>
      <c r="F4992" s="328">
        <v>102.0845593</v>
      </c>
      <c r="G4992" s="328">
        <v>7223.2944050000006</v>
      </c>
      <c r="H4992" s="328">
        <v>7853.1313</v>
      </c>
      <c r="I4992" s="329">
        <v>6.2411924310805285E-2</v>
      </c>
      <c r="J4992" s="329">
        <v>0.80620818497050983</v>
      </c>
      <c r="K4992" s="329">
        <v>0.93879526595925267</v>
      </c>
    </row>
    <row r="4993" spans="1:11" ht="11.25" x14ac:dyDescent="0.15">
      <c r="A4993" s="326">
        <v>1.175</v>
      </c>
      <c r="B4993" s="327">
        <v>85</v>
      </c>
      <c r="C4993" s="327" t="s">
        <v>111</v>
      </c>
      <c r="D4993" s="327" t="s">
        <v>113</v>
      </c>
      <c r="E4993" s="328" t="s">
        <v>4333</v>
      </c>
      <c r="F4993" s="328">
        <v>43.379517149999998</v>
      </c>
      <c r="G4993" s="328">
        <v>6849.6070400000008</v>
      </c>
      <c r="H4993" s="328">
        <v>7739.6230100000012</v>
      </c>
      <c r="I4993" s="329">
        <v>2.6521142468262385E-2</v>
      </c>
      <c r="J4993" s="329">
        <v>0.76450009508917782</v>
      </c>
      <c r="K4993" s="329">
        <v>0.92522602316572788</v>
      </c>
    </row>
    <row r="4994" spans="1:11" ht="11.25" x14ac:dyDescent="0.15">
      <c r="A4994" s="326">
        <v>1.2</v>
      </c>
      <c r="B4994" s="327">
        <v>85</v>
      </c>
      <c r="C4994" s="327" t="s">
        <v>111</v>
      </c>
      <c r="D4994" s="327" t="s">
        <v>79</v>
      </c>
      <c r="E4994" s="328" t="s">
        <v>4334</v>
      </c>
      <c r="F4994" s="328">
        <v>445.68900000000002</v>
      </c>
      <c r="G4994" s="328">
        <v>8376.9251999999997</v>
      </c>
      <c r="H4994" s="328">
        <v>8326.1071200000006</v>
      </c>
      <c r="I4994" s="329">
        <v>0.27248301138680137</v>
      </c>
      <c r="J4994" s="329">
        <v>0.93496752069954203</v>
      </c>
      <c r="K4994" s="329">
        <v>0.99533671977770544</v>
      </c>
    </row>
    <row r="4995" spans="1:11" ht="11.25" x14ac:dyDescent="0.15">
      <c r="A4995" s="326">
        <v>1.2</v>
      </c>
      <c r="B4995" s="327">
        <v>85</v>
      </c>
      <c r="C4995" s="327" t="s">
        <v>111</v>
      </c>
      <c r="D4995" s="327" t="s">
        <v>114</v>
      </c>
      <c r="E4995" s="328" t="s">
        <v>4335</v>
      </c>
      <c r="F4995" s="328">
        <v>109.50923519999999</v>
      </c>
      <c r="G4995" s="328">
        <v>7616.8113599999997</v>
      </c>
      <c r="H4995" s="328">
        <v>8205.35592</v>
      </c>
      <c r="I4995" s="329">
        <v>6.6951183856818336E-2</v>
      </c>
      <c r="J4995" s="329">
        <v>0.85012950012915323</v>
      </c>
      <c r="K4995" s="329">
        <v>0.98090163005510023</v>
      </c>
    </row>
    <row r="4996" spans="1:11" ht="11.25" x14ac:dyDescent="0.15">
      <c r="A4996" s="326">
        <v>1.2</v>
      </c>
      <c r="B4996" s="327">
        <v>85</v>
      </c>
      <c r="C4996" s="327" t="s">
        <v>111</v>
      </c>
      <c r="D4996" s="327" t="s">
        <v>113</v>
      </c>
      <c r="E4996" s="328" t="s">
        <v>4336</v>
      </c>
      <c r="F4996" s="328">
        <v>46.746645600000001</v>
      </c>
      <c r="G4996" s="328">
        <v>7189.9406399999998</v>
      </c>
      <c r="H4996" s="328">
        <v>8087.6354399999991</v>
      </c>
      <c r="I4996" s="329">
        <v>2.8579719861427065E-2</v>
      </c>
      <c r="J4996" s="329">
        <v>0.80248549600964314</v>
      </c>
      <c r="K4996" s="329">
        <v>0.96682884493173782</v>
      </c>
    </row>
    <row r="4997" spans="1:11" ht="11.25" x14ac:dyDescent="0.15">
      <c r="A4997" s="326">
        <v>1.2250000000000001</v>
      </c>
      <c r="B4997" s="327">
        <v>85</v>
      </c>
      <c r="C4997" s="327" t="s">
        <v>111</v>
      </c>
      <c r="D4997" s="327" t="s">
        <v>79</v>
      </c>
      <c r="E4997" s="328" t="s">
        <v>4337</v>
      </c>
      <c r="F4997" s="328">
        <v>477.52856900000006</v>
      </c>
      <c r="G4997" s="328">
        <v>8868.0731650000016</v>
      </c>
      <c r="H4997" s="328">
        <v>8690.1350550000025</v>
      </c>
      <c r="I4997" s="329">
        <v>0.29194892066968214</v>
      </c>
      <c r="J4997" s="329">
        <v>0.98978565314898515</v>
      </c>
      <c r="K4997" s="329">
        <v>1.0388541001702789</v>
      </c>
    </row>
    <row r="4998" spans="1:11" ht="11.25" x14ac:dyDescent="0.15">
      <c r="A4998" s="326">
        <v>1.2250000000000001</v>
      </c>
      <c r="B4998" s="327">
        <v>85</v>
      </c>
      <c r="C4998" s="327" t="s">
        <v>111</v>
      </c>
      <c r="D4998" s="327" t="s">
        <v>114</v>
      </c>
      <c r="E4998" s="328" t="s">
        <v>4338</v>
      </c>
      <c r="F4998" s="328">
        <v>117.45146385000001</v>
      </c>
      <c r="G4998" s="328">
        <v>8031.3521050000008</v>
      </c>
      <c r="H4998" s="328">
        <v>8564.8256399999991</v>
      </c>
      <c r="I4998" s="329">
        <v>7.1806862098090909E-2</v>
      </c>
      <c r="J4998" s="329">
        <v>0.89639732792133553</v>
      </c>
      <c r="K4998" s="329">
        <v>1.0238741028815379</v>
      </c>
    </row>
    <row r="4999" spans="1:11" ht="11.25" x14ac:dyDescent="0.15">
      <c r="A4999" s="326">
        <v>1.2250000000000001</v>
      </c>
      <c r="B4999" s="327">
        <v>85</v>
      </c>
      <c r="C4999" s="327" t="s">
        <v>111</v>
      </c>
      <c r="D4999" s="327" t="s">
        <v>113</v>
      </c>
      <c r="E4999" s="328" t="s">
        <v>4339</v>
      </c>
      <c r="F4999" s="328">
        <v>50.382946600000004</v>
      </c>
      <c r="G4999" s="328">
        <v>7548.1839300000001</v>
      </c>
      <c r="H4999" s="328">
        <v>8443.4403899999998</v>
      </c>
      <c r="I4999" s="329">
        <v>3.0802862561356472E-2</v>
      </c>
      <c r="J4999" s="329">
        <v>0.84246983783694596</v>
      </c>
      <c r="K4999" s="329">
        <v>1.0093632162423092</v>
      </c>
    </row>
    <row r="5000" spans="1:11" ht="11.25" x14ac:dyDescent="0.15">
      <c r="A5000" s="326">
        <v>1.25</v>
      </c>
      <c r="B5000" s="327">
        <v>85</v>
      </c>
      <c r="C5000" s="327" t="s">
        <v>111</v>
      </c>
      <c r="D5000" s="327" t="s">
        <v>79</v>
      </c>
      <c r="E5000" s="328" t="s">
        <v>4340</v>
      </c>
      <c r="F5000" s="328">
        <v>511.46894999999995</v>
      </c>
      <c r="G5000" s="328">
        <v>9384.3432499999999</v>
      </c>
      <c r="H5000" s="328">
        <v>9062.0990000000002</v>
      </c>
      <c r="I5000" s="329">
        <v>0.31269921341304208</v>
      </c>
      <c r="J5000" s="329">
        <v>1.0474077220894826</v>
      </c>
      <c r="K5000" s="329">
        <v>1.0833201834857999</v>
      </c>
    </row>
    <row r="5001" spans="1:11" ht="11.25" x14ac:dyDescent="0.15">
      <c r="A5001" s="326">
        <v>1.25</v>
      </c>
      <c r="B5001" s="327">
        <v>85</v>
      </c>
      <c r="C5001" s="327" t="s">
        <v>111</v>
      </c>
      <c r="D5001" s="327" t="s">
        <v>114</v>
      </c>
      <c r="E5001" s="328" t="s">
        <v>4341</v>
      </c>
      <c r="F5001" s="328">
        <v>125.95192500000002</v>
      </c>
      <c r="G5001" s="328">
        <v>8468.3229999999985</v>
      </c>
      <c r="H5001" s="328">
        <v>8932.4845000000005</v>
      </c>
      <c r="I5001" s="329">
        <v>7.7003829607561677E-2</v>
      </c>
      <c r="J5001" s="329">
        <v>0.94516863535953588</v>
      </c>
      <c r="K5001" s="329">
        <v>1.0678255388209799</v>
      </c>
    </row>
    <row r="5002" spans="1:11" ht="11.25" x14ac:dyDescent="0.15">
      <c r="A5002" s="326">
        <v>1.25</v>
      </c>
      <c r="B5002" s="327">
        <v>85</v>
      </c>
      <c r="C5002" s="327" t="s">
        <v>111</v>
      </c>
      <c r="D5002" s="327" t="s">
        <v>113</v>
      </c>
      <c r="E5002" s="328" t="s">
        <v>4342</v>
      </c>
      <c r="F5002" s="328">
        <v>54.314107500000006</v>
      </c>
      <c r="G5002" s="328">
        <v>7925.7517499999994</v>
      </c>
      <c r="H5002" s="328">
        <v>8806.9107500000009</v>
      </c>
      <c r="I5002" s="329">
        <v>3.3206275165836387E-2</v>
      </c>
      <c r="J5002" s="329">
        <v>0.88461103405549768</v>
      </c>
      <c r="K5002" s="329">
        <v>1.0528139418508962</v>
      </c>
    </row>
    <row r="5003" spans="1:11" ht="11.25" x14ac:dyDescent="0.15">
      <c r="A5003" s="326">
        <v>1.2749999999999999</v>
      </c>
      <c r="B5003" s="327">
        <v>85</v>
      </c>
      <c r="C5003" s="327" t="s">
        <v>111</v>
      </c>
      <c r="D5003" s="327" t="s">
        <v>79</v>
      </c>
      <c r="E5003" s="328" t="s">
        <v>4343</v>
      </c>
      <c r="F5003" s="328">
        <v>547.6569465</v>
      </c>
      <c r="G5003" s="328">
        <v>9926.1815099999985</v>
      </c>
      <c r="H5003" s="328">
        <v>9441.8679149999989</v>
      </c>
      <c r="I5003" s="329">
        <v>0.33482364157342981</v>
      </c>
      <c r="J5003" s="329">
        <v>1.1078835127259266</v>
      </c>
      <c r="K5003" s="329">
        <v>1.1287193046695347</v>
      </c>
    </row>
    <row r="5004" spans="1:11" ht="11.25" x14ac:dyDescent="0.15">
      <c r="A5004" s="326">
        <v>1.2749999999999999</v>
      </c>
      <c r="B5004" s="327">
        <v>85</v>
      </c>
      <c r="C5004" s="327" t="s">
        <v>111</v>
      </c>
      <c r="D5004" s="327" t="s">
        <v>114</v>
      </c>
      <c r="E5004" s="328" t="s">
        <v>4344</v>
      </c>
      <c r="F5004" s="328">
        <v>135.05572649999999</v>
      </c>
      <c r="G5004" s="328">
        <v>8927.9888549999996</v>
      </c>
      <c r="H5004" s="328">
        <v>9307.6068450000002</v>
      </c>
      <c r="I5004" s="329">
        <v>8.2569664186803407E-2</v>
      </c>
      <c r="J5004" s="329">
        <v>0.99647297848529115</v>
      </c>
      <c r="K5004" s="329">
        <v>1.1126691901224084</v>
      </c>
    </row>
    <row r="5005" spans="1:11" ht="11.25" x14ac:dyDescent="0.15">
      <c r="A5005" s="326">
        <v>1.2749999999999999</v>
      </c>
      <c r="B5005" s="327">
        <v>85</v>
      </c>
      <c r="C5005" s="327" t="s">
        <v>111</v>
      </c>
      <c r="D5005" s="327" t="s">
        <v>113</v>
      </c>
      <c r="E5005" s="328" t="s">
        <v>4345</v>
      </c>
      <c r="F5005" s="328">
        <v>58.567721699999993</v>
      </c>
      <c r="G5005" s="328">
        <v>8322.7667550000006</v>
      </c>
      <c r="H5005" s="328">
        <v>9177.9607649999998</v>
      </c>
      <c r="I5005" s="329">
        <v>3.5806827583539438E-2</v>
      </c>
      <c r="J5005" s="329">
        <v>0.92892277446656968</v>
      </c>
      <c r="K5005" s="329">
        <v>1.0971707702559055</v>
      </c>
    </row>
    <row r="5006" spans="1:11" ht="11.25" x14ac:dyDescent="0.15">
      <c r="A5006" s="326">
        <v>1.3</v>
      </c>
      <c r="B5006" s="327">
        <v>85</v>
      </c>
      <c r="C5006" s="327" t="s">
        <v>111</v>
      </c>
      <c r="D5006" s="327" t="s">
        <v>79</v>
      </c>
      <c r="E5006" s="328" t="s">
        <v>4346</v>
      </c>
      <c r="F5006" s="328">
        <v>586.24971600000003</v>
      </c>
      <c r="G5006" s="328">
        <v>10493.787720000002</v>
      </c>
      <c r="H5006" s="328">
        <v>9829.7667000000001</v>
      </c>
      <c r="I5006" s="329">
        <v>0.35841828728179753</v>
      </c>
      <c r="J5006" s="329">
        <v>1.1712353223967791</v>
      </c>
      <c r="K5006" s="329">
        <v>1.1750903035893345</v>
      </c>
    </row>
    <row r="5007" spans="1:11" ht="11.25" x14ac:dyDescent="0.15">
      <c r="A5007" s="326">
        <v>1.3</v>
      </c>
      <c r="B5007" s="327">
        <v>85</v>
      </c>
      <c r="C5007" s="327" t="s">
        <v>111</v>
      </c>
      <c r="D5007" s="327" t="s">
        <v>114</v>
      </c>
      <c r="E5007" s="328" t="s">
        <v>4347</v>
      </c>
      <c r="F5007" s="328">
        <v>144.8105984</v>
      </c>
      <c r="G5007" s="328">
        <v>9411.2967000000008</v>
      </c>
      <c r="H5007" s="328">
        <v>9690.4657200000001</v>
      </c>
      <c r="I5007" s="329">
        <v>8.8533546784319822E-2</v>
      </c>
      <c r="J5007" s="329">
        <v>1.0504160574534893</v>
      </c>
      <c r="K5007" s="329">
        <v>1.1584376976960034</v>
      </c>
    </row>
    <row r="5008" spans="1:11" ht="11.25" x14ac:dyDescent="0.15">
      <c r="A5008" s="326">
        <v>1.3</v>
      </c>
      <c r="B5008" s="327">
        <v>85</v>
      </c>
      <c r="C5008" s="327" t="s">
        <v>111</v>
      </c>
      <c r="D5008" s="327" t="s">
        <v>113</v>
      </c>
      <c r="E5008" s="328" t="s">
        <v>4348</v>
      </c>
      <c r="F5008" s="328">
        <v>63.175338200000006</v>
      </c>
      <c r="G5008" s="328">
        <v>8740.910100000001</v>
      </c>
      <c r="H5008" s="328">
        <v>9556.7422600000009</v>
      </c>
      <c r="I5008" s="329">
        <v>3.8623808077192005E-2</v>
      </c>
      <c r="J5008" s="329">
        <v>0.97559269657255476</v>
      </c>
      <c r="K5008" s="329">
        <v>1.1424518512355359</v>
      </c>
    </row>
    <row r="5009" spans="1:11" ht="11.25" x14ac:dyDescent="0.15">
      <c r="A5009" s="326">
        <v>1.325</v>
      </c>
      <c r="B5009" s="327">
        <v>85</v>
      </c>
      <c r="C5009" s="327" t="s">
        <v>111</v>
      </c>
      <c r="D5009" s="327" t="s">
        <v>79</v>
      </c>
      <c r="E5009" s="328" t="s">
        <v>4349</v>
      </c>
      <c r="F5009" s="328">
        <v>627.4190615</v>
      </c>
      <c r="G5009" s="328">
        <v>11087.77225</v>
      </c>
      <c r="H5009" s="328">
        <v>10225.543339999998</v>
      </c>
      <c r="I5009" s="329">
        <v>0.38358818655834159</v>
      </c>
      <c r="J5009" s="329">
        <v>1.2375312758747903</v>
      </c>
      <c r="K5009" s="329">
        <v>1.2224030533467793</v>
      </c>
    </row>
    <row r="5010" spans="1:11" ht="11.25" x14ac:dyDescent="0.15">
      <c r="A5010" s="326">
        <v>1.325</v>
      </c>
      <c r="B5010" s="327">
        <v>85</v>
      </c>
      <c r="C5010" s="327" t="s">
        <v>111</v>
      </c>
      <c r="D5010" s="327" t="s">
        <v>114</v>
      </c>
      <c r="E5010" s="328" t="s">
        <v>4350</v>
      </c>
      <c r="F5010" s="328">
        <v>155.27197469999999</v>
      </c>
      <c r="G5010" s="328">
        <v>9919.5799050000005</v>
      </c>
      <c r="H5010" s="328">
        <v>10081.18088</v>
      </c>
      <c r="I5010" s="329">
        <v>9.4929368349300131E-2</v>
      </c>
      <c r="J5010" s="329">
        <v>1.107146692698038</v>
      </c>
      <c r="K5010" s="329">
        <v>1.2051453775416863</v>
      </c>
    </row>
    <row r="5011" spans="1:11" ht="11.25" x14ac:dyDescent="0.15">
      <c r="A5011" s="326">
        <v>1.325</v>
      </c>
      <c r="B5011" s="327">
        <v>85</v>
      </c>
      <c r="C5011" s="327" t="s">
        <v>111</v>
      </c>
      <c r="D5011" s="327" t="s">
        <v>113</v>
      </c>
      <c r="E5011" s="328" t="s">
        <v>4351</v>
      </c>
      <c r="F5011" s="328">
        <v>68.170388750000001</v>
      </c>
      <c r="G5011" s="328">
        <v>9180.0992600000009</v>
      </c>
      <c r="H5011" s="328">
        <v>9943.218965</v>
      </c>
      <c r="I5011" s="329">
        <v>4.1677655975375039E-2</v>
      </c>
      <c r="J5011" s="329">
        <v>1.0246115895720189</v>
      </c>
      <c r="K5011" s="329">
        <v>1.1886528489264225</v>
      </c>
    </row>
    <row r="5012" spans="1:11" ht="11.25" x14ac:dyDescent="0.15">
      <c r="A5012" s="326">
        <v>1.35</v>
      </c>
      <c r="B5012" s="327">
        <v>85</v>
      </c>
      <c r="C5012" s="327" t="s">
        <v>111</v>
      </c>
      <c r="D5012" s="327" t="s">
        <v>79</v>
      </c>
      <c r="E5012" s="328" t="s">
        <v>4352</v>
      </c>
      <c r="F5012" s="328">
        <v>671.35119300000008</v>
      </c>
      <c r="G5012" s="328">
        <v>11707.772940000003</v>
      </c>
      <c r="H5012" s="328">
        <v>10629.217980000001</v>
      </c>
      <c r="I5012" s="329">
        <v>0.41044718349961901</v>
      </c>
      <c r="J5012" s="329">
        <v>1.306730951665295</v>
      </c>
      <c r="K5012" s="329">
        <v>1.2706599621571297</v>
      </c>
    </row>
    <row r="5013" spans="1:11" ht="11.25" x14ac:dyDescent="0.15">
      <c r="A5013" s="326">
        <v>1.35</v>
      </c>
      <c r="B5013" s="327">
        <v>85</v>
      </c>
      <c r="C5013" s="327" t="s">
        <v>111</v>
      </c>
      <c r="D5013" s="327" t="s">
        <v>114</v>
      </c>
      <c r="E5013" s="328" t="s">
        <v>4353</v>
      </c>
      <c r="F5013" s="328">
        <v>166.49798670000001</v>
      </c>
      <c r="G5013" s="328">
        <v>10451.766150000001</v>
      </c>
      <c r="H5013" s="328">
        <v>10479.760290000002</v>
      </c>
      <c r="I5013" s="329">
        <v>0.10179266889210997</v>
      </c>
      <c r="J5013" s="329">
        <v>1.1665452001644827</v>
      </c>
      <c r="K5013" s="329">
        <v>1.252793181827963</v>
      </c>
    </row>
    <row r="5014" spans="1:11" ht="11.25" x14ac:dyDescent="0.15">
      <c r="A5014" s="326">
        <v>1.35</v>
      </c>
      <c r="B5014" s="327">
        <v>85</v>
      </c>
      <c r="C5014" s="327" t="s">
        <v>111</v>
      </c>
      <c r="D5014" s="327" t="s">
        <v>113</v>
      </c>
      <c r="E5014" s="328" t="s">
        <v>4354</v>
      </c>
      <c r="F5014" s="328">
        <v>73.592460899999992</v>
      </c>
      <c r="G5014" s="328">
        <v>9641.5458300000009</v>
      </c>
      <c r="H5014" s="328">
        <v>10337.80185</v>
      </c>
      <c r="I5014" s="329">
        <v>4.499257410749969E-2</v>
      </c>
      <c r="J5014" s="329">
        <v>1.0761146823163839</v>
      </c>
      <c r="K5014" s="329">
        <v>1.2358228923543917</v>
      </c>
    </row>
    <row r="5015" spans="1:11" ht="11.25" x14ac:dyDescent="0.15">
      <c r="A5015" s="326">
        <v>1.375</v>
      </c>
      <c r="B5015" s="327">
        <v>85</v>
      </c>
      <c r="C5015" s="327" t="s">
        <v>111</v>
      </c>
      <c r="D5015" s="327" t="s">
        <v>79</v>
      </c>
      <c r="E5015" s="328" t="s">
        <v>4355</v>
      </c>
      <c r="F5015" s="328">
        <v>718.24785999999995</v>
      </c>
      <c r="G5015" s="328">
        <v>12355.254175</v>
      </c>
      <c r="H5015" s="328">
        <v>11041.122400000002</v>
      </c>
      <c r="I5015" s="329">
        <v>0.4391186226604778</v>
      </c>
      <c r="J5015" s="329">
        <v>1.3789977930819313</v>
      </c>
      <c r="K5015" s="329">
        <v>1.3199006923514274</v>
      </c>
    </row>
    <row r="5016" spans="1:11" ht="11.25" x14ac:dyDescent="0.15">
      <c r="A5016" s="326">
        <v>1.375</v>
      </c>
      <c r="B5016" s="327">
        <v>85</v>
      </c>
      <c r="C5016" s="327" t="s">
        <v>111</v>
      </c>
      <c r="D5016" s="327" t="s">
        <v>114</v>
      </c>
      <c r="E5016" s="328" t="s">
        <v>4356</v>
      </c>
      <c r="F5016" s="328">
        <v>178.55508824999998</v>
      </c>
      <c r="G5016" s="328">
        <v>11009.258975000001</v>
      </c>
      <c r="H5016" s="328">
        <v>10885.667649999999</v>
      </c>
      <c r="I5016" s="329">
        <v>0.10916407662023533</v>
      </c>
      <c r="J5016" s="329">
        <v>1.2287682321187412</v>
      </c>
      <c r="K5016" s="329">
        <v>1.3013169990709035</v>
      </c>
    </row>
    <row r="5017" spans="1:11" ht="11.25" x14ac:dyDescent="0.15">
      <c r="A5017" s="326">
        <v>1.375</v>
      </c>
      <c r="B5017" s="327">
        <v>85</v>
      </c>
      <c r="C5017" s="327" t="s">
        <v>111</v>
      </c>
      <c r="D5017" s="327" t="s">
        <v>113</v>
      </c>
      <c r="E5017" s="328" t="s">
        <v>4357</v>
      </c>
      <c r="F5017" s="328">
        <v>79.483720250000005</v>
      </c>
      <c r="G5017" s="328">
        <v>10125.66005</v>
      </c>
      <c r="H5017" s="328">
        <v>10739.711674999999</v>
      </c>
      <c r="I5017" s="329">
        <v>4.8594341457711729E-2</v>
      </c>
      <c r="J5017" s="329">
        <v>1.1301477626175893</v>
      </c>
      <c r="K5017" s="329">
        <v>1.2838688279995158</v>
      </c>
    </row>
    <row r="5018" spans="1:11" ht="11.25" x14ac:dyDescent="0.15">
      <c r="A5018" s="326">
        <v>1.4</v>
      </c>
      <c r="B5018" s="327">
        <v>85</v>
      </c>
      <c r="C5018" s="327" t="s">
        <v>111</v>
      </c>
      <c r="D5018" s="327" t="s">
        <v>79</v>
      </c>
      <c r="E5018" s="328" t="s">
        <v>4358</v>
      </c>
      <c r="F5018" s="328">
        <v>768.33357999999987</v>
      </c>
      <c r="G5018" s="328">
        <v>13030.206279999999</v>
      </c>
      <c r="H5018" s="328">
        <v>11461.017679999999</v>
      </c>
      <c r="I5018" s="329">
        <v>0.46973976837660747</v>
      </c>
      <c r="J5018" s="329">
        <v>1.4543307202761226</v>
      </c>
      <c r="K5018" s="329">
        <v>1.3700966824608289</v>
      </c>
    </row>
    <row r="5019" spans="1:11" ht="11.25" x14ac:dyDescent="0.15">
      <c r="A5019" s="326">
        <v>1.4</v>
      </c>
      <c r="B5019" s="327">
        <v>85</v>
      </c>
      <c r="C5019" s="327" t="s">
        <v>111</v>
      </c>
      <c r="D5019" s="327" t="s">
        <v>114</v>
      </c>
      <c r="E5019" s="328" t="s">
        <v>4359</v>
      </c>
      <c r="F5019" s="328">
        <v>191.51594</v>
      </c>
      <c r="G5019" s="328">
        <v>11593.16872</v>
      </c>
      <c r="H5019" s="328">
        <v>11300.152919999999</v>
      </c>
      <c r="I5019" s="329">
        <v>0.11708801442210591</v>
      </c>
      <c r="J5019" s="329">
        <v>1.2939397161132444</v>
      </c>
      <c r="K5019" s="329">
        <v>1.3508662545743537</v>
      </c>
    </row>
    <row r="5020" spans="1:11" ht="11.25" x14ac:dyDescent="0.15">
      <c r="A5020" s="326">
        <v>1.4</v>
      </c>
      <c r="B5020" s="327">
        <v>85</v>
      </c>
      <c r="C5020" s="327" t="s">
        <v>111</v>
      </c>
      <c r="D5020" s="327" t="s">
        <v>113</v>
      </c>
      <c r="E5020" s="328" t="s">
        <v>4360</v>
      </c>
      <c r="F5020" s="328">
        <v>85.892483599999991</v>
      </c>
      <c r="G5020" s="328">
        <v>10633.5656</v>
      </c>
      <c r="H5020" s="328">
        <v>11149.427799999999</v>
      </c>
      <c r="I5020" s="329">
        <v>5.251249769866307E-2</v>
      </c>
      <c r="J5020" s="329">
        <v>1.1868362469355629</v>
      </c>
      <c r="K5020" s="329">
        <v>1.3328479605064651</v>
      </c>
    </row>
    <row r="5021" spans="1:11" ht="11.25" x14ac:dyDescent="0.15">
      <c r="A5021" s="326">
        <v>0.9</v>
      </c>
      <c r="B5021" s="327">
        <v>100</v>
      </c>
      <c r="C5021" s="327" t="s">
        <v>111</v>
      </c>
      <c r="D5021" s="327" t="s">
        <v>79</v>
      </c>
      <c r="E5021" s="328" t="s">
        <v>4361</v>
      </c>
      <c r="F5021" s="328">
        <v>266.83632</v>
      </c>
      <c r="G5021" s="328">
        <v>4194.1881000000012</v>
      </c>
      <c r="H5021" s="328">
        <v>4576.4333999999999</v>
      </c>
      <c r="I5021" s="329">
        <v>0.16313699467784076</v>
      </c>
      <c r="J5021" s="329">
        <v>0.46812279632203524</v>
      </c>
      <c r="K5021" s="329">
        <v>0.54708546779267619</v>
      </c>
    </row>
    <row r="5022" spans="1:11" ht="11.25" x14ac:dyDescent="0.15">
      <c r="A5022" s="326">
        <v>0.9</v>
      </c>
      <c r="B5022" s="327">
        <v>100</v>
      </c>
      <c r="C5022" s="327" t="s">
        <v>111</v>
      </c>
      <c r="D5022" s="327" t="s">
        <v>114</v>
      </c>
      <c r="E5022" s="328" t="s">
        <v>4362</v>
      </c>
      <c r="F5022" s="328">
        <v>67.922361000000009</v>
      </c>
      <c r="G5022" s="328">
        <v>4044.0060000000003</v>
      </c>
      <c r="H5022" s="328">
        <v>4500.3518999999997</v>
      </c>
      <c r="I5022" s="329">
        <v>4.1526018065919136E-2</v>
      </c>
      <c r="J5022" s="329">
        <v>0.45136063331615672</v>
      </c>
      <c r="K5022" s="329">
        <v>0.53799037574613429</v>
      </c>
    </row>
    <row r="5023" spans="1:11" ht="11.25" x14ac:dyDescent="0.15">
      <c r="A5023" s="326">
        <v>0.9</v>
      </c>
      <c r="B5023" s="327">
        <v>100</v>
      </c>
      <c r="C5023" s="327" t="s">
        <v>111</v>
      </c>
      <c r="D5023" s="327" t="s">
        <v>113</v>
      </c>
      <c r="E5023" s="328" t="s">
        <v>4363</v>
      </c>
      <c r="F5023" s="328">
        <v>28.026621000000002</v>
      </c>
      <c r="G5023" s="328">
        <v>3983.1120000000005</v>
      </c>
      <c r="H5023" s="328">
        <v>4424.7321000000011</v>
      </c>
      <c r="I5023" s="329">
        <v>1.7134769063352619E-2</v>
      </c>
      <c r="J5023" s="329">
        <v>0.44456411659359152</v>
      </c>
      <c r="K5023" s="329">
        <v>0.52895047719601274</v>
      </c>
    </row>
    <row r="5024" spans="1:11" ht="11.25" x14ac:dyDescent="0.15">
      <c r="A5024" s="326">
        <v>0.92500000000000004</v>
      </c>
      <c r="B5024" s="327">
        <v>100</v>
      </c>
      <c r="C5024" s="327" t="s">
        <v>111</v>
      </c>
      <c r="D5024" s="327" t="s">
        <v>79</v>
      </c>
      <c r="E5024" s="328" t="s">
        <v>4364</v>
      </c>
      <c r="F5024" s="328">
        <v>287.36688250000003</v>
      </c>
      <c r="G5024" s="328">
        <v>4454.2089249999999</v>
      </c>
      <c r="H5024" s="328">
        <v>4847.0212750000001</v>
      </c>
      <c r="I5024" s="329">
        <v>0.17568886267427986</v>
      </c>
      <c r="J5024" s="329">
        <v>0.49714430723161079</v>
      </c>
      <c r="K5024" s="329">
        <v>0.57943264325324362</v>
      </c>
    </row>
    <row r="5025" spans="1:11" ht="11.25" x14ac:dyDescent="0.15">
      <c r="A5025" s="326">
        <v>0.92500000000000004</v>
      </c>
      <c r="B5025" s="327">
        <v>100</v>
      </c>
      <c r="C5025" s="327" t="s">
        <v>111</v>
      </c>
      <c r="D5025" s="327" t="s">
        <v>114</v>
      </c>
      <c r="E5025" s="328" t="s">
        <v>4365</v>
      </c>
      <c r="F5025" s="328">
        <v>73.106755250000006</v>
      </c>
      <c r="G5025" s="328">
        <v>4271.9441500000003</v>
      </c>
      <c r="H5025" s="328">
        <v>4767.7506249999997</v>
      </c>
      <c r="I5025" s="329">
        <v>4.4695625925786478E-2</v>
      </c>
      <c r="J5025" s="329">
        <v>0.47680132448746387</v>
      </c>
      <c r="K5025" s="329">
        <v>0.56995630724068858</v>
      </c>
    </row>
    <row r="5026" spans="1:11" ht="11.25" x14ac:dyDescent="0.15">
      <c r="A5026" s="326">
        <v>0.92500000000000004</v>
      </c>
      <c r="B5026" s="327">
        <v>100</v>
      </c>
      <c r="C5026" s="327" t="s">
        <v>111</v>
      </c>
      <c r="D5026" s="327" t="s">
        <v>113</v>
      </c>
      <c r="E5026" s="328" t="s">
        <v>4366</v>
      </c>
      <c r="F5026" s="328">
        <v>30.171724000000001</v>
      </c>
      <c r="G5026" s="328">
        <v>4198.2521750000005</v>
      </c>
      <c r="H5026" s="328">
        <v>4688.9526500000002</v>
      </c>
      <c r="I5026" s="329">
        <v>1.8446230923921003E-2</v>
      </c>
      <c r="J5026" s="329">
        <v>0.46857639690171887</v>
      </c>
      <c r="K5026" s="329">
        <v>0.56053647672070539</v>
      </c>
    </row>
    <row r="5027" spans="1:11" ht="11.25" x14ac:dyDescent="0.15">
      <c r="A5027" s="326">
        <v>0.95</v>
      </c>
      <c r="B5027" s="327">
        <v>100</v>
      </c>
      <c r="C5027" s="327" t="s">
        <v>111</v>
      </c>
      <c r="D5027" s="327" t="s">
        <v>79</v>
      </c>
      <c r="E5027" s="328" t="s">
        <v>4367</v>
      </c>
      <c r="F5027" s="328">
        <v>309.19298499999996</v>
      </c>
      <c r="G5027" s="328">
        <v>4728.8330500000002</v>
      </c>
      <c r="H5027" s="328">
        <v>5125.0162999999993</v>
      </c>
      <c r="I5027" s="329">
        <v>0.18903279114466384</v>
      </c>
      <c r="J5027" s="329">
        <v>0.52779572540059849</v>
      </c>
      <c r="K5027" s="329">
        <v>0.61266529956069937</v>
      </c>
    </row>
    <row r="5028" spans="1:11" ht="11.25" x14ac:dyDescent="0.15">
      <c r="A5028" s="326">
        <v>0.95</v>
      </c>
      <c r="B5028" s="327">
        <v>100</v>
      </c>
      <c r="C5028" s="327" t="s">
        <v>111</v>
      </c>
      <c r="D5028" s="327" t="s">
        <v>114</v>
      </c>
      <c r="E5028" s="328" t="s">
        <v>4368</v>
      </c>
      <c r="F5028" s="328">
        <v>78.616585000000001</v>
      </c>
      <c r="G5028" s="328">
        <v>4511.0730999999996</v>
      </c>
      <c r="H5028" s="328">
        <v>5042.797599999999</v>
      </c>
      <c r="I5028" s="329">
        <v>4.8064196840726235E-2</v>
      </c>
      <c r="J5028" s="329">
        <v>0.50349104609426343</v>
      </c>
      <c r="K5028" s="329">
        <v>0.60283654165704326</v>
      </c>
    </row>
    <row r="5029" spans="1:11" ht="11.25" x14ac:dyDescent="0.15">
      <c r="A5029" s="326">
        <v>0.95</v>
      </c>
      <c r="B5029" s="327">
        <v>100</v>
      </c>
      <c r="C5029" s="327" t="s">
        <v>111</v>
      </c>
      <c r="D5029" s="327" t="s">
        <v>113</v>
      </c>
      <c r="E5029" s="328" t="s">
        <v>4369</v>
      </c>
      <c r="F5029" s="328">
        <v>32.457928000000003</v>
      </c>
      <c r="G5029" s="328">
        <v>4419.3258999999998</v>
      </c>
      <c r="H5029" s="328">
        <v>4960.60455</v>
      </c>
      <c r="I5029" s="329">
        <v>1.9843958376392461E-2</v>
      </c>
      <c r="J5029" s="329">
        <v>0.49325093411199045</v>
      </c>
      <c r="K5029" s="329">
        <v>0.59301085005874399</v>
      </c>
    </row>
    <row r="5030" spans="1:11" ht="11.25" x14ac:dyDescent="0.15">
      <c r="A5030" s="326">
        <v>0.97499999999999998</v>
      </c>
      <c r="B5030" s="327">
        <v>100</v>
      </c>
      <c r="C5030" s="327" t="s">
        <v>111</v>
      </c>
      <c r="D5030" s="327" t="s">
        <v>79</v>
      </c>
      <c r="E5030" s="328" t="s">
        <v>4370</v>
      </c>
      <c r="F5030" s="328">
        <v>332.40051</v>
      </c>
      <c r="G5030" s="328">
        <v>5020.0916999999999</v>
      </c>
      <c r="H5030" s="328">
        <v>5411.381625</v>
      </c>
      <c r="I5030" s="329">
        <v>0.20322128648297036</v>
      </c>
      <c r="J5030" s="329">
        <v>0.56030376043388208</v>
      </c>
      <c r="K5030" s="329">
        <v>0.64689857558460639</v>
      </c>
    </row>
    <row r="5031" spans="1:11" ht="11.25" x14ac:dyDescent="0.15">
      <c r="A5031" s="326">
        <v>0.97499999999999998</v>
      </c>
      <c r="B5031" s="327">
        <v>100</v>
      </c>
      <c r="C5031" s="327" t="s">
        <v>111</v>
      </c>
      <c r="D5031" s="327" t="s">
        <v>114</v>
      </c>
      <c r="E5031" s="328" t="s">
        <v>4371</v>
      </c>
      <c r="F5031" s="328">
        <v>84.476271749999995</v>
      </c>
      <c r="G5031" s="328">
        <v>4761.5558249999995</v>
      </c>
      <c r="H5031" s="328">
        <v>5325.29205</v>
      </c>
      <c r="I5031" s="329">
        <v>5.1646661499767266E-2</v>
      </c>
      <c r="J5031" s="329">
        <v>0.53144798814399252</v>
      </c>
      <c r="K5031" s="329">
        <v>0.63660707753484824</v>
      </c>
    </row>
    <row r="5032" spans="1:11" ht="11.25" x14ac:dyDescent="0.15">
      <c r="A5032" s="326">
        <v>0.97499999999999998</v>
      </c>
      <c r="B5032" s="327">
        <v>100</v>
      </c>
      <c r="C5032" s="327" t="s">
        <v>111</v>
      </c>
      <c r="D5032" s="327" t="s">
        <v>113</v>
      </c>
      <c r="E5032" s="328" t="s">
        <v>4372</v>
      </c>
      <c r="F5032" s="328">
        <v>34.897804499999999</v>
      </c>
      <c r="G5032" s="328">
        <v>4651.0629749999998</v>
      </c>
      <c r="H5032" s="328">
        <v>5240.2613249999995</v>
      </c>
      <c r="I5032" s="329">
        <v>2.1335637318730925E-2</v>
      </c>
      <c r="J5032" s="329">
        <v>0.51911563187327803</v>
      </c>
      <c r="K5032" s="329">
        <v>0.62644215872200693</v>
      </c>
    </row>
    <row r="5033" spans="1:11" ht="11.25" x14ac:dyDescent="0.15">
      <c r="A5033" s="326">
        <v>1</v>
      </c>
      <c r="B5033" s="327">
        <v>100</v>
      </c>
      <c r="C5033" s="327" t="s">
        <v>111</v>
      </c>
      <c r="D5033" s="327" t="s">
        <v>79</v>
      </c>
      <c r="E5033" s="328" t="s">
        <v>4373</v>
      </c>
      <c r="F5033" s="328">
        <v>357.07099999999997</v>
      </c>
      <c r="G5033" s="328">
        <v>5328.1669999999995</v>
      </c>
      <c r="H5033" s="328">
        <v>5705.1890000000003</v>
      </c>
      <c r="I5033" s="329">
        <v>0.21830420171666012</v>
      </c>
      <c r="J5033" s="329">
        <v>0.59468873971360237</v>
      </c>
      <c r="K5033" s="329">
        <v>0.68202150454339194</v>
      </c>
    </row>
    <row r="5034" spans="1:11" ht="11.25" x14ac:dyDescent="0.15">
      <c r="A5034" s="326">
        <v>1</v>
      </c>
      <c r="B5034" s="327">
        <v>100</v>
      </c>
      <c r="C5034" s="327" t="s">
        <v>111</v>
      </c>
      <c r="D5034" s="327" t="s">
        <v>114</v>
      </c>
      <c r="E5034" s="328" t="s">
        <v>4374</v>
      </c>
      <c r="F5034" s="328">
        <v>90.706230000000005</v>
      </c>
      <c r="G5034" s="328">
        <v>5023.9390000000003</v>
      </c>
      <c r="H5034" s="328">
        <v>5615.7690000000002</v>
      </c>
      <c r="I5034" s="329">
        <v>5.5455500813221377E-2</v>
      </c>
      <c r="J5034" s="329">
        <v>0.56073316626675107</v>
      </c>
      <c r="K5034" s="329">
        <v>0.67133187393934524</v>
      </c>
    </row>
    <row r="5035" spans="1:11" ht="11.25" x14ac:dyDescent="0.15">
      <c r="A5035" s="326">
        <v>1</v>
      </c>
      <c r="B5035" s="327">
        <v>100</v>
      </c>
      <c r="C5035" s="327" t="s">
        <v>111</v>
      </c>
      <c r="D5035" s="327" t="s">
        <v>113</v>
      </c>
      <c r="E5035" s="328" t="s">
        <v>4375</v>
      </c>
      <c r="F5035" s="328">
        <v>37.502800000000001</v>
      </c>
      <c r="G5035" s="328">
        <v>4890.1059999999998</v>
      </c>
      <c r="H5035" s="328">
        <v>5527.2489999999998</v>
      </c>
      <c r="I5035" s="329">
        <v>2.2928265852280253E-2</v>
      </c>
      <c r="J5035" s="329">
        <v>0.54579576319697287</v>
      </c>
      <c r="K5035" s="329">
        <v>0.66074983299693635</v>
      </c>
    </row>
    <row r="5036" spans="1:11" ht="11.25" x14ac:dyDescent="0.15">
      <c r="A5036" s="326">
        <v>1.0249999999999999</v>
      </c>
      <c r="B5036" s="327">
        <v>100</v>
      </c>
      <c r="C5036" s="327" t="s">
        <v>111</v>
      </c>
      <c r="D5036" s="327" t="s">
        <v>79</v>
      </c>
      <c r="E5036" s="328" t="s">
        <v>4376</v>
      </c>
      <c r="F5036" s="328">
        <v>383.28275999999994</v>
      </c>
      <c r="G5036" s="328">
        <v>5654.1459999999997</v>
      </c>
      <c r="H5036" s="328">
        <v>6006.5697</v>
      </c>
      <c r="I5036" s="329">
        <v>0.23432941054736517</v>
      </c>
      <c r="J5036" s="329">
        <v>0.63107199134274627</v>
      </c>
      <c r="K5036" s="329">
        <v>0.71804977958464655</v>
      </c>
    </row>
    <row r="5037" spans="1:11" ht="11.25" x14ac:dyDescent="0.15">
      <c r="A5037" s="326">
        <v>1.0249999999999999</v>
      </c>
      <c r="B5037" s="327">
        <v>100</v>
      </c>
      <c r="C5037" s="327" t="s">
        <v>111</v>
      </c>
      <c r="D5037" s="327" t="s">
        <v>114</v>
      </c>
      <c r="E5037" s="328" t="s">
        <v>4377</v>
      </c>
      <c r="F5037" s="328">
        <v>97.327839749999981</v>
      </c>
      <c r="G5037" s="328">
        <v>5300.2483499999998</v>
      </c>
      <c r="H5037" s="328">
        <v>5913.6544749999994</v>
      </c>
      <c r="I5037" s="329">
        <v>5.9503785973744068E-2</v>
      </c>
      <c r="J5037" s="329">
        <v>0.59157267620001419</v>
      </c>
      <c r="K5037" s="329">
        <v>0.7069423155638247</v>
      </c>
    </row>
    <row r="5038" spans="1:11" ht="11.25" x14ac:dyDescent="0.15">
      <c r="A5038" s="326">
        <v>1.0249999999999999</v>
      </c>
      <c r="B5038" s="327">
        <v>100</v>
      </c>
      <c r="C5038" s="327" t="s">
        <v>111</v>
      </c>
      <c r="D5038" s="327" t="s">
        <v>113</v>
      </c>
      <c r="E5038" s="328" t="s">
        <v>4378</v>
      </c>
      <c r="F5038" s="328">
        <v>40.28281775</v>
      </c>
      <c r="G5038" s="328">
        <v>5139.6810749999995</v>
      </c>
      <c r="H5038" s="328">
        <v>5822.0297249999994</v>
      </c>
      <c r="I5038" s="329">
        <v>2.4627898574265224E-2</v>
      </c>
      <c r="J5038" s="329">
        <v>0.57365140038245854</v>
      </c>
      <c r="K5038" s="329">
        <v>0.69598912017478287</v>
      </c>
    </row>
    <row r="5039" spans="1:11" ht="11.25" x14ac:dyDescent="0.15">
      <c r="A5039" s="326">
        <v>1.05</v>
      </c>
      <c r="B5039" s="327">
        <v>100</v>
      </c>
      <c r="C5039" s="327" t="s">
        <v>111</v>
      </c>
      <c r="D5039" s="327" t="s">
        <v>79</v>
      </c>
      <c r="E5039" s="328" t="s">
        <v>4379</v>
      </c>
      <c r="F5039" s="328">
        <v>411.12687</v>
      </c>
      <c r="G5039" s="328">
        <v>6000.4528500000006</v>
      </c>
      <c r="H5039" s="328">
        <v>6316.2519000000002</v>
      </c>
      <c r="I5039" s="329">
        <v>0.25135259698944779</v>
      </c>
      <c r="J5039" s="329">
        <v>0.66972408017192298</v>
      </c>
      <c r="K5039" s="329">
        <v>0.75507044971044035</v>
      </c>
    </row>
    <row r="5040" spans="1:11" ht="11.25" x14ac:dyDescent="0.15">
      <c r="A5040" s="326">
        <v>1.05</v>
      </c>
      <c r="B5040" s="327">
        <v>100</v>
      </c>
      <c r="C5040" s="327" t="s">
        <v>111</v>
      </c>
      <c r="D5040" s="327" t="s">
        <v>114</v>
      </c>
      <c r="E5040" s="328" t="s">
        <v>4380</v>
      </c>
      <c r="F5040" s="328">
        <v>104.36518050000001</v>
      </c>
      <c r="G5040" s="328">
        <v>5591.5156500000012</v>
      </c>
      <c r="H5040" s="328">
        <v>6219.2465999999995</v>
      </c>
      <c r="I5040" s="329">
        <v>6.3806238580191743E-2</v>
      </c>
      <c r="J5040" s="329">
        <v>0.62408167667931302</v>
      </c>
      <c r="K5040" s="329">
        <v>0.74347404148370444</v>
      </c>
    </row>
    <row r="5041" spans="1:11" ht="11.25" x14ac:dyDescent="0.15">
      <c r="A5041" s="326">
        <v>1.05</v>
      </c>
      <c r="B5041" s="327">
        <v>100</v>
      </c>
      <c r="C5041" s="327" t="s">
        <v>111</v>
      </c>
      <c r="D5041" s="327" t="s">
        <v>113</v>
      </c>
      <c r="E5041" s="328" t="s">
        <v>4381</v>
      </c>
      <c r="F5041" s="328">
        <v>43.250781000000003</v>
      </c>
      <c r="G5041" s="328">
        <v>5400.7978500000008</v>
      </c>
      <c r="H5041" s="328">
        <v>6124.7959500000006</v>
      </c>
      <c r="I5041" s="329">
        <v>2.6442436433726325E-2</v>
      </c>
      <c r="J5041" s="329">
        <v>0.60279523274410018</v>
      </c>
      <c r="K5041" s="329">
        <v>0.73218302651152722</v>
      </c>
    </row>
    <row r="5042" spans="1:11" ht="11.25" x14ac:dyDescent="0.15">
      <c r="A5042" s="326">
        <v>1.075</v>
      </c>
      <c r="B5042" s="327">
        <v>100</v>
      </c>
      <c r="C5042" s="327" t="s">
        <v>111</v>
      </c>
      <c r="D5042" s="327" t="s">
        <v>79</v>
      </c>
      <c r="E5042" s="328" t="s">
        <v>4382</v>
      </c>
      <c r="F5042" s="328">
        <v>440.70108749999997</v>
      </c>
      <c r="G5042" s="328">
        <v>6365.7017249999999</v>
      </c>
      <c r="H5042" s="328">
        <v>6633.2703000000001</v>
      </c>
      <c r="I5042" s="329">
        <v>0.26943352751231964</v>
      </c>
      <c r="J5042" s="329">
        <v>0.71049033114633142</v>
      </c>
      <c r="K5042" s="329">
        <v>0.79296811903146358</v>
      </c>
    </row>
    <row r="5043" spans="1:11" ht="11.25" x14ac:dyDescent="0.15">
      <c r="A5043" s="326">
        <v>1.075</v>
      </c>
      <c r="B5043" s="327">
        <v>100</v>
      </c>
      <c r="C5043" s="327" t="s">
        <v>111</v>
      </c>
      <c r="D5043" s="327" t="s">
        <v>114</v>
      </c>
      <c r="E5043" s="328" t="s">
        <v>4383</v>
      </c>
      <c r="F5043" s="328">
        <v>111.84504249999999</v>
      </c>
      <c r="G5043" s="328">
        <v>5899.2925500000001</v>
      </c>
      <c r="H5043" s="328">
        <v>6532.9007749999992</v>
      </c>
      <c r="I5043" s="329">
        <v>6.8379237515587721E-2</v>
      </c>
      <c r="J5043" s="329">
        <v>0.65843335086181498</v>
      </c>
      <c r="K5043" s="329">
        <v>0.78096953766092414</v>
      </c>
    </row>
    <row r="5044" spans="1:11" ht="11.25" x14ac:dyDescent="0.15">
      <c r="A5044" s="326">
        <v>1.075</v>
      </c>
      <c r="B5044" s="327">
        <v>100</v>
      </c>
      <c r="C5044" s="327" t="s">
        <v>111</v>
      </c>
      <c r="D5044" s="327" t="s">
        <v>113</v>
      </c>
      <c r="E5044" s="328" t="s">
        <v>4384</v>
      </c>
      <c r="F5044" s="328">
        <v>46.421036999999991</v>
      </c>
      <c r="G5044" s="328">
        <v>5672.8975499999997</v>
      </c>
      <c r="H5044" s="328">
        <v>6434.5941750000002</v>
      </c>
      <c r="I5044" s="329">
        <v>2.8380650977381367E-2</v>
      </c>
      <c r="J5044" s="329">
        <v>0.63316489414349864</v>
      </c>
      <c r="K5044" s="329">
        <v>0.76921756673786712</v>
      </c>
    </row>
    <row r="5045" spans="1:11" ht="11.25" x14ac:dyDescent="0.15">
      <c r="A5045" s="326">
        <v>1.1000000000000001</v>
      </c>
      <c r="B5045" s="327">
        <v>100</v>
      </c>
      <c r="C5045" s="327" t="s">
        <v>111</v>
      </c>
      <c r="D5045" s="327" t="s">
        <v>79</v>
      </c>
      <c r="E5045" s="328" t="s">
        <v>4385</v>
      </c>
      <c r="F5045" s="328">
        <v>472.10658000000001</v>
      </c>
      <c r="G5045" s="328">
        <v>6752.9682000000003</v>
      </c>
      <c r="H5045" s="328">
        <v>6958.4372000000003</v>
      </c>
      <c r="I5045" s="329">
        <v>0.28863405337336989</v>
      </c>
      <c r="J5045" s="329">
        <v>0.75371401613050693</v>
      </c>
      <c r="K5045" s="329">
        <v>0.83183989319454754</v>
      </c>
    </row>
    <row r="5046" spans="1:11" ht="11.25" x14ac:dyDescent="0.15">
      <c r="A5046" s="326">
        <v>1.1000000000000001</v>
      </c>
      <c r="B5046" s="327">
        <v>100</v>
      </c>
      <c r="C5046" s="327" t="s">
        <v>111</v>
      </c>
      <c r="D5046" s="327" t="s">
        <v>114</v>
      </c>
      <c r="E5046" s="328" t="s">
        <v>4386</v>
      </c>
      <c r="F5046" s="328">
        <v>119.79616000000001</v>
      </c>
      <c r="G5046" s="328">
        <v>6223.4898000000003</v>
      </c>
      <c r="H5046" s="328">
        <v>6854.291400000001</v>
      </c>
      <c r="I5046" s="329">
        <v>7.3240350175514946E-2</v>
      </c>
      <c r="J5046" s="329">
        <v>0.69461773735366406</v>
      </c>
      <c r="K5046" s="329">
        <v>0.81938988054678508</v>
      </c>
    </row>
    <row r="5047" spans="1:11" ht="11.25" x14ac:dyDescent="0.15">
      <c r="A5047" s="326">
        <v>1.1000000000000001</v>
      </c>
      <c r="B5047" s="327">
        <v>100</v>
      </c>
      <c r="C5047" s="327" t="s">
        <v>111</v>
      </c>
      <c r="D5047" s="327" t="s">
        <v>113</v>
      </c>
      <c r="E5047" s="328" t="s">
        <v>4387</v>
      </c>
      <c r="F5047" s="328">
        <v>49.809232000000009</v>
      </c>
      <c r="G5047" s="328">
        <v>5958.2952000000005</v>
      </c>
      <c r="H5047" s="328">
        <v>6752.2300999999998</v>
      </c>
      <c r="I5047" s="329">
        <v>3.045210792777886E-2</v>
      </c>
      <c r="J5047" s="329">
        <v>0.66501876974381757</v>
      </c>
      <c r="K5047" s="329">
        <v>0.80718905750978232</v>
      </c>
    </row>
    <row r="5048" spans="1:11" ht="11.25" x14ac:dyDescent="0.15">
      <c r="A5048" s="326">
        <v>1.125</v>
      </c>
      <c r="B5048" s="327">
        <v>100</v>
      </c>
      <c r="C5048" s="327" t="s">
        <v>111</v>
      </c>
      <c r="D5048" s="327" t="s">
        <v>79</v>
      </c>
      <c r="E5048" s="328" t="s">
        <v>4388</v>
      </c>
      <c r="F5048" s="328">
        <v>505.45653750000002</v>
      </c>
      <c r="G5048" s="328">
        <v>7162.0661250000003</v>
      </c>
      <c r="H5048" s="328">
        <v>7291.3342499999999</v>
      </c>
      <c r="I5048" s="329">
        <v>0.3090233760832008</v>
      </c>
      <c r="J5048" s="329">
        <v>0.79937435850297756</v>
      </c>
      <c r="K5048" s="329">
        <v>0.87163576093864092</v>
      </c>
    </row>
    <row r="5049" spans="1:11" ht="11.25" x14ac:dyDescent="0.15">
      <c r="A5049" s="326">
        <v>1.125</v>
      </c>
      <c r="B5049" s="327">
        <v>100</v>
      </c>
      <c r="C5049" s="327" t="s">
        <v>111</v>
      </c>
      <c r="D5049" s="327" t="s">
        <v>114</v>
      </c>
      <c r="E5049" s="328" t="s">
        <v>4389</v>
      </c>
      <c r="F5049" s="328">
        <v>128.2494375</v>
      </c>
      <c r="G5049" s="328">
        <v>6566.7251249999999</v>
      </c>
      <c r="H5049" s="328">
        <v>7183.4085000000005</v>
      </c>
      <c r="I5049" s="329">
        <v>7.8408470791658233E-2</v>
      </c>
      <c r="J5049" s="329">
        <v>0.73292700634794261</v>
      </c>
      <c r="K5049" s="329">
        <v>0.85873387768920362</v>
      </c>
    </row>
    <row r="5050" spans="1:11" ht="11.25" x14ac:dyDescent="0.15">
      <c r="A5050" s="326">
        <v>1.125</v>
      </c>
      <c r="B5050" s="327">
        <v>100</v>
      </c>
      <c r="C5050" s="327" t="s">
        <v>111</v>
      </c>
      <c r="D5050" s="327" t="s">
        <v>113</v>
      </c>
      <c r="E5050" s="328" t="s">
        <v>4390</v>
      </c>
      <c r="F5050" s="328">
        <v>53.432594999999999</v>
      </c>
      <c r="G5050" s="328">
        <v>6257.8822499999997</v>
      </c>
      <c r="H5050" s="328">
        <v>7077.4076249999998</v>
      </c>
      <c r="I5050" s="329">
        <v>3.2667340660889867E-2</v>
      </c>
      <c r="J5050" s="329">
        <v>0.69845635629075109</v>
      </c>
      <c r="K5050" s="329">
        <v>0.84606210182859387</v>
      </c>
    </row>
    <row r="5051" spans="1:11" ht="11.25" x14ac:dyDescent="0.15">
      <c r="A5051" s="326">
        <v>1.1499999999999999</v>
      </c>
      <c r="B5051" s="327">
        <v>100</v>
      </c>
      <c r="C5051" s="327" t="s">
        <v>111</v>
      </c>
      <c r="D5051" s="327" t="s">
        <v>79</v>
      </c>
      <c r="E5051" s="328" t="s">
        <v>4391</v>
      </c>
      <c r="F5051" s="328">
        <v>540.86822999999993</v>
      </c>
      <c r="G5051" s="328">
        <v>7594.250399999999</v>
      </c>
      <c r="H5051" s="328">
        <v>7632.3084999999992</v>
      </c>
      <c r="I5051" s="329">
        <v>0.33067319156149033</v>
      </c>
      <c r="J5051" s="329">
        <v>0.84761142048391513</v>
      </c>
      <c r="K5051" s="329">
        <v>0.9123972100327119</v>
      </c>
    </row>
    <row r="5052" spans="1:11" ht="11.25" x14ac:dyDescent="0.15">
      <c r="A5052" s="326">
        <v>1.1499999999999999</v>
      </c>
      <c r="B5052" s="327">
        <v>100</v>
      </c>
      <c r="C5052" s="327" t="s">
        <v>111</v>
      </c>
      <c r="D5052" s="327" t="s">
        <v>114</v>
      </c>
      <c r="E5052" s="328" t="s">
        <v>4392</v>
      </c>
      <c r="F5052" s="328">
        <v>137.23881499999999</v>
      </c>
      <c r="G5052" s="328">
        <v>6929.4894499999991</v>
      </c>
      <c r="H5052" s="328">
        <v>7520.139799999999</v>
      </c>
      <c r="I5052" s="329">
        <v>8.3904349423827199E-2</v>
      </c>
      <c r="J5052" s="329">
        <v>0.77341595109147365</v>
      </c>
      <c r="K5052" s="329">
        <v>0.89898810727789058</v>
      </c>
    </row>
    <row r="5053" spans="1:11" ht="11.25" x14ac:dyDescent="0.15">
      <c r="A5053" s="326">
        <v>1.1499999999999999</v>
      </c>
      <c r="B5053" s="327">
        <v>100</v>
      </c>
      <c r="C5053" s="327" t="s">
        <v>111</v>
      </c>
      <c r="D5053" s="327" t="s">
        <v>113</v>
      </c>
      <c r="E5053" s="328" t="s">
        <v>4393</v>
      </c>
      <c r="F5053" s="328">
        <v>57.30997399999999</v>
      </c>
      <c r="G5053" s="328">
        <v>6573.0722499999993</v>
      </c>
      <c r="H5053" s="328">
        <v>7410.6540499999992</v>
      </c>
      <c r="I5053" s="329">
        <v>3.5037872368443662E-2</v>
      </c>
      <c r="J5053" s="329">
        <v>0.73363542328890086</v>
      </c>
      <c r="K5053" s="329">
        <v>0.8858997352816147</v>
      </c>
    </row>
    <row r="5054" spans="1:11" ht="11.25" x14ac:dyDescent="0.15">
      <c r="A5054" s="326">
        <v>1.175</v>
      </c>
      <c r="B5054" s="327">
        <v>100</v>
      </c>
      <c r="C5054" s="327" t="s">
        <v>111</v>
      </c>
      <c r="D5054" s="327" t="s">
        <v>79</v>
      </c>
      <c r="E5054" s="328" t="s">
        <v>4394</v>
      </c>
      <c r="F5054" s="328">
        <v>578.46765750000009</v>
      </c>
      <c r="G5054" s="328">
        <v>8048.9532750000008</v>
      </c>
      <c r="H5054" s="328">
        <v>7980.6340749999999</v>
      </c>
      <c r="I5054" s="329">
        <v>0.35366053302968847</v>
      </c>
      <c r="J5054" s="329">
        <v>0.89836183421492299</v>
      </c>
      <c r="K5054" s="329">
        <v>0.95403746642604836</v>
      </c>
    </row>
    <row r="5055" spans="1:11" ht="11.25" x14ac:dyDescent="0.15">
      <c r="A5055" s="326">
        <v>1.175</v>
      </c>
      <c r="B5055" s="327">
        <v>100</v>
      </c>
      <c r="C5055" s="327" t="s">
        <v>111</v>
      </c>
      <c r="D5055" s="327" t="s">
        <v>114</v>
      </c>
      <c r="E5055" s="328" t="s">
        <v>4395</v>
      </c>
      <c r="F5055" s="328">
        <v>146.79991749999999</v>
      </c>
      <c r="G5055" s="328">
        <v>7311.8558000000003</v>
      </c>
      <c r="H5055" s="328">
        <v>7864.5558249999995</v>
      </c>
      <c r="I5055" s="329">
        <v>8.974976629832461E-2</v>
      </c>
      <c r="J5055" s="329">
        <v>0.81609272206925842</v>
      </c>
      <c r="K5055" s="329">
        <v>0.94016100015827631</v>
      </c>
    </row>
    <row r="5056" spans="1:11" ht="11.25" x14ac:dyDescent="0.15">
      <c r="A5056" s="326">
        <v>1.175</v>
      </c>
      <c r="B5056" s="327">
        <v>100</v>
      </c>
      <c r="C5056" s="327" t="s">
        <v>111</v>
      </c>
      <c r="D5056" s="327" t="s">
        <v>113</v>
      </c>
      <c r="E5056" s="328" t="s">
        <v>4396</v>
      </c>
      <c r="F5056" s="328">
        <v>61.462111500000006</v>
      </c>
      <c r="G5056" s="328">
        <v>6904.9333250000009</v>
      </c>
      <c r="H5056" s="328">
        <v>7751.2329500000014</v>
      </c>
      <c r="I5056" s="329">
        <v>3.7576384491677731E-2</v>
      </c>
      <c r="J5056" s="329">
        <v>0.77067518657930678</v>
      </c>
      <c r="K5056" s="329">
        <v>0.92661392262820996</v>
      </c>
    </row>
    <row r="5057" spans="1:11" ht="11.25" x14ac:dyDescent="0.15">
      <c r="A5057" s="326">
        <v>1.2</v>
      </c>
      <c r="B5057" s="327">
        <v>100</v>
      </c>
      <c r="C5057" s="327" t="s">
        <v>111</v>
      </c>
      <c r="D5057" s="327" t="s">
        <v>79</v>
      </c>
      <c r="E5057" s="328" t="s">
        <v>4397</v>
      </c>
      <c r="F5057" s="328">
        <v>618.39</v>
      </c>
      <c r="G5057" s="328">
        <v>8528.0423999999985</v>
      </c>
      <c r="H5057" s="328">
        <v>8337.0287999999982</v>
      </c>
      <c r="I5057" s="329">
        <v>0.3780680461296646</v>
      </c>
      <c r="J5057" s="329">
        <v>0.95183405232609353</v>
      </c>
      <c r="K5057" s="329">
        <v>0.99664234183961087</v>
      </c>
    </row>
    <row r="5058" spans="1:11" ht="11.25" x14ac:dyDescent="0.15">
      <c r="A5058" s="326">
        <v>1.2</v>
      </c>
      <c r="B5058" s="327">
        <v>100</v>
      </c>
      <c r="C5058" s="327" t="s">
        <v>111</v>
      </c>
      <c r="D5058" s="327" t="s">
        <v>114</v>
      </c>
      <c r="E5058" s="328" t="s">
        <v>4398</v>
      </c>
      <c r="F5058" s="328">
        <v>156.97296</v>
      </c>
      <c r="G5058" s="328">
        <v>7715.5499999999993</v>
      </c>
      <c r="H5058" s="328">
        <v>8216.9796000000006</v>
      </c>
      <c r="I5058" s="329">
        <v>9.5969307851663188E-2</v>
      </c>
      <c r="J5058" s="329">
        <v>0.86114994250316945</v>
      </c>
      <c r="K5058" s="329">
        <v>0.98229117205308336</v>
      </c>
    </row>
    <row r="5059" spans="1:11" ht="11.25" x14ac:dyDescent="0.15">
      <c r="A5059" s="326">
        <v>1.2</v>
      </c>
      <c r="B5059" s="327">
        <v>100</v>
      </c>
      <c r="C5059" s="327" t="s">
        <v>111</v>
      </c>
      <c r="D5059" s="327" t="s">
        <v>113</v>
      </c>
      <c r="E5059" s="328" t="s">
        <v>4399</v>
      </c>
      <c r="F5059" s="328">
        <v>65.911619999999999</v>
      </c>
      <c r="G5059" s="328">
        <v>7253.9363999999996</v>
      </c>
      <c r="H5059" s="328">
        <v>8099.6003999999994</v>
      </c>
      <c r="I5059" s="329">
        <v>4.0296701742655802E-2</v>
      </c>
      <c r="J5059" s="329">
        <v>0.80962820716366923</v>
      </c>
      <c r="K5059" s="329">
        <v>0.96825918492941399</v>
      </c>
    </row>
    <row r="5060" spans="1:11" ht="11.25" x14ac:dyDescent="0.15">
      <c r="A5060" s="326">
        <v>1.2250000000000001</v>
      </c>
      <c r="B5060" s="327">
        <v>100</v>
      </c>
      <c r="C5060" s="327" t="s">
        <v>111</v>
      </c>
      <c r="D5060" s="327" t="s">
        <v>79</v>
      </c>
      <c r="E5060" s="328" t="s">
        <v>4400</v>
      </c>
      <c r="F5060" s="328">
        <v>660.7810475</v>
      </c>
      <c r="G5060" s="328">
        <v>9032.0156500000012</v>
      </c>
      <c r="H5060" s="328">
        <v>8701.3599750000012</v>
      </c>
      <c r="I5060" s="329">
        <v>0.4039848631896345</v>
      </c>
      <c r="J5060" s="329">
        <v>1.0080836437694303</v>
      </c>
      <c r="K5060" s="329">
        <v>1.0401959727755121</v>
      </c>
    </row>
    <row r="5061" spans="1:11" ht="11.25" x14ac:dyDescent="0.15">
      <c r="A5061" s="326">
        <v>1.2250000000000001</v>
      </c>
      <c r="B5061" s="327">
        <v>100</v>
      </c>
      <c r="C5061" s="327" t="s">
        <v>111</v>
      </c>
      <c r="D5061" s="327" t="s">
        <v>114</v>
      </c>
      <c r="E5061" s="328" t="s">
        <v>4401</v>
      </c>
      <c r="F5061" s="328">
        <v>167.80013250000002</v>
      </c>
      <c r="G5061" s="328">
        <v>8140.6995250000009</v>
      </c>
      <c r="H5061" s="328">
        <v>8576.4981750000006</v>
      </c>
      <c r="I5061" s="329">
        <v>0.10258876798553314</v>
      </c>
      <c r="J5061" s="329">
        <v>0.90860184016555268</v>
      </c>
      <c r="K5061" s="329">
        <v>1.0252694852049871</v>
      </c>
    </row>
    <row r="5062" spans="1:11" ht="11.25" x14ac:dyDescent="0.15">
      <c r="A5062" s="326">
        <v>1.2250000000000001</v>
      </c>
      <c r="B5062" s="327">
        <v>100</v>
      </c>
      <c r="C5062" s="327" t="s">
        <v>111</v>
      </c>
      <c r="D5062" s="327" t="s">
        <v>113</v>
      </c>
      <c r="E5062" s="328" t="s">
        <v>4402</v>
      </c>
      <c r="F5062" s="328">
        <v>70.683124750000005</v>
      </c>
      <c r="G5062" s="328">
        <v>7621.5347250000004</v>
      </c>
      <c r="H5062" s="328">
        <v>8455.5282000000007</v>
      </c>
      <c r="I5062" s="329">
        <v>4.3213879378016851E-2</v>
      </c>
      <c r="J5062" s="329">
        <v>0.85065668555315699</v>
      </c>
      <c r="K5062" s="329">
        <v>1.0108082422287987</v>
      </c>
    </row>
    <row r="5063" spans="1:11" ht="11.25" x14ac:dyDescent="0.15">
      <c r="A5063" s="326">
        <v>1.25</v>
      </c>
      <c r="B5063" s="327">
        <v>100</v>
      </c>
      <c r="C5063" s="327" t="s">
        <v>111</v>
      </c>
      <c r="D5063" s="327" t="s">
        <v>79</v>
      </c>
      <c r="E5063" s="328" t="s">
        <v>4403</v>
      </c>
      <c r="F5063" s="328">
        <v>705.79425000000003</v>
      </c>
      <c r="G5063" s="328">
        <v>9561.41</v>
      </c>
      <c r="H5063" s="328">
        <v>9073.7000000000007</v>
      </c>
      <c r="I5063" s="329">
        <v>0.43150479966857813</v>
      </c>
      <c r="J5063" s="329">
        <v>1.0671705415361485</v>
      </c>
      <c r="K5063" s="329">
        <v>1.0847070142243098</v>
      </c>
    </row>
    <row r="5064" spans="1:11" ht="11.25" x14ac:dyDescent="0.15">
      <c r="A5064" s="326">
        <v>1.25</v>
      </c>
      <c r="B5064" s="327">
        <v>100</v>
      </c>
      <c r="C5064" s="327" t="s">
        <v>111</v>
      </c>
      <c r="D5064" s="327" t="s">
        <v>114</v>
      </c>
      <c r="E5064" s="328" t="s">
        <v>4404</v>
      </c>
      <c r="F5064" s="328">
        <v>179.328</v>
      </c>
      <c r="G5064" s="328">
        <v>8588.8824999999997</v>
      </c>
      <c r="H5064" s="328">
        <v>8944.4874999999993</v>
      </c>
      <c r="I5064" s="329">
        <v>0.10963661536625834</v>
      </c>
      <c r="J5064" s="329">
        <v>0.95862455314805539</v>
      </c>
      <c r="K5064" s="329">
        <v>1.0692604262750212</v>
      </c>
    </row>
    <row r="5065" spans="1:11" ht="11.25" x14ac:dyDescent="0.15">
      <c r="A5065" s="326">
        <v>1.25</v>
      </c>
      <c r="B5065" s="327">
        <v>100</v>
      </c>
      <c r="C5065" s="327" t="s">
        <v>111</v>
      </c>
      <c r="D5065" s="327" t="s">
        <v>113</v>
      </c>
      <c r="E5065" s="328" t="s">
        <v>4405</v>
      </c>
      <c r="F5065" s="328">
        <v>75.805087499999999</v>
      </c>
      <c r="G5065" s="328">
        <v>8008.8112499999997</v>
      </c>
      <c r="H5065" s="328">
        <v>8819.1912499999999</v>
      </c>
      <c r="I5065" s="329">
        <v>4.6345318193717976E-2</v>
      </c>
      <c r="J5065" s="329">
        <v>0.89388149224050617</v>
      </c>
      <c r="K5065" s="329">
        <v>1.0542820027839424</v>
      </c>
    </row>
    <row r="5066" spans="1:11" ht="11.25" x14ac:dyDescent="0.15">
      <c r="A5066" s="326">
        <v>1.2749999999999999</v>
      </c>
      <c r="B5066" s="327">
        <v>100</v>
      </c>
      <c r="C5066" s="327" t="s">
        <v>111</v>
      </c>
      <c r="D5066" s="327" t="s">
        <v>79</v>
      </c>
      <c r="E5066" s="328" t="s">
        <v>4406</v>
      </c>
      <c r="F5066" s="328">
        <v>753.60022499999991</v>
      </c>
      <c r="G5066" s="328">
        <v>10115.79135</v>
      </c>
      <c r="H5066" s="328">
        <v>9453.460724999999</v>
      </c>
      <c r="I5066" s="329">
        <v>0.46073216680189782</v>
      </c>
      <c r="J5066" s="329">
        <v>1.1290462947458781</v>
      </c>
      <c r="K5066" s="329">
        <v>1.1301051563421236</v>
      </c>
    </row>
    <row r="5067" spans="1:11" ht="11.25" x14ac:dyDescent="0.15">
      <c r="A5067" s="326">
        <v>1.2749999999999999</v>
      </c>
      <c r="B5067" s="327">
        <v>100</v>
      </c>
      <c r="C5067" s="327" t="s">
        <v>111</v>
      </c>
      <c r="D5067" s="327" t="s">
        <v>114</v>
      </c>
      <c r="E5067" s="328" t="s">
        <v>4407</v>
      </c>
      <c r="F5067" s="328">
        <v>191.60750999999996</v>
      </c>
      <c r="G5067" s="328">
        <v>9059.5481999999993</v>
      </c>
      <c r="H5067" s="328">
        <v>9319.607399999999</v>
      </c>
      <c r="I5067" s="329">
        <v>0.11714399801010714</v>
      </c>
      <c r="J5067" s="329">
        <v>1.0111566137909407</v>
      </c>
      <c r="K5067" s="329">
        <v>1.1141037852912021</v>
      </c>
    </row>
    <row r="5068" spans="1:11" ht="11.25" x14ac:dyDescent="0.15">
      <c r="A5068" s="326">
        <v>1.2749999999999999</v>
      </c>
      <c r="B5068" s="327">
        <v>100</v>
      </c>
      <c r="C5068" s="327" t="s">
        <v>111</v>
      </c>
      <c r="D5068" s="327" t="s">
        <v>113</v>
      </c>
      <c r="E5068" s="328" t="s">
        <v>4408</v>
      </c>
      <c r="F5068" s="328">
        <v>81.307323749999995</v>
      </c>
      <c r="G5068" s="328">
        <v>8415.9460500000005</v>
      </c>
      <c r="H5068" s="328">
        <v>9190.6513500000001</v>
      </c>
      <c r="I5068" s="329">
        <v>4.9709246634315842E-2</v>
      </c>
      <c r="J5068" s="329">
        <v>0.93932272580273313</v>
      </c>
      <c r="K5068" s="329">
        <v>1.098687854418277</v>
      </c>
    </row>
    <row r="5069" spans="1:11" ht="11.25" x14ac:dyDescent="0.15">
      <c r="A5069" s="326">
        <v>1.3</v>
      </c>
      <c r="B5069" s="327">
        <v>100</v>
      </c>
      <c r="C5069" s="327" t="s">
        <v>111</v>
      </c>
      <c r="D5069" s="327" t="s">
        <v>79</v>
      </c>
      <c r="E5069" s="328" t="s">
        <v>4409</v>
      </c>
      <c r="F5069" s="328">
        <v>804.37812000000008</v>
      </c>
      <c r="G5069" s="328">
        <v>10696.471500000001</v>
      </c>
      <c r="H5069" s="328">
        <v>9841.6188000000002</v>
      </c>
      <c r="I5069" s="329">
        <v>0.49177649085181346</v>
      </c>
      <c r="J5069" s="329">
        <v>1.193857316356163</v>
      </c>
      <c r="K5069" s="329">
        <v>1.1765071518434413</v>
      </c>
    </row>
    <row r="5070" spans="1:11" ht="11.25" x14ac:dyDescent="0.15">
      <c r="A5070" s="326">
        <v>1.3</v>
      </c>
      <c r="B5070" s="327">
        <v>100</v>
      </c>
      <c r="C5070" s="327" t="s">
        <v>111</v>
      </c>
      <c r="D5070" s="327" t="s">
        <v>114</v>
      </c>
      <c r="E5070" s="328" t="s">
        <v>4410</v>
      </c>
      <c r="F5070" s="328">
        <v>204.69409999999999</v>
      </c>
      <c r="G5070" s="328">
        <v>9554.4969000000001</v>
      </c>
      <c r="H5070" s="328">
        <v>9702.732</v>
      </c>
      <c r="I5070" s="329">
        <v>0.12514480900608058</v>
      </c>
      <c r="J5070" s="329">
        <v>1.0663989548485477</v>
      </c>
      <c r="K5070" s="329">
        <v>1.1599040587123957</v>
      </c>
    </row>
    <row r="5071" spans="1:11" ht="11.25" x14ac:dyDescent="0.15">
      <c r="A5071" s="326">
        <v>1.3</v>
      </c>
      <c r="B5071" s="327">
        <v>100</v>
      </c>
      <c r="C5071" s="327" t="s">
        <v>111</v>
      </c>
      <c r="D5071" s="327" t="s">
        <v>113</v>
      </c>
      <c r="E5071" s="328" t="s">
        <v>4411</v>
      </c>
      <c r="F5071" s="328">
        <v>87.224423000000002</v>
      </c>
      <c r="G5071" s="328">
        <v>8844.4472999999998</v>
      </c>
      <c r="H5071" s="328">
        <v>9569.4001000000007</v>
      </c>
      <c r="I5071" s="329">
        <v>5.3326811847535335E-2</v>
      </c>
      <c r="J5071" s="329">
        <v>0.98714871705417151</v>
      </c>
      <c r="K5071" s="329">
        <v>1.1439650209273846</v>
      </c>
    </row>
    <row r="5072" spans="1:11" ht="11.25" x14ac:dyDescent="0.15">
      <c r="A5072" s="326">
        <v>1.325</v>
      </c>
      <c r="B5072" s="327">
        <v>100</v>
      </c>
      <c r="C5072" s="327" t="s">
        <v>111</v>
      </c>
      <c r="D5072" s="327" t="s">
        <v>79</v>
      </c>
      <c r="E5072" s="328" t="s">
        <v>4412</v>
      </c>
      <c r="F5072" s="328">
        <v>858.32506249999994</v>
      </c>
      <c r="G5072" s="328">
        <v>11304.207025000002</v>
      </c>
      <c r="H5072" s="328">
        <v>10237.693324999998</v>
      </c>
      <c r="I5072" s="329">
        <v>0.52475829059897028</v>
      </c>
      <c r="J5072" s="329">
        <v>1.2616880494096567</v>
      </c>
      <c r="K5072" s="329">
        <v>1.2238555119857273</v>
      </c>
    </row>
    <row r="5073" spans="1:11" ht="11.25" x14ac:dyDescent="0.15">
      <c r="A5073" s="326">
        <v>1.325</v>
      </c>
      <c r="B5073" s="327">
        <v>100</v>
      </c>
      <c r="C5073" s="327" t="s">
        <v>111</v>
      </c>
      <c r="D5073" s="327" t="s">
        <v>114</v>
      </c>
      <c r="E5073" s="328" t="s">
        <v>4413</v>
      </c>
      <c r="F5073" s="328">
        <v>218.64845249999999</v>
      </c>
      <c r="G5073" s="328">
        <v>10075.10655</v>
      </c>
      <c r="H5073" s="328">
        <v>10093.71485</v>
      </c>
      <c r="I5073" s="329">
        <v>0.13367614810386613</v>
      </c>
      <c r="J5073" s="329">
        <v>1.1245053724291603</v>
      </c>
      <c r="K5073" s="329">
        <v>1.2066437393097718</v>
      </c>
    </row>
    <row r="5074" spans="1:11" ht="11.25" x14ac:dyDescent="0.15">
      <c r="A5074" s="326">
        <v>1.325</v>
      </c>
      <c r="B5074" s="327">
        <v>100</v>
      </c>
      <c r="C5074" s="327" t="s">
        <v>111</v>
      </c>
      <c r="D5074" s="327" t="s">
        <v>113</v>
      </c>
      <c r="E5074" s="328" t="s">
        <v>4414</v>
      </c>
      <c r="F5074" s="328">
        <v>93.592223000000004</v>
      </c>
      <c r="G5074" s="328">
        <v>9294.7795999999998</v>
      </c>
      <c r="H5074" s="328">
        <v>9956.5574749999996</v>
      </c>
      <c r="I5074" s="329">
        <v>5.7219924129662279E-2</v>
      </c>
      <c r="J5074" s="329">
        <v>1.0374113210490028</v>
      </c>
      <c r="K5074" s="329">
        <v>1.1902473886793679</v>
      </c>
    </row>
    <row r="5075" spans="1:11" ht="11.25" x14ac:dyDescent="0.15">
      <c r="A5075" s="326">
        <v>1.35</v>
      </c>
      <c r="B5075" s="327">
        <v>100</v>
      </c>
      <c r="C5075" s="327" t="s">
        <v>111</v>
      </c>
      <c r="D5075" s="327" t="s">
        <v>79</v>
      </c>
      <c r="E5075" s="328" t="s">
        <v>4415</v>
      </c>
      <c r="F5075" s="328">
        <v>915.65140500000007</v>
      </c>
      <c r="G5075" s="328">
        <v>11938.259250000001</v>
      </c>
      <c r="H5075" s="328">
        <v>10641.588300000001</v>
      </c>
      <c r="I5075" s="329">
        <v>0.55980617025539259</v>
      </c>
      <c r="J5075" s="329">
        <v>1.3324560487230894</v>
      </c>
      <c r="K5075" s="329">
        <v>1.2721387605384076</v>
      </c>
    </row>
    <row r="5076" spans="1:11" ht="11.25" x14ac:dyDescent="0.15">
      <c r="A5076" s="326">
        <v>1.35</v>
      </c>
      <c r="B5076" s="327">
        <v>100</v>
      </c>
      <c r="C5076" s="327" t="s">
        <v>111</v>
      </c>
      <c r="D5076" s="327" t="s">
        <v>114</v>
      </c>
      <c r="E5076" s="328" t="s">
        <v>4416</v>
      </c>
      <c r="F5076" s="328">
        <v>233.53676999999999</v>
      </c>
      <c r="G5076" s="328">
        <v>10619.748000000001</v>
      </c>
      <c r="H5076" s="328">
        <v>10492.5753</v>
      </c>
      <c r="I5076" s="329">
        <v>0.14277848984190053</v>
      </c>
      <c r="J5076" s="329">
        <v>1.1852940334257638</v>
      </c>
      <c r="K5076" s="329">
        <v>1.2543251402610556</v>
      </c>
    </row>
    <row r="5077" spans="1:11" ht="11.25" x14ac:dyDescent="0.15">
      <c r="A5077" s="326">
        <v>1.35</v>
      </c>
      <c r="B5077" s="327">
        <v>100</v>
      </c>
      <c r="C5077" s="327" t="s">
        <v>111</v>
      </c>
      <c r="D5077" s="327" t="s">
        <v>113</v>
      </c>
      <c r="E5077" s="328" t="s">
        <v>4417</v>
      </c>
      <c r="F5077" s="328">
        <v>100.4540535</v>
      </c>
      <c r="G5077" s="328">
        <v>9767.1501000000007</v>
      </c>
      <c r="H5077" s="328">
        <v>10350.972450000001</v>
      </c>
      <c r="I5077" s="329">
        <v>6.1415074196784866E-2</v>
      </c>
      <c r="J5077" s="329">
        <v>1.0901336582660766</v>
      </c>
      <c r="K5077" s="329">
        <v>1.2373973594627978</v>
      </c>
    </row>
    <row r="5078" spans="1:11" ht="11.25" x14ac:dyDescent="0.15">
      <c r="A5078" s="326">
        <v>1.375</v>
      </c>
      <c r="B5078" s="327">
        <v>100</v>
      </c>
      <c r="C5078" s="327" t="s">
        <v>111</v>
      </c>
      <c r="D5078" s="327" t="s">
        <v>79</v>
      </c>
      <c r="E5078" s="328" t="s">
        <v>4418</v>
      </c>
      <c r="F5078" s="328">
        <v>976.58563749999996</v>
      </c>
      <c r="G5078" s="328">
        <v>12599.145624999999</v>
      </c>
      <c r="H5078" s="328">
        <v>11053.69375</v>
      </c>
      <c r="I5078" s="329">
        <v>0.59705982284305681</v>
      </c>
      <c r="J5078" s="329">
        <v>1.4062190680583768</v>
      </c>
      <c r="K5078" s="329">
        <v>1.3214035226767926</v>
      </c>
    </row>
    <row r="5079" spans="1:11" ht="11.25" x14ac:dyDescent="0.15">
      <c r="A5079" s="326">
        <v>1.375</v>
      </c>
      <c r="B5079" s="327">
        <v>100</v>
      </c>
      <c r="C5079" s="327" t="s">
        <v>111</v>
      </c>
      <c r="D5079" s="327" t="s">
        <v>114</v>
      </c>
      <c r="E5079" s="328" t="s">
        <v>4419</v>
      </c>
      <c r="F5079" s="328">
        <v>249.43215000000001</v>
      </c>
      <c r="G5079" s="328">
        <v>11191.482500000002</v>
      </c>
      <c r="H5079" s="328">
        <v>10899.274374999999</v>
      </c>
      <c r="I5079" s="329">
        <v>0.15249652418768322</v>
      </c>
      <c r="J5079" s="329">
        <v>1.2491066108573246</v>
      </c>
      <c r="K5079" s="329">
        <v>1.3029436023361778</v>
      </c>
    </row>
    <row r="5080" spans="1:11" ht="11.25" x14ac:dyDescent="0.15">
      <c r="A5080" s="326">
        <v>1.375</v>
      </c>
      <c r="B5080" s="327">
        <v>100</v>
      </c>
      <c r="C5080" s="327" t="s">
        <v>111</v>
      </c>
      <c r="D5080" s="327" t="s">
        <v>113</v>
      </c>
      <c r="E5080" s="328" t="s">
        <v>4420</v>
      </c>
      <c r="F5080" s="328">
        <v>107.85434000000001</v>
      </c>
      <c r="G5080" s="328">
        <v>10262.899625</v>
      </c>
      <c r="H5080" s="328">
        <v>10753.324999999999</v>
      </c>
      <c r="I5080" s="329">
        <v>6.5939422678899295E-2</v>
      </c>
      <c r="J5080" s="329">
        <v>1.1454653812086695</v>
      </c>
      <c r="K5080" s="329">
        <v>1.2854962202556424</v>
      </c>
    </row>
    <row r="5081" spans="1:11" ht="11.25" x14ac:dyDescent="0.15">
      <c r="A5081" s="326">
        <v>1.4</v>
      </c>
      <c r="B5081" s="327">
        <v>100</v>
      </c>
      <c r="C5081" s="327" t="s">
        <v>111</v>
      </c>
      <c r="D5081" s="327" t="s">
        <v>79</v>
      </c>
      <c r="E5081" s="328" t="s">
        <v>4421</v>
      </c>
      <c r="F5081" s="328">
        <v>1041.3810399999998</v>
      </c>
      <c r="G5081" s="328">
        <v>13288.638999999999</v>
      </c>
      <c r="H5081" s="328">
        <v>11474.132599999999</v>
      </c>
      <c r="I5081" s="329">
        <v>0.63667409736457248</v>
      </c>
      <c r="J5081" s="329">
        <v>1.4831749792037348</v>
      </c>
      <c r="K5081" s="329">
        <v>1.3716644933555016</v>
      </c>
    </row>
    <row r="5082" spans="1:11" ht="11.25" x14ac:dyDescent="0.15">
      <c r="A5082" s="326">
        <v>1.4</v>
      </c>
      <c r="B5082" s="327">
        <v>100</v>
      </c>
      <c r="C5082" s="327" t="s">
        <v>111</v>
      </c>
      <c r="D5082" s="327" t="s">
        <v>114</v>
      </c>
      <c r="E5082" s="328" t="s">
        <v>4422</v>
      </c>
      <c r="F5082" s="328">
        <v>266.41496000000001</v>
      </c>
      <c r="G5082" s="328">
        <v>11787.684999999999</v>
      </c>
      <c r="H5082" s="328">
        <v>11313.624</v>
      </c>
      <c r="I5082" s="329">
        <v>0.16287938580331626</v>
      </c>
      <c r="J5082" s="329">
        <v>1.3156501169709838</v>
      </c>
      <c r="K5082" s="329">
        <v>1.3524766422844585</v>
      </c>
    </row>
    <row r="5083" spans="1:11" ht="11.25" x14ac:dyDescent="0.15">
      <c r="A5083" s="326">
        <v>1.4</v>
      </c>
      <c r="B5083" s="327">
        <v>100</v>
      </c>
      <c r="C5083" s="327" t="s">
        <v>111</v>
      </c>
      <c r="D5083" s="327" t="s">
        <v>113</v>
      </c>
      <c r="E5083" s="328" t="s">
        <v>4423</v>
      </c>
      <c r="F5083" s="328">
        <v>115.845506</v>
      </c>
      <c r="G5083" s="328">
        <v>10782.724400000001</v>
      </c>
      <c r="H5083" s="328">
        <v>11163.254199999999</v>
      </c>
      <c r="I5083" s="329">
        <v>7.0825019981439447E-2</v>
      </c>
      <c r="J5083" s="329">
        <v>1.2034841971197807</v>
      </c>
      <c r="K5083" s="329">
        <v>1.3345008246149843</v>
      </c>
    </row>
    <row r="5084" spans="1:11" ht="11.25" x14ac:dyDescent="0.15">
      <c r="A5084" s="326">
        <v>0.9</v>
      </c>
      <c r="B5084" s="327">
        <v>105</v>
      </c>
      <c r="C5084" s="327" t="s">
        <v>111</v>
      </c>
      <c r="D5084" s="327" t="s">
        <v>79</v>
      </c>
      <c r="E5084" s="328" t="s">
        <v>4424</v>
      </c>
      <c r="F5084" s="328">
        <v>314.36879400000004</v>
      </c>
      <c r="G5084" s="328">
        <v>4208.3965800000005</v>
      </c>
      <c r="H5084" s="328">
        <v>4579.1362799999997</v>
      </c>
      <c r="I5084" s="329">
        <v>0.19219715019925782</v>
      </c>
      <c r="J5084" s="329">
        <v>0.4697086368304963</v>
      </c>
      <c r="K5084" s="329">
        <v>0.54740858106450641</v>
      </c>
    </row>
    <row r="5085" spans="1:11" ht="11.25" x14ac:dyDescent="0.15">
      <c r="A5085" s="326">
        <v>0.9</v>
      </c>
      <c r="B5085" s="327">
        <v>105</v>
      </c>
      <c r="C5085" s="327" t="s">
        <v>111</v>
      </c>
      <c r="D5085" s="327" t="s">
        <v>114</v>
      </c>
      <c r="E5085" s="328" t="s">
        <v>4425</v>
      </c>
      <c r="F5085" s="328">
        <v>82.042300800000007</v>
      </c>
      <c r="G5085" s="328">
        <v>4050.0504000000001</v>
      </c>
      <c r="H5085" s="328">
        <v>4503.1904999999997</v>
      </c>
      <c r="I5085" s="329">
        <v>5.0158593061721927E-2</v>
      </c>
      <c r="J5085" s="329">
        <v>0.45203526243688902</v>
      </c>
      <c r="K5085" s="329">
        <v>0.53832971353893955</v>
      </c>
    </row>
    <row r="5086" spans="1:11" ht="11.25" x14ac:dyDescent="0.15">
      <c r="A5086" s="326">
        <v>0.9</v>
      </c>
      <c r="B5086" s="327">
        <v>105</v>
      </c>
      <c r="C5086" s="327" t="s">
        <v>111</v>
      </c>
      <c r="D5086" s="327" t="s">
        <v>113</v>
      </c>
      <c r="E5086" s="328" t="s">
        <v>4426</v>
      </c>
      <c r="F5086" s="328">
        <v>34.195483800000005</v>
      </c>
      <c r="G5086" s="328">
        <v>3985.2982800000004</v>
      </c>
      <c r="H5086" s="328">
        <v>4427.6709600000013</v>
      </c>
      <c r="I5086" s="329">
        <v>2.0906256159906531E-2</v>
      </c>
      <c r="J5086" s="329">
        <v>0.4448081322368439</v>
      </c>
      <c r="K5086" s="329">
        <v>0.5293018004771245</v>
      </c>
    </row>
    <row r="5087" spans="1:11" ht="11.25" x14ac:dyDescent="0.15">
      <c r="A5087" s="326">
        <v>0.92500000000000004</v>
      </c>
      <c r="B5087" s="327">
        <v>105</v>
      </c>
      <c r="C5087" s="327" t="s">
        <v>111</v>
      </c>
      <c r="D5087" s="327" t="s">
        <v>79</v>
      </c>
      <c r="E5087" s="328" t="s">
        <v>4427</v>
      </c>
      <c r="F5087" s="328">
        <v>338.11981950000006</v>
      </c>
      <c r="G5087" s="328">
        <v>4470.6955699999999</v>
      </c>
      <c r="H5087" s="328">
        <v>4849.7846200000004</v>
      </c>
      <c r="I5087" s="329">
        <v>0.20671792803260061</v>
      </c>
      <c r="J5087" s="329">
        <v>0.49898441887547546</v>
      </c>
      <c r="K5087" s="329">
        <v>0.57976298475717492</v>
      </c>
    </row>
    <row r="5088" spans="1:11" ht="11.25" x14ac:dyDescent="0.15">
      <c r="A5088" s="326">
        <v>0.92500000000000004</v>
      </c>
      <c r="B5088" s="327">
        <v>105</v>
      </c>
      <c r="C5088" s="327" t="s">
        <v>111</v>
      </c>
      <c r="D5088" s="327" t="s">
        <v>114</v>
      </c>
      <c r="E5088" s="328" t="s">
        <v>4428</v>
      </c>
      <c r="F5088" s="328">
        <v>88.192056700000009</v>
      </c>
      <c r="G5088" s="328">
        <v>4279.4397950000002</v>
      </c>
      <c r="H5088" s="328">
        <v>4770.6665949999997</v>
      </c>
      <c r="I5088" s="329">
        <v>5.3918398681617748E-2</v>
      </c>
      <c r="J5088" s="329">
        <v>0.47763793033679075</v>
      </c>
      <c r="K5088" s="329">
        <v>0.57030489415807262</v>
      </c>
    </row>
    <row r="5089" spans="1:11" ht="11.25" x14ac:dyDescent="0.15">
      <c r="A5089" s="326">
        <v>0.92500000000000004</v>
      </c>
      <c r="B5089" s="327">
        <v>105</v>
      </c>
      <c r="C5089" s="327" t="s">
        <v>111</v>
      </c>
      <c r="D5089" s="327" t="s">
        <v>113</v>
      </c>
      <c r="E5089" s="328" t="s">
        <v>4429</v>
      </c>
      <c r="F5089" s="328">
        <v>36.750059450000002</v>
      </c>
      <c r="G5089" s="328">
        <v>4201.128740000001</v>
      </c>
      <c r="H5089" s="328">
        <v>4692.0168050000002</v>
      </c>
      <c r="I5089" s="329">
        <v>2.2468059269086689E-2</v>
      </c>
      <c r="J5089" s="329">
        <v>0.46889745681116884</v>
      </c>
      <c r="K5089" s="329">
        <v>0.56090277827587809</v>
      </c>
    </row>
    <row r="5090" spans="1:11" ht="11.25" x14ac:dyDescent="0.15">
      <c r="A5090" s="326">
        <v>0.95</v>
      </c>
      <c r="B5090" s="327">
        <v>105</v>
      </c>
      <c r="C5090" s="327" t="s">
        <v>111</v>
      </c>
      <c r="D5090" s="327" t="s">
        <v>79</v>
      </c>
      <c r="E5090" s="328" t="s">
        <v>4430</v>
      </c>
      <c r="F5090" s="328">
        <v>363.33101499999998</v>
      </c>
      <c r="G5090" s="328">
        <v>4747.8925200000003</v>
      </c>
      <c r="H5090" s="328">
        <v>5127.8866299999991</v>
      </c>
      <c r="I5090" s="329">
        <v>0.22213141696883495</v>
      </c>
      <c r="J5090" s="329">
        <v>0.52992299584724734</v>
      </c>
      <c r="K5090" s="329">
        <v>0.61300843048679765</v>
      </c>
    </row>
    <row r="5091" spans="1:11" ht="11.25" x14ac:dyDescent="0.15">
      <c r="A5091" s="326">
        <v>0.95</v>
      </c>
      <c r="B5091" s="327">
        <v>105</v>
      </c>
      <c r="C5091" s="327" t="s">
        <v>111</v>
      </c>
      <c r="D5091" s="327" t="s">
        <v>114</v>
      </c>
      <c r="E5091" s="328" t="s">
        <v>4431</v>
      </c>
      <c r="F5091" s="328">
        <v>94.716767000000004</v>
      </c>
      <c r="G5091" s="328">
        <v>4520.4026699999995</v>
      </c>
      <c r="H5091" s="328">
        <v>5045.769769999999</v>
      </c>
      <c r="I5091" s="329">
        <v>5.7907441962853044E-2</v>
      </c>
      <c r="J5091" s="329">
        <v>0.50453234045034689</v>
      </c>
      <c r="K5091" s="329">
        <v>0.60319184695107619</v>
      </c>
    </row>
    <row r="5092" spans="1:11" ht="11.25" x14ac:dyDescent="0.15">
      <c r="A5092" s="326">
        <v>0.95</v>
      </c>
      <c r="B5092" s="327">
        <v>105</v>
      </c>
      <c r="C5092" s="327" t="s">
        <v>111</v>
      </c>
      <c r="D5092" s="327" t="s">
        <v>113</v>
      </c>
      <c r="E5092" s="328" t="s">
        <v>4432</v>
      </c>
      <c r="F5092" s="328">
        <v>39.465901300000006</v>
      </c>
      <c r="G5092" s="328">
        <v>4423.4878499999995</v>
      </c>
      <c r="H5092" s="328">
        <v>4963.7995899999996</v>
      </c>
      <c r="I5092" s="329">
        <v>2.412845646475071E-2</v>
      </c>
      <c r="J5092" s="329">
        <v>0.49371545874123929</v>
      </c>
      <c r="K5092" s="329">
        <v>0.59339279813932044</v>
      </c>
    </row>
    <row r="5093" spans="1:11" ht="11.25" x14ac:dyDescent="0.15">
      <c r="A5093" s="326">
        <v>0.97499999999999998</v>
      </c>
      <c r="B5093" s="327">
        <v>105</v>
      </c>
      <c r="C5093" s="327" t="s">
        <v>111</v>
      </c>
      <c r="D5093" s="327" t="s">
        <v>79</v>
      </c>
      <c r="E5093" s="328" t="s">
        <v>4433</v>
      </c>
      <c r="F5093" s="328">
        <v>390.09432149999998</v>
      </c>
      <c r="G5093" s="328">
        <v>5041.7606850000002</v>
      </c>
      <c r="H5093" s="328">
        <v>5414.2496849999998</v>
      </c>
      <c r="I5093" s="329">
        <v>0.23849382741600317</v>
      </c>
      <c r="J5093" s="329">
        <v>0.56272228473699104</v>
      </c>
      <c r="K5093" s="329">
        <v>0.64724143514566923</v>
      </c>
    </row>
    <row r="5094" spans="1:11" ht="11.25" x14ac:dyDescent="0.15">
      <c r="A5094" s="326">
        <v>0.97499999999999998</v>
      </c>
      <c r="B5094" s="327">
        <v>105</v>
      </c>
      <c r="C5094" s="327" t="s">
        <v>111</v>
      </c>
      <c r="D5094" s="327" t="s">
        <v>114</v>
      </c>
      <c r="E5094" s="328" t="s">
        <v>4434</v>
      </c>
      <c r="F5094" s="328">
        <v>101.6424864</v>
      </c>
      <c r="G5094" s="328">
        <v>4772.4978599999995</v>
      </c>
      <c r="H5094" s="328">
        <v>5328.3484799999997</v>
      </c>
      <c r="I5094" s="329">
        <v>6.214165209173661E-2</v>
      </c>
      <c r="J5094" s="329">
        <v>0.53266925335659798</v>
      </c>
      <c r="K5094" s="329">
        <v>0.63697245561209193</v>
      </c>
    </row>
    <row r="5095" spans="1:11" ht="11.25" x14ac:dyDescent="0.15">
      <c r="A5095" s="326">
        <v>0.97499999999999998</v>
      </c>
      <c r="B5095" s="327">
        <v>105</v>
      </c>
      <c r="C5095" s="327" t="s">
        <v>111</v>
      </c>
      <c r="D5095" s="327" t="s">
        <v>113</v>
      </c>
      <c r="E5095" s="328" t="s">
        <v>4435</v>
      </c>
      <c r="F5095" s="328">
        <v>42.356357549999998</v>
      </c>
      <c r="G5095" s="328">
        <v>4656.1302449999994</v>
      </c>
      <c r="H5095" s="328">
        <v>5243.4835049999992</v>
      </c>
      <c r="I5095" s="329">
        <v>2.5895608499649034E-2</v>
      </c>
      <c r="J5095" s="329">
        <v>0.51968120131021356</v>
      </c>
      <c r="K5095" s="329">
        <v>0.62682735122860211</v>
      </c>
    </row>
    <row r="5096" spans="1:11" ht="11.25" x14ac:dyDescent="0.15">
      <c r="A5096" s="326">
        <v>1</v>
      </c>
      <c r="B5096" s="327">
        <v>105</v>
      </c>
      <c r="C5096" s="327" t="s">
        <v>111</v>
      </c>
      <c r="D5096" s="327" t="s">
        <v>79</v>
      </c>
      <c r="E5096" s="328" t="s">
        <v>4436</v>
      </c>
      <c r="F5096" s="328">
        <v>418.49859999999995</v>
      </c>
      <c r="G5096" s="328">
        <v>5352.7529999999997</v>
      </c>
      <c r="H5096" s="328">
        <v>5708.1410000000005</v>
      </c>
      <c r="I5096" s="329">
        <v>0.25585948674784526</v>
      </c>
      <c r="J5096" s="329">
        <v>0.59743283864192032</v>
      </c>
      <c r="K5096" s="329">
        <v>0.68237439863356353</v>
      </c>
    </row>
    <row r="5097" spans="1:11" ht="11.25" x14ac:dyDescent="0.15">
      <c r="A5097" s="326">
        <v>1</v>
      </c>
      <c r="B5097" s="327">
        <v>105</v>
      </c>
      <c r="C5097" s="327" t="s">
        <v>111</v>
      </c>
      <c r="D5097" s="327" t="s">
        <v>114</v>
      </c>
      <c r="E5097" s="328" t="s">
        <v>4437</v>
      </c>
      <c r="F5097" s="328">
        <v>108.99226400000001</v>
      </c>
      <c r="G5097" s="328">
        <v>5037.0266000000001</v>
      </c>
      <c r="H5097" s="328">
        <v>5618.8811999999998</v>
      </c>
      <c r="I5097" s="329">
        <v>6.663512070655829E-2</v>
      </c>
      <c r="J5097" s="329">
        <v>0.56219390282960202</v>
      </c>
      <c r="K5097" s="329">
        <v>0.67170391898928838</v>
      </c>
    </row>
    <row r="5098" spans="1:11" ht="11.25" x14ac:dyDescent="0.15">
      <c r="A5098" s="326">
        <v>1</v>
      </c>
      <c r="B5098" s="327">
        <v>105</v>
      </c>
      <c r="C5098" s="327" t="s">
        <v>111</v>
      </c>
      <c r="D5098" s="327" t="s">
        <v>113</v>
      </c>
      <c r="E5098" s="328" t="s">
        <v>4438</v>
      </c>
      <c r="F5098" s="328">
        <v>45.433726</v>
      </c>
      <c r="G5098" s="328">
        <v>4896.7406000000001</v>
      </c>
      <c r="H5098" s="328">
        <v>5530.5735999999997</v>
      </c>
      <c r="I5098" s="329">
        <v>2.7777033938470128E-2</v>
      </c>
      <c r="J5098" s="329">
        <v>0.5465362658712517</v>
      </c>
      <c r="K5098" s="329">
        <v>0.66114726920702593</v>
      </c>
    </row>
    <row r="5099" spans="1:11" ht="11.25" x14ac:dyDescent="0.15">
      <c r="A5099" s="326">
        <v>1.0249999999999999</v>
      </c>
      <c r="B5099" s="327">
        <v>105</v>
      </c>
      <c r="C5099" s="327" t="s">
        <v>111</v>
      </c>
      <c r="D5099" s="327" t="s">
        <v>79</v>
      </c>
      <c r="E5099" s="328" t="s">
        <v>4439</v>
      </c>
      <c r="F5099" s="328">
        <v>448.62899049999993</v>
      </c>
      <c r="G5099" s="328">
        <v>5681.862615</v>
      </c>
      <c r="H5099" s="328">
        <v>6009.6477749999995</v>
      </c>
      <c r="I5099" s="329">
        <v>0.27428044741256946</v>
      </c>
      <c r="J5099" s="329">
        <v>0.6341655052741747</v>
      </c>
      <c r="K5099" s="329">
        <v>0.71841774519325252</v>
      </c>
    </row>
    <row r="5100" spans="1:11" ht="11.25" x14ac:dyDescent="0.15">
      <c r="A5100" s="326">
        <v>1.0249999999999999</v>
      </c>
      <c r="B5100" s="327">
        <v>105</v>
      </c>
      <c r="C5100" s="327" t="s">
        <v>111</v>
      </c>
      <c r="D5100" s="327" t="s">
        <v>114</v>
      </c>
      <c r="E5100" s="328" t="s">
        <v>4440</v>
      </c>
      <c r="F5100" s="328">
        <v>116.78886079999998</v>
      </c>
      <c r="G5100" s="328">
        <v>5315.4964549999995</v>
      </c>
      <c r="H5100" s="328">
        <v>5916.8586249999989</v>
      </c>
      <c r="I5100" s="329">
        <v>7.1401763308535662E-2</v>
      </c>
      <c r="J5100" s="329">
        <v>0.59327455160021658</v>
      </c>
      <c r="K5100" s="329">
        <v>0.70732535269086516</v>
      </c>
    </row>
    <row r="5101" spans="1:11" ht="11.25" x14ac:dyDescent="0.15">
      <c r="A5101" s="326">
        <v>1.0249999999999999</v>
      </c>
      <c r="B5101" s="327">
        <v>105</v>
      </c>
      <c r="C5101" s="327" t="s">
        <v>111</v>
      </c>
      <c r="D5101" s="327" t="s">
        <v>113</v>
      </c>
      <c r="E5101" s="328" t="s">
        <v>4441</v>
      </c>
      <c r="F5101" s="328">
        <v>48.708684699999999</v>
      </c>
      <c r="G5101" s="328">
        <v>5147.8390499999996</v>
      </c>
      <c r="H5101" s="328">
        <v>5825.4019749999989</v>
      </c>
      <c r="I5101" s="329">
        <v>2.9779261071613203E-2</v>
      </c>
      <c r="J5101" s="329">
        <v>0.57456193037736392</v>
      </c>
      <c r="K5101" s="329">
        <v>0.69639225265973581</v>
      </c>
    </row>
    <row r="5102" spans="1:11" ht="11.25" x14ac:dyDescent="0.15">
      <c r="A5102" s="326">
        <v>1.05</v>
      </c>
      <c r="B5102" s="327">
        <v>105</v>
      </c>
      <c r="C5102" s="327" t="s">
        <v>111</v>
      </c>
      <c r="D5102" s="327" t="s">
        <v>79</v>
      </c>
      <c r="E5102" s="328" t="s">
        <v>4442</v>
      </c>
      <c r="F5102" s="328">
        <v>480.58409700000004</v>
      </c>
      <c r="G5102" s="328">
        <v>6031.2716100000007</v>
      </c>
      <c r="H5102" s="328">
        <v>6319.3628400000007</v>
      </c>
      <c r="I5102" s="329">
        <v>0.29381699340833328</v>
      </c>
      <c r="J5102" s="329">
        <v>0.67316383150553094</v>
      </c>
      <c r="K5102" s="329">
        <v>0.75544234413485722</v>
      </c>
    </row>
    <row r="5103" spans="1:11" ht="11.25" x14ac:dyDescent="0.15">
      <c r="A5103" s="326">
        <v>1.05</v>
      </c>
      <c r="B5103" s="327">
        <v>105</v>
      </c>
      <c r="C5103" s="327" t="s">
        <v>111</v>
      </c>
      <c r="D5103" s="327" t="s">
        <v>114</v>
      </c>
      <c r="E5103" s="328" t="s">
        <v>4443</v>
      </c>
      <c r="F5103" s="328">
        <v>125.05914540000001</v>
      </c>
      <c r="G5103" s="328">
        <v>5609.2262100000007</v>
      </c>
      <c r="H5103" s="328">
        <v>6222.5942099999993</v>
      </c>
      <c r="I5103" s="329">
        <v>7.6458006681905652E-2</v>
      </c>
      <c r="J5103" s="329">
        <v>0.62605839223759452</v>
      </c>
      <c r="K5103" s="329">
        <v>0.74387422840280992</v>
      </c>
    </row>
    <row r="5104" spans="1:11" ht="11.25" x14ac:dyDescent="0.15">
      <c r="A5104" s="326">
        <v>1.05</v>
      </c>
      <c r="B5104" s="327">
        <v>105</v>
      </c>
      <c r="C5104" s="327" t="s">
        <v>111</v>
      </c>
      <c r="D5104" s="327" t="s">
        <v>113</v>
      </c>
      <c r="E5104" s="328" t="s">
        <v>4444</v>
      </c>
      <c r="F5104" s="328">
        <v>52.194962400000001</v>
      </c>
      <c r="G5104" s="328">
        <v>5410.4780100000007</v>
      </c>
      <c r="H5104" s="328">
        <v>6128.1496500000003</v>
      </c>
      <c r="I5104" s="329">
        <v>3.1910683310498733E-2</v>
      </c>
      <c r="J5104" s="329">
        <v>0.60387565724104741</v>
      </c>
      <c r="K5104" s="329">
        <v>0.73258394145400973</v>
      </c>
    </row>
    <row r="5105" spans="1:11" ht="11.25" x14ac:dyDescent="0.15">
      <c r="A5105" s="326">
        <v>1.075</v>
      </c>
      <c r="B5105" s="327">
        <v>105</v>
      </c>
      <c r="C5105" s="327" t="s">
        <v>111</v>
      </c>
      <c r="D5105" s="327" t="s">
        <v>79</v>
      </c>
      <c r="E5105" s="328" t="s">
        <v>4445</v>
      </c>
      <c r="F5105" s="328">
        <v>514.46866249999994</v>
      </c>
      <c r="G5105" s="328">
        <v>6399.9785299999994</v>
      </c>
      <c r="H5105" s="328">
        <v>6636.4744449999998</v>
      </c>
      <c r="I5105" s="329">
        <v>0.31453316196302789</v>
      </c>
      <c r="J5105" s="329">
        <v>0.71431604268406257</v>
      </c>
      <c r="K5105" s="329">
        <v>0.79335115556078362</v>
      </c>
    </row>
    <row r="5106" spans="1:11" ht="11.25" x14ac:dyDescent="0.15">
      <c r="A5106" s="326">
        <v>1.075</v>
      </c>
      <c r="B5106" s="327">
        <v>105</v>
      </c>
      <c r="C5106" s="327" t="s">
        <v>111</v>
      </c>
      <c r="D5106" s="327" t="s">
        <v>114</v>
      </c>
      <c r="E5106" s="328" t="s">
        <v>4446</v>
      </c>
      <c r="F5106" s="328">
        <v>133.83180249999998</v>
      </c>
      <c r="G5106" s="328">
        <v>5919.5524299999997</v>
      </c>
      <c r="H5106" s="328">
        <v>6536.3227149999993</v>
      </c>
      <c r="I5106" s="329">
        <v>8.1821387928631042E-2</v>
      </c>
      <c r="J5106" s="329">
        <v>0.66069460177680106</v>
      </c>
      <c r="K5106" s="329">
        <v>0.78137861029064026</v>
      </c>
    </row>
    <row r="5107" spans="1:11" ht="11.25" x14ac:dyDescent="0.15">
      <c r="A5107" s="326">
        <v>1.075</v>
      </c>
      <c r="B5107" s="327">
        <v>105</v>
      </c>
      <c r="C5107" s="327" t="s">
        <v>111</v>
      </c>
      <c r="D5107" s="327" t="s">
        <v>113</v>
      </c>
      <c r="E5107" s="328" t="s">
        <v>4447</v>
      </c>
      <c r="F5107" s="328">
        <v>55.907942099999993</v>
      </c>
      <c r="G5107" s="328">
        <v>5684.505185</v>
      </c>
      <c r="H5107" s="328">
        <v>6438.0840550000003</v>
      </c>
      <c r="I5107" s="329">
        <v>3.4180705433266088E-2</v>
      </c>
      <c r="J5107" s="329">
        <v>0.63446044847376004</v>
      </c>
      <c r="K5107" s="329">
        <v>0.76963476119159613</v>
      </c>
    </row>
    <row r="5108" spans="1:11" ht="11.25" x14ac:dyDescent="0.15">
      <c r="A5108" s="326">
        <v>1.1000000000000001</v>
      </c>
      <c r="B5108" s="327">
        <v>105</v>
      </c>
      <c r="C5108" s="327" t="s">
        <v>111</v>
      </c>
      <c r="D5108" s="327" t="s">
        <v>79</v>
      </c>
      <c r="E5108" s="328" t="s">
        <v>4448</v>
      </c>
      <c r="F5108" s="328">
        <v>550.3926120000001</v>
      </c>
      <c r="G5108" s="328">
        <v>6790.7120600000007</v>
      </c>
      <c r="H5108" s="328">
        <v>6961.6956200000004</v>
      </c>
      <c r="I5108" s="329">
        <v>0.3364961584486208</v>
      </c>
      <c r="J5108" s="329">
        <v>0.75792669349878894</v>
      </c>
      <c r="K5108" s="329">
        <v>0.83222941797818473</v>
      </c>
    </row>
    <row r="5109" spans="1:11" ht="11.25" x14ac:dyDescent="0.15">
      <c r="A5109" s="326">
        <v>1.1000000000000001</v>
      </c>
      <c r="B5109" s="327">
        <v>105</v>
      </c>
      <c r="C5109" s="327" t="s">
        <v>111</v>
      </c>
      <c r="D5109" s="327" t="s">
        <v>114</v>
      </c>
      <c r="E5109" s="328" t="s">
        <v>4449</v>
      </c>
      <c r="F5109" s="328">
        <v>143.13811600000002</v>
      </c>
      <c r="G5109" s="328">
        <v>6246.7013400000005</v>
      </c>
      <c r="H5109" s="328">
        <v>6857.7531000000008</v>
      </c>
      <c r="I5109" s="329">
        <v>8.7511033235985858E-2</v>
      </c>
      <c r="J5109" s="329">
        <v>0.69720842970047148</v>
      </c>
      <c r="K5109" s="329">
        <v>0.81980370624866417</v>
      </c>
    </row>
    <row r="5110" spans="1:11" ht="11.25" x14ac:dyDescent="0.15">
      <c r="A5110" s="326">
        <v>1.1000000000000001</v>
      </c>
      <c r="B5110" s="327">
        <v>105</v>
      </c>
      <c r="C5110" s="327" t="s">
        <v>111</v>
      </c>
      <c r="D5110" s="327" t="s">
        <v>113</v>
      </c>
      <c r="E5110" s="328" t="s">
        <v>4450</v>
      </c>
      <c r="F5110" s="328">
        <v>59.864158200000006</v>
      </c>
      <c r="G5110" s="328">
        <v>5972.0685200000007</v>
      </c>
      <c r="H5110" s="328">
        <v>6755.7760600000001</v>
      </c>
      <c r="I5110" s="329">
        <v>3.6599436154968773E-2</v>
      </c>
      <c r="J5110" s="329">
        <v>0.66655604106291699</v>
      </c>
      <c r="K5110" s="329">
        <v>0.80761295599487204</v>
      </c>
    </row>
    <row r="5111" spans="1:11" ht="11.25" x14ac:dyDescent="0.15">
      <c r="A5111" s="326">
        <v>1.125</v>
      </c>
      <c r="B5111" s="327">
        <v>105</v>
      </c>
      <c r="C5111" s="327" t="s">
        <v>111</v>
      </c>
      <c r="D5111" s="327" t="s">
        <v>79</v>
      </c>
      <c r="E5111" s="328" t="s">
        <v>4451</v>
      </c>
      <c r="F5111" s="328">
        <v>588.47658750000005</v>
      </c>
      <c r="G5111" s="328">
        <v>7203.4755750000004</v>
      </c>
      <c r="H5111" s="328">
        <v>7294.6557000000003</v>
      </c>
      <c r="I5111" s="329">
        <v>0.35977974034052557</v>
      </c>
      <c r="J5111" s="329">
        <v>0.80399616064107371</v>
      </c>
      <c r="K5111" s="329">
        <v>0.87203282058491483</v>
      </c>
    </row>
    <row r="5112" spans="1:11" ht="11.25" x14ac:dyDescent="0.15">
      <c r="A5112" s="326">
        <v>1.125</v>
      </c>
      <c r="B5112" s="327">
        <v>105</v>
      </c>
      <c r="C5112" s="327" t="s">
        <v>111</v>
      </c>
      <c r="D5112" s="327" t="s">
        <v>114</v>
      </c>
      <c r="E5112" s="328" t="s">
        <v>4452</v>
      </c>
      <c r="F5112" s="328">
        <v>153.01136249999999</v>
      </c>
      <c r="G5112" s="328">
        <v>6592.76595</v>
      </c>
      <c r="H5112" s="328">
        <v>7186.8937500000002</v>
      </c>
      <c r="I5112" s="329">
        <v>9.3547287077754865E-2</v>
      </c>
      <c r="J5112" s="329">
        <v>0.7358334815767319</v>
      </c>
      <c r="K5112" s="329">
        <v>0.85915051865389558</v>
      </c>
    </row>
    <row r="5113" spans="1:11" ht="11.25" x14ac:dyDescent="0.15">
      <c r="A5113" s="326">
        <v>1.125</v>
      </c>
      <c r="B5113" s="327">
        <v>105</v>
      </c>
      <c r="C5113" s="327" t="s">
        <v>111</v>
      </c>
      <c r="D5113" s="327" t="s">
        <v>113</v>
      </c>
      <c r="E5113" s="328" t="s">
        <v>4453</v>
      </c>
      <c r="F5113" s="328">
        <v>64.081835999999996</v>
      </c>
      <c r="G5113" s="328">
        <v>6274.0187999999998</v>
      </c>
      <c r="H5113" s="328">
        <v>7081.0380000000005</v>
      </c>
      <c r="I5113" s="329">
        <v>3.9178017964264622E-2</v>
      </c>
      <c r="J5113" s="329">
        <v>0.70025739304181878</v>
      </c>
      <c r="K5113" s="329">
        <v>0.84649609162622497</v>
      </c>
    </row>
    <row r="5114" spans="1:11" ht="11.25" x14ac:dyDescent="0.15">
      <c r="A5114" s="326">
        <v>1.1499999999999999</v>
      </c>
      <c r="B5114" s="327">
        <v>105</v>
      </c>
      <c r="C5114" s="327" t="s">
        <v>111</v>
      </c>
      <c r="D5114" s="327" t="s">
        <v>79</v>
      </c>
      <c r="E5114" s="328" t="s">
        <v>4454</v>
      </c>
      <c r="F5114" s="328">
        <v>628.84594399999992</v>
      </c>
      <c r="G5114" s="328">
        <v>7639.2301199999993</v>
      </c>
      <c r="H5114" s="328">
        <v>7635.6743199999992</v>
      </c>
      <c r="I5114" s="329">
        <v>0.38446054652346329</v>
      </c>
      <c r="J5114" s="329">
        <v>0.85263170851157477</v>
      </c>
      <c r="K5114" s="329">
        <v>0.91279957384930455</v>
      </c>
    </row>
    <row r="5115" spans="1:11" ht="11.25" x14ac:dyDescent="0.15">
      <c r="A5115" s="326">
        <v>1.1499999999999999</v>
      </c>
      <c r="B5115" s="327">
        <v>105</v>
      </c>
      <c r="C5115" s="327" t="s">
        <v>111</v>
      </c>
      <c r="D5115" s="327" t="s">
        <v>114</v>
      </c>
      <c r="E5115" s="328" t="s">
        <v>4455</v>
      </c>
      <c r="F5115" s="328">
        <v>163.48791</v>
      </c>
      <c r="G5115" s="328">
        <v>6958.5055599999996</v>
      </c>
      <c r="H5115" s="328">
        <v>7523.7089399999986</v>
      </c>
      <c r="I5115" s="329">
        <v>9.9952383931697558E-2</v>
      </c>
      <c r="J5115" s="329">
        <v>0.77665450459163443</v>
      </c>
      <c r="K5115" s="329">
        <v>0.89941477679448778</v>
      </c>
    </row>
    <row r="5116" spans="1:11" ht="11.25" x14ac:dyDescent="0.15">
      <c r="A5116" s="326">
        <v>1.1499999999999999</v>
      </c>
      <c r="B5116" s="327">
        <v>105</v>
      </c>
      <c r="C5116" s="327" t="s">
        <v>111</v>
      </c>
      <c r="D5116" s="327" t="s">
        <v>113</v>
      </c>
      <c r="E5116" s="328" t="s">
        <v>4456</v>
      </c>
      <c r="F5116" s="328">
        <v>68.58082499999999</v>
      </c>
      <c r="G5116" s="328">
        <v>6591.7091499999997</v>
      </c>
      <c r="H5116" s="328">
        <v>7414.3230099999992</v>
      </c>
      <c r="I5116" s="329">
        <v>4.1928586344718466E-2</v>
      </c>
      <c r="J5116" s="329">
        <v>0.73571552974449217</v>
      </c>
      <c r="K5116" s="329">
        <v>0.88633833768712822</v>
      </c>
    </row>
    <row r="5117" spans="1:11" ht="11.25" x14ac:dyDescent="0.15">
      <c r="A5117" s="326">
        <v>1.175</v>
      </c>
      <c r="B5117" s="327">
        <v>105</v>
      </c>
      <c r="C5117" s="327" t="s">
        <v>111</v>
      </c>
      <c r="D5117" s="327" t="s">
        <v>79</v>
      </c>
      <c r="E5117" s="328" t="s">
        <v>4457</v>
      </c>
      <c r="F5117" s="328">
        <v>671.63592200000005</v>
      </c>
      <c r="G5117" s="328">
        <v>8097.9474850000006</v>
      </c>
      <c r="H5117" s="328">
        <v>7984.1064349999997</v>
      </c>
      <c r="I5117" s="329">
        <v>0.41062125962747753</v>
      </c>
      <c r="J5117" s="329">
        <v>0.9038301885285478</v>
      </c>
      <c r="K5117" s="329">
        <v>0.95445256646769749</v>
      </c>
    </row>
    <row r="5118" spans="1:11" ht="11.25" x14ac:dyDescent="0.15">
      <c r="A5118" s="326">
        <v>1.175</v>
      </c>
      <c r="B5118" s="327">
        <v>105</v>
      </c>
      <c r="C5118" s="327" t="s">
        <v>111</v>
      </c>
      <c r="D5118" s="327" t="s">
        <v>114</v>
      </c>
      <c r="E5118" s="328" t="s">
        <v>4458</v>
      </c>
      <c r="F5118" s="328">
        <v>174.60615149999998</v>
      </c>
      <c r="G5118" s="328">
        <v>7344.0543250000001</v>
      </c>
      <c r="H5118" s="328">
        <v>7868.1755299999995</v>
      </c>
      <c r="I5118" s="329">
        <v>0.10674979630948948</v>
      </c>
      <c r="J5118" s="329">
        <v>0.81968647208739542</v>
      </c>
      <c r="K5118" s="329">
        <v>0.94059371442069661</v>
      </c>
    </row>
    <row r="5119" spans="1:11" ht="11.25" x14ac:dyDescent="0.15">
      <c r="A5119" s="326">
        <v>1.175</v>
      </c>
      <c r="B5119" s="327">
        <v>105</v>
      </c>
      <c r="C5119" s="327" t="s">
        <v>111</v>
      </c>
      <c r="D5119" s="327" t="s">
        <v>113</v>
      </c>
      <c r="E5119" s="328" t="s">
        <v>4459</v>
      </c>
      <c r="F5119" s="328">
        <v>73.382914200000002</v>
      </c>
      <c r="G5119" s="328">
        <v>6926.2725000000009</v>
      </c>
      <c r="H5119" s="328">
        <v>7755.0197400000015</v>
      </c>
      <c r="I5119" s="329">
        <v>4.4864462541268163E-2</v>
      </c>
      <c r="J5119" s="329">
        <v>0.77305690004423344</v>
      </c>
      <c r="K5119" s="329">
        <v>0.92706661091131326</v>
      </c>
    </row>
    <row r="5120" spans="1:11" ht="11.25" x14ac:dyDescent="0.15">
      <c r="A5120" s="326">
        <v>1.2</v>
      </c>
      <c r="B5120" s="327">
        <v>105</v>
      </c>
      <c r="C5120" s="327" t="s">
        <v>111</v>
      </c>
      <c r="D5120" s="327" t="s">
        <v>79</v>
      </c>
      <c r="E5120" s="328" t="s">
        <v>4460</v>
      </c>
      <c r="F5120" s="328">
        <v>716.99044800000001</v>
      </c>
      <c r="G5120" s="328">
        <v>8581.0437599999987</v>
      </c>
      <c r="H5120" s="328">
        <v>8340.5913599999985</v>
      </c>
      <c r="I5120" s="329">
        <v>0.43834987268389347</v>
      </c>
      <c r="J5120" s="329">
        <v>0.95774965369172393</v>
      </c>
      <c r="K5120" s="329">
        <v>0.99706822475623746</v>
      </c>
    </row>
    <row r="5121" spans="1:11" ht="11.25" x14ac:dyDescent="0.15">
      <c r="A5121" s="326">
        <v>1.2</v>
      </c>
      <c r="B5121" s="327">
        <v>105</v>
      </c>
      <c r="C5121" s="327" t="s">
        <v>111</v>
      </c>
      <c r="D5121" s="327" t="s">
        <v>114</v>
      </c>
      <c r="E5121" s="328" t="s">
        <v>4461</v>
      </c>
      <c r="F5121" s="328">
        <v>186.408816</v>
      </c>
      <c r="G5121" s="328">
        <v>7751.1897599999993</v>
      </c>
      <c r="H5121" s="328">
        <v>8220.6412799999998</v>
      </c>
      <c r="I5121" s="329">
        <v>0.11396564764382373</v>
      </c>
      <c r="J5121" s="329">
        <v>0.86512777652340478</v>
      </c>
      <c r="K5121" s="329">
        <v>0.98272890417777825</v>
      </c>
    </row>
    <row r="5122" spans="1:11" ht="11.25" x14ac:dyDescent="0.15">
      <c r="A5122" s="326">
        <v>1.2</v>
      </c>
      <c r="B5122" s="327">
        <v>105</v>
      </c>
      <c r="C5122" s="327" t="s">
        <v>111</v>
      </c>
      <c r="D5122" s="327" t="s">
        <v>113</v>
      </c>
      <c r="E5122" s="328" t="s">
        <v>4462</v>
      </c>
      <c r="F5122" s="328">
        <v>78.51182399999999</v>
      </c>
      <c r="G5122" s="328">
        <v>7278.1831199999997</v>
      </c>
      <c r="H5122" s="328">
        <v>8103.4965599999996</v>
      </c>
      <c r="I5122" s="329">
        <v>4.8000148608088912E-2</v>
      </c>
      <c r="J5122" s="329">
        <v>0.8123344382857397</v>
      </c>
      <c r="K5122" s="329">
        <v>0.96872494774728757</v>
      </c>
    </row>
    <row r="5123" spans="1:11" ht="11.25" x14ac:dyDescent="0.15">
      <c r="A5123" s="326">
        <v>1.2250000000000001</v>
      </c>
      <c r="B5123" s="327">
        <v>105</v>
      </c>
      <c r="C5123" s="327" t="s">
        <v>111</v>
      </c>
      <c r="D5123" s="327" t="s">
        <v>79</v>
      </c>
      <c r="E5123" s="328" t="s">
        <v>4463</v>
      </c>
      <c r="F5123" s="328">
        <v>765.0644155</v>
      </c>
      <c r="G5123" s="328">
        <v>9088.9771700000001</v>
      </c>
      <c r="H5123" s="328">
        <v>8704.951430000001</v>
      </c>
      <c r="I5123" s="329">
        <v>0.46774108367117656</v>
      </c>
      <c r="J5123" s="329">
        <v>1.0144412475271525</v>
      </c>
      <c r="K5123" s="329">
        <v>1.0406253099179976</v>
      </c>
    </row>
    <row r="5124" spans="1:11" ht="11.25" x14ac:dyDescent="0.15">
      <c r="A5124" s="326">
        <v>1.2250000000000001</v>
      </c>
      <c r="B5124" s="327">
        <v>105</v>
      </c>
      <c r="C5124" s="327" t="s">
        <v>111</v>
      </c>
      <c r="D5124" s="327" t="s">
        <v>114</v>
      </c>
      <c r="E5124" s="328" t="s">
        <v>4464</v>
      </c>
      <c r="F5124" s="328">
        <v>198.94098000000002</v>
      </c>
      <c r="G5124" s="328">
        <v>8179.8248000000012</v>
      </c>
      <c r="H5124" s="328">
        <v>8580.3321800000012</v>
      </c>
      <c r="I5124" s="329">
        <v>0.12162749656967398</v>
      </c>
      <c r="J5124" s="329">
        <v>0.91296870037858624</v>
      </c>
      <c r="K5124" s="329">
        <v>1.0257278177612841</v>
      </c>
    </row>
    <row r="5125" spans="1:11" ht="11.25" x14ac:dyDescent="0.15">
      <c r="A5125" s="326">
        <v>1.2250000000000001</v>
      </c>
      <c r="B5125" s="327">
        <v>105</v>
      </c>
      <c r="C5125" s="327" t="s">
        <v>111</v>
      </c>
      <c r="D5125" s="327" t="s">
        <v>113</v>
      </c>
      <c r="E5125" s="328" t="s">
        <v>4465</v>
      </c>
      <c r="F5125" s="328">
        <v>83.993457800000002</v>
      </c>
      <c r="G5125" s="328">
        <v>7648.8198850000008</v>
      </c>
      <c r="H5125" s="328">
        <v>8459.5033249999997</v>
      </c>
      <c r="I5125" s="329">
        <v>5.1351481230486322E-2</v>
      </c>
      <c r="J5125" s="329">
        <v>0.85370204381863257</v>
      </c>
      <c r="K5125" s="329">
        <v>1.0112834448440404</v>
      </c>
    </row>
    <row r="5126" spans="1:11" ht="11.25" x14ac:dyDescent="0.15">
      <c r="A5126" s="326">
        <v>1.25</v>
      </c>
      <c r="B5126" s="327">
        <v>105</v>
      </c>
      <c r="C5126" s="327" t="s">
        <v>111</v>
      </c>
      <c r="D5126" s="327" t="s">
        <v>79</v>
      </c>
      <c r="E5126" s="328" t="s">
        <v>4466</v>
      </c>
      <c r="F5126" s="328">
        <v>816.02165000000002</v>
      </c>
      <c r="G5126" s="328">
        <v>9622.5397499999999</v>
      </c>
      <c r="H5126" s="328">
        <v>9077.3720000000012</v>
      </c>
      <c r="I5126" s="329">
        <v>0.49889505136726825</v>
      </c>
      <c r="J5126" s="329">
        <v>1.0739933708480878</v>
      </c>
      <c r="K5126" s="329">
        <v>1.0851459800437915</v>
      </c>
    </row>
    <row r="5127" spans="1:11" ht="11.25" x14ac:dyDescent="0.15">
      <c r="A5127" s="326">
        <v>1.25</v>
      </c>
      <c r="B5127" s="327">
        <v>105</v>
      </c>
      <c r="C5127" s="327" t="s">
        <v>111</v>
      </c>
      <c r="D5127" s="327" t="s">
        <v>114</v>
      </c>
      <c r="E5127" s="328" t="s">
        <v>4467</v>
      </c>
      <c r="F5127" s="328">
        <v>212.25212500000001</v>
      </c>
      <c r="G5127" s="328">
        <v>8631.5557499999995</v>
      </c>
      <c r="H5127" s="328">
        <v>8948.3157499999998</v>
      </c>
      <c r="I5127" s="329">
        <v>0.12976559482789071</v>
      </c>
      <c r="J5127" s="329">
        <v>0.96338741085540269</v>
      </c>
      <c r="K5127" s="329">
        <v>1.0697180708552039</v>
      </c>
    </row>
    <row r="5128" spans="1:11" ht="11.25" x14ac:dyDescent="0.15">
      <c r="A5128" s="326">
        <v>1.25</v>
      </c>
      <c r="B5128" s="327">
        <v>105</v>
      </c>
      <c r="C5128" s="327" t="s">
        <v>111</v>
      </c>
      <c r="D5128" s="327" t="s">
        <v>113</v>
      </c>
      <c r="E5128" s="328" t="s">
        <v>4468</v>
      </c>
      <c r="F5128" s="328">
        <v>89.857320000000001</v>
      </c>
      <c r="G5128" s="328">
        <v>8039.3029999999999</v>
      </c>
      <c r="H5128" s="328">
        <v>8823.2909999999993</v>
      </c>
      <c r="I5128" s="329">
        <v>5.4936498654324997E-2</v>
      </c>
      <c r="J5128" s="329">
        <v>0.89728474525024893</v>
      </c>
      <c r="K5128" s="329">
        <v>1.054772103578719</v>
      </c>
    </row>
    <row r="5129" spans="1:11" ht="11.25" x14ac:dyDescent="0.15">
      <c r="A5129" s="326">
        <v>1.2749999999999999</v>
      </c>
      <c r="B5129" s="327">
        <v>105</v>
      </c>
      <c r="C5129" s="327" t="s">
        <v>111</v>
      </c>
      <c r="D5129" s="327" t="s">
        <v>79</v>
      </c>
      <c r="E5129" s="328" t="s">
        <v>4469</v>
      </c>
      <c r="F5129" s="328">
        <v>870.04138499999988</v>
      </c>
      <c r="G5129" s="328">
        <v>10181.136885</v>
      </c>
      <c r="H5129" s="328">
        <v>9457.2337049999987</v>
      </c>
      <c r="I5129" s="329">
        <v>0.53192135461261858</v>
      </c>
      <c r="J5129" s="329">
        <v>1.136339657332873</v>
      </c>
      <c r="K5129" s="329">
        <v>1.1305561937216411</v>
      </c>
    </row>
    <row r="5130" spans="1:11" ht="11.25" x14ac:dyDescent="0.15">
      <c r="A5130" s="326">
        <v>1.2749999999999999</v>
      </c>
      <c r="B5130" s="327">
        <v>105</v>
      </c>
      <c r="C5130" s="327" t="s">
        <v>111</v>
      </c>
      <c r="D5130" s="327" t="s">
        <v>114</v>
      </c>
      <c r="E5130" s="328" t="s">
        <v>4470</v>
      </c>
      <c r="F5130" s="328">
        <v>226.39613999999997</v>
      </c>
      <c r="G5130" s="328">
        <v>9106.14588</v>
      </c>
      <c r="H5130" s="328">
        <v>9323.5259849999984</v>
      </c>
      <c r="I5130" s="329">
        <v>0.13841288879363831</v>
      </c>
      <c r="J5130" s="329">
        <v>1.0163574859844695</v>
      </c>
      <c r="K5130" s="329">
        <v>1.1145722288848114</v>
      </c>
    </row>
    <row r="5131" spans="1:11" ht="11.25" x14ac:dyDescent="0.15">
      <c r="A5131" s="326">
        <v>1.2749999999999999</v>
      </c>
      <c r="B5131" s="327">
        <v>105</v>
      </c>
      <c r="C5131" s="327" t="s">
        <v>111</v>
      </c>
      <c r="D5131" s="327" t="s">
        <v>113</v>
      </c>
      <c r="E5131" s="328" t="s">
        <v>4471</v>
      </c>
      <c r="F5131" s="328">
        <v>96.134464499999993</v>
      </c>
      <c r="G5131" s="328">
        <v>8449.7327850000001</v>
      </c>
      <c r="H5131" s="328">
        <v>9194.7976500000004</v>
      </c>
      <c r="I5131" s="329">
        <v>5.8774186450680964E-2</v>
      </c>
      <c r="J5131" s="329">
        <v>0.9430937395221205</v>
      </c>
      <c r="K5131" s="329">
        <v>1.099183519989442</v>
      </c>
    </row>
    <row r="5132" spans="1:11" ht="11.25" x14ac:dyDescent="0.15">
      <c r="A5132" s="326">
        <v>1.3</v>
      </c>
      <c r="B5132" s="327">
        <v>105</v>
      </c>
      <c r="C5132" s="327" t="s">
        <v>111</v>
      </c>
      <c r="D5132" s="327" t="s">
        <v>79</v>
      </c>
      <c r="E5132" s="328" t="s">
        <v>4472</v>
      </c>
      <c r="F5132" s="328">
        <v>927.31407600000011</v>
      </c>
      <c r="G5132" s="328">
        <v>10766.331940000002</v>
      </c>
      <c r="H5132" s="328">
        <v>9845.4374200000002</v>
      </c>
      <c r="I5132" s="329">
        <v>0.56693643309538533</v>
      </c>
      <c r="J5132" s="329">
        <v>1.2016545976762563</v>
      </c>
      <c r="K5132" s="329">
        <v>1.1769636452142445</v>
      </c>
    </row>
    <row r="5133" spans="1:11" ht="11.25" x14ac:dyDescent="0.15">
      <c r="A5133" s="326">
        <v>1.3</v>
      </c>
      <c r="B5133" s="327">
        <v>105</v>
      </c>
      <c r="C5133" s="327" t="s">
        <v>111</v>
      </c>
      <c r="D5133" s="327" t="s">
        <v>114</v>
      </c>
      <c r="E5133" s="328" t="s">
        <v>4473</v>
      </c>
      <c r="F5133" s="328">
        <v>241.43160599999999</v>
      </c>
      <c r="G5133" s="328">
        <v>9605.0195800000001</v>
      </c>
      <c r="H5133" s="328">
        <v>9706.7903399999996</v>
      </c>
      <c r="I5133" s="329">
        <v>0.14760519341251799</v>
      </c>
      <c r="J5133" s="329">
        <v>1.072037905147244</v>
      </c>
      <c r="K5133" s="329">
        <v>1.1603892091872963</v>
      </c>
    </row>
    <row r="5134" spans="1:11" ht="11.25" x14ac:dyDescent="0.15">
      <c r="A5134" s="326">
        <v>1.3</v>
      </c>
      <c r="B5134" s="327">
        <v>105</v>
      </c>
      <c r="C5134" s="327" t="s">
        <v>111</v>
      </c>
      <c r="D5134" s="327" t="s">
        <v>113</v>
      </c>
      <c r="E5134" s="328" t="s">
        <v>4474</v>
      </c>
      <c r="F5134" s="328">
        <v>102.86095040000001</v>
      </c>
      <c r="G5134" s="328">
        <v>8881.5919400000002</v>
      </c>
      <c r="H5134" s="328">
        <v>9573.7088200000017</v>
      </c>
      <c r="I5134" s="329">
        <v>6.2886590243646151E-2</v>
      </c>
      <c r="J5134" s="329">
        <v>0.99129451412635705</v>
      </c>
      <c r="K5134" s="329">
        <v>1.1444801028461531</v>
      </c>
    </row>
    <row r="5135" spans="1:11" ht="11.25" x14ac:dyDescent="0.15">
      <c r="A5135" s="326">
        <v>1.325</v>
      </c>
      <c r="B5135" s="327">
        <v>105</v>
      </c>
      <c r="C5135" s="327" t="s">
        <v>111</v>
      </c>
      <c r="D5135" s="327" t="s">
        <v>79</v>
      </c>
      <c r="E5135" s="328" t="s">
        <v>4475</v>
      </c>
      <c r="F5135" s="328">
        <v>988.04746499999987</v>
      </c>
      <c r="G5135" s="328">
        <v>11378.420540000001</v>
      </c>
      <c r="H5135" s="328">
        <v>10241.634139999998</v>
      </c>
      <c r="I5135" s="329">
        <v>0.6040672950337459</v>
      </c>
      <c r="J5135" s="329">
        <v>1.2699711872514448</v>
      </c>
      <c r="K5135" s="329">
        <v>1.2243266130439792</v>
      </c>
    </row>
    <row r="5136" spans="1:11" ht="11.25" x14ac:dyDescent="0.15">
      <c r="A5136" s="326">
        <v>1.325</v>
      </c>
      <c r="B5136" s="327">
        <v>105</v>
      </c>
      <c r="C5136" s="327" t="s">
        <v>111</v>
      </c>
      <c r="D5136" s="327" t="s">
        <v>114</v>
      </c>
      <c r="E5136" s="328" t="s">
        <v>4476</v>
      </c>
      <c r="F5136" s="328">
        <v>257.42240449999997</v>
      </c>
      <c r="G5136" s="328">
        <v>10129.519795</v>
      </c>
      <c r="H5136" s="328">
        <v>10097.876145</v>
      </c>
      <c r="I5136" s="329">
        <v>0.15738156422211738</v>
      </c>
      <c r="J5136" s="329">
        <v>1.1305785574649854</v>
      </c>
      <c r="K5136" s="329">
        <v>1.2071411974442434</v>
      </c>
    </row>
    <row r="5137" spans="1:11" ht="11.25" x14ac:dyDescent="0.15">
      <c r="A5137" s="326">
        <v>1.325</v>
      </c>
      <c r="B5137" s="327">
        <v>105</v>
      </c>
      <c r="C5137" s="327" t="s">
        <v>111</v>
      </c>
      <c r="D5137" s="327" t="s">
        <v>113</v>
      </c>
      <c r="E5137" s="328" t="s">
        <v>4477</v>
      </c>
      <c r="F5137" s="328">
        <v>110.0738874</v>
      </c>
      <c r="G5137" s="328">
        <v>9335.3034000000007</v>
      </c>
      <c r="H5137" s="328">
        <v>9960.8189399999992</v>
      </c>
      <c r="I5137" s="329">
        <v>6.7296397967649399E-2</v>
      </c>
      <c r="J5137" s="329">
        <v>1.0419342737924897</v>
      </c>
      <c r="K5137" s="329">
        <v>1.1907568215431799</v>
      </c>
    </row>
    <row r="5138" spans="1:11" ht="11.25" x14ac:dyDescent="0.15">
      <c r="A5138" s="326">
        <v>1.35</v>
      </c>
      <c r="B5138" s="327">
        <v>105</v>
      </c>
      <c r="C5138" s="327" t="s">
        <v>111</v>
      </c>
      <c r="D5138" s="327" t="s">
        <v>79</v>
      </c>
      <c r="E5138" s="328" t="s">
        <v>4478</v>
      </c>
      <c r="F5138" s="328">
        <v>1052.4627540000001</v>
      </c>
      <c r="G5138" s="328">
        <v>12016.986390000002</v>
      </c>
      <c r="H5138" s="328">
        <v>10645.54866</v>
      </c>
      <c r="I5138" s="329">
        <v>0.64344917775032895</v>
      </c>
      <c r="J5138" s="329">
        <v>1.3412429624342883</v>
      </c>
      <c r="K5138" s="329">
        <v>1.2726121980854779</v>
      </c>
    </row>
    <row r="5139" spans="1:11" ht="11.25" x14ac:dyDescent="0.15">
      <c r="A5139" s="326">
        <v>1.35</v>
      </c>
      <c r="B5139" s="327">
        <v>105</v>
      </c>
      <c r="C5139" s="327" t="s">
        <v>111</v>
      </c>
      <c r="D5139" s="327" t="s">
        <v>114</v>
      </c>
      <c r="E5139" s="328" t="s">
        <v>4479</v>
      </c>
      <c r="F5139" s="328">
        <v>274.43823300000003</v>
      </c>
      <c r="G5139" s="328">
        <v>10678.329630000002</v>
      </c>
      <c r="H5139" s="328">
        <v>10496.79837</v>
      </c>
      <c r="I5139" s="329">
        <v>0.16778461251570634</v>
      </c>
      <c r="J5139" s="329">
        <v>1.1918324613157056</v>
      </c>
      <c r="K5139" s="329">
        <v>1.2548299832303582</v>
      </c>
    </row>
    <row r="5140" spans="1:11" ht="11.25" x14ac:dyDescent="0.15">
      <c r="A5140" s="326">
        <v>1.35</v>
      </c>
      <c r="B5140" s="327">
        <v>105</v>
      </c>
      <c r="C5140" s="327" t="s">
        <v>111</v>
      </c>
      <c r="D5140" s="327" t="s">
        <v>113</v>
      </c>
      <c r="E5140" s="328" t="s">
        <v>4480</v>
      </c>
      <c r="F5140" s="328">
        <v>117.8179398</v>
      </c>
      <c r="G5140" s="328">
        <v>9811.6158600000017</v>
      </c>
      <c r="H5140" s="328">
        <v>10355.35374</v>
      </c>
      <c r="I5140" s="329">
        <v>7.2030916248982751E-2</v>
      </c>
      <c r="J5140" s="329">
        <v>1.0950965820585943</v>
      </c>
      <c r="K5140" s="329">
        <v>1.237921116694616</v>
      </c>
    </row>
    <row r="5141" spans="1:11" ht="11.25" x14ac:dyDescent="0.15">
      <c r="A5141" s="326">
        <v>1.375</v>
      </c>
      <c r="B5141" s="327">
        <v>105</v>
      </c>
      <c r="C5141" s="327" t="s">
        <v>111</v>
      </c>
      <c r="D5141" s="327" t="s">
        <v>79</v>
      </c>
      <c r="E5141" s="328" t="s">
        <v>4481</v>
      </c>
      <c r="F5141" s="328">
        <v>1120.8005599999999</v>
      </c>
      <c r="G5141" s="328">
        <v>12682.60125</v>
      </c>
      <c r="H5141" s="328">
        <v>11057.776674999999</v>
      </c>
      <c r="I5141" s="329">
        <v>0.68522918840898761</v>
      </c>
      <c r="J5141" s="329">
        <v>1.4155337386483304</v>
      </c>
      <c r="K5141" s="329">
        <v>1.321891612142617</v>
      </c>
    </row>
    <row r="5142" spans="1:11" ht="11.25" x14ac:dyDescent="0.15">
      <c r="A5142" s="326">
        <v>1.375</v>
      </c>
      <c r="B5142" s="327">
        <v>105</v>
      </c>
      <c r="C5142" s="327" t="s">
        <v>111</v>
      </c>
      <c r="D5142" s="327" t="s">
        <v>114</v>
      </c>
      <c r="E5142" s="328" t="s">
        <v>4482</v>
      </c>
      <c r="F5142" s="328">
        <v>292.55564250000003</v>
      </c>
      <c r="G5142" s="328">
        <v>11253.923450000002</v>
      </c>
      <c r="H5142" s="328">
        <v>10903.572349999999</v>
      </c>
      <c r="I5142" s="329">
        <v>0.1788611396435642</v>
      </c>
      <c r="J5142" s="329">
        <v>1.2560757861594538</v>
      </c>
      <c r="K5142" s="329">
        <v>1.3034573997539303</v>
      </c>
    </row>
    <row r="5143" spans="1:11" ht="11.25" x14ac:dyDescent="0.15">
      <c r="A5143" s="326">
        <v>1.375</v>
      </c>
      <c r="B5143" s="327">
        <v>105</v>
      </c>
      <c r="C5143" s="327" t="s">
        <v>111</v>
      </c>
      <c r="D5143" s="327" t="s">
        <v>113</v>
      </c>
      <c r="E5143" s="328" t="s">
        <v>4483</v>
      </c>
      <c r="F5143" s="328">
        <v>126.13941450000002</v>
      </c>
      <c r="G5143" s="328">
        <v>10311.008400000001</v>
      </c>
      <c r="H5143" s="328">
        <v>10757.695299999999</v>
      </c>
      <c r="I5143" s="329">
        <v>7.7118455958141124E-2</v>
      </c>
      <c r="J5143" s="329">
        <v>1.1508349101243203</v>
      </c>
      <c r="K5143" s="329">
        <v>1.2860186636981483</v>
      </c>
    </row>
    <row r="5144" spans="1:11" ht="11.25" x14ac:dyDescent="0.15">
      <c r="A5144" s="326">
        <v>1.4</v>
      </c>
      <c r="B5144" s="327">
        <v>105</v>
      </c>
      <c r="C5144" s="327" t="s">
        <v>111</v>
      </c>
      <c r="D5144" s="327" t="s">
        <v>79</v>
      </c>
      <c r="E5144" s="328" t="s">
        <v>4484</v>
      </c>
      <c r="F5144" s="328">
        <v>1193.3259519999997</v>
      </c>
      <c r="G5144" s="328">
        <v>13376.58224</v>
      </c>
      <c r="H5144" s="328">
        <v>11478.308239999998</v>
      </c>
      <c r="I5144" s="329">
        <v>0.72956938350953571</v>
      </c>
      <c r="J5144" s="329">
        <v>1.492990522628318</v>
      </c>
      <c r="K5144" s="329">
        <v>1.3721636663496357</v>
      </c>
    </row>
    <row r="5145" spans="1:11" ht="11.25" x14ac:dyDescent="0.15">
      <c r="A5145" s="326">
        <v>1.4</v>
      </c>
      <c r="B5145" s="327">
        <v>105</v>
      </c>
      <c r="C5145" s="327" t="s">
        <v>111</v>
      </c>
      <c r="D5145" s="327" t="s">
        <v>114</v>
      </c>
      <c r="E5145" s="328" t="s">
        <v>4485</v>
      </c>
      <c r="F5145" s="328">
        <v>311.85854</v>
      </c>
      <c r="G5145" s="328">
        <v>11854.16764</v>
      </c>
      <c r="H5145" s="328">
        <v>11317.902119999999</v>
      </c>
      <c r="I5145" s="329">
        <v>0.1906624442288036</v>
      </c>
      <c r="J5145" s="329">
        <v>1.323070394412444</v>
      </c>
      <c r="K5145" s="329">
        <v>1.3529880661547311</v>
      </c>
    </row>
    <row r="5146" spans="1:11" ht="11.25" x14ac:dyDescent="0.15">
      <c r="A5146" s="326">
        <v>1.4</v>
      </c>
      <c r="B5146" s="327">
        <v>105</v>
      </c>
      <c r="C5146" s="327" t="s">
        <v>111</v>
      </c>
      <c r="D5146" s="327" t="s">
        <v>113</v>
      </c>
      <c r="E5146" s="328" t="s">
        <v>4486</v>
      </c>
      <c r="F5146" s="328">
        <v>135.09214880000002</v>
      </c>
      <c r="G5146" s="328">
        <v>10834.42584</v>
      </c>
      <c r="H5146" s="328">
        <v>11167.670919999999</v>
      </c>
      <c r="I5146" s="329">
        <v>8.2591931862213031E-2</v>
      </c>
      <c r="J5146" s="329">
        <v>1.2092547114814698</v>
      </c>
      <c r="K5146" s="329">
        <v>1.3350288172931493</v>
      </c>
    </row>
    <row r="5147" spans="1:11" ht="11.25" x14ac:dyDescent="0.15">
      <c r="A5147" s="326">
        <v>0.9</v>
      </c>
      <c r="B5147" s="327">
        <v>125</v>
      </c>
      <c r="C5147" s="327" t="s">
        <v>111</v>
      </c>
      <c r="D5147" s="327" t="s">
        <v>79</v>
      </c>
      <c r="E5147" s="328" t="s">
        <v>4487</v>
      </c>
      <c r="F5147" s="328">
        <v>504.49869000000007</v>
      </c>
      <c r="G5147" s="328">
        <v>4265.2304999999997</v>
      </c>
      <c r="H5147" s="328">
        <v>4589.9477999999999</v>
      </c>
      <c r="I5147" s="329">
        <v>0.30843777228492597</v>
      </c>
      <c r="J5147" s="329">
        <v>0.4760519988643408</v>
      </c>
      <c r="K5147" s="329">
        <v>0.54870103415182769</v>
      </c>
    </row>
    <row r="5148" spans="1:11" ht="11.25" x14ac:dyDescent="0.15">
      <c r="A5148" s="326">
        <v>0.9</v>
      </c>
      <c r="B5148" s="327">
        <v>125</v>
      </c>
      <c r="C5148" s="327" t="s">
        <v>111</v>
      </c>
      <c r="D5148" s="327" t="s">
        <v>114</v>
      </c>
      <c r="E5148" s="328" t="s">
        <v>4488</v>
      </c>
      <c r="F5148" s="328">
        <v>138.52206000000001</v>
      </c>
      <c r="G5148" s="328">
        <v>4074.2280000000001</v>
      </c>
      <c r="H5148" s="328">
        <v>4514.5448999999999</v>
      </c>
      <c r="I5148" s="329">
        <v>8.4688893044933086E-2</v>
      </c>
      <c r="J5148" s="329">
        <v>0.4547337789198182</v>
      </c>
      <c r="K5148" s="329">
        <v>0.53968706471016059</v>
      </c>
    </row>
    <row r="5149" spans="1:11" ht="11.25" x14ac:dyDescent="0.15">
      <c r="A5149" s="326">
        <v>0.9</v>
      </c>
      <c r="B5149" s="327">
        <v>125</v>
      </c>
      <c r="C5149" s="327" t="s">
        <v>111</v>
      </c>
      <c r="D5149" s="327" t="s">
        <v>113</v>
      </c>
      <c r="E5149" s="328" t="s">
        <v>4489</v>
      </c>
      <c r="F5149" s="328">
        <v>58.87093500000001</v>
      </c>
      <c r="G5149" s="328">
        <v>3994.0434</v>
      </c>
      <c r="H5149" s="328">
        <v>4439.4264000000003</v>
      </c>
      <c r="I5149" s="329">
        <v>3.5992204546122168E-2</v>
      </c>
      <c r="J5149" s="329">
        <v>0.44578419480985332</v>
      </c>
      <c r="K5149" s="329">
        <v>0.53070709360157109</v>
      </c>
    </row>
    <row r="5150" spans="1:11" ht="11.25" x14ac:dyDescent="0.15">
      <c r="A5150" s="326">
        <v>0.92500000000000004</v>
      </c>
      <c r="B5150" s="327">
        <v>125</v>
      </c>
      <c r="C5150" s="327" t="s">
        <v>111</v>
      </c>
      <c r="D5150" s="327" t="s">
        <v>79</v>
      </c>
      <c r="E5150" s="328" t="s">
        <v>4490</v>
      </c>
      <c r="F5150" s="328">
        <v>541.13156750000007</v>
      </c>
      <c r="G5150" s="328">
        <v>4536.6421500000006</v>
      </c>
      <c r="H5150" s="328">
        <v>4860.8380000000006</v>
      </c>
      <c r="I5150" s="329">
        <v>0.33083418946588355</v>
      </c>
      <c r="J5150" s="329">
        <v>0.50634486545093427</v>
      </c>
      <c r="K5150" s="329">
        <v>0.58108435077290033</v>
      </c>
    </row>
    <row r="5151" spans="1:11" ht="11.25" x14ac:dyDescent="0.15">
      <c r="A5151" s="326">
        <v>0.92500000000000004</v>
      </c>
      <c r="B5151" s="327">
        <v>125</v>
      </c>
      <c r="C5151" s="327" t="s">
        <v>111</v>
      </c>
      <c r="D5151" s="327" t="s">
        <v>114</v>
      </c>
      <c r="E5151" s="328" t="s">
        <v>4491</v>
      </c>
      <c r="F5151" s="328">
        <v>148.53326250000001</v>
      </c>
      <c r="G5151" s="328">
        <v>4309.4223750000001</v>
      </c>
      <c r="H5151" s="328">
        <v>4782.3304750000007</v>
      </c>
      <c r="I5151" s="329">
        <v>9.0809489704942806E-2</v>
      </c>
      <c r="J5151" s="329">
        <v>0.48098435373409831</v>
      </c>
      <c r="K5151" s="329">
        <v>0.57169924182760889</v>
      </c>
    </row>
    <row r="5152" spans="1:11" ht="11.25" x14ac:dyDescent="0.15">
      <c r="A5152" s="326">
        <v>0.92500000000000004</v>
      </c>
      <c r="B5152" s="327">
        <v>125</v>
      </c>
      <c r="C5152" s="327" t="s">
        <v>111</v>
      </c>
      <c r="D5152" s="327" t="s">
        <v>113</v>
      </c>
      <c r="E5152" s="328" t="s">
        <v>4492</v>
      </c>
      <c r="F5152" s="328">
        <v>63.063401250000013</v>
      </c>
      <c r="G5152" s="328">
        <v>4212.6350000000011</v>
      </c>
      <c r="H5152" s="328">
        <v>4704.2734250000003</v>
      </c>
      <c r="I5152" s="329">
        <v>3.8555372649749432E-2</v>
      </c>
      <c r="J5152" s="329">
        <v>0.47018169644896873</v>
      </c>
      <c r="K5152" s="329">
        <v>0.56236798449656888</v>
      </c>
    </row>
    <row r="5153" spans="1:11" ht="11.25" x14ac:dyDescent="0.15">
      <c r="A5153" s="326">
        <v>0.95</v>
      </c>
      <c r="B5153" s="327">
        <v>125</v>
      </c>
      <c r="C5153" s="327" t="s">
        <v>111</v>
      </c>
      <c r="D5153" s="327" t="s">
        <v>79</v>
      </c>
      <c r="E5153" s="328" t="s">
        <v>4493</v>
      </c>
      <c r="F5153" s="328">
        <v>579.88313500000004</v>
      </c>
      <c r="G5153" s="328">
        <v>4824.1304</v>
      </c>
      <c r="H5153" s="328">
        <v>5139.3679499999998</v>
      </c>
      <c r="I5153" s="329">
        <v>0.35452592026551938</v>
      </c>
      <c r="J5153" s="329">
        <v>0.53843207763384238</v>
      </c>
      <c r="K5153" s="329">
        <v>0.6143809541911911</v>
      </c>
    </row>
    <row r="5154" spans="1:11" ht="11.25" x14ac:dyDescent="0.15">
      <c r="A5154" s="326">
        <v>0.95</v>
      </c>
      <c r="B5154" s="327">
        <v>125</v>
      </c>
      <c r="C5154" s="327" t="s">
        <v>111</v>
      </c>
      <c r="D5154" s="327" t="s">
        <v>114</v>
      </c>
      <c r="E5154" s="328" t="s">
        <v>4494</v>
      </c>
      <c r="F5154" s="328">
        <v>159.11749499999999</v>
      </c>
      <c r="G5154" s="328">
        <v>4557.7209499999999</v>
      </c>
      <c r="H5154" s="328">
        <v>5057.658449999999</v>
      </c>
      <c r="I5154" s="329">
        <v>9.728042245136026E-2</v>
      </c>
      <c r="J5154" s="329">
        <v>0.50869751787468054</v>
      </c>
      <c r="K5154" s="329">
        <v>0.60461306812720816</v>
      </c>
    </row>
    <row r="5155" spans="1:11" ht="11.25" x14ac:dyDescent="0.15">
      <c r="A5155" s="326">
        <v>0.95</v>
      </c>
      <c r="B5155" s="327">
        <v>125</v>
      </c>
      <c r="C5155" s="327" t="s">
        <v>111</v>
      </c>
      <c r="D5155" s="327" t="s">
        <v>113</v>
      </c>
      <c r="E5155" s="328" t="s">
        <v>4495</v>
      </c>
      <c r="F5155" s="328">
        <v>67.497794500000012</v>
      </c>
      <c r="G5155" s="328">
        <v>4440.1356499999993</v>
      </c>
      <c r="H5155" s="328">
        <v>4976.5797499999999</v>
      </c>
      <c r="I5155" s="329">
        <v>4.1266448818183712E-2</v>
      </c>
      <c r="J5155" s="329">
        <v>0.49557355725823471</v>
      </c>
      <c r="K5155" s="329">
        <v>0.5949205904616266</v>
      </c>
    </row>
    <row r="5156" spans="1:11" ht="11.25" x14ac:dyDescent="0.15">
      <c r="A5156" s="326">
        <v>0.97499999999999998</v>
      </c>
      <c r="B5156" s="327">
        <v>125</v>
      </c>
      <c r="C5156" s="327" t="s">
        <v>111</v>
      </c>
      <c r="D5156" s="327" t="s">
        <v>79</v>
      </c>
      <c r="E5156" s="328" t="s">
        <v>4496</v>
      </c>
      <c r="F5156" s="328">
        <v>620.86956750000002</v>
      </c>
      <c r="G5156" s="328">
        <v>5128.4366250000003</v>
      </c>
      <c r="H5156" s="328">
        <v>5425.7219249999998</v>
      </c>
      <c r="I5156" s="329">
        <v>0.37958399114813451</v>
      </c>
      <c r="J5156" s="329">
        <v>0.57239638194942666</v>
      </c>
      <c r="K5156" s="329">
        <v>0.64861287338992069</v>
      </c>
    </row>
    <row r="5157" spans="1:11" ht="11.25" x14ac:dyDescent="0.15">
      <c r="A5157" s="326">
        <v>0.97499999999999998</v>
      </c>
      <c r="B5157" s="327">
        <v>125</v>
      </c>
      <c r="C5157" s="327" t="s">
        <v>111</v>
      </c>
      <c r="D5157" s="327" t="s">
        <v>114</v>
      </c>
      <c r="E5157" s="328" t="s">
        <v>4497</v>
      </c>
      <c r="F5157" s="328">
        <v>170.307345</v>
      </c>
      <c r="G5157" s="328">
        <v>4816.2660000000005</v>
      </c>
      <c r="H5157" s="328">
        <v>5340.5742</v>
      </c>
      <c r="I5157" s="329">
        <v>0.104121614459614</v>
      </c>
      <c r="J5157" s="329">
        <v>0.53755431420701971</v>
      </c>
      <c r="K5157" s="329">
        <v>0.63843396792106644</v>
      </c>
    </row>
    <row r="5158" spans="1:11" ht="11.25" x14ac:dyDescent="0.15">
      <c r="A5158" s="326">
        <v>0.97499999999999998</v>
      </c>
      <c r="B5158" s="327">
        <v>125</v>
      </c>
      <c r="C5158" s="327" t="s">
        <v>111</v>
      </c>
      <c r="D5158" s="327" t="s">
        <v>113</v>
      </c>
      <c r="E5158" s="328" t="s">
        <v>4498</v>
      </c>
      <c r="F5158" s="328">
        <v>72.190569749999995</v>
      </c>
      <c r="G5158" s="328">
        <v>4676.3993249999994</v>
      </c>
      <c r="H5158" s="328">
        <v>5256.3722250000001</v>
      </c>
      <c r="I5158" s="329">
        <v>4.4135493223321477E-2</v>
      </c>
      <c r="J5158" s="329">
        <v>0.52194347905795568</v>
      </c>
      <c r="K5158" s="329">
        <v>0.6283681212549832</v>
      </c>
    </row>
    <row r="5159" spans="1:11" ht="11.25" x14ac:dyDescent="0.15">
      <c r="A5159" s="326">
        <v>1</v>
      </c>
      <c r="B5159" s="327">
        <v>125</v>
      </c>
      <c r="C5159" s="327" t="s">
        <v>111</v>
      </c>
      <c r="D5159" s="327" t="s">
        <v>79</v>
      </c>
      <c r="E5159" s="328" t="s">
        <v>4499</v>
      </c>
      <c r="F5159" s="328">
        <v>664.20899999999995</v>
      </c>
      <c r="G5159" s="328">
        <v>5451.0970000000007</v>
      </c>
      <c r="H5159" s="328">
        <v>5719.9489999999996</v>
      </c>
      <c r="I5159" s="329">
        <v>0.40608062687258584</v>
      </c>
      <c r="J5159" s="329">
        <v>0.6084092343551919</v>
      </c>
      <c r="K5159" s="329">
        <v>0.68378597499424987</v>
      </c>
    </row>
    <row r="5160" spans="1:11" ht="11.25" x14ac:dyDescent="0.15">
      <c r="A5160" s="326">
        <v>1</v>
      </c>
      <c r="B5160" s="327">
        <v>125</v>
      </c>
      <c r="C5160" s="327" t="s">
        <v>111</v>
      </c>
      <c r="D5160" s="327" t="s">
        <v>114</v>
      </c>
      <c r="E5160" s="328" t="s">
        <v>4500</v>
      </c>
      <c r="F5160" s="328">
        <v>182.13640000000001</v>
      </c>
      <c r="G5160" s="328">
        <v>5089.3770000000004</v>
      </c>
      <c r="H5160" s="328">
        <v>5631.33</v>
      </c>
      <c r="I5160" s="329">
        <v>0.11135360027990596</v>
      </c>
      <c r="J5160" s="329">
        <v>0.56803684908100571</v>
      </c>
      <c r="K5160" s="329">
        <v>0.67319209918906087</v>
      </c>
    </row>
    <row r="5161" spans="1:11" ht="11.25" x14ac:dyDescent="0.15">
      <c r="A5161" s="326">
        <v>1</v>
      </c>
      <c r="B5161" s="327">
        <v>125</v>
      </c>
      <c r="C5161" s="327" t="s">
        <v>111</v>
      </c>
      <c r="D5161" s="327" t="s">
        <v>113</v>
      </c>
      <c r="E5161" s="328" t="s">
        <v>4501</v>
      </c>
      <c r="F5161" s="328">
        <v>77.157430000000005</v>
      </c>
      <c r="G5161" s="328">
        <v>4923.2790000000005</v>
      </c>
      <c r="H5161" s="328">
        <v>5543.8719999999994</v>
      </c>
      <c r="I5161" s="329">
        <v>4.7172106283229626E-2</v>
      </c>
      <c r="J5161" s="329">
        <v>0.54949827656836681</v>
      </c>
      <c r="K5161" s="329">
        <v>0.66273701404738428</v>
      </c>
    </row>
    <row r="5162" spans="1:11" ht="11.25" x14ac:dyDescent="0.15">
      <c r="A5162" s="326">
        <v>1.0249999999999999</v>
      </c>
      <c r="B5162" s="327">
        <v>125</v>
      </c>
      <c r="C5162" s="327" t="s">
        <v>111</v>
      </c>
      <c r="D5162" s="327" t="s">
        <v>79</v>
      </c>
      <c r="E5162" s="328" t="s">
        <v>4502</v>
      </c>
      <c r="F5162" s="328">
        <v>710.01391249999995</v>
      </c>
      <c r="G5162" s="328">
        <v>5792.7290749999993</v>
      </c>
      <c r="H5162" s="328">
        <v>6021.9600749999991</v>
      </c>
      <c r="I5162" s="329">
        <v>0.43408459487338674</v>
      </c>
      <c r="J5162" s="329">
        <v>0.6465395609998883</v>
      </c>
      <c r="K5162" s="329">
        <v>0.71988960762767651</v>
      </c>
    </row>
    <row r="5163" spans="1:11" ht="11.25" x14ac:dyDescent="0.15">
      <c r="A5163" s="326">
        <v>1.0249999999999999</v>
      </c>
      <c r="B5163" s="327">
        <v>125</v>
      </c>
      <c r="C5163" s="327" t="s">
        <v>111</v>
      </c>
      <c r="D5163" s="327" t="s">
        <v>114</v>
      </c>
      <c r="E5163" s="328" t="s">
        <v>4503</v>
      </c>
      <c r="F5163" s="328">
        <v>194.63294499999998</v>
      </c>
      <c r="G5163" s="328">
        <v>5376.488875</v>
      </c>
      <c r="H5163" s="328">
        <v>5929.675224999999</v>
      </c>
      <c r="I5163" s="329">
        <v>0.11899367264770204</v>
      </c>
      <c r="J5163" s="329">
        <v>0.60008205320102659</v>
      </c>
      <c r="K5163" s="329">
        <v>0.70885750119902691</v>
      </c>
    </row>
    <row r="5164" spans="1:11" ht="11.25" x14ac:dyDescent="0.15">
      <c r="A5164" s="326">
        <v>1.0249999999999999</v>
      </c>
      <c r="B5164" s="327">
        <v>125</v>
      </c>
      <c r="C5164" s="327" t="s">
        <v>111</v>
      </c>
      <c r="D5164" s="327" t="s">
        <v>113</v>
      </c>
      <c r="E5164" s="328" t="s">
        <v>4504</v>
      </c>
      <c r="F5164" s="328">
        <v>82.412152499999991</v>
      </c>
      <c r="G5164" s="328">
        <v>5180.470949999999</v>
      </c>
      <c r="H5164" s="328">
        <v>5838.8909749999984</v>
      </c>
      <c r="I5164" s="329">
        <v>5.0384711061005109E-2</v>
      </c>
      <c r="J5164" s="329">
        <v>0.57820405035698552</v>
      </c>
      <c r="K5164" s="329">
        <v>0.69800478259954779</v>
      </c>
    </row>
    <row r="5165" spans="1:11" ht="11.25" x14ac:dyDescent="0.15">
      <c r="A5165" s="326">
        <v>1.05</v>
      </c>
      <c r="B5165" s="327">
        <v>125</v>
      </c>
      <c r="C5165" s="327" t="s">
        <v>111</v>
      </c>
      <c r="D5165" s="327" t="s">
        <v>79</v>
      </c>
      <c r="E5165" s="328" t="s">
        <v>4505</v>
      </c>
      <c r="F5165" s="328">
        <v>758.41300500000011</v>
      </c>
      <c r="G5165" s="328">
        <v>6154.5466500000002</v>
      </c>
      <c r="H5165" s="328">
        <v>6331.8066000000008</v>
      </c>
      <c r="I5165" s="329">
        <v>0.46367457908387522</v>
      </c>
      <c r="J5165" s="329">
        <v>0.6869228368399628</v>
      </c>
      <c r="K5165" s="329">
        <v>0.75692992183252461</v>
      </c>
    </row>
    <row r="5166" spans="1:11" ht="11.25" x14ac:dyDescent="0.15">
      <c r="A5166" s="326">
        <v>1.05</v>
      </c>
      <c r="B5166" s="327">
        <v>125</v>
      </c>
      <c r="C5166" s="327" t="s">
        <v>111</v>
      </c>
      <c r="D5166" s="327" t="s">
        <v>114</v>
      </c>
      <c r="E5166" s="328" t="s">
        <v>4506</v>
      </c>
      <c r="F5166" s="328">
        <v>207.835005</v>
      </c>
      <c r="G5166" s="328">
        <v>5680.0684499999998</v>
      </c>
      <c r="H5166" s="328">
        <v>6235.9846499999994</v>
      </c>
      <c r="I5166" s="329">
        <v>0.12706507908876125</v>
      </c>
      <c r="J5166" s="329">
        <v>0.6339652544707205</v>
      </c>
      <c r="K5166" s="329">
        <v>0.74547497607923185</v>
      </c>
    </row>
    <row r="5167" spans="1:11" ht="11.25" x14ac:dyDescent="0.15">
      <c r="A5167" s="326">
        <v>1.05</v>
      </c>
      <c r="B5167" s="327">
        <v>125</v>
      </c>
      <c r="C5167" s="327" t="s">
        <v>111</v>
      </c>
      <c r="D5167" s="327" t="s">
        <v>113</v>
      </c>
      <c r="E5167" s="328" t="s">
        <v>4507</v>
      </c>
      <c r="F5167" s="328">
        <v>87.971687999999986</v>
      </c>
      <c r="G5167" s="328">
        <v>5449.1986500000012</v>
      </c>
      <c r="H5167" s="328">
        <v>6141.5644500000008</v>
      </c>
      <c r="I5167" s="329">
        <v>5.3783670817588343E-2</v>
      </c>
      <c r="J5167" s="329">
        <v>0.60819735522883656</v>
      </c>
      <c r="K5167" s="329">
        <v>0.73418760122394011</v>
      </c>
    </row>
    <row r="5168" spans="1:11" ht="11.25" x14ac:dyDescent="0.15">
      <c r="A5168" s="326">
        <v>1.075</v>
      </c>
      <c r="B5168" s="327">
        <v>125</v>
      </c>
      <c r="C5168" s="327" t="s">
        <v>111</v>
      </c>
      <c r="D5168" s="327" t="s">
        <v>79</v>
      </c>
      <c r="E5168" s="328" t="s">
        <v>4508</v>
      </c>
      <c r="F5168" s="328">
        <v>809.53896249999991</v>
      </c>
      <c r="G5168" s="328">
        <v>6537.0857499999993</v>
      </c>
      <c r="H5168" s="328">
        <v>6649.2910250000004</v>
      </c>
      <c r="I5168" s="329">
        <v>0.49493169976586099</v>
      </c>
      <c r="J5168" s="329">
        <v>0.7296188888349876</v>
      </c>
      <c r="K5168" s="329">
        <v>0.79488330167806409</v>
      </c>
    </row>
    <row r="5169" spans="1:11" ht="11.25" x14ac:dyDescent="0.15">
      <c r="A5169" s="326">
        <v>1.075</v>
      </c>
      <c r="B5169" s="327">
        <v>125</v>
      </c>
      <c r="C5169" s="327" t="s">
        <v>111</v>
      </c>
      <c r="D5169" s="327" t="s">
        <v>114</v>
      </c>
      <c r="E5169" s="328" t="s">
        <v>4509</v>
      </c>
      <c r="F5169" s="328">
        <v>221.7788425</v>
      </c>
      <c r="G5169" s="328">
        <v>6000.59195</v>
      </c>
      <c r="H5169" s="328">
        <v>6550.010475</v>
      </c>
      <c r="I5169" s="329">
        <v>0.13558998958080437</v>
      </c>
      <c r="J5169" s="329">
        <v>0.66973960543674549</v>
      </c>
      <c r="K5169" s="329">
        <v>0.78301490080950464</v>
      </c>
    </row>
    <row r="5170" spans="1:11" ht="11.25" x14ac:dyDescent="0.15">
      <c r="A5170" s="326">
        <v>1.075</v>
      </c>
      <c r="B5170" s="327">
        <v>125</v>
      </c>
      <c r="C5170" s="327" t="s">
        <v>111</v>
      </c>
      <c r="D5170" s="327" t="s">
        <v>113</v>
      </c>
      <c r="E5170" s="328" t="s">
        <v>4510</v>
      </c>
      <c r="F5170" s="328">
        <v>93.855562500000005</v>
      </c>
      <c r="G5170" s="328">
        <v>5730.9357250000003</v>
      </c>
      <c r="H5170" s="328">
        <v>6452.0435750000006</v>
      </c>
      <c r="I5170" s="329">
        <v>5.738092325680496E-2</v>
      </c>
      <c r="J5170" s="329">
        <v>0.63964266579480533</v>
      </c>
      <c r="K5170" s="329">
        <v>0.77130353900651238</v>
      </c>
    </row>
    <row r="5171" spans="1:11" ht="11.25" x14ac:dyDescent="0.15">
      <c r="A5171" s="326">
        <v>1.1000000000000001</v>
      </c>
      <c r="B5171" s="327">
        <v>125</v>
      </c>
      <c r="C5171" s="327" t="s">
        <v>111</v>
      </c>
      <c r="D5171" s="327" t="s">
        <v>79</v>
      </c>
      <c r="E5171" s="328" t="s">
        <v>4511</v>
      </c>
      <c r="F5171" s="328">
        <v>863.53674000000012</v>
      </c>
      <c r="G5171" s="328">
        <v>6941.6875000000009</v>
      </c>
      <c r="H5171" s="328">
        <v>6974.7293</v>
      </c>
      <c r="I5171" s="329">
        <v>0.52794457874962442</v>
      </c>
      <c r="J5171" s="329">
        <v>0.77477740297191666</v>
      </c>
      <c r="K5171" s="329">
        <v>0.83378751711273336</v>
      </c>
    </row>
    <row r="5172" spans="1:11" ht="11.25" x14ac:dyDescent="0.15">
      <c r="A5172" s="326">
        <v>1.1000000000000001</v>
      </c>
      <c r="B5172" s="327">
        <v>125</v>
      </c>
      <c r="C5172" s="327" t="s">
        <v>111</v>
      </c>
      <c r="D5172" s="327" t="s">
        <v>114</v>
      </c>
      <c r="E5172" s="328" t="s">
        <v>4512</v>
      </c>
      <c r="F5172" s="328">
        <v>236.50594000000004</v>
      </c>
      <c r="G5172" s="328">
        <v>6339.5475000000006</v>
      </c>
      <c r="H5172" s="328">
        <v>6871.5999000000002</v>
      </c>
      <c r="I5172" s="329">
        <v>0.14459376547786948</v>
      </c>
      <c r="J5172" s="329">
        <v>0.70757119908770116</v>
      </c>
      <c r="K5172" s="329">
        <v>0.82145900905618052</v>
      </c>
    </row>
    <row r="5173" spans="1:11" ht="11.25" x14ac:dyDescent="0.15">
      <c r="A5173" s="326">
        <v>1.1000000000000001</v>
      </c>
      <c r="B5173" s="327">
        <v>125</v>
      </c>
      <c r="C5173" s="327" t="s">
        <v>111</v>
      </c>
      <c r="D5173" s="327" t="s">
        <v>113</v>
      </c>
      <c r="E5173" s="328" t="s">
        <v>4513</v>
      </c>
      <c r="F5173" s="328">
        <v>100.08386299999999</v>
      </c>
      <c r="G5173" s="328">
        <v>6027.1617999999999</v>
      </c>
      <c r="H5173" s="328">
        <v>6769.9599000000007</v>
      </c>
      <c r="I5173" s="329">
        <v>6.118874906372844E-2</v>
      </c>
      <c r="J5173" s="329">
        <v>0.67270512633931467</v>
      </c>
      <c r="K5173" s="329">
        <v>0.80930854993523116</v>
      </c>
    </row>
    <row r="5174" spans="1:11" ht="11.25" x14ac:dyDescent="0.15">
      <c r="A5174" s="326">
        <v>1.125</v>
      </c>
      <c r="B5174" s="327">
        <v>125</v>
      </c>
      <c r="C5174" s="327" t="s">
        <v>111</v>
      </c>
      <c r="D5174" s="327" t="s">
        <v>79</v>
      </c>
      <c r="E5174" s="328" t="s">
        <v>4514</v>
      </c>
      <c r="F5174" s="328">
        <v>920.55678749999993</v>
      </c>
      <c r="G5174" s="328">
        <v>7369.1133750000008</v>
      </c>
      <c r="H5174" s="328">
        <v>7307.9415000000008</v>
      </c>
      <c r="I5174" s="329">
        <v>0.56280519736982459</v>
      </c>
      <c r="J5174" s="329">
        <v>0.82248336919345844</v>
      </c>
      <c r="K5174" s="329">
        <v>0.87362105917001043</v>
      </c>
    </row>
    <row r="5175" spans="1:11" ht="11.25" x14ac:dyDescent="0.15">
      <c r="A5175" s="326">
        <v>1.125</v>
      </c>
      <c r="B5175" s="327">
        <v>125</v>
      </c>
      <c r="C5175" s="327" t="s">
        <v>111</v>
      </c>
      <c r="D5175" s="327" t="s">
        <v>114</v>
      </c>
      <c r="E5175" s="328" t="s">
        <v>4515</v>
      </c>
      <c r="F5175" s="328">
        <v>252.05906249999998</v>
      </c>
      <c r="G5175" s="328">
        <v>6696.9292500000001</v>
      </c>
      <c r="H5175" s="328">
        <v>7200.83475</v>
      </c>
      <c r="I5175" s="329">
        <v>0.15410255222214136</v>
      </c>
      <c r="J5175" s="329">
        <v>0.74745938249188904</v>
      </c>
      <c r="K5175" s="329">
        <v>0.86081708251266331</v>
      </c>
    </row>
    <row r="5176" spans="1:11" ht="11.25" x14ac:dyDescent="0.15">
      <c r="A5176" s="326">
        <v>1.125</v>
      </c>
      <c r="B5176" s="327">
        <v>125</v>
      </c>
      <c r="C5176" s="327" t="s">
        <v>111</v>
      </c>
      <c r="D5176" s="327" t="s">
        <v>113</v>
      </c>
      <c r="E5176" s="328" t="s">
        <v>4516</v>
      </c>
      <c r="F5176" s="328">
        <v>106.6788</v>
      </c>
      <c r="G5176" s="328">
        <v>6338.5649999999996</v>
      </c>
      <c r="H5176" s="328">
        <v>7095.5595000000012</v>
      </c>
      <c r="I5176" s="329">
        <v>6.5220727177763643E-2</v>
      </c>
      <c r="J5176" s="329">
        <v>0.70746154004608908</v>
      </c>
      <c r="K5176" s="329">
        <v>0.84823205081674913</v>
      </c>
    </row>
    <row r="5177" spans="1:11" ht="11.25" x14ac:dyDescent="0.15">
      <c r="A5177" s="326">
        <v>1.1499999999999999</v>
      </c>
      <c r="B5177" s="327">
        <v>125</v>
      </c>
      <c r="C5177" s="327" t="s">
        <v>111</v>
      </c>
      <c r="D5177" s="327" t="s">
        <v>79</v>
      </c>
      <c r="E5177" s="328" t="s">
        <v>4517</v>
      </c>
      <c r="F5177" s="328">
        <v>980.75679999999988</v>
      </c>
      <c r="G5177" s="328">
        <v>7819.1489999999994</v>
      </c>
      <c r="H5177" s="328">
        <v>7649.1375999999991</v>
      </c>
      <c r="I5177" s="329">
        <v>0.599609966371355</v>
      </c>
      <c r="J5177" s="329">
        <v>0.87271286062221298</v>
      </c>
      <c r="K5177" s="329">
        <v>0.91440902911567501</v>
      </c>
    </row>
    <row r="5178" spans="1:11" ht="11.25" x14ac:dyDescent="0.15">
      <c r="A5178" s="326">
        <v>1.1499999999999999</v>
      </c>
      <c r="B5178" s="327">
        <v>125</v>
      </c>
      <c r="C5178" s="327" t="s">
        <v>111</v>
      </c>
      <c r="D5178" s="327" t="s">
        <v>114</v>
      </c>
      <c r="E5178" s="328" t="s">
        <v>4518</v>
      </c>
      <c r="F5178" s="328">
        <v>268.48428999999999</v>
      </c>
      <c r="G5178" s="328">
        <v>7074.57</v>
      </c>
      <c r="H5178" s="328">
        <v>7537.9854999999989</v>
      </c>
      <c r="I5178" s="329">
        <v>0.16414452196317897</v>
      </c>
      <c r="J5178" s="329">
        <v>0.78960871859227766</v>
      </c>
      <c r="K5178" s="329">
        <v>0.90112145486087691</v>
      </c>
    </row>
    <row r="5179" spans="1:11" ht="11.25" x14ac:dyDescent="0.15">
      <c r="A5179" s="326">
        <v>1.1499999999999999</v>
      </c>
      <c r="B5179" s="327">
        <v>125</v>
      </c>
      <c r="C5179" s="327" t="s">
        <v>111</v>
      </c>
      <c r="D5179" s="327" t="s">
        <v>113</v>
      </c>
      <c r="E5179" s="328" t="s">
        <v>4519</v>
      </c>
      <c r="F5179" s="328">
        <v>113.66422899999999</v>
      </c>
      <c r="G5179" s="328">
        <v>6666.2567499999996</v>
      </c>
      <c r="H5179" s="328">
        <v>7428.998849999999</v>
      </c>
      <c r="I5179" s="329">
        <v>6.9491442249817681E-2</v>
      </c>
      <c r="J5179" s="329">
        <v>0.7440359555668572</v>
      </c>
      <c r="K5179" s="329">
        <v>0.88809274730918242</v>
      </c>
    </row>
    <row r="5180" spans="1:11" ht="11.25" x14ac:dyDescent="0.15">
      <c r="A5180" s="326">
        <v>1.175</v>
      </c>
      <c r="B5180" s="327">
        <v>125</v>
      </c>
      <c r="C5180" s="327" t="s">
        <v>111</v>
      </c>
      <c r="D5180" s="327" t="s">
        <v>79</v>
      </c>
      <c r="E5180" s="328" t="s">
        <v>4520</v>
      </c>
      <c r="F5180" s="328">
        <v>1044.30898</v>
      </c>
      <c r="G5180" s="328">
        <v>8293.9243250000018</v>
      </c>
      <c r="H5180" s="328">
        <v>7997.9958750000005</v>
      </c>
      <c r="I5180" s="329">
        <v>0.63846416601863387</v>
      </c>
      <c r="J5180" s="329">
        <v>0.92570360578304733</v>
      </c>
      <c r="K5180" s="329">
        <v>0.95611296663429424</v>
      </c>
    </row>
    <row r="5181" spans="1:11" ht="11.25" x14ac:dyDescent="0.15">
      <c r="A5181" s="326">
        <v>1.175</v>
      </c>
      <c r="B5181" s="327">
        <v>125</v>
      </c>
      <c r="C5181" s="327" t="s">
        <v>111</v>
      </c>
      <c r="D5181" s="327" t="s">
        <v>114</v>
      </c>
      <c r="E5181" s="328" t="s">
        <v>4521</v>
      </c>
      <c r="F5181" s="328">
        <v>285.83108749999997</v>
      </c>
      <c r="G5181" s="328">
        <v>7472.8484250000001</v>
      </c>
      <c r="H5181" s="328">
        <v>7882.6543500000016</v>
      </c>
      <c r="I5181" s="329">
        <v>0.17474991635414897</v>
      </c>
      <c r="J5181" s="329">
        <v>0.83406147215994342</v>
      </c>
      <c r="K5181" s="329">
        <v>0.94232457147037785</v>
      </c>
    </row>
    <row r="5182" spans="1:11" ht="11.25" x14ac:dyDescent="0.15">
      <c r="A5182" s="326">
        <v>1.175</v>
      </c>
      <c r="B5182" s="327">
        <v>125</v>
      </c>
      <c r="C5182" s="327" t="s">
        <v>111</v>
      </c>
      <c r="D5182" s="327" t="s">
        <v>113</v>
      </c>
      <c r="E5182" s="328" t="s">
        <v>4522</v>
      </c>
      <c r="F5182" s="328">
        <v>121.066125</v>
      </c>
      <c r="G5182" s="328">
        <v>7011.6292000000003</v>
      </c>
      <c r="H5182" s="328">
        <v>7770.1669000000011</v>
      </c>
      <c r="I5182" s="329">
        <v>7.4016774739629906E-2</v>
      </c>
      <c r="J5182" s="329">
        <v>0.78258375390394008</v>
      </c>
      <c r="K5182" s="329">
        <v>0.92887736404372645</v>
      </c>
    </row>
    <row r="5183" spans="1:11" ht="11.25" x14ac:dyDescent="0.15">
      <c r="A5183" s="326">
        <v>1.2</v>
      </c>
      <c r="B5183" s="327">
        <v>125</v>
      </c>
      <c r="C5183" s="327" t="s">
        <v>111</v>
      </c>
      <c r="D5183" s="327" t="s">
        <v>79</v>
      </c>
      <c r="E5183" s="328" t="s">
        <v>4523</v>
      </c>
      <c r="F5183" s="328">
        <v>1111.3922399999999</v>
      </c>
      <c r="G5183" s="328">
        <v>8793.0491999999995</v>
      </c>
      <c r="H5183" s="328">
        <v>8354.8415999999997</v>
      </c>
      <c r="I5183" s="329">
        <v>0.67947717890080894</v>
      </c>
      <c r="J5183" s="329">
        <v>0.98141205915424568</v>
      </c>
      <c r="K5183" s="329">
        <v>0.99877175642274418</v>
      </c>
    </row>
    <row r="5184" spans="1:11" ht="11.25" x14ac:dyDescent="0.15">
      <c r="A5184" s="326">
        <v>1.2</v>
      </c>
      <c r="B5184" s="327">
        <v>125</v>
      </c>
      <c r="C5184" s="327" t="s">
        <v>111</v>
      </c>
      <c r="D5184" s="327" t="s">
        <v>114</v>
      </c>
      <c r="E5184" s="328" t="s">
        <v>4524</v>
      </c>
      <c r="F5184" s="328">
        <v>304.15223999999995</v>
      </c>
      <c r="G5184" s="328">
        <v>7893.7488000000003</v>
      </c>
      <c r="H5184" s="328">
        <v>8235.2879999999986</v>
      </c>
      <c r="I5184" s="329">
        <v>0.1859510068124659</v>
      </c>
      <c r="J5184" s="329">
        <v>0.88103911260434631</v>
      </c>
      <c r="K5184" s="329">
        <v>0.98447983267655803</v>
      </c>
    </row>
    <row r="5185" spans="1:11" ht="11.25" x14ac:dyDescent="0.15">
      <c r="A5185" s="326">
        <v>1.2</v>
      </c>
      <c r="B5185" s="327">
        <v>125</v>
      </c>
      <c r="C5185" s="327" t="s">
        <v>111</v>
      </c>
      <c r="D5185" s="327" t="s">
        <v>113</v>
      </c>
      <c r="E5185" s="328" t="s">
        <v>4525</v>
      </c>
      <c r="F5185" s="328">
        <v>128.91263999999998</v>
      </c>
      <c r="G5185" s="328">
        <v>7375.17</v>
      </c>
      <c r="H5185" s="328">
        <v>8119.0811999999996</v>
      </c>
      <c r="I5185" s="329">
        <v>7.8813936069821372E-2</v>
      </c>
      <c r="J5185" s="329">
        <v>0.82315936277402146</v>
      </c>
      <c r="K5185" s="329">
        <v>0.97058799901878223</v>
      </c>
    </row>
    <row r="5186" spans="1:11" ht="11.25" x14ac:dyDescent="0.15">
      <c r="A5186" s="326">
        <v>1.2250000000000001</v>
      </c>
      <c r="B5186" s="327">
        <v>125</v>
      </c>
      <c r="C5186" s="327" t="s">
        <v>111</v>
      </c>
      <c r="D5186" s="327" t="s">
        <v>79</v>
      </c>
      <c r="E5186" s="328" t="s">
        <v>4526</v>
      </c>
      <c r="F5186" s="328">
        <v>1182.1978875</v>
      </c>
      <c r="G5186" s="328">
        <v>9316.8232499999995</v>
      </c>
      <c r="H5186" s="328">
        <v>8719.3172500000001</v>
      </c>
      <c r="I5186" s="329">
        <v>0.72276596559734474</v>
      </c>
      <c r="J5186" s="329">
        <v>1.0398716625580409</v>
      </c>
      <c r="K5186" s="329">
        <v>1.0423426584879396</v>
      </c>
    </row>
    <row r="5187" spans="1:11" ht="11.25" x14ac:dyDescent="0.15">
      <c r="A5187" s="326">
        <v>1.2250000000000001</v>
      </c>
      <c r="B5187" s="327">
        <v>125</v>
      </c>
      <c r="C5187" s="327" t="s">
        <v>111</v>
      </c>
      <c r="D5187" s="327" t="s">
        <v>114</v>
      </c>
      <c r="E5187" s="328" t="s">
        <v>4527</v>
      </c>
      <c r="F5187" s="328">
        <v>323.50436999999999</v>
      </c>
      <c r="G5187" s="328">
        <v>8336.3259000000016</v>
      </c>
      <c r="H5187" s="328">
        <v>8595.6682000000001</v>
      </c>
      <c r="I5187" s="329">
        <v>0.1977824109062373</v>
      </c>
      <c r="J5187" s="329">
        <v>0.93043614123072038</v>
      </c>
      <c r="K5187" s="329">
        <v>1.0275611479864715</v>
      </c>
    </row>
    <row r="5188" spans="1:11" ht="11.25" x14ac:dyDescent="0.15">
      <c r="A5188" s="326">
        <v>1.2250000000000001</v>
      </c>
      <c r="B5188" s="327">
        <v>125</v>
      </c>
      <c r="C5188" s="327" t="s">
        <v>111</v>
      </c>
      <c r="D5188" s="327" t="s">
        <v>113</v>
      </c>
      <c r="E5188" s="328" t="s">
        <v>4528</v>
      </c>
      <c r="F5188" s="328">
        <v>137.23479</v>
      </c>
      <c r="G5188" s="328">
        <v>7757.9605250000013</v>
      </c>
      <c r="H5188" s="328">
        <v>8475.4038249999994</v>
      </c>
      <c r="I5188" s="329">
        <v>8.3901888640364228E-2</v>
      </c>
      <c r="J5188" s="329">
        <v>0.8658834768805348</v>
      </c>
      <c r="K5188" s="329">
        <v>1.013184255305007</v>
      </c>
    </row>
    <row r="5189" spans="1:11" ht="11.25" x14ac:dyDescent="0.15">
      <c r="A5189" s="326">
        <v>1.25</v>
      </c>
      <c r="B5189" s="327">
        <v>125</v>
      </c>
      <c r="C5189" s="327" t="s">
        <v>111</v>
      </c>
      <c r="D5189" s="327" t="s">
        <v>79</v>
      </c>
      <c r="E5189" s="328" t="s">
        <v>4529</v>
      </c>
      <c r="F5189" s="328">
        <v>1256.9312499999999</v>
      </c>
      <c r="G5189" s="328">
        <v>9867.0587500000001</v>
      </c>
      <c r="H5189" s="328">
        <v>9092.06</v>
      </c>
      <c r="I5189" s="329">
        <v>0.76845605816202867</v>
      </c>
      <c r="J5189" s="329">
        <v>1.1012846880958449</v>
      </c>
      <c r="K5189" s="329">
        <v>1.0869018433217184</v>
      </c>
    </row>
    <row r="5190" spans="1:11" ht="11.25" x14ac:dyDescent="0.15">
      <c r="A5190" s="326">
        <v>1.25</v>
      </c>
      <c r="B5190" s="327">
        <v>125</v>
      </c>
      <c r="C5190" s="327" t="s">
        <v>111</v>
      </c>
      <c r="D5190" s="327" t="s">
        <v>114</v>
      </c>
      <c r="E5190" s="328" t="s">
        <v>4530</v>
      </c>
      <c r="F5190" s="328">
        <v>343.94862499999999</v>
      </c>
      <c r="G5190" s="328">
        <v>8802.2487500000007</v>
      </c>
      <c r="H5190" s="328">
        <v>8963.6287499999999</v>
      </c>
      <c r="I5190" s="329">
        <v>0.21028151267442019</v>
      </c>
      <c r="J5190" s="329">
        <v>0.9824388416847919</v>
      </c>
      <c r="K5190" s="329">
        <v>1.071548649175935</v>
      </c>
    </row>
    <row r="5191" spans="1:11" ht="11.25" x14ac:dyDescent="0.15">
      <c r="A5191" s="326">
        <v>1.25</v>
      </c>
      <c r="B5191" s="327">
        <v>125</v>
      </c>
      <c r="C5191" s="327" t="s">
        <v>111</v>
      </c>
      <c r="D5191" s="327" t="s">
        <v>113</v>
      </c>
      <c r="E5191" s="328" t="s">
        <v>4531</v>
      </c>
      <c r="F5191" s="328">
        <v>146.06625</v>
      </c>
      <c r="G5191" s="328">
        <v>8161.27</v>
      </c>
      <c r="H5191" s="328">
        <v>8839.69</v>
      </c>
      <c r="I5191" s="329">
        <v>8.9301220496753056E-2</v>
      </c>
      <c r="J5191" s="329">
        <v>0.91089775728922018</v>
      </c>
      <c r="K5191" s="329">
        <v>1.0567325067578262</v>
      </c>
    </row>
    <row r="5192" spans="1:11" ht="11.25" x14ac:dyDescent="0.15">
      <c r="A5192" s="326">
        <v>1.2749999999999999</v>
      </c>
      <c r="B5192" s="327">
        <v>125</v>
      </c>
      <c r="C5192" s="327" t="s">
        <v>111</v>
      </c>
      <c r="D5192" s="327" t="s">
        <v>79</v>
      </c>
      <c r="E5192" s="328" t="s">
        <v>4532</v>
      </c>
      <c r="F5192" s="328">
        <v>1335.8060249999996</v>
      </c>
      <c r="G5192" s="328">
        <v>10442.519025</v>
      </c>
      <c r="H5192" s="328">
        <v>9472.3256249999995</v>
      </c>
      <c r="I5192" s="329">
        <v>0.81667810585550182</v>
      </c>
      <c r="J5192" s="329">
        <v>1.1655131076808527</v>
      </c>
      <c r="K5192" s="329">
        <v>1.1323603432397111</v>
      </c>
    </row>
    <row r="5193" spans="1:11" ht="11.25" x14ac:dyDescent="0.15">
      <c r="A5193" s="326">
        <v>1.2749999999999999</v>
      </c>
      <c r="B5193" s="327">
        <v>125</v>
      </c>
      <c r="C5193" s="327" t="s">
        <v>111</v>
      </c>
      <c r="D5193" s="327" t="s">
        <v>114</v>
      </c>
      <c r="E5193" s="328" t="s">
        <v>4533</v>
      </c>
      <c r="F5193" s="328">
        <v>365.55065999999999</v>
      </c>
      <c r="G5193" s="328">
        <v>9292.5365999999995</v>
      </c>
      <c r="H5193" s="328">
        <v>9339.2003249999998</v>
      </c>
      <c r="I5193" s="329">
        <v>0.22348845192776295</v>
      </c>
      <c r="J5193" s="329">
        <v>1.0371609747585846</v>
      </c>
      <c r="K5193" s="329">
        <v>1.1164460032592494</v>
      </c>
    </row>
    <row r="5194" spans="1:11" ht="11.25" x14ac:dyDescent="0.15">
      <c r="A5194" s="326">
        <v>1.2749999999999999</v>
      </c>
      <c r="B5194" s="327">
        <v>125</v>
      </c>
      <c r="C5194" s="327" t="s">
        <v>111</v>
      </c>
      <c r="D5194" s="327" t="s">
        <v>113</v>
      </c>
      <c r="E5194" s="328" t="s">
        <v>4534</v>
      </c>
      <c r="F5194" s="328">
        <v>155.4430275</v>
      </c>
      <c r="G5194" s="328">
        <v>8584.8797250000007</v>
      </c>
      <c r="H5194" s="328">
        <v>9211.38285</v>
      </c>
      <c r="I5194" s="329">
        <v>9.503394571614146E-2</v>
      </c>
      <c r="J5194" s="329">
        <v>0.95817779439967032</v>
      </c>
      <c r="K5194" s="329">
        <v>1.1011661822741012</v>
      </c>
    </row>
    <row r="5195" spans="1:11" ht="11.25" x14ac:dyDescent="0.15">
      <c r="A5195" s="326">
        <v>1.3</v>
      </c>
      <c r="B5195" s="327">
        <v>125</v>
      </c>
      <c r="C5195" s="327" t="s">
        <v>111</v>
      </c>
      <c r="D5195" s="327" t="s">
        <v>79</v>
      </c>
      <c r="E5195" s="328" t="s">
        <v>4535</v>
      </c>
      <c r="F5195" s="328">
        <v>1419.0579000000002</v>
      </c>
      <c r="G5195" s="328">
        <v>11045.7737</v>
      </c>
      <c r="H5195" s="328">
        <v>9860.7119000000002</v>
      </c>
      <c r="I5195" s="329">
        <v>0.86757620206967301</v>
      </c>
      <c r="J5195" s="329">
        <v>1.2328437229566294</v>
      </c>
      <c r="K5195" s="329">
        <v>1.1787896186974574</v>
      </c>
    </row>
    <row r="5196" spans="1:11" ht="11.25" x14ac:dyDescent="0.15">
      <c r="A5196" s="326">
        <v>1.3</v>
      </c>
      <c r="B5196" s="327">
        <v>125</v>
      </c>
      <c r="C5196" s="327" t="s">
        <v>111</v>
      </c>
      <c r="D5196" s="327" t="s">
        <v>114</v>
      </c>
      <c r="E5196" s="328" t="s">
        <v>4536</v>
      </c>
      <c r="F5196" s="328">
        <v>388.38163000000003</v>
      </c>
      <c r="G5196" s="328">
        <v>9807.1103000000003</v>
      </c>
      <c r="H5196" s="328">
        <v>9723.0236999999997</v>
      </c>
      <c r="I5196" s="329">
        <v>0.23744673103826766</v>
      </c>
      <c r="J5196" s="329">
        <v>1.094593706342029</v>
      </c>
      <c r="K5196" s="329">
        <v>1.1623298110868994</v>
      </c>
    </row>
    <row r="5197" spans="1:11" ht="11.25" x14ac:dyDescent="0.15">
      <c r="A5197" s="326">
        <v>1.3</v>
      </c>
      <c r="B5197" s="327">
        <v>125</v>
      </c>
      <c r="C5197" s="327" t="s">
        <v>111</v>
      </c>
      <c r="D5197" s="327" t="s">
        <v>113</v>
      </c>
      <c r="E5197" s="328" t="s">
        <v>4537</v>
      </c>
      <c r="F5197" s="328">
        <v>165.40706</v>
      </c>
      <c r="G5197" s="328">
        <v>9030.1705000000002</v>
      </c>
      <c r="H5197" s="328">
        <v>9590.9437000000016</v>
      </c>
      <c r="I5197" s="329">
        <v>0.10112570382808939</v>
      </c>
      <c r="J5197" s="329">
        <v>1.0078777024150991</v>
      </c>
      <c r="K5197" s="329">
        <v>1.1465404305212268</v>
      </c>
    </row>
    <row r="5198" spans="1:11" ht="11.25" x14ac:dyDescent="0.15">
      <c r="A5198" s="326">
        <v>1.325</v>
      </c>
      <c r="B5198" s="327">
        <v>125</v>
      </c>
      <c r="C5198" s="327" t="s">
        <v>111</v>
      </c>
      <c r="D5198" s="327" t="s">
        <v>79</v>
      </c>
      <c r="E5198" s="328" t="s">
        <v>4538</v>
      </c>
      <c r="F5198" s="328">
        <v>1506.9370749999998</v>
      </c>
      <c r="G5198" s="328">
        <v>11675.274600000001</v>
      </c>
      <c r="H5198" s="328">
        <v>10257.397399999998</v>
      </c>
      <c r="I5198" s="329">
        <v>0.92130331277284849</v>
      </c>
      <c r="J5198" s="329">
        <v>1.3031037386185971</v>
      </c>
      <c r="K5198" s="329">
        <v>1.2262110172769867</v>
      </c>
    </row>
    <row r="5199" spans="1:11" ht="11.25" x14ac:dyDescent="0.15">
      <c r="A5199" s="326">
        <v>1.325</v>
      </c>
      <c r="B5199" s="327">
        <v>125</v>
      </c>
      <c r="C5199" s="327" t="s">
        <v>111</v>
      </c>
      <c r="D5199" s="327" t="s">
        <v>114</v>
      </c>
      <c r="E5199" s="328" t="s">
        <v>4539</v>
      </c>
      <c r="F5199" s="328">
        <v>412.51821249999995</v>
      </c>
      <c r="G5199" s="328">
        <v>10347.172775000001</v>
      </c>
      <c r="H5199" s="328">
        <v>10114.521325</v>
      </c>
      <c r="I5199" s="329">
        <v>0.25220322869512241</v>
      </c>
      <c r="J5199" s="329">
        <v>1.1548712976082862</v>
      </c>
      <c r="K5199" s="329">
        <v>1.2091310299821305</v>
      </c>
    </row>
    <row r="5200" spans="1:11" ht="11.25" x14ac:dyDescent="0.15">
      <c r="A5200" s="326">
        <v>1.325</v>
      </c>
      <c r="B5200" s="327">
        <v>125</v>
      </c>
      <c r="C5200" s="327" t="s">
        <v>111</v>
      </c>
      <c r="D5200" s="327" t="s">
        <v>113</v>
      </c>
      <c r="E5200" s="328" t="s">
        <v>4540</v>
      </c>
      <c r="F5200" s="328">
        <v>176.00054499999999</v>
      </c>
      <c r="G5200" s="328">
        <v>9497.3986000000004</v>
      </c>
      <c r="H5200" s="328">
        <v>9977.8647999999994</v>
      </c>
      <c r="I5200" s="329">
        <v>0.10760229331959784</v>
      </c>
      <c r="J5200" s="329">
        <v>1.0600260847664371</v>
      </c>
      <c r="K5200" s="329">
        <v>1.1927945529984281</v>
      </c>
    </row>
    <row r="5201" spans="1:11" ht="11.25" x14ac:dyDescent="0.15">
      <c r="A5201" s="326">
        <v>1.35</v>
      </c>
      <c r="B5201" s="327">
        <v>125</v>
      </c>
      <c r="C5201" s="327" t="s">
        <v>111</v>
      </c>
      <c r="D5201" s="327" t="s">
        <v>79</v>
      </c>
      <c r="E5201" s="328" t="s">
        <v>4541</v>
      </c>
      <c r="F5201" s="328">
        <v>1599.7081500000002</v>
      </c>
      <c r="G5201" s="328">
        <v>12331.894950000002</v>
      </c>
      <c r="H5201" s="328">
        <v>10661.390099999999</v>
      </c>
      <c r="I5201" s="329">
        <v>0.97802120773007406</v>
      </c>
      <c r="J5201" s="329">
        <v>1.376390617279083</v>
      </c>
      <c r="K5201" s="329">
        <v>1.2745059482737595</v>
      </c>
    </row>
    <row r="5202" spans="1:11" ht="11.25" x14ac:dyDescent="0.15">
      <c r="A5202" s="326">
        <v>1.35</v>
      </c>
      <c r="B5202" s="327">
        <v>125</v>
      </c>
      <c r="C5202" s="327" t="s">
        <v>111</v>
      </c>
      <c r="D5202" s="327" t="s">
        <v>114</v>
      </c>
      <c r="E5202" s="328" t="s">
        <v>4542</v>
      </c>
      <c r="F5202" s="328">
        <v>438.04408500000005</v>
      </c>
      <c r="G5202" s="328">
        <v>10912.656150000001</v>
      </c>
      <c r="H5202" s="328">
        <v>10513.690650000002</v>
      </c>
      <c r="I5202" s="329">
        <v>0.26780910321092954</v>
      </c>
      <c r="J5202" s="329">
        <v>1.2179861728754735</v>
      </c>
      <c r="K5202" s="329">
        <v>1.2568493551075683</v>
      </c>
    </row>
    <row r="5203" spans="1:11" ht="11.25" x14ac:dyDescent="0.15">
      <c r="A5203" s="326">
        <v>1.35</v>
      </c>
      <c r="B5203" s="327">
        <v>125</v>
      </c>
      <c r="C5203" s="327" t="s">
        <v>111</v>
      </c>
      <c r="D5203" s="327" t="s">
        <v>113</v>
      </c>
      <c r="E5203" s="328" t="s">
        <v>4543</v>
      </c>
      <c r="F5203" s="328">
        <v>187.27348500000002</v>
      </c>
      <c r="G5203" s="328">
        <v>9989.4789000000019</v>
      </c>
      <c r="H5203" s="328">
        <v>10372.878900000002</v>
      </c>
      <c r="I5203" s="329">
        <v>0.11449428445777432</v>
      </c>
      <c r="J5203" s="329">
        <v>1.1149482772286652</v>
      </c>
      <c r="K5203" s="329">
        <v>1.2400161456218899</v>
      </c>
    </row>
    <row r="5204" spans="1:11" ht="11.25" x14ac:dyDescent="0.15">
      <c r="A5204" s="326">
        <v>1.375</v>
      </c>
      <c r="B5204" s="327">
        <v>125</v>
      </c>
      <c r="C5204" s="327" t="s">
        <v>111</v>
      </c>
      <c r="D5204" s="327" t="s">
        <v>79</v>
      </c>
      <c r="E5204" s="328" t="s">
        <v>4544</v>
      </c>
      <c r="F5204" s="328">
        <v>1697.6602500000001</v>
      </c>
      <c r="G5204" s="328">
        <v>13016.42375</v>
      </c>
      <c r="H5204" s="328">
        <v>11074.108374999998</v>
      </c>
      <c r="I5204" s="329">
        <v>1.0379066506727113</v>
      </c>
      <c r="J5204" s="329">
        <v>1.4527924210081447</v>
      </c>
      <c r="K5204" s="329">
        <v>1.3238439700059148</v>
      </c>
    </row>
    <row r="5205" spans="1:11" ht="11.25" x14ac:dyDescent="0.15">
      <c r="A5205" s="326">
        <v>1.375</v>
      </c>
      <c r="B5205" s="327">
        <v>125</v>
      </c>
      <c r="C5205" s="327" t="s">
        <v>111</v>
      </c>
      <c r="D5205" s="327" t="s">
        <v>114</v>
      </c>
      <c r="E5205" s="328" t="s">
        <v>4545</v>
      </c>
      <c r="F5205" s="328">
        <v>465.04961250000008</v>
      </c>
      <c r="G5205" s="328">
        <v>11503.687250000001</v>
      </c>
      <c r="H5205" s="328">
        <v>10920.764249999998</v>
      </c>
      <c r="I5205" s="329">
        <v>0.28431960146708818</v>
      </c>
      <c r="J5205" s="329">
        <v>1.2839524873679706</v>
      </c>
      <c r="K5205" s="329">
        <v>1.3055125894249402</v>
      </c>
    </row>
    <row r="5206" spans="1:11" ht="11.25" x14ac:dyDescent="0.15">
      <c r="A5206" s="326">
        <v>1.375</v>
      </c>
      <c r="B5206" s="327">
        <v>125</v>
      </c>
      <c r="C5206" s="327" t="s">
        <v>111</v>
      </c>
      <c r="D5206" s="327" t="s">
        <v>113</v>
      </c>
      <c r="E5206" s="328" t="s">
        <v>4546</v>
      </c>
      <c r="F5206" s="328">
        <v>199.27971250000002</v>
      </c>
      <c r="G5206" s="328">
        <v>10503.443499999999</v>
      </c>
      <c r="H5206" s="328">
        <v>10775.1765</v>
      </c>
      <c r="I5206" s="329">
        <v>0.12183458907510843</v>
      </c>
      <c r="J5206" s="329">
        <v>1.1723130257869225</v>
      </c>
      <c r="K5206" s="329">
        <v>1.2881084374681713</v>
      </c>
    </row>
    <row r="5207" spans="1:11" ht="11.25" x14ac:dyDescent="0.15">
      <c r="A5207" s="326">
        <v>1.4</v>
      </c>
      <c r="B5207" s="327">
        <v>125</v>
      </c>
      <c r="C5207" s="327" t="s">
        <v>111</v>
      </c>
      <c r="D5207" s="327" t="s">
        <v>79</v>
      </c>
      <c r="E5207" s="328" t="s">
        <v>4547</v>
      </c>
      <c r="F5207" s="328">
        <v>1801.1055999999996</v>
      </c>
      <c r="G5207" s="328">
        <v>13728.355199999998</v>
      </c>
      <c r="H5207" s="328">
        <v>11495.010799999998</v>
      </c>
      <c r="I5207" s="329">
        <v>1.1011505280893887</v>
      </c>
      <c r="J5207" s="329">
        <v>1.5322526963266503</v>
      </c>
      <c r="K5207" s="329">
        <v>1.3741603583261723</v>
      </c>
    </row>
    <row r="5208" spans="1:11" ht="11.25" x14ac:dyDescent="0.15">
      <c r="A5208" s="326">
        <v>1.4</v>
      </c>
      <c r="B5208" s="327">
        <v>125</v>
      </c>
      <c r="C5208" s="327" t="s">
        <v>111</v>
      </c>
      <c r="D5208" s="327" t="s">
        <v>114</v>
      </c>
      <c r="E5208" s="328" t="s">
        <v>4548</v>
      </c>
      <c r="F5208" s="328">
        <v>493.63285999999994</v>
      </c>
      <c r="G5208" s="328">
        <v>12120.098199999999</v>
      </c>
      <c r="H5208" s="328">
        <v>11335.014599999999</v>
      </c>
      <c r="I5208" s="329">
        <v>0.30179467793075282</v>
      </c>
      <c r="J5208" s="329">
        <v>1.3527515041782852</v>
      </c>
      <c r="K5208" s="329">
        <v>1.3550337616358217</v>
      </c>
    </row>
    <row r="5209" spans="1:11" ht="11.25" x14ac:dyDescent="0.15">
      <c r="A5209" s="326">
        <v>1.4</v>
      </c>
      <c r="B5209" s="327">
        <v>125</v>
      </c>
      <c r="C5209" s="327" t="s">
        <v>111</v>
      </c>
      <c r="D5209" s="327" t="s">
        <v>113</v>
      </c>
      <c r="E5209" s="328" t="s">
        <v>4549</v>
      </c>
      <c r="F5209" s="328">
        <v>212.07872</v>
      </c>
      <c r="G5209" s="328">
        <v>11041.231599999999</v>
      </c>
      <c r="H5209" s="328">
        <v>11185.337799999998</v>
      </c>
      <c r="I5209" s="329">
        <v>0.12965957938530737</v>
      </c>
      <c r="J5209" s="329">
        <v>1.2323367689282265</v>
      </c>
      <c r="K5209" s="329">
        <v>1.3371407880058086</v>
      </c>
    </row>
    <row r="5210" spans="1:11" ht="11.25" x14ac:dyDescent="0.15">
      <c r="A5210" s="326">
        <v>0.9</v>
      </c>
      <c r="B5210" s="327">
        <v>140</v>
      </c>
      <c r="C5210" s="327" t="s">
        <v>111</v>
      </c>
      <c r="D5210" s="327" t="s">
        <v>79</v>
      </c>
      <c r="E5210" s="328" t="s">
        <v>4550</v>
      </c>
      <c r="F5210" s="328">
        <v>779.40453600000001</v>
      </c>
      <c r="G5210" s="328">
        <v>4316.9743799999997</v>
      </c>
      <c r="H5210" s="328">
        <v>4597.9651800000001</v>
      </c>
      <c r="I5210" s="329">
        <v>0.47650827159255132</v>
      </c>
      <c r="J5210" s="329">
        <v>0.48182725005017862</v>
      </c>
      <c r="K5210" s="329">
        <v>0.54965946437562851</v>
      </c>
    </row>
    <row r="5211" spans="1:11" ht="11.25" x14ac:dyDescent="0.15">
      <c r="A5211" s="326">
        <v>0.9</v>
      </c>
      <c r="B5211" s="327">
        <v>140</v>
      </c>
      <c r="C5211" s="327" t="s">
        <v>111</v>
      </c>
      <c r="D5211" s="327" t="s">
        <v>114</v>
      </c>
      <c r="E5211" s="328" t="s">
        <v>4551</v>
      </c>
      <c r="F5211" s="328">
        <v>214.18605000000002</v>
      </c>
      <c r="G5211" s="328">
        <v>4099.9665599999998</v>
      </c>
      <c r="H5211" s="328">
        <v>4522.9813200000008</v>
      </c>
      <c r="I5211" s="329">
        <v>0.13094794778655972</v>
      </c>
      <c r="J5211" s="329">
        <v>0.45760651767001931</v>
      </c>
      <c r="K5211" s="329">
        <v>0.54069558868042011</v>
      </c>
    </row>
    <row r="5212" spans="1:11" ht="11.25" x14ac:dyDescent="0.15">
      <c r="A5212" s="326">
        <v>0.9</v>
      </c>
      <c r="B5212" s="327">
        <v>140</v>
      </c>
      <c r="C5212" s="327" t="s">
        <v>111</v>
      </c>
      <c r="D5212" s="327" t="s">
        <v>113</v>
      </c>
      <c r="E5212" s="328" t="s">
        <v>4552</v>
      </c>
      <c r="F5212" s="328">
        <v>93.396347999999989</v>
      </c>
      <c r="G5212" s="328">
        <v>4005.3736800000001</v>
      </c>
      <c r="H5212" s="328">
        <v>4448.3482800000002</v>
      </c>
      <c r="I5212" s="329">
        <v>5.7100171095920381E-2</v>
      </c>
      <c r="J5212" s="329">
        <v>0.44704879292282584</v>
      </c>
      <c r="K5212" s="329">
        <v>0.53177365143531785</v>
      </c>
    </row>
    <row r="5213" spans="1:11" ht="11.25" x14ac:dyDescent="0.15">
      <c r="A5213" s="326">
        <v>0.92500000000000004</v>
      </c>
      <c r="B5213" s="327">
        <v>140</v>
      </c>
      <c r="C5213" s="327" t="s">
        <v>111</v>
      </c>
      <c r="D5213" s="327" t="s">
        <v>79</v>
      </c>
      <c r="E5213" s="328" t="s">
        <v>4553</v>
      </c>
      <c r="F5213" s="328">
        <v>832.31392700000004</v>
      </c>
      <c r="G5213" s="328">
        <v>4595.4405150000002</v>
      </c>
      <c r="H5213" s="328">
        <v>4868.899375</v>
      </c>
      <c r="I5213" s="329">
        <v>0.50885573852649346</v>
      </c>
      <c r="J5213" s="329">
        <v>0.51290748362320071</v>
      </c>
      <c r="K5213" s="329">
        <v>0.58204804033799407</v>
      </c>
    </row>
    <row r="5214" spans="1:11" ht="11.25" x14ac:dyDescent="0.15">
      <c r="A5214" s="326">
        <v>0.92500000000000004</v>
      </c>
      <c r="B5214" s="327">
        <v>140</v>
      </c>
      <c r="C5214" s="327" t="s">
        <v>111</v>
      </c>
      <c r="D5214" s="327" t="s">
        <v>114</v>
      </c>
      <c r="E5214" s="328" t="s">
        <v>4554</v>
      </c>
      <c r="F5214" s="328">
        <v>229.14545849999999</v>
      </c>
      <c r="G5214" s="328">
        <v>4339.9185150000003</v>
      </c>
      <c r="H5214" s="328">
        <v>4790.7675850000005</v>
      </c>
      <c r="I5214" s="329">
        <v>0.14009375276861066</v>
      </c>
      <c r="J5214" s="329">
        <v>0.4843880967216454</v>
      </c>
      <c r="K5214" s="329">
        <v>0.57270784828327548</v>
      </c>
    </row>
    <row r="5215" spans="1:11" ht="11.25" x14ac:dyDescent="0.15">
      <c r="A5215" s="326">
        <v>0.92500000000000004</v>
      </c>
      <c r="B5215" s="327">
        <v>140</v>
      </c>
      <c r="C5215" s="327" t="s">
        <v>111</v>
      </c>
      <c r="D5215" s="327" t="s">
        <v>113</v>
      </c>
      <c r="E5215" s="328" t="s">
        <v>4555</v>
      </c>
      <c r="F5215" s="328">
        <v>99.797658000000013</v>
      </c>
      <c r="G5215" s="328">
        <v>4227.4041050000014</v>
      </c>
      <c r="H5215" s="328">
        <v>4713.0851600000005</v>
      </c>
      <c r="I5215" s="329">
        <v>6.1013770546704336E-2</v>
      </c>
      <c r="J5215" s="329">
        <v>0.47183010957850241</v>
      </c>
      <c r="K5215" s="329">
        <v>0.56342137514889223</v>
      </c>
    </row>
    <row r="5216" spans="1:11" ht="11.25" x14ac:dyDescent="0.15">
      <c r="A5216" s="326">
        <v>0.95</v>
      </c>
      <c r="B5216" s="327">
        <v>140</v>
      </c>
      <c r="C5216" s="327" t="s">
        <v>111</v>
      </c>
      <c r="D5216" s="327" t="s">
        <v>79</v>
      </c>
      <c r="E5216" s="328" t="s">
        <v>4556</v>
      </c>
      <c r="F5216" s="328">
        <v>888.06600400000002</v>
      </c>
      <c r="G5216" s="328">
        <v>4890.7291999999998</v>
      </c>
      <c r="H5216" s="328">
        <v>5147.6984999999995</v>
      </c>
      <c r="I5216" s="329">
        <v>0.54294115196956438</v>
      </c>
      <c r="J5216" s="329">
        <v>0.54586531995497045</v>
      </c>
      <c r="K5216" s="329">
        <v>0.61537682203091981</v>
      </c>
    </row>
    <row r="5217" spans="1:11" ht="11.25" x14ac:dyDescent="0.15">
      <c r="A5217" s="326">
        <v>0.95</v>
      </c>
      <c r="B5217" s="327">
        <v>140</v>
      </c>
      <c r="C5217" s="327" t="s">
        <v>111</v>
      </c>
      <c r="D5217" s="327" t="s">
        <v>114</v>
      </c>
      <c r="E5217" s="328" t="s">
        <v>4557</v>
      </c>
      <c r="F5217" s="328">
        <v>244.91509200000002</v>
      </c>
      <c r="G5217" s="328">
        <v>4592.7200899999998</v>
      </c>
      <c r="H5217" s="328">
        <v>5066.3703299999997</v>
      </c>
      <c r="I5217" s="329">
        <v>0.14973490887644861</v>
      </c>
      <c r="J5217" s="329">
        <v>0.51260385085141713</v>
      </c>
      <c r="K5217" s="329">
        <v>0.60565452170657286</v>
      </c>
    </row>
    <row r="5218" spans="1:11" ht="11.25" x14ac:dyDescent="0.15">
      <c r="A5218" s="326">
        <v>0.95</v>
      </c>
      <c r="B5218" s="327">
        <v>140</v>
      </c>
      <c r="C5218" s="327" t="s">
        <v>111</v>
      </c>
      <c r="D5218" s="327" t="s">
        <v>113</v>
      </c>
      <c r="E5218" s="328" t="s">
        <v>4558</v>
      </c>
      <c r="F5218" s="328">
        <v>106.54256080000002</v>
      </c>
      <c r="G5218" s="328">
        <v>4458.4491799999996</v>
      </c>
      <c r="H5218" s="328">
        <v>4985.7008900000001</v>
      </c>
      <c r="I5218" s="329">
        <v>6.5137433967733957E-2</v>
      </c>
      <c r="J5218" s="329">
        <v>0.49761757165857301</v>
      </c>
      <c r="K5218" s="329">
        <v>0.59601096864645986</v>
      </c>
    </row>
    <row r="5219" spans="1:11" ht="11.25" x14ac:dyDescent="0.15">
      <c r="A5219" s="326">
        <v>0.97499999999999998</v>
      </c>
      <c r="B5219" s="327">
        <v>140</v>
      </c>
      <c r="C5219" s="327" t="s">
        <v>111</v>
      </c>
      <c r="D5219" s="327" t="s">
        <v>79</v>
      </c>
      <c r="E5219" s="328" t="s">
        <v>4559</v>
      </c>
      <c r="F5219" s="328">
        <v>946.80389700000001</v>
      </c>
      <c r="G5219" s="328">
        <v>5203.2294599999996</v>
      </c>
      <c r="H5219" s="328">
        <v>5434.2991950000005</v>
      </c>
      <c r="I5219" s="329">
        <v>0.57885201799308239</v>
      </c>
      <c r="J5219" s="329">
        <v>0.58074417900341491</v>
      </c>
      <c r="K5219" s="329">
        <v>0.64963823514222641</v>
      </c>
    </row>
    <row r="5220" spans="1:11" ht="11.25" x14ac:dyDescent="0.15">
      <c r="A5220" s="326">
        <v>0.97499999999999998</v>
      </c>
      <c r="B5220" s="327">
        <v>140</v>
      </c>
      <c r="C5220" s="327" t="s">
        <v>111</v>
      </c>
      <c r="D5220" s="327" t="s">
        <v>114</v>
      </c>
      <c r="E5220" s="328" t="s">
        <v>4560</v>
      </c>
      <c r="F5220" s="328">
        <v>261.5366325</v>
      </c>
      <c r="G5220" s="328">
        <v>4857.9150749999999</v>
      </c>
      <c r="H5220" s="328">
        <v>5349.5715</v>
      </c>
      <c r="I5220" s="329">
        <v>0.15989689943337884</v>
      </c>
      <c r="J5220" s="329">
        <v>0.54220286143198226</v>
      </c>
      <c r="K5220" s="329">
        <v>0.63950954176845842</v>
      </c>
    </row>
    <row r="5221" spans="1:11" ht="11.25" x14ac:dyDescent="0.15">
      <c r="A5221" s="326">
        <v>0.97499999999999998</v>
      </c>
      <c r="B5221" s="327">
        <v>140</v>
      </c>
      <c r="C5221" s="327" t="s">
        <v>111</v>
      </c>
      <c r="D5221" s="327" t="s">
        <v>113</v>
      </c>
      <c r="E5221" s="328" t="s">
        <v>4561</v>
      </c>
      <c r="F5221" s="328">
        <v>113.65197089999999</v>
      </c>
      <c r="G5221" s="328">
        <v>4698.7744049999992</v>
      </c>
      <c r="H5221" s="328">
        <v>5265.7181850000006</v>
      </c>
      <c r="I5221" s="329">
        <v>6.9483947956707731E-2</v>
      </c>
      <c r="J5221" s="329">
        <v>0.52444081221703109</v>
      </c>
      <c r="K5221" s="329">
        <v>0.62948537533729365</v>
      </c>
    </row>
    <row r="5222" spans="1:11" ht="11.25" x14ac:dyDescent="0.15">
      <c r="A5222" s="326">
        <v>1</v>
      </c>
      <c r="B5222" s="327">
        <v>140</v>
      </c>
      <c r="C5222" s="327" t="s">
        <v>111</v>
      </c>
      <c r="D5222" s="327" t="s">
        <v>79</v>
      </c>
      <c r="E5222" s="328" t="s">
        <v>4562</v>
      </c>
      <c r="F5222" s="328">
        <v>1008.6714000000001</v>
      </c>
      <c r="G5222" s="328">
        <v>5534.3134</v>
      </c>
      <c r="H5222" s="328">
        <v>5728.6687999999995</v>
      </c>
      <c r="I5222" s="329">
        <v>0.61667624862121539</v>
      </c>
      <c r="J5222" s="329">
        <v>0.61769720450318133</v>
      </c>
      <c r="K5222" s="329">
        <v>0.68482837536263685</v>
      </c>
    </row>
    <row r="5223" spans="1:11" ht="11.25" x14ac:dyDescent="0.15">
      <c r="A5223" s="326">
        <v>1</v>
      </c>
      <c r="B5223" s="327">
        <v>140</v>
      </c>
      <c r="C5223" s="327" t="s">
        <v>111</v>
      </c>
      <c r="D5223" s="327" t="s">
        <v>114</v>
      </c>
      <c r="E5223" s="328" t="s">
        <v>4563</v>
      </c>
      <c r="F5223" s="328">
        <v>279.05193999999995</v>
      </c>
      <c r="G5223" s="328">
        <v>5137.0686000000005</v>
      </c>
      <c r="H5223" s="328">
        <v>5640.4583999999995</v>
      </c>
      <c r="I5223" s="329">
        <v>0.17060531658741632</v>
      </c>
      <c r="J5223" s="329">
        <v>0.57335981615372045</v>
      </c>
      <c r="K5223" s="329">
        <v>0.67428334526383127</v>
      </c>
    </row>
    <row r="5224" spans="1:11" ht="11.25" x14ac:dyDescent="0.15">
      <c r="A5224" s="326">
        <v>1</v>
      </c>
      <c r="B5224" s="327">
        <v>140</v>
      </c>
      <c r="C5224" s="327" t="s">
        <v>111</v>
      </c>
      <c r="D5224" s="327" t="s">
        <v>113</v>
      </c>
      <c r="E5224" s="328" t="s">
        <v>4564</v>
      </c>
      <c r="F5224" s="328">
        <v>121.145032</v>
      </c>
      <c r="G5224" s="328">
        <v>4949.5559999999996</v>
      </c>
      <c r="H5224" s="328">
        <v>5553.4917999999998</v>
      </c>
      <c r="I5224" s="329">
        <v>7.4065016488875451E-2</v>
      </c>
      <c r="J5224" s="329">
        <v>0.55243111182173887</v>
      </c>
      <c r="K5224" s="329">
        <v>0.66388700407740908</v>
      </c>
    </row>
    <row r="5225" spans="1:11" ht="11.25" x14ac:dyDescent="0.15">
      <c r="A5225" s="326">
        <v>1.0249999999999999</v>
      </c>
      <c r="B5225" s="327">
        <v>140</v>
      </c>
      <c r="C5225" s="327" t="s">
        <v>111</v>
      </c>
      <c r="D5225" s="327" t="s">
        <v>79</v>
      </c>
      <c r="E5225" s="328" t="s">
        <v>4565</v>
      </c>
      <c r="F5225" s="328">
        <v>1073.8107049999999</v>
      </c>
      <c r="G5225" s="328">
        <v>5885.1783349999987</v>
      </c>
      <c r="H5225" s="328">
        <v>6030.8781899999994</v>
      </c>
      <c r="I5225" s="329">
        <v>0.65650077645574412</v>
      </c>
      <c r="J5225" s="329">
        <v>0.6568580314826743</v>
      </c>
      <c r="K5225" s="329">
        <v>0.7209557153780054</v>
      </c>
    </row>
    <row r="5226" spans="1:11" ht="11.25" x14ac:dyDescent="0.15">
      <c r="A5226" s="326">
        <v>1.0249999999999999</v>
      </c>
      <c r="B5226" s="327">
        <v>140</v>
      </c>
      <c r="C5226" s="327" t="s">
        <v>111</v>
      </c>
      <c r="D5226" s="327" t="s">
        <v>114</v>
      </c>
      <c r="E5226" s="328" t="s">
        <v>4566</v>
      </c>
      <c r="F5226" s="328">
        <v>297.49999749999995</v>
      </c>
      <c r="G5226" s="328">
        <v>5431.161145</v>
      </c>
      <c r="H5226" s="328">
        <v>5938.9986249999993</v>
      </c>
      <c r="I5226" s="329">
        <v>0.18188399356135301</v>
      </c>
      <c r="J5226" s="329">
        <v>0.60618414860148639</v>
      </c>
      <c r="K5226" s="329">
        <v>0.70997205836715227</v>
      </c>
    </row>
    <row r="5227" spans="1:11" ht="11.25" x14ac:dyDescent="0.15">
      <c r="A5227" s="326">
        <v>1.0249999999999999</v>
      </c>
      <c r="B5227" s="327">
        <v>140</v>
      </c>
      <c r="C5227" s="327" t="s">
        <v>111</v>
      </c>
      <c r="D5227" s="327" t="s">
        <v>113</v>
      </c>
      <c r="E5227" s="328" t="s">
        <v>4567</v>
      </c>
      <c r="F5227" s="328">
        <v>129.03954599999997</v>
      </c>
      <c r="G5227" s="328">
        <v>5211.5616599999994</v>
      </c>
      <c r="H5227" s="328">
        <v>5848.6461049999989</v>
      </c>
      <c r="I5227" s="329">
        <v>7.8891523196815874E-2</v>
      </c>
      <c r="J5227" s="329">
        <v>0.58167415464363814</v>
      </c>
      <c r="K5227" s="329">
        <v>0.69917095052836076</v>
      </c>
    </row>
    <row r="5228" spans="1:11" ht="11.25" x14ac:dyDescent="0.15">
      <c r="A5228" s="326">
        <v>1.05</v>
      </c>
      <c r="B5228" s="327">
        <v>140</v>
      </c>
      <c r="C5228" s="327" t="s">
        <v>111</v>
      </c>
      <c r="D5228" s="327" t="s">
        <v>79</v>
      </c>
      <c r="E5228" s="328" t="s">
        <v>4568</v>
      </c>
      <c r="F5228" s="328">
        <v>1142.379042</v>
      </c>
      <c r="G5228" s="328">
        <v>6256.3955999999998</v>
      </c>
      <c r="H5228" s="328">
        <v>6340.8779700000005</v>
      </c>
      <c r="I5228" s="329">
        <v>0.69842172795229229</v>
      </c>
      <c r="J5228" s="329">
        <v>0.69829042793022955</v>
      </c>
      <c r="K5228" s="329">
        <v>0.75801435030906927</v>
      </c>
    </row>
    <row r="5229" spans="1:11" ht="11.25" x14ac:dyDescent="0.15">
      <c r="A5229" s="326">
        <v>1.05</v>
      </c>
      <c r="B5229" s="327">
        <v>140</v>
      </c>
      <c r="C5229" s="327" t="s">
        <v>111</v>
      </c>
      <c r="D5229" s="327" t="s">
        <v>114</v>
      </c>
      <c r="E5229" s="328" t="s">
        <v>4569</v>
      </c>
      <c r="F5229" s="328">
        <v>316.92611999999997</v>
      </c>
      <c r="G5229" s="328">
        <v>5742.3023700000003</v>
      </c>
      <c r="H5229" s="328">
        <v>6245.6286900000005</v>
      </c>
      <c r="I5229" s="329">
        <v>0.19376063480304598</v>
      </c>
      <c r="J5229" s="329">
        <v>0.64091132268747064</v>
      </c>
      <c r="K5229" s="329">
        <v>0.7466278638574767</v>
      </c>
    </row>
    <row r="5230" spans="1:11" ht="11.25" x14ac:dyDescent="0.15">
      <c r="A5230" s="326">
        <v>1.05</v>
      </c>
      <c r="B5230" s="327">
        <v>140</v>
      </c>
      <c r="C5230" s="327" t="s">
        <v>111</v>
      </c>
      <c r="D5230" s="327" t="s">
        <v>113</v>
      </c>
      <c r="E5230" s="328" t="s">
        <v>4570</v>
      </c>
      <c r="F5230" s="328">
        <v>137.35634220000003</v>
      </c>
      <c r="G5230" s="328">
        <v>5486.202330000001</v>
      </c>
      <c r="H5230" s="328">
        <v>6151.6110600000002</v>
      </c>
      <c r="I5230" s="329">
        <v>8.3976202589096854E-2</v>
      </c>
      <c r="J5230" s="329">
        <v>0.6123274194374031</v>
      </c>
      <c r="K5230" s="329">
        <v>0.73538861385783538</v>
      </c>
    </row>
    <row r="5231" spans="1:11" ht="11.25" x14ac:dyDescent="0.15">
      <c r="A5231" s="326">
        <v>1.075</v>
      </c>
      <c r="B5231" s="327">
        <v>140</v>
      </c>
      <c r="C5231" s="327" t="s">
        <v>111</v>
      </c>
      <c r="D5231" s="327" t="s">
        <v>79</v>
      </c>
      <c r="E5231" s="328" t="s">
        <v>4571</v>
      </c>
      <c r="F5231" s="328">
        <v>1214.5392999999999</v>
      </c>
      <c r="G5231" s="328">
        <v>6648.6333400000003</v>
      </c>
      <c r="H5231" s="328">
        <v>6658.5132349999994</v>
      </c>
      <c r="I5231" s="329">
        <v>0.74253868933632583</v>
      </c>
      <c r="J5231" s="329">
        <v>0.74206896701669434</v>
      </c>
      <c r="K5231" s="329">
        <v>0.79598576218189909</v>
      </c>
    </row>
    <row r="5232" spans="1:11" ht="11.25" x14ac:dyDescent="0.15">
      <c r="A5232" s="326">
        <v>1.075</v>
      </c>
      <c r="B5232" s="327">
        <v>140</v>
      </c>
      <c r="C5232" s="327" t="s">
        <v>111</v>
      </c>
      <c r="D5232" s="327" t="s">
        <v>114</v>
      </c>
      <c r="E5232" s="328" t="s">
        <v>4572</v>
      </c>
      <c r="F5232" s="328">
        <v>337.37832249999997</v>
      </c>
      <c r="G5232" s="328">
        <v>6070.32161</v>
      </c>
      <c r="H5232" s="328">
        <v>6559.7783549999995</v>
      </c>
      <c r="I5232" s="329">
        <v>0.20626459547224058</v>
      </c>
      <c r="J5232" s="329">
        <v>0.67752229010598697</v>
      </c>
      <c r="K5232" s="329">
        <v>0.78418259292519066</v>
      </c>
    </row>
    <row r="5233" spans="1:11" ht="11.25" x14ac:dyDescent="0.15">
      <c r="A5233" s="326">
        <v>1.075</v>
      </c>
      <c r="B5233" s="327">
        <v>140</v>
      </c>
      <c r="C5233" s="327" t="s">
        <v>111</v>
      </c>
      <c r="D5233" s="327" t="s">
        <v>113</v>
      </c>
      <c r="E5233" s="328" t="s">
        <v>4573</v>
      </c>
      <c r="F5233" s="328">
        <v>146.11907399999998</v>
      </c>
      <c r="G5233" s="328">
        <v>5774.0417200000002</v>
      </c>
      <c r="H5233" s="328">
        <v>6462.2107099999994</v>
      </c>
      <c r="I5233" s="329">
        <v>8.9333515757783713E-2</v>
      </c>
      <c r="J5233" s="329">
        <v>0.64445382314791588</v>
      </c>
      <c r="K5233" s="329">
        <v>0.77251895968926187</v>
      </c>
    </row>
    <row r="5234" spans="1:11" ht="11.25" x14ac:dyDescent="0.15">
      <c r="A5234" s="326">
        <v>1.1000000000000001</v>
      </c>
      <c r="B5234" s="327">
        <v>140</v>
      </c>
      <c r="C5234" s="327" t="s">
        <v>111</v>
      </c>
      <c r="D5234" s="327" t="s">
        <v>79</v>
      </c>
      <c r="E5234" s="328" t="s">
        <v>4574</v>
      </c>
      <c r="F5234" s="328">
        <v>1290.468036</v>
      </c>
      <c r="G5234" s="328">
        <v>7063.5928000000004</v>
      </c>
      <c r="H5234" s="328">
        <v>6984.1673000000001</v>
      </c>
      <c r="I5234" s="329">
        <v>0.78895960310371394</v>
      </c>
      <c r="J5234" s="329">
        <v>0.78838352853468674</v>
      </c>
      <c r="K5234" s="329">
        <v>0.83491577403110728</v>
      </c>
    </row>
    <row r="5235" spans="1:11" ht="11.25" x14ac:dyDescent="0.15">
      <c r="A5235" s="326">
        <v>1.1000000000000001</v>
      </c>
      <c r="B5235" s="327">
        <v>140</v>
      </c>
      <c r="C5235" s="327" t="s">
        <v>111</v>
      </c>
      <c r="D5235" s="327" t="s">
        <v>114</v>
      </c>
      <c r="E5235" s="328" t="s">
        <v>4575</v>
      </c>
      <c r="F5235" s="328">
        <v>358.90736200000003</v>
      </c>
      <c r="G5235" s="328">
        <v>6417.1661400000003</v>
      </c>
      <c r="H5235" s="328">
        <v>6881.62464</v>
      </c>
      <c r="I5235" s="329">
        <v>0.21942690711831084</v>
      </c>
      <c r="J5235" s="329">
        <v>0.71623439061302008</v>
      </c>
      <c r="K5235" s="329">
        <v>0.82265740726129799</v>
      </c>
    </row>
    <row r="5236" spans="1:11" ht="11.25" x14ac:dyDescent="0.15">
      <c r="A5236" s="326">
        <v>1.1000000000000001</v>
      </c>
      <c r="B5236" s="327">
        <v>140</v>
      </c>
      <c r="C5236" s="327" t="s">
        <v>111</v>
      </c>
      <c r="D5236" s="327" t="s">
        <v>113</v>
      </c>
      <c r="E5236" s="328" t="s">
        <v>4576</v>
      </c>
      <c r="F5236" s="328">
        <v>155.35197920000002</v>
      </c>
      <c r="G5236" s="328">
        <v>6076.8828999999996</v>
      </c>
      <c r="H5236" s="328">
        <v>6780.4829400000008</v>
      </c>
      <c r="I5236" s="329">
        <v>9.497828108235952E-2</v>
      </c>
      <c r="J5236" s="329">
        <v>0.6782546104857714</v>
      </c>
      <c r="K5236" s="329">
        <v>0.81056651694967541</v>
      </c>
    </row>
    <row r="5237" spans="1:11" ht="11.25" x14ac:dyDescent="0.15">
      <c r="A5237" s="326">
        <v>1.125</v>
      </c>
      <c r="B5237" s="327">
        <v>140</v>
      </c>
      <c r="C5237" s="327" t="s">
        <v>111</v>
      </c>
      <c r="D5237" s="327" t="s">
        <v>79</v>
      </c>
      <c r="E5237" s="328" t="s">
        <v>4577</v>
      </c>
      <c r="F5237" s="328">
        <v>1370.3459399999999</v>
      </c>
      <c r="G5237" s="328">
        <v>7501.6320750000004</v>
      </c>
      <c r="H5237" s="328">
        <v>7317.5973750000003</v>
      </c>
      <c r="I5237" s="329">
        <v>0.83779493856226417</v>
      </c>
      <c r="J5237" s="329">
        <v>0.83727408027505268</v>
      </c>
      <c r="K5237" s="329">
        <v>0.87477536175230564</v>
      </c>
    </row>
    <row r="5238" spans="1:11" ht="11.25" x14ac:dyDescent="0.15">
      <c r="A5238" s="326">
        <v>1.125</v>
      </c>
      <c r="B5238" s="327">
        <v>140</v>
      </c>
      <c r="C5238" s="327" t="s">
        <v>111</v>
      </c>
      <c r="D5238" s="327" t="s">
        <v>114</v>
      </c>
      <c r="E5238" s="328" t="s">
        <v>4578</v>
      </c>
      <c r="F5238" s="328">
        <v>381.56597999999997</v>
      </c>
      <c r="G5238" s="328">
        <v>6783.8456249999999</v>
      </c>
      <c r="H5238" s="328">
        <v>7211.118375</v>
      </c>
      <c r="I5238" s="329">
        <v>0.23327981456386854</v>
      </c>
      <c r="J5238" s="329">
        <v>0.75716031519711857</v>
      </c>
      <c r="K5238" s="329">
        <v>0.86204642888395089</v>
      </c>
    </row>
    <row r="5239" spans="1:11" ht="11.25" x14ac:dyDescent="0.15">
      <c r="A5239" s="326">
        <v>1.125</v>
      </c>
      <c r="B5239" s="327">
        <v>140</v>
      </c>
      <c r="C5239" s="327" t="s">
        <v>111</v>
      </c>
      <c r="D5239" s="327" t="s">
        <v>113</v>
      </c>
      <c r="E5239" s="328" t="s">
        <v>4579</v>
      </c>
      <c r="F5239" s="328">
        <v>165.08169000000001</v>
      </c>
      <c r="G5239" s="328">
        <v>6395.3250749999997</v>
      </c>
      <c r="H5239" s="328">
        <v>7106.2272000000003</v>
      </c>
      <c r="I5239" s="329">
        <v>0.10092678081806464</v>
      </c>
      <c r="J5239" s="329">
        <v>0.71379666007288245</v>
      </c>
      <c r="K5239" s="329">
        <v>0.84950731107614053</v>
      </c>
    </row>
    <row r="5240" spans="1:11" ht="11.25" x14ac:dyDescent="0.15">
      <c r="A5240" s="326">
        <v>1.1499999999999999</v>
      </c>
      <c r="B5240" s="327">
        <v>140</v>
      </c>
      <c r="C5240" s="327" t="s">
        <v>111</v>
      </c>
      <c r="D5240" s="327" t="s">
        <v>79</v>
      </c>
      <c r="E5240" s="328" t="s">
        <v>4580</v>
      </c>
      <c r="F5240" s="328">
        <v>1454.3658999999998</v>
      </c>
      <c r="G5240" s="328">
        <v>7963.2182400000002</v>
      </c>
      <c r="H5240" s="328">
        <v>7659.0784299999996</v>
      </c>
      <c r="I5240" s="329">
        <v>0.88916262256927037</v>
      </c>
      <c r="J5240" s="329">
        <v>0.88879275353230702</v>
      </c>
      <c r="K5240" s="329">
        <v>0.91559739637800597</v>
      </c>
    </row>
    <row r="5241" spans="1:11" ht="11.25" x14ac:dyDescent="0.15">
      <c r="A5241" s="326">
        <v>1.1499999999999999</v>
      </c>
      <c r="B5241" s="327">
        <v>140</v>
      </c>
      <c r="C5241" s="327" t="s">
        <v>111</v>
      </c>
      <c r="D5241" s="327" t="s">
        <v>114</v>
      </c>
      <c r="E5241" s="328" t="s">
        <v>4581</v>
      </c>
      <c r="F5241" s="328">
        <v>405.41175399999997</v>
      </c>
      <c r="G5241" s="328">
        <v>7170.7070099999992</v>
      </c>
      <c r="H5241" s="328">
        <v>7548.3396399999992</v>
      </c>
      <c r="I5241" s="329">
        <v>0.24785851923992985</v>
      </c>
      <c r="J5241" s="329">
        <v>0.80033878717247298</v>
      </c>
      <c r="K5241" s="329">
        <v>0.90235923088215386</v>
      </c>
    </row>
    <row r="5242" spans="1:11" ht="11.25" x14ac:dyDescent="0.15">
      <c r="A5242" s="326">
        <v>1.1499999999999999</v>
      </c>
      <c r="B5242" s="327">
        <v>140</v>
      </c>
      <c r="C5242" s="327" t="s">
        <v>111</v>
      </c>
      <c r="D5242" s="327" t="s">
        <v>113</v>
      </c>
      <c r="E5242" s="328" t="s">
        <v>4582</v>
      </c>
      <c r="F5242" s="328">
        <v>175.33659459999998</v>
      </c>
      <c r="G5242" s="328">
        <v>6730.7544999999991</v>
      </c>
      <c r="H5242" s="328">
        <v>7439.8711799999992</v>
      </c>
      <c r="I5242" s="329">
        <v>0.10719637079424164</v>
      </c>
      <c r="J5242" s="329">
        <v>0.75123469495731976</v>
      </c>
      <c r="K5242" s="329">
        <v>0.88939246987130838</v>
      </c>
    </row>
    <row r="5243" spans="1:11" ht="11.25" x14ac:dyDescent="0.15">
      <c r="A5243" s="326">
        <v>1.175</v>
      </c>
      <c r="B5243" s="327">
        <v>140</v>
      </c>
      <c r="C5243" s="327" t="s">
        <v>111</v>
      </c>
      <c r="D5243" s="327" t="s">
        <v>79</v>
      </c>
      <c r="E5243" s="328" t="s">
        <v>4583</v>
      </c>
      <c r="F5243" s="328">
        <v>1542.7315720000001</v>
      </c>
      <c r="G5243" s="328">
        <v>8448.8262200000008</v>
      </c>
      <c r="H5243" s="328">
        <v>8008.0872450000006</v>
      </c>
      <c r="I5243" s="329">
        <v>0.94318716526558644</v>
      </c>
      <c r="J5243" s="329">
        <v>0.942992555757175</v>
      </c>
      <c r="K5243" s="329">
        <v>0.95731933006069503</v>
      </c>
    </row>
    <row r="5244" spans="1:11" ht="11.25" x14ac:dyDescent="0.15">
      <c r="A5244" s="326">
        <v>1.175</v>
      </c>
      <c r="B5244" s="327">
        <v>140</v>
      </c>
      <c r="C5244" s="327" t="s">
        <v>111</v>
      </c>
      <c r="D5244" s="327" t="s">
        <v>114</v>
      </c>
      <c r="E5244" s="328" t="s">
        <v>4584</v>
      </c>
      <c r="F5244" s="328">
        <v>430.5048425</v>
      </c>
      <c r="G5244" s="328">
        <v>7578.7838400000001</v>
      </c>
      <c r="H5244" s="328">
        <v>7893.3724650000004</v>
      </c>
      <c r="I5244" s="329">
        <v>0.263199800535801</v>
      </c>
      <c r="J5244" s="329">
        <v>0.84588516282830783</v>
      </c>
      <c r="K5244" s="329">
        <v>0.94360585854398193</v>
      </c>
    </row>
    <row r="5245" spans="1:11" ht="11.25" x14ac:dyDescent="0.15">
      <c r="A5245" s="326">
        <v>1.175</v>
      </c>
      <c r="B5245" s="327">
        <v>140</v>
      </c>
      <c r="C5245" s="327" t="s">
        <v>111</v>
      </c>
      <c r="D5245" s="327" t="s">
        <v>113</v>
      </c>
      <c r="E5245" s="328" t="s">
        <v>4585</v>
      </c>
      <c r="F5245" s="328">
        <v>186.14735400000001</v>
      </c>
      <c r="G5245" s="328">
        <v>7084.2808600000008</v>
      </c>
      <c r="H5245" s="328">
        <v>7781.4483100000007</v>
      </c>
      <c r="I5245" s="329">
        <v>0.11380579637281814</v>
      </c>
      <c r="J5245" s="329">
        <v>0.79069256958548717</v>
      </c>
      <c r="K5245" s="329">
        <v>0.93022598969338866</v>
      </c>
    </row>
    <row r="5246" spans="1:11" ht="11.25" x14ac:dyDescent="0.15">
      <c r="A5246" s="330">
        <v>1.2</v>
      </c>
      <c r="B5246" s="331">
        <v>140</v>
      </c>
      <c r="C5246" s="331" t="s">
        <v>111</v>
      </c>
      <c r="D5246" s="331" t="s">
        <v>79</v>
      </c>
      <c r="E5246" s="328" t="s">
        <v>4586</v>
      </c>
      <c r="F5246" s="328">
        <v>1635.6579360000001</v>
      </c>
      <c r="G5246" s="328">
        <v>8959.5895199999995</v>
      </c>
      <c r="H5246" s="328">
        <v>8365.116</v>
      </c>
      <c r="I5246" s="329">
        <v>1</v>
      </c>
      <c r="J5246" s="329">
        <v>1</v>
      </c>
      <c r="K5246" s="329">
        <v>1</v>
      </c>
    </row>
    <row r="5247" spans="1:11" ht="11.25" x14ac:dyDescent="0.15">
      <c r="A5247" s="326">
        <v>1.2</v>
      </c>
      <c r="B5247" s="327">
        <v>140</v>
      </c>
      <c r="C5247" s="327" t="s">
        <v>111</v>
      </c>
      <c r="D5247" s="327" t="s">
        <v>114</v>
      </c>
      <c r="E5247" s="328" t="s">
        <v>4587</v>
      </c>
      <c r="F5247" s="328">
        <v>456.90945599999998</v>
      </c>
      <c r="G5247" s="328">
        <v>8009.1648000000005</v>
      </c>
      <c r="H5247" s="328">
        <v>8246.0836799999979</v>
      </c>
      <c r="I5247" s="329">
        <v>0.27934291513137011</v>
      </c>
      <c r="J5247" s="329">
        <v>0.89392095275364813</v>
      </c>
      <c r="K5247" s="329">
        <v>0.9857703921858344</v>
      </c>
    </row>
    <row r="5248" spans="1:11" ht="11.25" x14ac:dyDescent="0.15">
      <c r="A5248" s="326">
        <v>1.2</v>
      </c>
      <c r="B5248" s="327">
        <v>140</v>
      </c>
      <c r="C5248" s="327" t="s">
        <v>111</v>
      </c>
      <c r="D5248" s="327" t="s">
        <v>113</v>
      </c>
      <c r="E5248" s="328" t="s">
        <v>4588</v>
      </c>
      <c r="F5248" s="328">
        <v>197.54707199999999</v>
      </c>
      <c r="G5248" s="328">
        <v>7456.0483199999999</v>
      </c>
      <c r="H5248" s="328">
        <v>8130.4147199999998</v>
      </c>
      <c r="I5248" s="329">
        <v>0.12077529638201809</v>
      </c>
      <c r="J5248" s="329">
        <v>0.83218637453828359</v>
      </c>
      <c r="K5248" s="329">
        <v>0.97194285410985337</v>
      </c>
    </row>
    <row r="5249" spans="1:11" ht="11.25" x14ac:dyDescent="0.15">
      <c r="A5249" s="326">
        <v>1.2250000000000001</v>
      </c>
      <c r="B5249" s="327">
        <v>140</v>
      </c>
      <c r="C5249" s="327" t="s">
        <v>111</v>
      </c>
      <c r="D5249" s="327" t="s">
        <v>79</v>
      </c>
      <c r="E5249" s="328" t="s">
        <v>4589</v>
      </c>
      <c r="F5249" s="328">
        <v>1733.371815</v>
      </c>
      <c r="G5249" s="328">
        <v>9495.675944999999</v>
      </c>
      <c r="H5249" s="328">
        <v>8729.9549050000005</v>
      </c>
      <c r="I5249" s="329">
        <v>1.0597398006327405</v>
      </c>
      <c r="J5249" s="329">
        <v>1.0598338153554159</v>
      </c>
      <c r="K5249" s="329">
        <v>1.0436143270457936</v>
      </c>
    </row>
    <row r="5250" spans="1:11" ht="11.25" x14ac:dyDescent="0.15">
      <c r="A5250" s="326">
        <v>1.2250000000000001</v>
      </c>
      <c r="B5250" s="327">
        <v>140</v>
      </c>
      <c r="C5250" s="327" t="s">
        <v>111</v>
      </c>
      <c r="D5250" s="327" t="s">
        <v>114</v>
      </c>
      <c r="E5250" s="328" t="s">
        <v>4590</v>
      </c>
      <c r="F5250" s="328">
        <v>484.693986</v>
      </c>
      <c r="G5250" s="328">
        <v>8462.4754200000007</v>
      </c>
      <c r="H5250" s="328">
        <v>8606.6344000000008</v>
      </c>
      <c r="I5250" s="329">
        <v>0.29632967586445286</v>
      </c>
      <c r="J5250" s="329">
        <v>0.94451597376304819</v>
      </c>
      <c r="K5250" s="329">
        <v>1.0288720921503063</v>
      </c>
    </row>
    <row r="5251" spans="1:11" ht="11.25" x14ac:dyDescent="0.15">
      <c r="A5251" s="326">
        <v>1.2250000000000001</v>
      </c>
      <c r="B5251" s="327">
        <v>140</v>
      </c>
      <c r="C5251" s="327" t="s">
        <v>111</v>
      </c>
      <c r="D5251" s="327" t="s">
        <v>113</v>
      </c>
      <c r="E5251" s="328" t="s">
        <v>4591</v>
      </c>
      <c r="F5251" s="328">
        <v>209.5715055</v>
      </c>
      <c r="G5251" s="328">
        <v>7847.990675</v>
      </c>
      <c r="H5251" s="328">
        <v>8487.0388750000002</v>
      </c>
      <c r="I5251" s="329">
        <v>0.12812673168847694</v>
      </c>
      <c r="J5251" s="329">
        <v>0.87593194503848215</v>
      </c>
      <c r="K5251" s="329">
        <v>1.0145751565190488</v>
      </c>
    </row>
    <row r="5252" spans="1:11" ht="11.25" x14ac:dyDescent="0.15">
      <c r="A5252" s="326">
        <v>1.25</v>
      </c>
      <c r="B5252" s="327">
        <v>140</v>
      </c>
      <c r="C5252" s="327" t="s">
        <v>111</v>
      </c>
      <c r="D5252" s="327" t="s">
        <v>79</v>
      </c>
      <c r="E5252" s="328" t="s">
        <v>4592</v>
      </c>
      <c r="F5252" s="328">
        <v>1836.1150000000002</v>
      </c>
      <c r="G5252" s="328">
        <v>10057.814499999999</v>
      </c>
      <c r="H5252" s="328">
        <v>9102.6275000000005</v>
      </c>
      <c r="I5252" s="329">
        <v>1.1225543920816461</v>
      </c>
      <c r="J5252" s="329">
        <v>1.1225753677161763</v>
      </c>
      <c r="K5252" s="329">
        <v>1.0881651252654476</v>
      </c>
    </row>
    <row r="5253" spans="1:11" ht="11.25" x14ac:dyDescent="0.15">
      <c r="A5253" s="326">
        <v>1.25</v>
      </c>
      <c r="B5253" s="327">
        <v>140</v>
      </c>
      <c r="C5253" s="327" t="s">
        <v>111</v>
      </c>
      <c r="D5253" s="327" t="s">
        <v>114</v>
      </c>
      <c r="E5253" s="328" t="s">
        <v>4593</v>
      </c>
      <c r="F5253" s="328">
        <v>513.93162500000005</v>
      </c>
      <c r="G5253" s="328">
        <v>8939.1455000000005</v>
      </c>
      <c r="H5253" s="328">
        <v>8974.8172500000001</v>
      </c>
      <c r="I5253" s="329">
        <v>0.3142048307831522</v>
      </c>
      <c r="J5253" s="329">
        <v>0.99771819680417695</v>
      </c>
      <c r="K5253" s="329">
        <v>1.0728861679861941</v>
      </c>
    </row>
    <row r="5254" spans="1:11" ht="11.25" x14ac:dyDescent="0.15">
      <c r="A5254" s="326">
        <v>1.25</v>
      </c>
      <c r="B5254" s="327">
        <v>140</v>
      </c>
      <c r="C5254" s="327" t="s">
        <v>111</v>
      </c>
      <c r="D5254" s="327" t="s">
        <v>113</v>
      </c>
      <c r="E5254" s="328" t="s">
        <v>4594</v>
      </c>
      <c r="F5254" s="328">
        <v>222.25979999999998</v>
      </c>
      <c r="G5254" s="328">
        <v>8260.0120000000006</v>
      </c>
      <c r="H5254" s="328">
        <v>8851.4552500000009</v>
      </c>
      <c r="I5254" s="329">
        <v>0.13588403486338721</v>
      </c>
      <c r="J5254" s="329">
        <v>0.92191857468041694</v>
      </c>
      <c r="K5254" s="329">
        <v>1.0581389726095849</v>
      </c>
    </row>
    <row r="5255" spans="1:11" ht="11.25" x14ac:dyDescent="0.15">
      <c r="A5255" s="326">
        <v>1.2749999999999999</v>
      </c>
      <c r="B5255" s="327">
        <v>140</v>
      </c>
      <c r="C5255" s="327" t="s">
        <v>111</v>
      </c>
      <c r="D5255" s="327" t="s">
        <v>79</v>
      </c>
      <c r="E5255" s="328" t="s">
        <v>4595</v>
      </c>
      <c r="F5255" s="328">
        <v>1944.1409099999996</v>
      </c>
      <c r="G5255" s="328">
        <v>10646.162025</v>
      </c>
      <c r="H5255" s="328">
        <v>9483.3278549999995</v>
      </c>
      <c r="I5255" s="329">
        <v>1.1885987083304193</v>
      </c>
      <c r="J5255" s="329">
        <v>1.1882421623485269</v>
      </c>
      <c r="K5255" s="329">
        <v>1.1336755945763333</v>
      </c>
    </row>
    <row r="5256" spans="1:11" ht="11.25" x14ac:dyDescent="0.15">
      <c r="A5256" s="326">
        <v>1.2749999999999999</v>
      </c>
      <c r="B5256" s="327">
        <v>140</v>
      </c>
      <c r="C5256" s="327" t="s">
        <v>111</v>
      </c>
      <c r="D5256" s="327" t="s">
        <v>114</v>
      </c>
      <c r="E5256" s="328" t="s">
        <v>4596</v>
      </c>
      <c r="F5256" s="328">
        <v>544.70057850000001</v>
      </c>
      <c r="G5256" s="328">
        <v>9440.3200649999981</v>
      </c>
      <c r="H5256" s="328">
        <v>9350.9729100000004</v>
      </c>
      <c r="I5256" s="329">
        <v>0.33301619275731009</v>
      </c>
      <c r="J5256" s="329">
        <v>1.0536554207005677</v>
      </c>
      <c r="K5256" s="329">
        <v>1.1178533459667506</v>
      </c>
    </row>
    <row r="5257" spans="1:11" ht="11.25" x14ac:dyDescent="0.15">
      <c r="A5257" s="326">
        <v>1.2749999999999999</v>
      </c>
      <c r="B5257" s="327">
        <v>140</v>
      </c>
      <c r="C5257" s="327" t="s">
        <v>111</v>
      </c>
      <c r="D5257" s="327" t="s">
        <v>113</v>
      </c>
      <c r="E5257" s="328" t="s">
        <v>4597</v>
      </c>
      <c r="F5257" s="328">
        <v>235.652895</v>
      </c>
      <c r="G5257" s="328">
        <v>8693.7644700000001</v>
      </c>
      <c r="H5257" s="328">
        <v>9223.5333449999998</v>
      </c>
      <c r="I5257" s="329">
        <v>0.14407223528428501</v>
      </c>
      <c r="J5257" s="329">
        <v>0.97033066644329935</v>
      </c>
      <c r="K5257" s="329">
        <v>1.1026187018805238</v>
      </c>
    </row>
    <row r="5258" spans="1:11" ht="11.25" x14ac:dyDescent="0.15">
      <c r="A5258" s="326">
        <v>1.3</v>
      </c>
      <c r="B5258" s="327">
        <v>140</v>
      </c>
      <c r="C5258" s="327" t="s">
        <v>111</v>
      </c>
      <c r="D5258" s="327" t="s">
        <v>79</v>
      </c>
      <c r="E5258" s="328" t="s">
        <v>4598</v>
      </c>
      <c r="F5258" s="328">
        <v>2057.72424</v>
      </c>
      <c r="G5258" s="328">
        <v>11261.63558</v>
      </c>
      <c r="H5258" s="328">
        <v>9871.8783800000001</v>
      </c>
      <c r="I5258" s="329">
        <v>1.2580406909724431</v>
      </c>
      <c r="J5258" s="329">
        <v>1.2569365543880409</v>
      </c>
      <c r="K5258" s="329">
        <v>1.1801245051473286</v>
      </c>
    </row>
    <row r="5259" spans="1:11" ht="11.25" x14ac:dyDescent="0.15">
      <c r="A5259" s="326">
        <v>1.3</v>
      </c>
      <c r="B5259" s="327">
        <v>140</v>
      </c>
      <c r="C5259" s="327" t="s">
        <v>111</v>
      </c>
      <c r="D5259" s="327" t="s">
        <v>114</v>
      </c>
      <c r="E5259" s="328" t="s">
        <v>4599</v>
      </c>
      <c r="F5259" s="328">
        <v>577.08500200000003</v>
      </c>
      <c r="G5259" s="328">
        <v>9966.2115799999992</v>
      </c>
      <c r="H5259" s="328">
        <v>9734.7892200000006</v>
      </c>
      <c r="I5259" s="329">
        <v>0.3528152123366704</v>
      </c>
      <c r="J5259" s="329">
        <v>1.1123513591502125</v>
      </c>
      <c r="K5259" s="329">
        <v>1.1637363092155566</v>
      </c>
    </row>
    <row r="5260" spans="1:11" ht="11.25" x14ac:dyDescent="0.15">
      <c r="A5260" s="326">
        <v>1.3</v>
      </c>
      <c r="B5260" s="327">
        <v>140</v>
      </c>
      <c r="C5260" s="327" t="s">
        <v>111</v>
      </c>
      <c r="D5260" s="327" t="s">
        <v>113</v>
      </c>
      <c r="E5260" s="328" t="s">
        <v>4600</v>
      </c>
      <c r="F5260" s="328">
        <v>249.79845800000001</v>
      </c>
      <c r="G5260" s="328">
        <v>9149.1010000000006</v>
      </c>
      <c r="H5260" s="328">
        <v>9603.1943800000008</v>
      </c>
      <c r="I5260" s="329">
        <v>0.15272047565818186</v>
      </c>
      <c r="J5260" s="329">
        <v>1.021151803838442</v>
      </c>
      <c r="K5260" s="329">
        <v>1.1480049266501506</v>
      </c>
    </row>
    <row r="5261" spans="1:11" ht="11.25" x14ac:dyDescent="0.15">
      <c r="A5261" s="326">
        <v>1.325</v>
      </c>
      <c r="B5261" s="327">
        <v>140</v>
      </c>
      <c r="C5261" s="327" t="s">
        <v>111</v>
      </c>
      <c r="D5261" s="327" t="s">
        <v>79</v>
      </c>
      <c r="E5261" s="328" t="s">
        <v>4601</v>
      </c>
      <c r="F5261" s="328">
        <v>2177.1546699999999</v>
      </c>
      <c r="G5261" s="328">
        <v>11904.230625</v>
      </c>
      <c r="H5261" s="328">
        <v>10268.701504999999</v>
      </c>
      <c r="I5261" s="329">
        <v>1.3310574430520783</v>
      </c>
      <c r="J5261" s="329">
        <v>1.3286580371150754</v>
      </c>
      <c r="K5261" s="329">
        <v>1.2275623559792834</v>
      </c>
    </row>
    <row r="5262" spans="1:11" ht="11.25" x14ac:dyDescent="0.15">
      <c r="A5262" s="326">
        <v>1.325</v>
      </c>
      <c r="B5262" s="327">
        <v>140</v>
      </c>
      <c r="C5262" s="327" t="s">
        <v>111</v>
      </c>
      <c r="D5262" s="327" t="s">
        <v>114</v>
      </c>
      <c r="E5262" s="328" t="s">
        <v>4602</v>
      </c>
      <c r="F5262" s="328">
        <v>611.17503849999991</v>
      </c>
      <c r="G5262" s="328">
        <v>10517.932415000001</v>
      </c>
      <c r="H5262" s="328">
        <v>10126.49323</v>
      </c>
      <c r="I5262" s="329">
        <v>0.37365700067743252</v>
      </c>
      <c r="J5262" s="329">
        <v>1.1739301662784214</v>
      </c>
      <c r="K5262" s="329">
        <v>1.2105622002133622</v>
      </c>
    </row>
    <row r="5263" spans="1:11" ht="11.25" x14ac:dyDescent="0.15">
      <c r="A5263" s="326">
        <v>1.325</v>
      </c>
      <c r="B5263" s="327">
        <v>140</v>
      </c>
      <c r="C5263" s="327" t="s">
        <v>111</v>
      </c>
      <c r="D5263" s="327" t="s">
        <v>113</v>
      </c>
      <c r="E5263" s="328" t="s">
        <v>4603</v>
      </c>
      <c r="F5263" s="328">
        <v>264.7455205</v>
      </c>
      <c r="G5263" s="328">
        <v>9627.1577049999996</v>
      </c>
      <c r="H5263" s="328">
        <v>9990.4488549999987</v>
      </c>
      <c r="I5263" s="329">
        <v>0.16185873260728029</v>
      </c>
      <c r="J5263" s="329">
        <v>1.0745087912241766</v>
      </c>
      <c r="K5263" s="329">
        <v>1.1942989021311836</v>
      </c>
    </row>
    <row r="5264" spans="1:11" ht="11.25" x14ac:dyDescent="0.15">
      <c r="A5264" s="326">
        <v>1.35</v>
      </c>
      <c r="B5264" s="327">
        <v>140</v>
      </c>
      <c r="C5264" s="327" t="s">
        <v>111</v>
      </c>
      <c r="D5264" s="327" t="s">
        <v>79</v>
      </c>
      <c r="E5264" s="328" t="s">
        <v>4604</v>
      </c>
      <c r="F5264" s="328">
        <v>2302.7411700000002</v>
      </c>
      <c r="G5264" s="328">
        <v>12574.24452</v>
      </c>
      <c r="H5264" s="328">
        <v>10673.105939999999</v>
      </c>
      <c r="I5264" s="329">
        <v>1.4078378610330664</v>
      </c>
      <c r="J5264" s="329">
        <v>1.4034397995501027</v>
      </c>
      <c r="K5264" s="329">
        <v>1.2759065074530944</v>
      </c>
    </row>
    <row r="5265" spans="1:11" ht="11.25" x14ac:dyDescent="0.15">
      <c r="A5265" s="326">
        <v>1.35</v>
      </c>
      <c r="B5265" s="327">
        <v>140</v>
      </c>
      <c r="C5265" s="327" t="s">
        <v>111</v>
      </c>
      <c r="D5265" s="327" t="s">
        <v>114</v>
      </c>
      <c r="E5265" s="328" t="s">
        <v>4605</v>
      </c>
      <c r="F5265" s="328">
        <v>647.06839200000013</v>
      </c>
      <c r="G5265" s="328">
        <v>11094.932070000001</v>
      </c>
      <c r="H5265" s="328">
        <v>10525.955670000001</v>
      </c>
      <c r="I5265" s="329">
        <v>0.3956012915404582</v>
      </c>
      <c r="J5265" s="329">
        <v>1.2383303995382147</v>
      </c>
      <c r="K5265" s="329">
        <v>1.2583155654984344</v>
      </c>
    </row>
    <row r="5266" spans="1:11" ht="11.25" x14ac:dyDescent="0.15">
      <c r="A5266" s="326">
        <v>1.35</v>
      </c>
      <c r="B5266" s="327">
        <v>140</v>
      </c>
      <c r="C5266" s="327" t="s">
        <v>111</v>
      </c>
      <c r="D5266" s="327" t="s">
        <v>113</v>
      </c>
      <c r="E5266" s="328" t="s">
        <v>4606</v>
      </c>
      <c r="F5266" s="328">
        <v>280.54944</v>
      </c>
      <c r="G5266" s="328">
        <v>10129.652640000002</v>
      </c>
      <c r="H5266" s="328">
        <v>10385.694720000001</v>
      </c>
      <c r="I5266" s="329">
        <v>0.17152085031059941</v>
      </c>
      <c r="J5266" s="329">
        <v>1.1305933845951464</v>
      </c>
      <c r="K5266" s="329">
        <v>1.2415482008856782</v>
      </c>
    </row>
    <row r="5267" spans="1:11" ht="11.25" x14ac:dyDescent="0.15">
      <c r="A5267" s="326">
        <v>1.375</v>
      </c>
      <c r="B5267" s="327">
        <v>140</v>
      </c>
      <c r="C5267" s="327" t="s">
        <v>111</v>
      </c>
      <c r="D5267" s="327" t="s">
        <v>79</v>
      </c>
      <c r="E5267" s="328" t="s">
        <v>4607</v>
      </c>
      <c r="F5267" s="328">
        <v>2434.815075</v>
      </c>
      <c r="G5267" s="328">
        <v>13271.897375</v>
      </c>
      <c r="H5267" s="328">
        <v>11086.020549999999</v>
      </c>
      <c r="I5267" s="329">
        <v>1.4885845147759549</v>
      </c>
      <c r="J5267" s="329">
        <v>1.4813064086668115</v>
      </c>
      <c r="K5267" s="329">
        <v>1.3252679998699359</v>
      </c>
    </row>
    <row r="5268" spans="1:11" ht="11.25" x14ac:dyDescent="0.15">
      <c r="A5268" s="326">
        <v>1.375</v>
      </c>
      <c r="B5268" s="327">
        <v>140</v>
      </c>
      <c r="C5268" s="327" t="s">
        <v>111</v>
      </c>
      <c r="D5268" s="327" t="s">
        <v>114</v>
      </c>
      <c r="E5268" s="328" t="s">
        <v>4608</v>
      </c>
      <c r="F5268" s="328">
        <v>684.86814000000004</v>
      </c>
      <c r="G5268" s="328">
        <v>11697.547399999999</v>
      </c>
      <c r="H5268" s="328">
        <v>10932.91815</v>
      </c>
      <c r="I5268" s="329">
        <v>0.41871110390895327</v>
      </c>
      <c r="J5268" s="329">
        <v>1.3055896560761191</v>
      </c>
      <c r="K5268" s="329">
        <v>1.3069655160789162</v>
      </c>
    </row>
    <row r="5269" spans="1:11" ht="11.25" x14ac:dyDescent="0.15">
      <c r="A5269" s="326">
        <v>1.375</v>
      </c>
      <c r="B5269" s="327">
        <v>140</v>
      </c>
      <c r="C5269" s="327" t="s">
        <v>111</v>
      </c>
      <c r="D5269" s="327" t="s">
        <v>113</v>
      </c>
      <c r="E5269" s="328" t="s">
        <v>4609</v>
      </c>
      <c r="F5269" s="328">
        <v>297.26983000000001</v>
      </c>
      <c r="G5269" s="328">
        <v>10654.490274999998</v>
      </c>
      <c r="H5269" s="328">
        <v>10788.284925</v>
      </c>
      <c r="I5269" s="329">
        <v>0.18174327495819395</v>
      </c>
      <c r="J5269" s="329">
        <v>1.1891716971203385</v>
      </c>
      <c r="K5269" s="329">
        <v>1.2896754719241192</v>
      </c>
    </row>
    <row r="5270" spans="1:11" ht="11.25" x14ac:dyDescent="0.15">
      <c r="A5270" s="326">
        <v>1.4</v>
      </c>
      <c r="B5270" s="327">
        <v>140</v>
      </c>
      <c r="C5270" s="327" t="s">
        <v>111</v>
      </c>
      <c r="D5270" s="327" t="s">
        <v>79</v>
      </c>
      <c r="E5270" s="328" t="s">
        <v>4610</v>
      </c>
      <c r="F5270" s="328">
        <v>2573.7325599999995</v>
      </c>
      <c r="G5270" s="328">
        <v>13997.879279999999</v>
      </c>
      <c r="H5270" s="328">
        <v>11507.046319999998</v>
      </c>
      <c r="I5270" s="329">
        <v>1.5735151606906637</v>
      </c>
      <c r="J5270" s="329">
        <v>1.5623348869670091</v>
      </c>
      <c r="K5270" s="329">
        <v>1.3755991333533208</v>
      </c>
    </row>
    <row r="5271" spans="1:11" ht="11.25" x14ac:dyDescent="0.15">
      <c r="A5271" s="326">
        <v>1.4</v>
      </c>
      <c r="B5271" s="327">
        <v>140</v>
      </c>
      <c r="C5271" s="327" t="s">
        <v>111</v>
      </c>
      <c r="D5271" s="327" t="s">
        <v>114</v>
      </c>
      <c r="E5271" s="328" t="s">
        <v>4611</v>
      </c>
      <c r="F5271" s="328">
        <v>724.68930799999998</v>
      </c>
      <c r="G5271" s="328">
        <v>12326.9566</v>
      </c>
      <c r="H5271" s="328">
        <v>11348.01024</v>
      </c>
      <c r="I5271" s="329">
        <v>0.44305676147191692</v>
      </c>
      <c r="J5271" s="329">
        <v>1.3758394368942026</v>
      </c>
      <c r="K5271" s="329">
        <v>1.3565873133140054</v>
      </c>
    </row>
    <row r="5272" spans="1:11" ht="11.25" x14ac:dyDescent="0.15">
      <c r="A5272" s="326">
        <v>1.4</v>
      </c>
      <c r="B5272" s="327">
        <v>140</v>
      </c>
      <c r="C5272" s="327" t="s">
        <v>111</v>
      </c>
      <c r="D5272" s="327" t="s">
        <v>113</v>
      </c>
      <c r="E5272" s="328" t="s">
        <v>4612</v>
      </c>
      <c r="F5272" s="328">
        <v>314.97325999999998</v>
      </c>
      <c r="G5272" s="328">
        <v>11204.247039999998</v>
      </c>
      <c r="H5272" s="328">
        <v>11198.764359999999</v>
      </c>
      <c r="I5272" s="329">
        <v>0.19256670546304247</v>
      </c>
      <c r="J5272" s="329">
        <v>1.2505312899647214</v>
      </c>
      <c r="K5272" s="329">
        <v>1.3387458536139845</v>
      </c>
    </row>
    <row r="5273" spans="1:11" ht="11.25" x14ac:dyDescent="0.15">
      <c r="A5273" s="326">
        <v>0.9</v>
      </c>
      <c r="B5273" s="327">
        <v>150</v>
      </c>
      <c r="C5273" s="327" t="s">
        <v>111</v>
      </c>
      <c r="D5273" s="327" t="s">
        <v>79</v>
      </c>
      <c r="E5273" s="328" t="s">
        <v>4613</v>
      </c>
      <c r="F5273" s="328">
        <v>962.67509999999993</v>
      </c>
      <c r="G5273" s="328">
        <v>4351.4703</v>
      </c>
      <c r="H5273" s="328">
        <v>4603.3100999999997</v>
      </c>
      <c r="I5273" s="329">
        <v>0.58855527113096828</v>
      </c>
      <c r="J5273" s="329">
        <v>0.48567741750740384</v>
      </c>
      <c r="K5273" s="329">
        <v>0.55029841785816236</v>
      </c>
    </row>
    <row r="5274" spans="1:11" ht="11.25" x14ac:dyDescent="0.15">
      <c r="A5274" s="326">
        <v>0.9</v>
      </c>
      <c r="B5274" s="327">
        <v>150</v>
      </c>
      <c r="C5274" s="327" t="s">
        <v>111</v>
      </c>
      <c r="D5274" s="327" t="s">
        <v>114</v>
      </c>
      <c r="E5274" s="328" t="s">
        <v>4614</v>
      </c>
      <c r="F5274" s="328">
        <v>264.62871000000001</v>
      </c>
      <c r="G5274" s="328">
        <v>4117.1256000000003</v>
      </c>
      <c r="H5274" s="328">
        <v>4528.6056000000008</v>
      </c>
      <c r="I5274" s="329">
        <v>0.16178731761431078</v>
      </c>
      <c r="J5274" s="329">
        <v>0.45952167683682016</v>
      </c>
      <c r="K5274" s="329">
        <v>0.54136793799392635</v>
      </c>
    </row>
    <row r="5275" spans="1:11" ht="11.25" x14ac:dyDescent="0.15">
      <c r="A5275" s="326">
        <v>0.9</v>
      </c>
      <c r="B5275" s="327">
        <v>150</v>
      </c>
      <c r="C5275" s="327" t="s">
        <v>111</v>
      </c>
      <c r="D5275" s="327" t="s">
        <v>113</v>
      </c>
      <c r="E5275" s="328" t="s">
        <v>4615</v>
      </c>
      <c r="F5275" s="328">
        <v>116.41328999999999</v>
      </c>
      <c r="G5275" s="328">
        <v>4012.9272000000001</v>
      </c>
      <c r="H5275" s="328">
        <v>4454.2961999999998</v>
      </c>
      <c r="I5275" s="329">
        <v>7.1172148795785858E-2</v>
      </c>
      <c r="J5275" s="329">
        <v>0.4478918583314741</v>
      </c>
      <c r="K5275" s="329">
        <v>0.53248468999114895</v>
      </c>
    </row>
    <row r="5276" spans="1:11" ht="11.25" x14ac:dyDescent="0.15">
      <c r="A5276" s="326">
        <v>0.92500000000000004</v>
      </c>
      <c r="B5276" s="327">
        <v>150</v>
      </c>
      <c r="C5276" s="327" t="s">
        <v>111</v>
      </c>
      <c r="D5276" s="327" t="s">
        <v>79</v>
      </c>
      <c r="E5276" s="328" t="s">
        <v>4616</v>
      </c>
      <c r="F5276" s="328">
        <v>1026.4355</v>
      </c>
      <c r="G5276" s="328">
        <v>4634.6394250000003</v>
      </c>
      <c r="H5276" s="328">
        <v>4874.2736249999998</v>
      </c>
      <c r="I5276" s="329">
        <v>0.62753677123356677</v>
      </c>
      <c r="J5276" s="329">
        <v>0.51728256240471171</v>
      </c>
      <c r="K5276" s="329">
        <v>0.58269050004805667</v>
      </c>
    </row>
    <row r="5277" spans="1:11" ht="11.25" x14ac:dyDescent="0.15">
      <c r="A5277" s="326">
        <v>0.92500000000000004</v>
      </c>
      <c r="B5277" s="327">
        <v>150</v>
      </c>
      <c r="C5277" s="327" t="s">
        <v>111</v>
      </c>
      <c r="D5277" s="327" t="s">
        <v>114</v>
      </c>
      <c r="E5277" s="328" t="s">
        <v>4617</v>
      </c>
      <c r="F5277" s="328">
        <v>282.88692249999997</v>
      </c>
      <c r="G5277" s="328">
        <v>4360.2492750000001</v>
      </c>
      <c r="H5277" s="328">
        <v>4796.3923249999998</v>
      </c>
      <c r="I5277" s="329">
        <v>0.1729499281443892</v>
      </c>
      <c r="J5277" s="329">
        <v>0.48665725871334342</v>
      </c>
      <c r="K5277" s="329">
        <v>0.57338025258705316</v>
      </c>
    </row>
    <row r="5278" spans="1:11" ht="11.25" x14ac:dyDescent="0.15">
      <c r="A5278" s="326">
        <v>0.92500000000000004</v>
      </c>
      <c r="B5278" s="327">
        <v>150</v>
      </c>
      <c r="C5278" s="327" t="s">
        <v>111</v>
      </c>
      <c r="D5278" s="327" t="s">
        <v>113</v>
      </c>
      <c r="E5278" s="328" t="s">
        <v>4618</v>
      </c>
      <c r="F5278" s="328">
        <v>124.28716250000002</v>
      </c>
      <c r="G5278" s="328">
        <v>4237.250175000001</v>
      </c>
      <c r="H5278" s="328">
        <v>4718.9596500000007</v>
      </c>
      <c r="I5278" s="329">
        <v>7.5986035811340946E-2</v>
      </c>
      <c r="J5278" s="329">
        <v>0.4729290516648581</v>
      </c>
      <c r="K5278" s="329">
        <v>0.56412363558377443</v>
      </c>
    </row>
    <row r="5279" spans="1:11" ht="11.25" x14ac:dyDescent="0.15">
      <c r="A5279" s="326">
        <v>0.95</v>
      </c>
      <c r="B5279" s="327">
        <v>150</v>
      </c>
      <c r="C5279" s="327" t="s">
        <v>111</v>
      </c>
      <c r="D5279" s="327" t="s">
        <v>79</v>
      </c>
      <c r="E5279" s="328" t="s">
        <v>4619</v>
      </c>
      <c r="F5279" s="328">
        <v>1093.52125</v>
      </c>
      <c r="G5279" s="328">
        <v>4935.1283999999996</v>
      </c>
      <c r="H5279" s="328">
        <v>5153.252199999999</v>
      </c>
      <c r="I5279" s="329">
        <v>0.66855130643892768</v>
      </c>
      <c r="J5279" s="329">
        <v>0.55082081483572254</v>
      </c>
      <c r="K5279" s="329">
        <v>0.61604073392407221</v>
      </c>
    </row>
    <row r="5280" spans="1:11" ht="11.25" x14ac:dyDescent="0.15">
      <c r="A5280" s="326">
        <v>0.95</v>
      </c>
      <c r="B5280" s="327">
        <v>150</v>
      </c>
      <c r="C5280" s="327" t="s">
        <v>111</v>
      </c>
      <c r="D5280" s="327" t="s">
        <v>114</v>
      </c>
      <c r="E5280" s="328" t="s">
        <v>4620</v>
      </c>
      <c r="F5280" s="328">
        <v>302.11349000000001</v>
      </c>
      <c r="G5280" s="328">
        <v>4616.05285</v>
      </c>
      <c r="H5280" s="328">
        <v>5072.1782499999999</v>
      </c>
      <c r="I5280" s="329">
        <v>0.18470456649317415</v>
      </c>
      <c r="J5280" s="329">
        <v>0.5152080728359083</v>
      </c>
      <c r="K5280" s="329">
        <v>0.60634882409281587</v>
      </c>
    </row>
    <row r="5281" spans="1:11" ht="11.25" x14ac:dyDescent="0.15">
      <c r="A5281" s="326">
        <v>0.95</v>
      </c>
      <c r="B5281" s="327">
        <v>150</v>
      </c>
      <c r="C5281" s="327" t="s">
        <v>111</v>
      </c>
      <c r="D5281" s="327" t="s">
        <v>113</v>
      </c>
      <c r="E5281" s="328" t="s">
        <v>4621</v>
      </c>
      <c r="F5281" s="328">
        <v>132.572405</v>
      </c>
      <c r="G5281" s="328">
        <v>4470.6581999999999</v>
      </c>
      <c r="H5281" s="328">
        <v>4991.7816499999999</v>
      </c>
      <c r="I5281" s="329">
        <v>8.1051424067434111E-2</v>
      </c>
      <c r="J5281" s="329">
        <v>0.49898024792546525</v>
      </c>
      <c r="K5281" s="329">
        <v>0.5967378874363487</v>
      </c>
    </row>
    <row r="5282" spans="1:11" ht="11.25" x14ac:dyDescent="0.15">
      <c r="A5282" s="326">
        <v>0.97499999999999998</v>
      </c>
      <c r="B5282" s="327">
        <v>150</v>
      </c>
      <c r="C5282" s="327" t="s">
        <v>111</v>
      </c>
      <c r="D5282" s="327" t="s">
        <v>79</v>
      </c>
      <c r="E5282" s="328" t="s">
        <v>4622</v>
      </c>
      <c r="F5282" s="328">
        <v>1164.0934500000001</v>
      </c>
      <c r="G5282" s="328">
        <v>5253.0913499999997</v>
      </c>
      <c r="H5282" s="328">
        <v>5440.0173750000004</v>
      </c>
      <c r="I5282" s="329">
        <v>0.7116973692230476</v>
      </c>
      <c r="J5282" s="329">
        <v>0.586309377039407</v>
      </c>
      <c r="K5282" s="329">
        <v>0.65032180964376352</v>
      </c>
    </row>
    <row r="5283" spans="1:11" ht="11.25" x14ac:dyDescent="0.15">
      <c r="A5283" s="326">
        <v>0.97499999999999998</v>
      </c>
      <c r="B5283" s="327">
        <v>150</v>
      </c>
      <c r="C5283" s="327" t="s">
        <v>111</v>
      </c>
      <c r="D5283" s="327" t="s">
        <v>114</v>
      </c>
      <c r="E5283" s="328" t="s">
        <v>4623</v>
      </c>
      <c r="F5283" s="328">
        <v>322.35615750000005</v>
      </c>
      <c r="G5283" s="328">
        <v>4885.6811250000001</v>
      </c>
      <c r="H5283" s="328">
        <v>5355.5697</v>
      </c>
      <c r="I5283" s="329">
        <v>0.19708042274922208</v>
      </c>
      <c r="J5283" s="329">
        <v>0.54530189291529063</v>
      </c>
      <c r="K5283" s="329">
        <v>0.64022659100005308</v>
      </c>
    </row>
    <row r="5284" spans="1:11" ht="11.25" x14ac:dyDescent="0.15">
      <c r="A5284" s="326">
        <v>0.97499999999999998</v>
      </c>
      <c r="B5284" s="327">
        <v>150</v>
      </c>
      <c r="C5284" s="327" t="s">
        <v>111</v>
      </c>
      <c r="D5284" s="327" t="s">
        <v>113</v>
      </c>
      <c r="E5284" s="328" t="s">
        <v>4624</v>
      </c>
      <c r="F5284" s="328">
        <v>141.29290499999999</v>
      </c>
      <c r="G5284" s="328">
        <v>4713.6911249999994</v>
      </c>
      <c r="H5284" s="328">
        <v>5271.9488250000004</v>
      </c>
      <c r="I5284" s="329">
        <v>8.6382917778965243E-2</v>
      </c>
      <c r="J5284" s="329">
        <v>0.52610570098974796</v>
      </c>
      <c r="K5284" s="329">
        <v>0.63023021139216728</v>
      </c>
    </row>
    <row r="5285" spans="1:11" ht="11.25" x14ac:dyDescent="0.15">
      <c r="A5285" s="326">
        <v>1</v>
      </c>
      <c r="B5285" s="327">
        <v>150</v>
      </c>
      <c r="C5285" s="327" t="s">
        <v>111</v>
      </c>
      <c r="D5285" s="327" t="s">
        <v>79</v>
      </c>
      <c r="E5285" s="328" t="s">
        <v>4625</v>
      </c>
      <c r="F5285" s="328">
        <v>1238.3130000000001</v>
      </c>
      <c r="G5285" s="328">
        <v>5589.7910000000002</v>
      </c>
      <c r="H5285" s="328">
        <v>5734.482</v>
      </c>
      <c r="I5285" s="329">
        <v>0.7570733297869684</v>
      </c>
      <c r="J5285" s="329">
        <v>0.62388918460184106</v>
      </c>
      <c r="K5285" s="329">
        <v>0.68552330894156155</v>
      </c>
    </row>
    <row r="5286" spans="1:11" ht="11.25" x14ac:dyDescent="0.15">
      <c r="A5286" s="326">
        <v>1</v>
      </c>
      <c r="B5286" s="327">
        <v>150</v>
      </c>
      <c r="C5286" s="327" t="s">
        <v>111</v>
      </c>
      <c r="D5286" s="327" t="s">
        <v>114</v>
      </c>
      <c r="E5286" s="328" t="s">
        <v>4626</v>
      </c>
      <c r="F5286" s="328">
        <v>343.66229999999996</v>
      </c>
      <c r="G5286" s="328">
        <v>5168.8630000000003</v>
      </c>
      <c r="H5286" s="328">
        <v>5646.5439999999999</v>
      </c>
      <c r="I5286" s="329">
        <v>0.21010646079242326</v>
      </c>
      <c r="J5286" s="329">
        <v>0.5769084608688636</v>
      </c>
      <c r="K5286" s="329">
        <v>0.67501084264701172</v>
      </c>
    </row>
    <row r="5287" spans="1:11" ht="11.25" x14ac:dyDescent="0.15">
      <c r="A5287" s="326">
        <v>1</v>
      </c>
      <c r="B5287" s="327">
        <v>150</v>
      </c>
      <c r="C5287" s="327" t="s">
        <v>111</v>
      </c>
      <c r="D5287" s="327" t="s">
        <v>113</v>
      </c>
      <c r="E5287" s="328" t="s">
        <v>4627</v>
      </c>
      <c r="F5287" s="328">
        <v>150.4701</v>
      </c>
      <c r="G5287" s="328">
        <v>4967.0739999999996</v>
      </c>
      <c r="H5287" s="328">
        <v>5559.9050000000007</v>
      </c>
      <c r="I5287" s="329">
        <v>9.199362329263934E-2</v>
      </c>
      <c r="J5287" s="329">
        <v>0.55438633532398707</v>
      </c>
      <c r="K5287" s="329">
        <v>0.66465366409742566</v>
      </c>
    </row>
    <row r="5288" spans="1:11" ht="11.25" x14ac:dyDescent="0.15">
      <c r="A5288" s="326">
        <v>1.0249999999999999</v>
      </c>
      <c r="B5288" s="327">
        <v>150</v>
      </c>
      <c r="C5288" s="327" t="s">
        <v>111</v>
      </c>
      <c r="D5288" s="327" t="s">
        <v>79</v>
      </c>
      <c r="E5288" s="328" t="s">
        <v>4628</v>
      </c>
      <c r="F5288" s="328">
        <v>1316.3418999999999</v>
      </c>
      <c r="G5288" s="328">
        <v>5946.8111749999989</v>
      </c>
      <c r="H5288" s="328">
        <v>6036.8235999999997</v>
      </c>
      <c r="I5288" s="329">
        <v>0.80477823084398248</v>
      </c>
      <c r="J5288" s="329">
        <v>0.66373701180453182</v>
      </c>
      <c r="K5288" s="329">
        <v>0.7216664538782247</v>
      </c>
    </row>
    <row r="5289" spans="1:11" ht="11.25" x14ac:dyDescent="0.15">
      <c r="A5289" s="326">
        <v>1.0249999999999999</v>
      </c>
      <c r="B5289" s="327">
        <v>150</v>
      </c>
      <c r="C5289" s="327" t="s">
        <v>111</v>
      </c>
      <c r="D5289" s="327" t="s">
        <v>114</v>
      </c>
      <c r="E5289" s="328" t="s">
        <v>4629</v>
      </c>
      <c r="F5289" s="328">
        <v>366.07803249999995</v>
      </c>
      <c r="G5289" s="328">
        <v>5467.6093249999994</v>
      </c>
      <c r="H5289" s="328">
        <v>5945.2142249999997</v>
      </c>
      <c r="I5289" s="329">
        <v>0.22381087417045364</v>
      </c>
      <c r="J5289" s="329">
        <v>0.61025221220179293</v>
      </c>
      <c r="K5289" s="329">
        <v>0.71071509647923592</v>
      </c>
    </row>
    <row r="5290" spans="1:11" ht="11.25" x14ac:dyDescent="0.15">
      <c r="A5290" s="326">
        <v>1.0249999999999999</v>
      </c>
      <c r="B5290" s="327">
        <v>150</v>
      </c>
      <c r="C5290" s="327" t="s">
        <v>111</v>
      </c>
      <c r="D5290" s="327" t="s">
        <v>113</v>
      </c>
      <c r="E5290" s="328" t="s">
        <v>4630</v>
      </c>
      <c r="F5290" s="328">
        <v>160.12447499999999</v>
      </c>
      <c r="G5290" s="328">
        <v>5232.2887999999994</v>
      </c>
      <c r="H5290" s="328">
        <v>5855.1495249999998</v>
      </c>
      <c r="I5290" s="329">
        <v>9.7896064620689727E-2</v>
      </c>
      <c r="J5290" s="329">
        <v>0.58398755750140652</v>
      </c>
      <c r="K5290" s="329">
        <v>0.69994839581423618</v>
      </c>
    </row>
    <row r="5291" spans="1:11" ht="11.25" x14ac:dyDescent="0.15">
      <c r="A5291" s="326">
        <v>1.05</v>
      </c>
      <c r="B5291" s="327">
        <v>150</v>
      </c>
      <c r="C5291" s="327" t="s">
        <v>111</v>
      </c>
      <c r="D5291" s="327" t="s">
        <v>79</v>
      </c>
      <c r="E5291" s="328" t="s">
        <v>4631</v>
      </c>
      <c r="F5291" s="328">
        <v>1398.3564000000001</v>
      </c>
      <c r="G5291" s="328">
        <v>6324.2948999999999</v>
      </c>
      <c r="H5291" s="328">
        <v>6346.9255500000008</v>
      </c>
      <c r="I5291" s="329">
        <v>0.85491982719790383</v>
      </c>
      <c r="J5291" s="329">
        <v>0.70586882199040746</v>
      </c>
      <c r="K5291" s="329">
        <v>0.75873730262676586</v>
      </c>
    </row>
    <row r="5292" spans="1:11" ht="11.25" x14ac:dyDescent="0.15">
      <c r="A5292" s="326">
        <v>1.05</v>
      </c>
      <c r="B5292" s="327">
        <v>150</v>
      </c>
      <c r="C5292" s="327" t="s">
        <v>111</v>
      </c>
      <c r="D5292" s="327" t="s">
        <v>114</v>
      </c>
      <c r="E5292" s="328" t="s">
        <v>4632</v>
      </c>
      <c r="F5292" s="328">
        <v>389.65352999999999</v>
      </c>
      <c r="G5292" s="328">
        <v>5783.7916500000001</v>
      </c>
      <c r="H5292" s="328">
        <v>6252.0580500000005</v>
      </c>
      <c r="I5292" s="329">
        <v>0.23822433861256917</v>
      </c>
      <c r="J5292" s="329">
        <v>0.64554203483197081</v>
      </c>
      <c r="K5292" s="329">
        <v>0.74739645570963997</v>
      </c>
    </row>
    <row r="5293" spans="1:11" ht="11.25" x14ac:dyDescent="0.15">
      <c r="A5293" s="326">
        <v>1.05</v>
      </c>
      <c r="B5293" s="327">
        <v>150</v>
      </c>
      <c r="C5293" s="327" t="s">
        <v>111</v>
      </c>
      <c r="D5293" s="327" t="s">
        <v>113</v>
      </c>
      <c r="E5293" s="328" t="s">
        <v>4633</v>
      </c>
      <c r="F5293" s="328">
        <v>170.27944500000004</v>
      </c>
      <c r="G5293" s="328">
        <v>5510.8714500000006</v>
      </c>
      <c r="H5293" s="328">
        <v>6158.3087999999998</v>
      </c>
      <c r="I5293" s="329">
        <v>0.10410455710343586</v>
      </c>
      <c r="J5293" s="329">
        <v>0.61508079557644746</v>
      </c>
      <c r="K5293" s="329">
        <v>0.7361892889470989</v>
      </c>
    </row>
    <row r="5294" spans="1:11" ht="11.25" x14ac:dyDescent="0.15">
      <c r="A5294" s="326">
        <v>1.075</v>
      </c>
      <c r="B5294" s="327">
        <v>150</v>
      </c>
      <c r="C5294" s="327" t="s">
        <v>111</v>
      </c>
      <c r="D5294" s="327" t="s">
        <v>79</v>
      </c>
      <c r="E5294" s="328" t="s">
        <v>4634</v>
      </c>
      <c r="F5294" s="328">
        <v>1484.5395249999999</v>
      </c>
      <c r="G5294" s="328">
        <v>6722.9984000000004</v>
      </c>
      <c r="H5294" s="328">
        <v>6664.6613749999988</v>
      </c>
      <c r="I5294" s="329">
        <v>0.90761001571663569</v>
      </c>
      <c r="J5294" s="329">
        <v>0.75036901913783216</v>
      </c>
      <c r="K5294" s="329">
        <v>0.79672073585112257</v>
      </c>
    </row>
    <row r="5295" spans="1:11" ht="11.25" x14ac:dyDescent="0.15">
      <c r="A5295" s="326">
        <v>1.075</v>
      </c>
      <c r="B5295" s="327">
        <v>150</v>
      </c>
      <c r="C5295" s="327" t="s">
        <v>111</v>
      </c>
      <c r="D5295" s="327" t="s">
        <v>114</v>
      </c>
      <c r="E5295" s="328" t="s">
        <v>4635</v>
      </c>
      <c r="F5295" s="328">
        <v>414.44464249999999</v>
      </c>
      <c r="G5295" s="328">
        <v>6116.8080499999996</v>
      </c>
      <c r="H5295" s="328">
        <v>6566.2902749999994</v>
      </c>
      <c r="I5295" s="329">
        <v>0.25338099939986475</v>
      </c>
      <c r="J5295" s="329">
        <v>0.68271074655214781</v>
      </c>
      <c r="K5295" s="329">
        <v>0.78496105433564811</v>
      </c>
    </row>
    <row r="5296" spans="1:11" ht="11.25" x14ac:dyDescent="0.15">
      <c r="A5296" s="326">
        <v>1.075</v>
      </c>
      <c r="B5296" s="327">
        <v>150</v>
      </c>
      <c r="C5296" s="327" t="s">
        <v>111</v>
      </c>
      <c r="D5296" s="327" t="s">
        <v>113</v>
      </c>
      <c r="E5296" s="328" t="s">
        <v>4636</v>
      </c>
      <c r="F5296" s="328">
        <v>180.96141499999999</v>
      </c>
      <c r="G5296" s="328">
        <v>5802.7790500000001</v>
      </c>
      <c r="H5296" s="328">
        <v>6468.9887999999992</v>
      </c>
      <c r="I5296" s="329">
        <v>0.11063524409176956</v>
      </c>
      <c r="J5296" s="329">
        <v>0.64766126138332292</v>
      </c>
      <c r="K5296" s="329">
        <v>0.77332924014442828</v>
      </c>
    </row>
    <row r="5297" spans="1:11" ht="11.25" x14ac:dyDescent="0.15">
      <c r="A5297" s="326">
        <v>1.1000000000000001</v>
      </c>
      <c r="B5297" s="327">
        <v>150</v>
      </c>
      <c r="C5297" s="327" t="s">
        <v>111</v>
      </c>
      <c r="D5297" s="327" t="s">
        <v>79</v>
      </c>
      <c r="E5297" s="328" t="s">
        <v>4637</v>
      </c>
      <c r="F5297" s="328">
        <v>1575.0889</v>
      </c>
      <c r="G5297" s="328">
        <v>7144.8630000000003</v>
      </c>
      <c r="H5297" s="328">
        <v>6990.4593000000004</v>
      </c>
      <c r="I5297" s="329">
        <v>0.96296961933977365</v>
      </c>
      <c r="J5297" s="329">
        <v>0.79745427890986686</v>
      </c>
      <c r="K5297" s="329">
        <v>0.8356679453100232</v>
      </c>
    </row>
    <row r="5298" spans="1:11" ht="11.25" x14ac:dyDescent="0.15">
      <c r="A5298" s="326">
        <v>1.1000000000000001</v>
      </c>
      <c r="B5298" s="327">
        <v>150</v>
      </c>
      <c r="C5298" s="327" t="s">
        <v>111</v>
      </c>
      <c r="D5298" s="327" t="s">
        <v>114</v>
      </c>
      <c r="E5298" s="328" t="s">
        <v>4638</v>
      </c>
      <c r="F5298" s="328">
        <v>440.50831000000005</v>
      </c>
      <c r="G5298" s="328">
        <v>6468.9119000000001</v>
      </c>
      <c r="H5298" s="328">
        <v>6888.3078000000005</v>
      </c>
      <c r="I5298" s="329">
        <v>0.26931566821193842</v>
      </c>
      <c r="J5298" s="329">
        <v>0.72200985162989928</v>
      </c>
      <c r="K5298" s="329">
        <v>0.82345633939804308</v>
      </c>
    </row>
    <row r="5299" spans="1:11" ht="11.25" x14ac:dyDescent="0.15">
      <c r="A5299" s="326">
        <v>1.1000000000000001</v>
      </c>
      <c r="B5299" s="327">
        <v>150</v>
      </c>
      <c r="C5299" s="327" t="s">
        <v>111</v>
      </c>
      <c r="D5299" s="327" t="s">
        <v>113</v>
      </c>
      <c r="E5299" s="328" t="s">
        <v>4639</v>
      </c>
      <c r="F5299" s="328">
        <v>192.19739000000004</v>
      </c>
      <c r="G5299" s="328">
        <v>6110.0302999999994</v>
      </c>
      <c r="H5299" s="328">
        <v>6787.4983000000011</v>
      </c>
      <c r="I5299" s="329">
        <v>0.1175046357614469</v>
      </c>
      <c r="J5299" s="329">
        <v>0.6819542665834093</v>
      </c>
      <c r="K5299" s="329">
        <v>0.81140516162597165</v>
      </c>
    </row>
    <row r="5300" spans="1:11" ht="11.25" x14ac:dyDescent="0.15">
      <c r="A5300" s="326">
        <v>1.125</v>
      </c>
      <c r="B5300" s="327">
        <v>150</v>
      </c>
      <c r="C5300" s="327" t="s">
        <v>111</v>
      </c>
      <c r="D5300" s="327" t="s">
        <v>79</v>
      </c>
      <c r="E5300" s="328" t="s">
        <v>4640</v>
      </c>
      <c r="F5300" s="328">
        <v>1670.205375</v>
      </c>
      <c r="G5300" s="328">
        <v>7589.9778749999996</v>
      </c>
      <c r="H5300" s="328">
        <v>7324.0346249999993</v>
      </c>
      <c r="I5300" s="329">
        <v>1.0211214326905573</v>
      </c>
      <c r="J5300" s="329">
        <v>0.84713455432944884</v>
      </c>
      <c r="K5300" s="329">
        <v>0.87554489680716907</v>
      </c>
    </row>
    <row r="5301" spans="1:11" ht="11.25" x14ac:dyDescent="0.15">
      <c r="A5301" s="326">
        <v>1.125</v>
      </c>
      <c r="B5301" s="327">
        <v>150</v>
      </c>
      <c r="C5301" s="327" t="s">
        <v>111</v>
      </c>
      <c r="D5301" s="327" t="s">
        <v>114</v>
      </c>
      <c r="E5301" s="328" t="s">
        <v>4641</v>
      </c>
      <c r="F5301" s="328">
        <v>467.90392500000002</v>
      </c>
      <c r="G5301" s="328">
        <v>6841.7898749999995</v>
      </c>
      <c r="H5301" s="328">
        <v>7217.9741249999997</v>
      </c>
      <c r="I5301" s="329">
        <v>0.28606465612502002</v>
      </c>
      <c r="J5301" s="329">
        <v>0.76362760366727156</v>
      </c>
      <c r="K5301" s="329">
        <v>0.86286599313147594</v>
      </c>
    </row>
    <row r="5302" spans="1:11" ht="11.25" x14ac:dyDescent="0.15">
      <c r="A5302" s="326">
        <v>1.125</v>
      </c>
      <c r="B5302" s="327">
        <v>150</v>
      </c>
      <c r="C5302" s="327" t="s">
        <v>111</v>
      </c>
      <c r="D5302" s="327" t="s">
        <v>113</v>
      </c>
      <c r="E5302" s="328" t="s">
        <v>4642</v>
      </c>
      <c r="F5302" s="328">
        <v>204.01695000000001</v>
      </c>
      <c r="G5302" s="328">
        <v>6433.1651250000004</v>
      </c>
      <c r="H5302" s="328">
        <v>7113.3389999999999</v>
      </c>
      <c r="I5302" s="329">
        <v>0.1247308165782653</v>
      </c>
      <c r="J5302" s="329">
        <v>0.71802007342407814</v>
      </c>
      <c r="K5302" s="329">
        <v>0.85035748458240146</v>
      </c>
    </row>
    <row r="5303" spans="1:11" ht="11.25" x14ac:dyDescent="0.15">
      <c r="A5303" s="326">
        <v>1.1499999999999999</v>
      </c>
      <c r="B5303" s="327">
        <v>150</v>
      </c>
      <c r="C5303" s="327" t="s">
        <v>111</v>
      </c>
      <c r="D5303" s="327" t="s">
        <v>79</v>
      </c>
      <c r="E5303" s="328" t="s">
        <v>4643</v>
      </c>
      <c r="F5303" s="328">
        <v>1770.1052999999999</v>
      </c>
      <c r="G5303" s="328">
        <v>8059.2644</v>
      </c>
      <c r="H5303" s="328">
        <v>7665.7056499999999</v>
      </c>
      <c r="I5303" s="329">
        <v>1.0821977267012139</v>
      </c>
      <c r="J5303" s="329">
        <v>0.89951268213903623</v>
      </c>
      <c r="K5303" s="329">
        <v>0.9163896412195599</v>
      </c>
    </row>
    <row r="5304" spans="1:11" ht="11.25" x14ac:dyDescent="0.15">
      <c r="A5304" s="326">
        <v>1.1499999999999999</v>
      </c>
      <c r="B5304" s="327">
        <v>150</v>
      </c>
      <c r="C5304" s="327" t="s">
        <v>111</v>
      </c>
      <c r="D5304" s="327" t="s">
        <v>114</v>
      </c>
      <c r="E5304" s="328" t="s">
        <v>4644</v>
      </c>
      <c r="F5304" s="328">
        <v>496.69672999999995</v>
      </c>
      <c r="G5304" s="328">
        <v>7234.7983499999991</v>
      </c>
      <c r="H5304" s="328">
        <v>7555.2424000000001</v>
      </c>
      <c r="I5304" s="329">
        <v>0.30366785075776376</v>
      </c>
      <c r="J5304" s="329">
        <v>0.80749216622593656</v>
      </c>
      <c r="K5304" s="329">
        <v>0.90318441489633861</v>
      </c>
    </row>
    <row r="5305" spans="1:11" ht="11.25" x14ac:dyDescent="0.15">
      <c r="A5305" s="326">
        <v>1.1499999999999999</v>
      </c>
      <c r="B5305" s="327">
        <v>150</v>
      </c>
      <c r="C5305" s="327" t="s">
        <v>111</v>
      </c>
      <c r="D5305" s="327" t="s">
        <v>113</v>
      </c>
      <c r="E5305" s="328" t="s">
        <v>4645</v>
      </c>
      <c r="F5305" s="328">
        <v>216.45150499999997</v>
      </c>
      <c r="G5305" s="328">
        <v>6773.7529999999988</v>
      </c>
      <c r="H5305" s="328">
        <v>7447.1193999999996</v>
      </c>
      <c r="I5305" s="329">
        <v>0.13233298982385763</v>
      </c>
      <c r="J5305" s="329">
        <v>0.7560338545509615</v>
      </c>
      <c r="K5305" s="329">
        <v>0.89025895157939228</v>
      </c>
    </row>
    <row r="5306" spans="1:11" ht="11.25" x14ac:dyDescent="0.15">
      <c r="A5306" s="326">
        <v>1.175</v>
      </c>
      <c r="B5306" s="327">
        <v>150</v>
      </c>
      <c r="C5306" s="327" t="s">
        <v>111</v>
      </c>
      <c r="D5306" s="327" t="s">
        <v>79</v>
      </c>
      <c r="E5306" s="328" t="s">
        <v>4646</v>
      </c>
      <c r="F5306" s="328">
        <v>1875.0133000000001</v>
      </c>
      <c r="G5306" s="328">
        <v>8552.0941500000008</v>
      </c>
      <c r="H5306" s="328">
        <v>8014.8148250000004</v>
      </c>
      <c r="I5306" s="329">
        <v>1.1463358314302214</v>
      </c>
      <c r="J5306" s="329">
        <v>0.95451852240659363</v>
      </c>
      <c r="K5306" s="329">
        <v>0.95812357234496215</v>
      </c>
    </row>
    <row r="5307" spans="1:11" ht="11.25" x14ac:dyDescent="0.15">
      <c r="A5307" s="326">
        <v>1.175</v>
      </c>
      <c r="B5307" s="327">
        <v>150</v>
      </c>
      <c r="C5307" s="327" t="s">
        <v>111</v>
      </c>
      <c r="D5307" s="327" t="s">
        <v>114</v>
      </c>
      <c r="E5307" s="328" t="s">
        <v>4647</v>
      </c>
      <c r="F5307" s="328">
        <v>526.95401249999998</v>
      </c>
      <c r="G5307" s="328">
        <v>7649.4074500000006</v>
      </c>
      <c r="H5307" s="328">
        <v>7900.5178749999995</v>
      </c>
      <c r="I5307" s="329">
        <v>0.32216638999023567</v>
      </c>
      <c r="J5307" s="329">
        <v>0.85376762327388422</v>
      </c>
      <c r="K5307" s="329">
        <v>0.94446004992638466</v>
      </c>
    </row>
    <row r="5308" spans="1:11" ht="11.25" x14ac:dyDescent="0.15">
      <c r="A5308" s="326">
        <v>1.175</v>
      </c>
      <c r="B5308" s="327">
        <v>150</v>
      </c>
      <c r="C5308" s="327" t="s">
        <v>111</v>
      </c>
      <c r="D5308" s="327" t="s">
        <v>113</v>
      </c>
      <c r="E5308" s="328" t="s">
        <v>4648</v>
      </c>
      <c r="F5308" s="328">
        <v>229.53484000000003</v>
      </c>
      <c r="G5308" s="328">
        <v>7132.7153000000008</v>
      </c>
      <c r="H5308" s="328">
        <v>7788.9692500000001</v>
      </c>
      <c r="I5308" s="329">
        <v>0.14033181079494364</v>
      </c>
      <c r="J5308" s="329">
        <v>0.79609844670651841</v>
      </c>
      <c r="K5308" s="329">
        <v>0.93112507345983009</v>
      </c>
    </row>
    <row r="5309" spans="1:11" ht="11.25" x14ac:dyDescent="0.15">
      <c r="A5309" s="326">
        <v>1.2</v>
      </c>
      <c r="B5309" s="327">
        <v>150</v>
      </c>
      <c r="C5309" s="327" t="s">
        <v>111</v>
      </c>
      <c r="D5309" s="327" t="s">
        <v>79</v>
      </c>
      <c r="E5309" s="328" t="s">
        <v>4649</v>
      </c>
      <c r="F5309" s="328">
        <v>1985.1684</v>
      </c>
      <c r="G5309" s="328">
        <v>9070.616399999999</v>
      </c>
      <c r="H5309" s="328">
        <v>8371.9655999999995</v>
      </c>
      <c r="I5309" s="329">
        <v>1.213681880732794</v>
      </c>
      <c r="J5309" s="329">
        <v>1.0123919605638361</v>
      </c>
      <c r="K5309" s="329">
        <v>1.0008188290515039</v>
      </c>
    </row>
    <row r="5310" spans="1:11" ht="11.25" x14ac:dyDescent="0.15">
      <c r="A5310" s="326">
        <v>1.2</v>
      </c>
      <c r="B5310" s="327">
        <v>150</v>
      </c>
      <c r="C5310" s="327" t="s">
        <v>111</v>
      </c>
      <c r="D5310" s="327" t="s">
        <v>114</v>
      </c>
      <c r="E5310" s="328" t="s">
        <v>4650</v>
      </c>
      <c r="F5310" s="328">
        <v>558.74759999999992</v>
      </c>
      <c r="G5310" s="328">
        <v>8086.1088</v>
      </c>
      <c r="H5310" s="328">
        <v>8253.2807999999986</v>
      </c>
      <c r="I5310" s="329">
        <v>0.3416041873439728</v>
      </c>
      <c r="J5310" s="329">
        <v>0.90250884618651595</v>
      </c>
      <c r="K5310" s="329">
        <v>0.98663076519201864</v>
      </c>
    </row>
    <row r="5311" spans="1:11" ht="11.25" x14ac:dyDescent="0.15">
      <c r="A5311" s="326">
        <v>1.2</v>
      </c>
      <c r="B5311" s="327">
        <v>150</v>
      </c>
      <c r="C5311" s="327" t="s">
        <v>111</v>
      </c>
      <c r="D5311" s="327" t="s">
        <v>113</v>
      </c>
      <c r="E5311" s="328" t="s">
        <v>4651</v>
      </c>
      <c r="F5311" s="328">
        <v>243.30336</v>
      </c>
      <c r="G5311" s="328">
        <v>7509.9671999999991</v>
      </c>
      <c r="H5311" s="328">
        <v>8137.9704000000002</v>
      </c>
      <c r="I5311" s="329">
        <v>0.14874953659014925</v>
      </c>
      <c r="J5311" s="329">
        <v>0.83820438238112494</v>
      </c>
      <c r="K5311" s="329">
        <v>0.97284609083723406</v>
      </c>
    </row>
    <row r="5312" spans="1:11" ht="11.25" x14ac:dyDescent="0.15">
      <c r="A5312" s="326">
        <v>1.2250000000000001</v>
      </c>
      <c r="B5312" s="327">
        <v>150</v>
      </c>
      <c r="C5312" s="327" t="s">
        <v>111</v>
      </c>
      <c r="D5312" s="327" t="s">
        <v>79</v>
      </c>
      <c r="E5312" s="328" t="s">
        <v>4652</v>
      </c>
      <c r="F5312" s="328">
        <v>2100.8211000000001</v>
      </c>
      <c r="G5312" s="328">
        <v>9614.911075</v>
      </c>
      <c r="H5312" s="328">
        <v>8737.0466749999996</v>
      </c>
      <c r="I5312" s="329">
        <v>1.2843890239896711</v>
      </c>
      <c r="J5312" s="329">
        <v>1.0731419172203327</v>
      </c>
      <c r="K5312" s="329">
        <v>1.0444621060843626</v>
      </c>
    </row>
    <row r="5313" spans="1:11" ht="11.25" x14ac:dyDescent="0.15">
      <c r="A5313" s="326">
        <v>1.2250000000000001</v>
      </c>
      <c r="B5313" s="327">
        <v>150</v>
      </c>
      <c r="C5313" s="327" t="s">
        <v>111</v>
      </c>
      <c r="D5313" s="327" t="s">
        <v>114</v>
      </c>
      <c r="E5313" s="328" t="s">
        <v>4653</v>
      </c>
      <c r="F5313" s="328">
        <v>592.15373</v>
      </c>
      <c r="G5313" s="328">
        <v>8546.5751</v>
      </c>
      <c r="H5313" s="328">
        <v>8613.9452000000019</v>
      </c>
      <c r="I5313" s="329">
        <v>0.36202785250326325</v>
      </c>
      <c r="J5313" s="329">
        <v>0.95390252878460002</v>
      </c>
      <c r="K5313" s="329">
        <v>1.0297460549261961</v>
      </c>
    </row>
    <row r="5314" spans="1:11" ht="11.25" x14ac:dyDescent="0.15">
      <c r="A5314" s="326">
        <v>1.2250000000000001</v>
      </c>
      <c r="B5314" s="327">
        <v>150</v>
      </c>
      <c r="C5314" s="327" t="s">
        <v>111</v>
      </c>
      <c r="D5314" s="327" t="s">
        <v>113</v>
      </c>
      <c r="E5314" s="328" t="s">
        <v>4654</v>
      </c>
      <c r="F5314" s="328">
        <v>257.79598249999998</v>
      </c>
      <c r="G5314" s="328">
        <v>7908.0107749999997</v>
      </c>
      <c r="H5314" s="328">
        <v>8494.7955750000001</v>
      </c>
      <c r="I5314" s="329">
        <v>0.15760996038721875</v>
      </c>
      <c r="J5314" s="329">
        <v>0.88263092381044705</v>
      </c>
      <c r="K5314" s="329">
        <v>1.0155024239950767</v>
      </c>
    </row>
    <row r="5315" spans="1:11" ht="11.25" x14ac:dyDescent="0.15">
      <c r="A5315" s="326">
        <v>1.25</v>
      </c>
      <c r="B5315" s="327">
        <v>150</v>
      </c>
      <c r="C5315" s="327" t="s">
        <v>111</v>
      </c>
      <c r="D5315" s="327" t="s">
        <v>79</v>
      </c>
      <c r="E5315" s="328" t="s">
        <v>4655</v>
      </c>
      <c r="F5315" s="328">
        <v>2222.2375000000002</v>
      </c>
      <c r="G5315" s="328">
        <v>10184.984999999999</v>
      </c>
      <c r="H5315" s="328">
        <v>9109.6725000000006</v>
      </c>
      <c r="I5315" s="329">
        <v>1.3586199480280576</v>
      </c>
      <c r="J5315" s="329">
        <v>1.1367691541297307</v>
      </c>
      <c r="K5315" s="329">
        <v>1.0890073132279339</v>
      </c>
    </row>
    <row r="5316" spans="1:11" ht="11.25" x14ac:dyDescent="0.15">
      <c r="A5316" s="326">
        <v>1.25</v>
      </c>
      <c r="B5316" s="327">
        <v>150</v>
      </c>
      <c r="C5316" s="327" t="s">
        <v>111</v>
      </c>
      <c r="D5316" s="327" t="s">
        <v>114</v>
      </c>
      <c r="E5316" s="328" t="s">
        <v>4656</v>
      </c>
      <c r="F5316" s="328">
        <v>627.25362500000006</v>
      </c>
      <c r="G5316" s="328">
        <v>9030.41</v>
      </c>
      <c r="H5316" s="328">
        <v>8982.276249999999</v>
      </c>
      <c r="I5316" s="329">
        <v>0.38348704285564023</v>
      </c>
      <c r="J5316" s="329">
        <v>1.0079044335504335</v>
      </c>
      <c r="K5316" s="329">
        <v>1.0737778471930335</v>
      </c>
    </row>
    <row r="5317" spans="1:11" ht="11.25" x14ac:dyDescent="0.15">
      <c r="A5317" s="326">
        <v>1.25</v>
      </c>
      <c r="B5317" s="327">
        <v>150</v>
      </c>
      <c r="C5317" s="327" t="s">
        <v>111</v>
      </c>
      <c r="D5317" s="327" t="s">
        <v>113</v>
      </c>
      <c r="E5317" s="328" t="s">
        <v>4657</v>
      </c>
      <c r="F5317" s="328">
        <v>273.05549999999999</v>
      </c>
      <c r="G5317" s="328">
        <v>8325.84</v>
      </c>
      <c r="H5317" s="328">
        <v>8859.2987499999999</v>
      </c>
      <c r="I5317" s="329">
        <v>0.16693924444114333</v>
      </c>
      <c r="J5317" s="329">
        <v>0.92926578627454803</v>
      </c>
      <c r="K5317" s="329">
        <v>1.0590766165107572</v>
      </c>
    </row>
    <row r="5318" spans="1:11" ht="11.25" x14ac:dyDescent="0.15">
      <c r="A5318" s="326">
        <v>1.2749999999999999</v>
      </c>
      <c r="B5318" s="327">
        <v>150</v>
      </c>
      <c r="C5318" s="327" t="s">
        <v>111</v>
      </c>
      <c r="D5318" s="327" t="s">
        <v>79</v>
      </c>
      <c r="E5318" s="328" t="s">
        <v>4658</v>
      </c>
      <c r="F5318" s="328">
        <v>2349.6974999999998</v>
      </c>
      <c r="G5318" s="328">
        <v>10781.924024999998</v>
      </c>
      <c r="H5318" s="328">
        <v>9490.6626749999996</v>
      </c>
      <c r="I5318" s="329">
        <v>1.4365457766470309</v>
      </c>
      <c r="J5318" s="329">
        <v>1.2033948654603095</v>
      </c>
      <c r="K5318" s="329">
        <v>1.1345524288007482</v>
      </c>
    </row>
    <row r="5319" spans="1:11" ht="11.25" x14ac:dyDescent="0.15">
      <c r="A5319" s="326">
        <v>1.2749999999999999</v>
      </c>
      <c r="B5319" s="327">
        <v>150</v>
      </c>
      <c r="C5319" s="327" t="s">
        <v>111</v>
      </c>
      <c r="D5319" s="327" t="s">
        <v>114</v>
      </c>
      <c r="E5319" s="328" t="s">
        <v>4659</v>
      </c>
      <c r="F5319" s="328">
        <v>664.13385749999998</v>
      </c>
      <c r="G5319" s="328">
        <v>9538.8423749999984</v>
      </c>
      <c r="H5319" s="328">
        <v>9358.8212999999996</v>
      </c>
      <c r="I5319" s="329">
        <v>0.40603468664367481</v>
      </c>
      <c r="J5319" s="329">
        <v>1.0646517179952233</v>
      </c>
      <c r="K5319" s="329">
        <v>1.1187915744384178</v>
      </c>
    </row>
    <row r="5320" spans="1:11" ht="11.25" x14ac:dyDescent="0.15">
      <c r="A5320" s="326">
        <v>1.2749999999999999</v>
      </c>
      <c r="B5320" s="327">
        <v>150</v>
      </c>
      <c r="C5320" s="327" t="s">
        <v>111</v>
      </c>
      <c r="D5320" s="327" t="s">
        <v>113</v>
      </c>
      <c r="E5320" s="328" t="s">
        <v>4660</v>
      </c>
      <c r="F5320" s="328">
        <v>289.12613999999996</v>
      </c>
      <c r="G5320" s="328">
        <v>8766.3542999999991</v>
      </c>
      <c r="H5320" s="328">
        <v>9231.6336749999991</v>
      </c>
      <c r="I5320" s="329">
        <v>0.17676442832971401</v>
      </c>
      <c r="J5320" s="329">
        <v>0.97843258113905196</v>
      </c>
      <c r="K5320" s="329">
        <v>1.1035870482848056</v>
      </c>
    </row>
    <row r="5321" spans="1:11" ht="11.25" x14ac:dyDescent="0.15">
      <c r="A5321" s="326">
        <v>1.3</v>
      </c>
      <c r="B5321" s="327">
        <v>150</v>
      </c>
      <c r="C5321" s="327" t="s">
        <v>111</v>
      </c>
      <c r="D5321" s="327" t="s">
        <v>79</v>
      </c>
      <c r="E5321" s="328" t="s">
        <v>4661</v>
      </c>
      <c r="F5321" s="328">
        <v>2483.5018</v>
      </c>
      <c r="G5321" s="328">
        <v>11405.5435</v>
      </c>
      <c r="H5321" s="328">
        <v>9879.3227000000006</v>
      </c>
      <c r="I5321" s="329">
        <v>1.5183503502409563</v>
      </c>
      <c r="J5321" s="329">
        <v>1.2729984420089817</v>
      </c>
      <c r="K5321" s="329">
        <v>1.1810144294472427</v>
      </c>
    </row>
    <row r="5322" spans="1:11" ht="11.25" x14ac:dyDescent="0.15">
      <c r="A5322" s="326">
        <v>1.3</v>
      </c>
      <c r="B5322" s="327">
        <v>150</v>
      </c>
      <c r="C5322" s="327" t="s">
        <v>111</v>
      </c>
      <c r="D5322" s="327" t="s">
        <v>114</v>
      </c>
      <c r="E5322" s="328" t="s">
        <v>4662</v>
      </c>
      <c r="F5322" s="328">
        <v>702.88724999999999</v>
      </c>
      <c r="G5322" s="328">
        <v>10072.2791</v>
      </c>
      <c r="H5322" s="328">
        <v>9742.6329000000005</v>
      </c>
      <c r="I5322" s="329">
        <v>0.42972753320227219</v>
      </c>
      <c r="J5322" s="329">
        <v>1.1241897943556682</v>
      </c>
      <c r="K5322" s="329">
        <v>1.1646739746346615</v>
      </c>
    </row>
    <row r="5323" spans="1:11" ht="11.25" x14ac:dyDescent="0.15">
      <c r="A5323" s="326">
        <v>1.3</v>
      </c>
      <c r="B5323" s="327">
        <v>150</v>
      </c>
      <c r="C5323" s="327" t="s">
        <v>111</v>
      </c>
      <c r="D5323" s="327" t="s">
        <v>113</v>
      </c>
      <c r="E5323" s="328" t="s">
        <v>4663</v>
      </c>
      <c r="F5323" s="328">
        <v>306.05939000000001</v>
      </c>
      <c r="G5323" s="328">
        <v>9228.3880000000008</v>
      </c>
      <c r="H5323" s="328">
        <v>9611.3614999999991</v>
      </c>
      <c r="I5323" s="329">
        <v>0.18711699021157685</v>
      </c>
      <c r="J5323" s="329">
        <v>1.0300012047873373</v>
      </c>
      <c r="K5323" s="329">
        <v>1.1489812574027662</v>
      </c>
    </row>
    <row r="5324" spans="1:11" ht="11.25" x14ac:dyDescent="0.15">
      <c r="A5324" s="326">
        <v>1.325</v>
      </c>
      <c r="B5324" s="327">
        <v>150</v>
      </c>
      <c r="C5324" s="327" t="s">
        <v>111</v>
      </c>
      <c r="D5324" s="327" t="s">
        <v>79</v>
      </c>
      <c r="E5324" s="328" t="s">
        <v>4664</v>
      </c>
      <c r="F5324" s="328">
        <v>2623.9664000000002</v>
      </c>
      <c r="G5324" s="328">
        <v>12056.867974999999</v>
      </c>
      <c r="H5324" s="328">
        <v>10276.237574999999</v>
      </c>
      <c r="I5324" s="329">
        <v>1.6042268632382315</v>
      </c>
      <c r="J5324" s="329">
        <v>1.3456942361127275</v>
      </c>
      <c r="K5324" s="329">
        <v>1.2284632484474811</v>
      </c>
    </row>
    <row r="5325" spans="1:11" ht="11.25" x14ac:dyDescent="0.15">
      <c r="A5325" s="326">
        <v>1.325</v>
      </c>
      <c r="B5325" s="327">
        <v>150</v>
      </c>
      <c r="C5325" s="327" t="s">
        <v>111</v>
      </c>
      <c r="D5325" s="327" t="s">
        <v>114</v>
      </c>
      <c r="E5325" s="328" t="s">
        <v>4665</v>
      </c>
      <c r="F5325" s="328">
        <v>743.61292249999997</v>
      </c>
      <c r="G5325" s="328">
        <v>10631.772175</v>
      </c>
      <c r="H5325" s="328">
        <v>10134.4745</v>
      </c>
      <c r="I5325" s="329">
        <v>0.45462618199897264</v>
      </c>
      <c r="J5325" s="329">
        <v>1.1866360787251782</v>
      </c>
      <c r="K5325" s="329">
        <v>1.21151631370085</v>
      </c>
    </row>
    <row r="5326" spans="1:11" ht="11.25" x14ac:dyDescent="0.15">
      <c r="A5326" s="326">
        <v>1.325</v>
      </c>
      <c r="B5326" s="327">
        <v>150</v>
      </c>
      <c r="C5326" s="327" t="s">
        <v>111</v>
      </c>
      <c r="D5326" s="327" t="s">
        <v>113</v>
      </c>
      <c r="E5326" s="328" t="s">
        <v>4666</v>
      </c>
      <c r="F5326" s="328">
        <v>323.9088375</v>
      </c>
      <c r="G5326" s="328">
        <v>9713.6637749999991</v>
      </c>
      <c r="H5326" s="328">
        <v>9998.8382249999995</v>
      </c>
      <c r="I5326" s="329">
        <v>0.19802969213240193</v>
      </c>
      <c r="J5326" s="329">
        <v>1.0841639288626694</v>
      </c>
      <c r="K5326" s="329">
        <v>1.1953018015530208</v>
      </c>
    </row>
    <row r="5327" spans="1:11" ht="11.25" x14ac:dyDescent="0.15">
      <c r="A5327" s="326">
        <v>1.35</v>
      </c>
      <c r="B5327" s="327">
        <v>150</v>
      </c>
      <c r="C5327" s="327" t="s">
        <v>111</v>
      </c>
      <c r="D5327" s="327" t="s">
        <v>79</v>
      </c>
      <c r="E5327" s="328" t="s">
        <v>4667</v>
      </c>
      <c r="F5327" s="328">
        <v>2771.4298500000004</v>
      </c>
      <c r="G5327" s="328">
        <v>12735.8109</v>
      </c>
      <c r="H5327" s="328">
        <v>10680.916500000001</v>
      </c>
      <c r="I5327" s="329">
        <v>1.6943822965683948</v>
      </c>
      <c r="J5327" s="329">
        <v>1.4214725877307828</v>
      </c>
      <c r="K5327" s="329">
        <v>1.2768402135726511</v>
      </c>
    </row>
    <row r="5328" spans="1:11" ht="11.25" x14ac:dyDescent="0.15">
      <c r="A5328" s="326">
        <v>1.35</v>
      </c>
      <c r="B5328" s="327">
        <v>150</v>
      </c>
      <c r="C5328" s="327" t="s">
        <v>111</v>
      </c>
      <c r="D5328" s="327" t="s">
        <v>114</v>
      </c>
      <c r="E5328" s="328" t="s">
        <v>4668</v>
      </c>
      <c r="F5328" s="328">
        <v>786.41793000000007</v>
      </c>
      <c r="G5328" s="328">
        <v>11216.449350000001</v>
      </c>
      <c r="H5328" s="328">
        <v>10534.13235</v>
      </c>
      <c r="I5328" s="329">
        <v>0.48079608376014388</v>
      </c>
      <c r="J5328" s="329">
        <v>1.2518932173133754</v>
      </c>
      <c r="K5328" s="329">
        <v>1.2592930390923449</v>
      </c>
    </row>
    <row r="5329" spans="1:11" ht="11.25" x14ac:dyDescent="0.15">
      <c r="A5329" s="326">
        <v>1.35</v>
      </c>
      <c r="B5329" s="327">
        <v>150</v>
      </c>
      <c r="C5329" s="327" t="s">
        <v>111</v>
      </c>
      <c r="D5329" s="327" t="s">
        <v>113</v>
      </c>
      <c r="E5329" s="328" t="s">
        <v>4669</v>
      </c>
      <c r="F5329" s="328">
        <v>342.73340999999999</v>
      </c>
      <c r="G5329" s="328">
        <v>10223.101800000002</v>
      </c>
      <c r="H5329" s="328">
        <v>10394.238600000001</v>
      </c>
      <c r="I5329" s="329">
        <v>0.20953856087914949</v>
      </c>
      <c r="J5329" s="329">
        <v>1.1410234561728005</v>
      </c>
      <c r="K5329" s="329">
        <v>1.242569571061537</v>
      </c>
    </row>
    <row r="5330" spans="1:11" ht="11.25" x14ac:dyDescent="0.15">
      <c r="A5330" s="326">
        <v>1.375</v>
      </c>
      <c r="B5330" s="327">
        <v>150</v>
      </c>
      <c r="C5330" s="327" t="s">
        <v>111</v>
      </c>
      <c r="D5330" s="327" t="s">
        <v>79</v>
      </c>
      <c r="E5330" s="328" t="s">
        <v>4670</v>
      </c>
      <c r="F5330" s="328">
        <v>2926.2516249999999</v>
      </c>
      <c r="G5330" s="328">
        <v>13442.213125</v>
      </c>
      <c r="H5330" s="328">
        <v>11093.962</v>
      </c>
      <c r="I5330" s="329">
        <v>1.7890364241781171</v>
      </c>
      <c r="J5330" s="329">
        <v>1.5003157337725892</v>
      </c>
      <c r="K5330" s="329">
        <v>1.3262173531126167</v>
      </c>
    </row>
    <row r="5331" spans="1:11" ht="11.25" x14ac:dyDescent="0.15">
      <c r="A5331" s="326">
        <v>1.375</v>
      </c>
      <c r="B5331" s="327">
        <v>150</v>
      </c>
      <c r="C5331" s="327" t="s">
        <v>111</v>
      </c>
      <c r="D5331" s="327" t="s">
        <v>114</v>
      </c>
      <c r="E5331" s="328" t="s">
        <v>4671</v>
      </c>
      <c r="F5331" s="328">
        <v>831.41382500000009</v>
      </c>
      <c r="G5331" s="328">
        <v>11826.787499999999</v>
      </c>
      <c r="H5331" s="328">
        <v>10941.02075</v>
      </c>
      <c r="I5331" s="329">
        <v>0.50830543887019664</v>
      </c>
      <c r="J5331" s="329">
        <v>1.3200144352148846</v>
      </c>
      <c r="K5331" s="329">
        <v>1.3079341338482335</v>
      </c>
    </row>
    <row r="5332" spans="1:11" ht="11.25" x14ac:dyDescent="0.15">
      <c r="A5332" s="326">
        <v>1.375</v>
      </c>
      <c r="B5332" s="327">
        <v>150</v>
      </c>
      <c r="C5332" s="327" t="s">
        <v>111</v>
      </c>
      <c r="D5332" s="327" t="s">
        <v>113</v>
      </c>
      <c r="E5332" s="328" t="s">
        <v>4672</v>
      </c>
      <c r="F5332" s="328">
        <v>362.59657500000003</v>
      </c>
      <c r="G5332" s="328">
        <v>10755.188124999999</v>
      </c>
      <c r="H5332" s="328">
        <v>10797.023874999999</v>
      </c>
      <c r="I5332" s="329">
        <v>0.22168239888025096</v>
      </c>
      <c r="J5332" s="329">
        <v>1.200410811342616</v>
      </c>
      <c r="K5332" s="329">
        <v>1.2907201615614174</v>
      </c>
    </row>
    <row r="5333" spans="1:11" ht="11.25" x14ac:dyDescent="0.15">
      <c r="A5333" s="326">
        <v>1.4</v>
      </c>
      <c r="B5333" s="327">
        <v>150</v>
      </c>
      <c r="C5333" s="327" t="s">
        <v>111</v>
      </c>
      <c r="D5333" s="327" t="s">
        <v>79</v>
      </c>
      <c r="E5333" s="328" t="s">
        <v>4673</v>
      </c>
      <c r="F5333" s="328">
        <v>3088.8171999999995</v>
      </c>
      <c r="G5333" s="328">
        <v>14177.562</v>
      </c>
      <c r="H5333" s="328">
        <v>11515.069999999998</v>
      </c>
      <c r="I5333" s="329">
        <v>1.8884249157581805</v>
      </c>
      <c r="J5333" s="329">
        <v>1.5823896807272484</v>
      </c>
      <c r="K5333" s="329">
        <v>1.3765583167047533</v>
      </c>
    </row>
    <row r="5334" spans="1:11" ht="11.25" x14ac:dyDescent="0.15">
      <c r="A5334" s="326">
        <v>1.4</v>
      </c>
      <c r="B5334" s="327">
        <v>150</v>
      </c>
      <c r="C5334" s="327" t="s">
        <v>111</v>
      </c>
      <c r="D5334" s="327" t="s">
        <v>114</v>
      </c>
      <c r="E5334" s="328" t="s">
        <v>4674</v>
      </c>
      <c r="F5334" s="328">
        <v>878.72694000000001</v>
      </c>
      <c r="G5334" s="328">
        <v>12464.8622</v>
      </c>
      <c r="H5334" s="328">
        <v>11356.673999999999</v>
      </c>
      <c r="I5334" s="329">
        <v>0.53723148383269304</v>
      </c>
      <c r="J5334" s="329">
        <v>1.3912313920381478</v>
      </c>
      <c r="K5334" s="329">
        <v>1.3576230144327943</v>
      </c>
    </row>
    <row r="5335" spans="1:11" ht="11.25" x14ac:dyDescent="0.15">
      <c r="A5335" s="326">
        <v>1.4</v>
      </c>
      <c r="B5335" s="327">
        <v>150</v>
      </c>
      <c r="C5335" s="327" t="s">
        <v>111</v>
      </c>
      <c r="D5335" s="327" t="s">
        <v>113</v>
      </c>
      <c r="E5335" s="328" t="s">
        <v>4675</v>
      </c>
      <c r="F5335" s="328">
        <v>383.56961999999999</v>
      </c>
      <c r="G5335" s="328">
        <v>11312.923999999997</v>
      </c>
      <c r="H5335" s="328">
        <v>11207.715399999999</v>
      </c>
      <c r="I5335" s="329">
        <v>0.23450478951486589</v>
      </c>
      <c r="J5335" s="329">
        <v>1.2626609706557179</v>
      </c>
      <c r="K5335" s="329">
        <v>1.3398158973527683</v>
      </c>
    </row>
    <row r="5336" spans="1:11" ht="18" thickBot="1" x14ac:dyDescent="0.35">
      <c r="A5336" s="307" t="s">
        <v>6536</v>
      </c>
      <c r="B5336" s="308"/>
      <c r="C5336" s="308"/>
      <c r="D5336" s="308"/>
    </row>
    <row r="5337" spans="1:11" ht="15.75" thickTop="1" x14ac:dyDescent="0.25">
      <c r="A5337" s="309" t="s">
        <v>6537</v>
      </c>
      <c r="B5337" s="308"/>
      <c r="C5337" s="308"/>
      <c r="D5337" s="308"/>
    </row>
    <row r="5338" spans="1:11" ht="11.25" x14ac:dyDescent="0.2">
      <c r="A5338" s="310" t="s">
        <v>6538</v>
      </c>
      <c r="B5338" s="310" t="s">
        <v>47</v>
      </c>
      <c r="C5338" s="310" t="s">
        <v>5931</v>
      </c>
      <c r="D5338" s="311" t="s">
        <v>4</v>
      </c>
    </row>
    <row r="5339" spans="1:11" ht="11.25" x14ac:dyDescent="0.2">
      <c r="A5339" s="312" t="s">
        <v>61</v>
      </c>
      <c r="B5339" s="317">
        <f>SUM(PWRCALC!N$3:N$223)</f>
        <v>213.53472736145244</v>
      </c>
      <c r="C5339" s="317">
        <f ca="1">SUM(PWRCALC!O$3:O$223)</f>
        <v>944.63528717552629</v>
      </c>
      <c r="D5339" s="317">
        <f ca="1">B5339+C5339</f>
        <v>1158.1700145369787</v>
      </c>
    </row>
    <row r="5340" spans="1:11" ht="11.25" x14ac:dyDescent="0.2">
      <c r="A5340" s="312" t="s">
        <v>5874</v>
      </c>
      <c r="B5340" s="317">
        <f>SUM(PWRCALC!P$3:P$223)</f>
        <v>117.95312571776861</v>
      </c>
      <c r="C5340" s="317"/>
      <c r="D5340" s="317">
        <f>B5340+C5340</f>
        <v>117.95312571776861</v>
      </c>
    </row>
    <row r="5341" spans="1:11" ht="11.25" x14ac:dyDescent="0.2">
      <c r="A5341" s="312" t="s">
        <v>5873</v>
      </c>
      <c r="B5341" s="317">
        <f>SUM(PWRCALC!Q$3:Q$223)</f>
        <v>0.18141766486424049</v>
      </c>
      <c r="C5341" s="317">
        <f ca="1">SUM(PWRCALC!R$3:R$223)</f>
        <v>51.749999999999986</v>
      </c>
      <c r="D5341" s="317">
        <f ca="1">B5341+C5341</f>
        <v>51.931417664864227</v>
      </c>
    </row>
    <row r="5342" spans="1:11" ht="11.25" x14ac:dyDescent="0.2">
      <c r="A5342" s="312" t="s">
        <v>5944</v>
      </c>
      <c r="B5342" s="317">
        <f>SUM(PWRCALC!S$3:S$223)</f>
        <v>0.77321072071498231</v>
      </c>
      <c r="C5342" s="317">
        <f ca="1">SUM(PWRCALC!T$3:T$223)</f>
        <v>0</v>
      </c>
      <c r="D5342" s="317">
        <f ca="1">B5342+C5342</f>
        <v>0.77321072071498231</v>
      </c>
    </row>
    <row r="5343" spans="1:11" ht="11.25" x14ac:dyDescent="0.2">
      <c r="A5343" s="312" t="s">
        <v>5945</v>
      </c>
      <c r="B5343" s="317">
        <f>SUM(PWRCALC!U$3:U$223)</f>
        <v>3.1731984521173224</v>
      </c>
      <c r="C5343" s="317">
        <f ca="1">SUM(PWRCALC!V$3:V$223)</f>
        <v>57.307312010909087</v>
      </c>
      <c r="D5343" s="317">
        <f t="shared" ref="D5343" ca="1" si="96">B5343+C5343</f>
        <v>60.480510463026405</v>
      </c>
    </row>
    <row r="5344" spans="1:11" x14ac:dyDescent="0.15">
      <c r="B5344" s="333">
        <f>SUM(B5339:B5343)</f>
        <v>335.6156799169176</v>
      </c>
      <c r="C5344" s="333">
        <f ca="1">SUM(C5339:C5343)</f>
        <v>1053.6925991864355</v>
      </c>
      <c r="D5344" s="333">
        <f ca="1">SUM(D5339:D5343)</f>
        <v>1389.308279103353</v>
      </c>
    </row>
    <row r="5345" spans="1:5" x14ac:dyDescent="0.15">
      <c r="A5345" s="110" t="s">
        <v>6563</v>
      </c>
    </row>
    <row r="5346" spans="1:5" x14ac:dyDescent="0.15">
      <c r="A5346" s="110" t="s">
        <v>6564</v>
      </c>
      <c r="B5346" s="10" t="s">
        <v>6565</v>
      </c>
      <c r="C5346" s="110" t="s">
        <v>6566</v>
      </c>
      <c r="D5346" s="10" t="s">
        <v>6567</v>
      </c>
      <c r="E5346" s="10" t="s">
        <v>6</v>
      </c>
    </row>
    <row r="5347" spans="1:5" x14ac:dyDescent="0.15">
      <c r="A5347" s="110">
        <v>81</v>
      </c>
      <c r="B5347" s="10">
        <v>50</v>
      </c>
      <c r="C5347" s="10">
        <v>267</v>
      </c>
      <c r="D5347" s="10">
        <v>165</v>
      </c>
      <c r="E5347" s="10">
        <v>25</v>
      </c>
    </row>
    <row r="5348" spans="1:5" x14ac:dyDescent="0.15">
      <c r="A5348" s="110">
        <v>94</v>
      </c>
      <c r="B5348" s="10">
        <v>54</v>
      </c>
      <c r="C5348" s="10">
        <v>310</v>
      </c>
      <c r="D5348" s="10">
        <v>178</v>
      </c>
      <c r="E5348" s="10">
        <v>125</v>
      </c>
    </row>
    <row r="5350" spans="1:5" ht="11.25" x14ac:dyDescent="0.2">
      <c r="A5350" s="271" t="s">
        <v>6560</v>
      </c>
    </row>
    <row r="5351" spans="1:5" ht="11.25" x14ac:dyDescent="0.2">
      <c r="A5351" s="271" t="s">
        <v>6568</v>
      </c>
    </row>
    <row r="5352" spans="1:5" ht="11.25" x14ac:dyDescent="0.2">
      <c r="A5352" s="271" t="s">
        <v>6569</v>
      </c>
    </row>
    <row r="5354" spans="1:5" x14ac:dyDescent="0.15">
      <c r="A5354" s="110" t="s">
        <v>40</v>
      </c>
    </row>
  </sheetData>
  <autoFilter ref="A2:AM223" xr:uid="{F89EDE35-1C0E-4B32-848E-F3AC0706A764}">
    <sortState ref="A3:AM223">
      <sortCondition ref="E3:E223"/>
      <sortCondition ref="F3:F223"/>
      <sortCondition ref="A3:A223"/>
      <sortCondition ref="B3:B223"/>
    </sortState>
  </autoFilter>
  <sortState ref="B3:AL47">
    <sortCondition ref="D3:D47"/>
    <sortCondition ref="E3:E47"/>
    <sortCondition ref="B3:B47"/>
  </sortState>
  <conditionalFormatting sqref="L3:L4 J94:M97 J36:J47 K88:M93 K4:M4 J105:L115 L163:L192 J163:K175 J161:M161 G161 J77:M85 K11:M15 L10:M10 K7:M7 K20:M24 K27:M27 K29:M29 K31:M33 L30 J88:J99 M98:M99 J122:L122 J154:L159 J52:M75 K35:M47 J193:M223 J148:J153 L148:L153 J123:J145 L123:L145 K123:K153 K77:K104 L88:L104">
    <cfRule type="expression" dxfId="1120" priority="4357">
      <formula>G3="OFF"</formula>
    </cfRule>
  </conditionalFormatting>
  <conditionalFormatting sqref="A3 C94:C99 C193:C223">
    <cfRule type="expression" dxfId="1119" priority="4342">
      <formula>#REF!=0</formula>
    </cfRule>
  </conditionalFormatting>
  <conditionalFormatting sqref="A85:B85 A32:B32 A33:C33 A36:C47 A35:B35 A3:C4 A20:C24 C105:C115 C122:C145 C148:C159 C163:C192 B193:C223 C161 C77:C99 C52:C75 A7:C7 A11:C15 A27:C27 A29:C29 A31:C31 C31:C33 A10:B10 C35:C47">
    <cfRule type="expression" dxfId="1118" priority="4025">
      <formula>#REF!=0</formula>
    </cfRule>
  </conditionalFormatting>
  <conditionalFormatting sqref="A85:B85 A32:B32 A33:C33 A36:C47 A35:B35 A82:A84 B91:C99 B83:B89 A3:C4 A27:C27 A20:C24 B105:C115 B122:C145 B116:B121 B148:C158 B163:C192 C159 B161:C161 C77:C99 C52:C75 B100:B104 A7:C7 A11:C15 A29:C29 A31:C31 A31:A33 C31:C33 A10:B10 C35:C47 A35:A47">
    <cfRule type="expression" dxfId="1117" priority="4024">
      <formula>#REF!=0</formula>
    </cfRule>
  </conditionalFormatting>
  <conditionalFormatting sqref="A4 A20:A24 A27">
    <cfRule type="expression" dxfId="1116" priority="2430">
      <formula>#REF!=0</formula>
    </cfRule>
  </conditionalFormatting>
  <conditionalFormatting sqref="A80 A55:A75 A77:A78">
    <cfRule type="expression" dxfId="1115" priority="2417">
      <formula>#REF!=0</formula>
    </cfRule>
  </conditionalFormatting>
  <conditionalFormatting sqref="B52:B53 A80 A55:B75 A78 B78:B82 A77:B77">
    <cfRule type="expression" dxfId="1114" priority="2416">
      <formula>#REF!=0</formula>
    </cfRule>
  </conditionalFormatting>
  <conditionalFormatting sqref="A80 A55:B75 A78 B78:B82 A77:B77">
    <cfRule type="expression" dxfId="1113" priority="2415">
      <formula>#REF!=0</formula>
    </cfRule>
  </conditionalFormatting>
  <conditionalFormatting sqref="B52 A79">
    <cfRule type="expression" dxfId="1112" priority="2414">
      <formula>#REF!=0</formula>
    </cfRule>
  </conditionalFormatting>
  <conditionalFormatting sqref="B53">
    <cfRule type="expression" dxfId="1111" priority="2413">
      <formula>#REF!=0</formula>
    </cfRule>
  </conditionalFormatting>
  <conditionalFormatting sqref="A79">
    <cfRule type="expression" dxfId="1110" priority="2405">
      <formula>#REF!=0</formula>
    </cfRule>
  </conditionalFormatting>
  <conditionalFormatting sqref="B90">
    <cfRule type="expression" dxfId="1109" priority="2396">
      <formula>#REF!=0</formula>
    </cfRule>
  </conditionalFormatting>
  <conditionalFormatting sqref="B90">
    <cfRule type="expression" dxfId="1108" priority="2395">
      <formula>#REF!=0</formula>
    </cfRule>
  </conditionalFormatting>
  <conditionalFormatting sqref="A81">
    <cfRule type="expression" dxfId="1107" priority="2394">
      <formula>#REF!=0</formula>
    </cfRule>
  </conditionalFormatting>
  <conditionalFormatting sqref="A81">
    <cfRule type="expression" dxfId="1106" priority="2393">
      <formula>#REF!=0</formula>
    </cfRule>
  </conditionalFormatting>
  <conditionalFormatting sqref="A81">
    <cfRule type="expression" dxfId="1105" priority="2392">
      <formula>#REF!=0</formula>
    </cfRule>
  </conditionalFormatting>
  <conditionalFormatting sqref="B54">
    <cfRule type="expression" dxfId="1104" priority="2389">
      <formula>#REF!=0</formula>
    </cfRule>
  </conditionalFormatting>
  <conditionalFormatting sqref="B54">
    <cfRule type="expression" dxfId="1103" priority="2388">
      <formula>#REF!=0</formula>
    </cfRule>
  </conditionalFormatting>
  <conditionalFormatting sqref="A84">
    <cfRule type="expression" dxfId="1102" priority="2381">
      <formula>#REF!=0</formula>
    </cfRule>
  </conditionalFormatting>
  <conditionalFormatting sqref="A52:A54">
    <cfRule type="expression" dxfId="1101" priority="2378">
      <formula>#REF!=0</formula>
    </cfRule>
  </conditionalFormatting>
  <conditionalFormatting sqref="A52:A54">
    <cfRule type="expression" dxfId="1100" priority="2377">
      <formula>#REF!=0</formula>
    </cfRule>
  </conditionalFormatting>
  <conditionalFormatting sqref="A52:A54">
    <cfRule type="expression" dxfId="1099" priority="2376">
      <formula>#REF!=0</formula>
    </cfRule>
  </conditionalFormatting>
  <conditionalFormatting sqref="K3:M4 K27:M27 K20:M24 K7:M7 K11:M15 L10:M10 K52:M75">
    <cfRule type="expression" dxfId="1098" priority="2370">
      <formula>K3="OFF"</formula>
    </cfRule>
  </conditionalFormatting>
  <conditionalFormatting sqref="L3:M4 L27:M27 L20:M24 L7:M7 L10:M15 L52:M75">
    <cfRule type="expression" dxfId="1097" priority="2374">
      <formula>L3="OFF"</formula>
    </cfRule>
  </conditionalFormatting>
  <conditionalFormatting sqref="K3:M4 K27:M27 K20:M24 K7:M7 K11:M15 L10:M10 K52:M75">
    <cfRule type="expression" dxfId="1096" priority="2371">
      <formula>K3="OFF"</formula>
    </cfRule>
  </conditionalFormatting>
  <conditionalFormatting sqref="K163:L192 K122:L122 K154:L159 L148:L153 L123:L145 K123:K153 K94:L115">
    <cfRule type="expression" dxfId="1095" priority="2369">
      <formula>K94="OFF"</formula>
    </cfRule>
  </conditionalFormatting>
  <conditionalFormatting sqref="K163:L192 K122:L122 K154:L159 L148:L153 L123:L145 K123:K153 K94:L115">
    <cfRule type="expression" dxfId="1094" priority="2365">
      <formula>K94="OFF"</formula>
    </cfRule>
  </conditionalFormatting>
  <conditionalFormatting sqref="L163:L192 L122:L145 L148:L159 L94:L115">
    <cfRule type="expression" dxfId="1093" priority="2368">
      <formula>L94="OFF"</formula>
    </cfRule>
  </conditionalFormatting>
  <conditionalFormatting sqref="K163:L192 K122:L122 K154:L159 L148:L153 L123:L145 K123:K153 K94:L115">
    <cfRule type="expression" dxfId="1092" priority="2367">
      <formula>K94="OFF"</formula>
    </cfRule>
  </conditionalFormatting>
  <conditionalFormatting sqref="K163:L192 K122:L122 K154:L159 L148:L153 L123:L145 K123:K153 K94:L115">
    <cfRule type="expression" dxfId="1091" priority="2366">
      <formula>K94="OFF"</formula>
    </cfRule>
  </conditionalFormatting>
  <conditionalFormatting sqref="M94:M99 M105:M115 M122:M145 M148:M159 M163:M192">
    <cfRule type="expression" dxfId="1090" priority="2364">
      <formula>M94="OFF"</formula>
    </cfRule>
  </conditionalFormatting>
  <conditionalFormatting sqref="M94:M99 M105:M115 M122:M145 M148:M159 M163:M192">
    <cfRule type="expression" dxfId="1089" priority="2360">
      <formula>M94="OFF"</formula>
    </cfRule>
  </conditionalFormatting>
  <conditionalFormatting sqref="M94:M99 M105:M115 M122:M145 M148:M159 M163:M192">
    <cfRule type="expression" dxfId="1088" priority="2363">
      <formula>M94="OFF"</formula>
    </cfRule>
  </conditionalFormatting>
  <conditionalFormatting sqref="M94:M99 M105:M115 M122:M145 M148:M159 M163:M192">
    <cfRule type="expression" dxfId="1087" priority="2362">
      <formula>M94="OFF"</formula>
    </cfRule>
  </conditionalFormatting>
  <conditionalFormatting sqref="M94:M99 M105:M115 M122:M145 M148:M159 M163:M192">
    <cfRule type="expression" dxfId="1086" priority="2361">
      <formula>M94="OFF"</formula>
    </cfRule>
  </conditionalFormatting>
  <conditionalFormatting sqref="J33">
    <cfRule type="expression" dxfId="1085" priority="2354">
      <formula>J33="OFF"</formula>
    </cfRule>
  </conditionalFormatting>
  <conditionalFormatting sqref="J33">
    <cfRule type="expression" dxfId="1084" priority="2350">
      <formula>J33="OFF"</formula>
    </cfRule>
  </conditionalFormatting>
  <conditionalFormatting sqref="J33">
    <cfRule type="expression" dxfId="1083" priority="2353">
      <formula>J33="OFF"</formula>
    </cfRule>
  </conditionalFormatting>
  <conditionalFormatting sqref="J33">
    <cfRule type="expression" dxfId="1082" priority="2352">
      <formula>J33="OFF"</formula>
    </cfRule>
  </conditionalFormatting>
  <conditionalFormatting sqref="J33">
    <cfRule type="expression" dxfId="1081" priority="2351">
      <formula>J33="OFF"</formula>
    </cfRule>
  </conditionalFormatting>
  <conditionalFormatting sqref="K17:M17 K18">
    <cfRule type="expression" dxfId="1080" priority="1544">
      <formula>K17="OFF"</formula>
    </cfRule>
  </conditionalFormatting>
  <conditionalFormatting sqref="J160:L160">
    <cfRule type="expression" dxfId="1079" priority="1842">
      <formula>J160="OFF"</formula>
    </cfRule>
  </conditionalFormatting>
  <conditionalFormatting sqref="K160:L160">
    <cfRule type="expression" dxfId="1078" priority="1831">
      <formula>K160="OFF"</formula>
    </cfRule>
  </conditionalFormatting>
  <conditionalFormatting sqref="M160">
    <cfRule type="expression" dxfId="1077" priority="1827">
      <formula>M160="OFF"</formula>
    </cfRule>
  </conditionalFormatting>
  <conditionalFormatting sqref="M160">
    <cfRule type="expression" dxfId="1076" priority="1830">
      <formula>M160="OFF"</formula>
    </cfRule>
  </conditionalFormatting>
  <conditionalFormatting sqref="M160">
    <cfRule type="expression" dxfId="1075" priority="1829">
      <formula>M160="OFF"</formula>
    </cfRule>
  </conditionalFormatting>
  <conditionalFormatting sqref="M160">
    <cfRule type="expression" dxfId="1074" priority="1828">
      <formula>M160="OFF"</formula>
    </cfRule>
  </conditionalFormatting>
  <conditionalFormatting sqref="M160">
    <cfRule type="expression" dxfId="1073" priority="1826">
      <formula>M160="OFF"</formula>
    </cfRule>
  </conditionalFormatting>
  <conditionalFormatting sqref="G160">
    <cfRule type="expression" dxfId="1072" priority="1800">
      <formula>G160="OFF"</formula>
    </cfRule>
  </conditionalFormatting>
  <conditionalFormatting sqref="K35:M35 K32:M32">
    <cfRule type="expression" dxfId="1071" priority="2238">
      <formula>K32="OFF"</formula>
    </cfRule>
  </conditionalFormatting>
  <conditionalFormatting sqref="K86:M87">
    <cfRule type="expression" dxfId="1070" priority="2256">
      <formula>K86="OFF"</formula>
    </cfRule>
  </conditionalFormatting>
  <conditionalFormatting sqref="C86:C87">
    <cfRule type="expression" dxfId="1069" priority="2255">
      <formula>#REF!=0</formula>
    </cfRule>
  </conditionalFormatting>
  <conditionalFormatting sqref="C86:C87">
    <cfRule type="expression" dxfId="1068" priority="2254">
      <formula>#REF!=0</formula>
    </cfRule>
  </conditionalFormatting>
  <conditionalFormatting sqref="J86:J87">
    <cfRule type="expression" dxfId="1067" priority="2253">
      <formula>J86="OFF"</formula>
    </cfRule>
  </conditionalFormatting>
  <conditionalFormatting sqref="J86:J87">
    <cfRule type="expression" dxfId="1066" priority="2249">
      <formula>J86="OFF"</formula>
    </cfRule>
  </conditionalFormatting>
  <conditionalFormatting sqref="J86:J87">
    <cfRule type="expression" dxfId="1065" priority="2252">
      <formula>J86="OFF"</formula>
    </cfRule>
  </conditionalFormatting>
  <conditionalFormatting sqref="J86:J87">
    <cfRule type="expression" dxfId="1064" priority="2251">
      <formula>J86="OFF"</formula>
    </cfRule>
  </conditionalFormatting>
  <conditionalFormatting sqref="J86:J87">
    <cfRule type="expression" dxfId="1063" priority="2250">
      <formula>J86="OFF"</formula>
    </cfRule>
  </conditionalFormatting>
  <conditionalFormatting sqref="K30 M30">
    <cfRule type="expression" dxfId="1062" priority="1472">
      <formula>K30="OFF"</formula>
    </cfRule>
  </conditionalFormatting>
  <conditionalFormatting sqref="K30 M30">
    <cfRule type="expression" dxfId="1061" priority="1471">
      <formula>K30="OFF"</formula>
    </cfRule>
  </conditionalFormatting>
  <conditionalFormatting sqref="C35 C32">
    <cfRule type="expression" dxfId="1060" priority="2237">
      <formula>#REF!=0</formula>
    </cfRule>
  </conditionalFormatting>
  <conditionalFormatting sqref="C35 C32">
    <cfRule type="expression" dxfId="1059" priority="2236">
      <formula>#REF!=0</formula>
    </cfRule>
  </conditionalFormatting>
  <conditionalFormatting sqref="J35 J32">
    <cfRule type="expression" dxfId="1058" priority="2232">
      <formula>J32="OFF"</formula>
    </cfRule>
  </conditionalFormatting>
  <conditionalFormatting sqref="J35 J32">
    <cfRule type="expression" dxfId="1057" priority="2228">
      <formula>J32="OFF"</formula>
    </cfRule>
  </conditionalFormatting>
  <conditionalFormatting sqref="J35 J32">
    <cfRule type="expression" dxfId="1056" priority="2231">
      <formula>J32="OFF"</formula>
    </cfRule>
  </conditionalFormatting>
  <conditionalFormatting sqref="J35 J32">
    <cfRule type="expression" dxfId="1055" priority="2230">
      <formula>J32="OFF"</formula>
    </cfRule>
  </conditionalFormatting>
  <conditionalFormatting sqref="J35 J32">
    <cfRule type="expression" dxfId="1054" priority="2229">
      <formula>J32="OFF"</formula>
    </cfRule>
  </conditionalFormatting>
  <conditionalFormatting sqref="J76:M76">
    <cfRule type="expression" dxfId="1053" priority="1722">
      <formula>J76="OFF"</formula>
    </cfRule>
  </conditionalFormatting>
  <conditionalFormatting sqref="K48:M51">
    <cfRule type="expression" dxfId="1052" priority="1694">
      <formula>K48="OFF"</formula>
    </cfRule>
  </conditionalFormatting>
  <conditionalFormatting sqref="J48:M51">
    <cfRule type="expression" dxfId="1051" priority="1699">
      <formula>J48="OFF"</formula>
    </cfRule>
  </conditionalFormatting>
  <conditionalFormatting sqref="L48:M51">
    <cfRule type="expression" dxfId="1050" priority="1695">
      <formula>L48="OFF"</formula>
    </cfRule>
  </conditionalFormatting>
  <conditionalFormatting sqref="K48:M51">
    <cfRule type="expression" dxfId="1049" priority="1693">
      <formula>K48="OFF"</formula>
    </cfRule>
  </conditionalFormatting>
  <conditionalFormatting sqref="G77:G99 G105:G115 G122:G145 G148:G159 G163:G175">
    <cfRule type="expression" dxfId="1048" priority="2179">
      <formula>G77="OFF"</formula>
    </cfRule>
  </conditionalFormatting>
  <conditionalFormatting sqref="J176:J192">
    <cfRule type="expression" dxfId="1047" priority="2174">
      <formula>J176="OFF"</formula>
    </cfRule>
  </conditionalFormatting>
  <conditionalFormatting sqref="J176:J192">
    <cfRule type="expression" dxfId="1046" priority="2178">
      <formula>J176="OFF"</formula>
    </cfRule>
  </conditionalFormatting>
  <conditionalFormatting sqref="J176:J192">
    <cfRule type="expression" dxfId="1045" priority="2177">
      <formula>J176="OFF"</formula>
    </cfRule>
  </conditionalFormatting>
  <conditionalFormatting sqref="J176:J192">
    <cfRule type="expression" dxfId="1044" priority="2176">
      <formula>J176="OFF"</formula>
    </cfRule>
  </conditionalFormatting>
  <conditionalFormatting sqref="J176:J192">
    <cfRule type="expression" dxfId="1043" priority="2175">
      <formula>J176="OFF"</formula>
    </cfRule>
  </conditionalFormatting>
  <conditionalFormatting sqref="K3">
    <cfRule type="expression" dxfId="1042" priority="2167">
      <formula>K3="OFF"</formula>
    </cfRule>
  </conditionalFormatting>
  <conditionalFormatting sqref="K25:M25">
    <cfRule type="expression" dxfId="1041" priority="2166">
      <formula>K25="OFF"</formula>
    </cfRule>
  </conditionalFormatting>
  <conditionalFormatting sqref="A25:C25">
    <cfRule type="expression" dxfId="1040" priority="2165">
      <formula>#REF!=0</formula>
    </cfRule>
  </conditionalFormatting>
  <conditionalFormatting sqref="A25:C25">
    <cfRule type="expression" dxfId="1039" priority="2164">
      <formula>#REF!=0</formula>
    </cfRule>
  </conditionalFormatting>
  <conditionalFormatting sqref="A25">
    <cfRule type="expression" dxfId="1038" priority="2163">
      <formula>#REF!=0</formula>
    </cfRule>
  </conditionalFormatting>
  <conditionalFormatting sqref="K25:M25">
    <cfRule type="expression" dxfId="1037" priority="2160">
      <formula>K25="OFF"</formula>
    </cfRule>
  </conditionalFormatting>
  <conditionalFormatting sqref="L25:M25">
    <cfRule type="expression" dxfId="1036" priority="2162">
      <formula>L25="OFF"</formula>
    </cfRule>
  </conditionalFormatting>
  <conditionalFormatting sqref="K25:M25">
    <cfRule type="expression" dxfId="1035" priority="2161">
      <formula>K25="OFF"</formula>
    </cfRule>
  </conditionalFormatting>
  <conditionalFormatting sqref="L5:L6 K6 M6">
    <cfRule type="expression" dxfId="1034" priority="2138">
      <formula>K5="OFF"</formula>
    </cfRule>
  </conditionalFormatting>
  <conditionalFormatting sqref="A5">
    <cfRule type="expression" dxfId="1033" priority="2137">
      <formula>#REF!=0</formula>
    </cfRule>
  </conditionalFormatting>
  <conditionalFormatting sqref="A5:C6">
    <cfRule type="expression" dxfId="1032" priority="2136">
      <formula>#REF!=0</formula>
    </cfRule>
  </conditionalFormatting>
  <conditionalFormatting sqref="A5:C6">
    <cfRule type="expression" dxfId="1031" priority="2135">
      <formula>#REF!=0</formula>
    </cfRule>
  </conditionalFormatting>
  <conditionalFormatting sqref="A6">
    <cfRule type="expression" dxfId="1030" priority="2134">
      <formula>#REF!=0</formula>
    </cfRule>
  </conditionalFormatting>
  <conditionalFormatting sqref="K5:M6">
    <cfRule type="expression" dxfId="1029" priority="2131">
      <formula>K5="OFF"</formula>
    </cfRule>
  </conditionalFormatting>
  <conditionalFormatting sqref="L5:M6">
    <cfRule type="expression" dxfId="1028" priority="2133">
      <formula>L5="OFF"</formula>
    </cfRule>
  </conditionalFormatting>
  <conditionalFormatting sqref="K5:M6">
    <cfRule type="expression" dxfId="1027" priority="2132">
      <formula>K5="OFF"</formula>
    </cfRule>
  </conditionalFormatting>
  <conditionalFormatting sqref="K5">
    <cfRule type="expression" dxfId="1026" priority="2125">
      <formula>K5="OFF"</formula>
    </cfRule>
  </conditionalFormatting>
  <conditionalFormatting sqref="K16:M16">
    <cfRule type="expression" dxfId="1025" priority="2124">
      <formula>K16="OFF"</formula>
    </cfRule>
  </conditionalFormatting>
  <conditionalFormatting sqref="C16">
    <cfRule type="expression" dxfId="1024" priority="2123">
      <formula>#REF!=0</formula>
    </cfRule>
  </conditionalFormatting>
  <conditionalFormatting sqref="C16">
    <cfRule type="expression" dxfId="1023" priority="2122">
      <formula>#REF!=0</formula>
    </cfRule>
  </conditionalFormatting>
  <conditionalFormatting sqref="K16:M16">
    <cfRule type="expression" dxfId="1022" priority="2119">
      <formula>K16="OFF"</formula>
    </cfRule>
  </conditionalFormatting>
  <conditionalFormatting sqref="L16:M16">
    <cfRule type="expression" dxfId="1021" priority="2121">
      <formula>L16="OFF"</formula>
    </cfRule>
  </conditionalFormatting>
  <conditionalFormatting sqref="K16:M16">
    <cfRule type="expression" dxfId="1020" priority="2120">
      <formula>K16="OFF"</formula>
    </cfRule>
  </conditionalFormatting>
  <conditionalFormatting sqref="M100:M101">
    <cfRule type="expression" dxfId="1019" priority="1630">
      <formula>M100="OFF"</formula>
    </cfRule>
  </conditionalFormatting>
  <conditionalFormatting sqref="M100:M101">
    <cfRule type="expression" dxfId="1018" priority="1626">
      <formula>M100="OFF"</formula>
    </cfRule>
  </conditionalFormatting>
  <conditionalFormatting sqref="M100:M101">
    <cfRule type="expression" dxfId="1017" priority="1629">
      <formula>M100="OFF"</formula>
    </cfRule>
  </conditionalFormatting>
  <conditionalFormatting sqref="M100:M101">
    <cfRule type="expression" dxfId="1016" priority="1628">
      <formula>M100="OFF"</formula>
    </cfRule>
  </conditionalFormatting>
  <conditionalFormatting sqref="M100:M101">
    <cfRule type="expression" dxfId="1015" priority="1627">
      <formula>M100="OFF"</formula>
    </cfRule>
  </conditionalFormatting>
  <conditionalFormatting sqref="K16:M16">
    <cfRule type="expression" dxfId="1014" priority="2113">
      <formula>K16="OFF"</formula>
    </cfRule>
  </conditionalFormatting>
  <conditionalFormatting sqref="A16:C16">
    <cfRule type="expression" dxfId="1013" priority="2112">
      <formula>#REF!=0</formula>
    </cfRule>
  </conditionalFormatting>
  <conditionalFormatting sqref="A16:C16">
    <cfRule type="expression" dxfId="1012" priority="2111">
      <formula>#REF!=0</formula>
    </cfRule>
  </conditionalFormatting>
  <conditionalFormatting sqref="A16">
    <cfRule type="expression" dxfId="1011" priority="2110">
      <formula>#REF!=0</formula>
    </cfRule>
  </conditionalFormatting>
  <conditionalFormatting sqref="P94:P99 P105:P115 P122:P145 P148:P159 P163:P192">
    <cfRule type="expression" dxfId="1010" priority="1094">
      <formula>P94="OFF"</formula>
    </cfRule>
  </conditionalFormatting>
  <conditionalFormatting sqref="N94:N99 N105:N115 N122:N145 N148:N159 N163:N192">
    <cfRule type="expression" dxfId="1009" priority="1091">
      <formula>N94="OFF"</formula>
    </cfRule>
  </conditionalFormatting>
  <conditionalFormatting sqref="P94:P99 P105:P115 P122:P145 P148:P159 P163:P192">
    <cfRule type="expression" dxfId="1008" priority="1093">
      <formula>P94="OFF"</formula>
    </cfRule>
  </conditionalFormatting>
  <conditionalFormatting sqref="P94:P99 P105:P115 P122:P145 P148:P159 P163:P192">
    <cfRule type="expression" dxfId="1007" priority="1092">
      <formula>P94="OFF"</formula>
    </cfRule>
  </conditionalFormatting>
  <conditionalFormatting sqref="G100:G101">
    <cfRule type="expression" dxfId="1006" priority="1605">
      <formula>G100="OFF"</formula>
    </cfRule>
  </conditionalFormatting>
  <conditionalFormatting sqref="K28 M28">
    <cfRule type="expression" dxfId="1005" priority="2085">
      <formula>K28="OFF"</formula>
    </cfRule>
  </conditionalFormatting>
  <conditionalFormatting sqref="A28:C28">
    <cfRule type="expression" dxfId="1004" priority="2084">
      <formula>#REF!=0</formula>
    </cfRule>
  </conditionalFormatting>
  <conditionalFormatting sqref="A28:C28">
    <cfRule type="expression" dxfId="1003" priority="2083">
      <formula>#REF!=0</formula>
    </cfRule>
  </conditionalFormatting>
  <conditionalFormatting sqref="A28">
    <cfRule type="expression" dxfId="1002" priority="2082">
      <formula>#REF!=0</formula>
    </cfRule>
  </conditionalFormatting>
  <conditionalFormatting sqref="K28 M28">
    <cfRule type="expression" dxfId="1001" priority="2079">
      <formula>K28="OFF"</formula>
    </cfRule>
  </conditionalFormatting>
  <conditionalFormatting sqref="M28">
    <cfRule type="expression" dxfId="1000" priority="2081">
      <formula>M28="OFF"</formula>
    </cfRule>
  </conditionalFormatting>
  <conditionalFormatting sqref="K28 M28">
    <cfRule type="expression" dxfId="999" priority="2080">
      <formula>K28="OFF"</formula>
    </cfRule>
  </conditionalFormatting>
  <conditionalFormatting sqref="K8:M8 K10">
    <cfRule type="expression" dxfId="998" priority="1590">
      <formula>K8="OFF"</formula>
    </cfRule>
  </conditionalFormatting>
  <conditionalFormatting sqref="K8:M8 K10">
    <cfRule type="expression" dxfId="997" priority="1589">
      <formula>K8="OFF"</formula>
    </cfRule>
  </conditionalFormatting>
  <conditionalFormatting sqref="M18">
    <cfRule type="expression" dxfId="996" priority="1572">
      <formula>M18="OFF"</formula>
    </cfRule>
  </conditionalFormatting>
  <conditionalFormatting sqref="P86:P87">
    <cfRule type="expression" dxfId="995" priority="1066">
      <formula>P86="OFF"</formula>
    </cfRule>
  </conditionalFormatting>
  <conditionalFormatting sqref="N32">
    <cfRule type="expression" dxfId="994" priority="1063">
      <formula>N32="OFF"</formula>
    </cfRule>
  </conditionalFormatting>
  <conditionalFormatting sqref="N32">
    <cfRule type="expression" dxfId="993" priority="1065">
      <formula>N32="OFF"</formula>
    </cfRule>
  </conditionalFormatting>
  <conditionalFormatting sqref="N32">
    <cfRule type="expression" dxfId="992" priority="1064">
      <formula>N32="OFF"</formula>
    </cfRule>
  </conditionalFormatting>
  <conditionalFormatting sqref="M102:M104">
    <cfRule type="expression" dxfId="991" priority="2013">
      <formula>M102="OFF"</formula>
    </cfRule>
  </conditionalFormatting>
  <conditionalFormatting sqref="K26:M26">
    <cfRule type="expression" dxfId="990" priority="1500">
      <formula>K26="OFF"</formula>
    </cfRule>
  </conditionalFormatting>
  <conditionalFormatting sqref="G102:G104">
    <cfRule type="expression" dxfId="989" priority="1991">
      <formula>G102="OFF"</formula>
    </cfRule>
  </conditionalFormatting>
  <conditionalFormatting sqref="L26:M26">
    <cfRule type="expression" dxfId="988" priority="1501">
      <formula>L26="OFF"</formula>
    </cfRule>
  </conditionalFormatting>
  <conditionalFormatting sqref="K26:M26">
    <cfRule type="expression" dxfId="987" priority="1499">
      <formula>K26="OFF"</formula>
    </cfRule>
  </conditionalFormatting>
  <conditionalFormatting sqref="J102:J104 M102:M104">
    <cfRule type="expression" dxfId="986" priority="2029">
      <formula>J102="OFF"</formula>
    </cfRule>
  </conditionalFormatting>
  <conditionalFormatting sqref="C102:C104">
    <cfRule type="expression" dxfId="985" priority="2028">
      <formula>#REF!=0</formula>
    </cfRule>
  </conditionalFormatting>
  <conditionalFormatting sqref="C102:C104">
    <cfRule type="expression" dxfId="984" priority="2027">
      <formula>#REF!=0</formula>
    </cfRule>
  </conditionalFormatting>
  <conditionalFormatting sqref="C102:C104">
    <cfRule type="expression" dxfId="983" priority="2026">
      <formula>#REF!=0</formula>
    </cfRule>
  </conditionalFormatting>
  <conditionalFormatting sqref="M102:M104">
    <cfRule type="expression" dxfId="982" priority="2016">
      <formula>M102="OFF"</formula>
    </cfRule>
  </conditionalFormatting>
  <conditionalFormatting sqref="M102:M104">
    <cfRule type="expression" dxfId="981" priority="2012">
      <formula>M102="OFF"</formula>
    </cfRule>
  </conditionalFormatting>
  <conditionalFormatting sqref="M102:M104">
    <cfRule type="expression" dxfId="980" priority="2015">
      <formula>M102="OFF"</formula>
    </cfRule>
  </conditionalFormatting>
  <conditionalFormatting sqref="M102:M104">
    <cfRule type="expression" dxfId="979" priority="2014">
      <formula>M102="OFF"</formula>
    </cfRule>
  </conditionalFormatting>
  <conditionalFormatting sqref="J116:L121">
    <cfRule type="expression" dxfId="978" priority="1933">
      <formula>J116="OFF"</formula>
    </cfRule>
  </conditionalFormatting>
  <conditionalFormatting sqref="C116:C121">
    <cfRule type="expression" dxfId="977" priority="1932">
      <formula>#REF!=0</formula>
    </cfRule>
  </conditionalFormatting>
  <conditionalFormatting sqref="C116:C121">
    <cfRule type="expression" dxfId="976" priority="1931">
      <formula>#REF!=0</formula>
    </cfRule>
  </conditionalFormatting>
  <conditionalFormatting sqref="K116:L121">
    <cfRule type="expression" dxfId="975" priority="1926">
      <formula>K116="OFF"</formula>
    </cfRule>
  </conditionalFormatting>
  <conditionalFormatting sqref="K116:L121">
    <cfRule type="expression" dxfId="974" priority="1922">
      <formula>K116="OFF"</formula>
    </cfRule>
  </conditionalFormatting>
  <conditionalFormatting sqref="L116:L121">
    <cfRule type="expression" dxfId="973" priority="1925">
      <formula>L116="OFF"</formula>
    </cfRule>
  </conditionalFormatting>
  <conditionalFormatting sqref="K116:L121">
    <cfRule type="expression" dxfId="972" priority="1924">
      <formula>K116="OFF"</formula>
    </cfRule>
  </conditionalFormatting>
  <conditionalFormatting sqref="K116:L121">
    <cfRule type="expression" dxfId="971" priority="1923">
      <formula>K116="OFF"</formula>
    </cfRule>
  </conditionalFormatting>
  <conditionalFormatting sqref="M116:M121">
    <cfRule type="expression" dxfId="970" priority="1921">
      <formula>M116="OFF"</formula>
    </cfRule>
  </conditionalFormatting>
  <conditionalFormatting sqref="M116:M121">
    <cfRule type="expression" dxfId="969" priority="1917">
      <formula>M116="OFF"</formula>
    </cfRule>
  </conditionalFormatting>
  <conditionalFormatting sqref="M116:M121">
    <cfRule type="expression" dxfId="968" priority="1920">
      <formula>M116="OFF"</formula>
    </cfRule>
  </conditionalFormatting>
  <conditionalFormatting sqref="M116:M121">
    <cfRule type="expression" dxfId="967" priority="1919">
      <formula>M116="OFF"</formula>
    </cfRule>
  </conditionalFormatting>
  <conditionalFormatting sqref="M116:M121">
    <cfRule type="expression" dxfId="966" priority="1918">
      <formula>M116="OFF"</formula>
    </cfRule>
  </conditionalFormatting>
  <conditionalFormatting sqref="G116:G121">
    <cfRule type="expression" dxfId="965" priority="1896">
      <formula>G116="OFF"</formula>
    </cfRule>
  </conditionalFormatting>
  <conditionalFormatting sqref="K9:M9">
    <cfRule type="expression" dxfId="964" priority="1403">
      <formula>K9="OFF"</formula>
    </cfRule>
  </conditionalFormatting>
  <conditionalFormatting sqref="K9:M9">
    <cfRule type="expression" dxfId="963" priority="1406">
      <formula>K9="OFF"</formula>
    </cfRule>
  </conditionalFormatting>
  <conditionalFormatting sqref="L9:M9">
    <cfRule type="expression" dxfId="962" priority="1405">
      <formula>L9="OFF"</formula>
    </cfRule>
  </conditionalFormatting>
  <conditionalFormatting sqref="K9:M9">
    <cfRule type="expression" dxfId="961" priority="1404">
      <formula>K9="OFF"</formula>
    </cfRule>
  </conditionalFormatting>
  <conditionalFormatting sqref="J146:J147 L146:L147">
    <cfRule type="expression" dxfId="960" priority="1890">
      <formula>J146="OFF"</formula>
    </cfRule>
  </conditionalFormatting>
  <conditionalFormatting sqref="C146:C147">
    <cfRule type="expression" dxfId="959" priority="1889">
      <formula>#REF!=0</formula>
    </cfRule>
  </conditionalFormatting>
  <conditionalFormatting sqref="B146:C147">
    <cfRule type="expression" dxfId="958" priority="1888">
      <formula>#REF!=0</formula>
    </cfRule>
  </conditionalFormatting>
  <conditionalFormatting sqref="K19:M19">
    <cfRule type="expression" dxfId="957" priority="1396">
      <formula>K19="OFF"</formula>
    </cfRule>
  </conditionalFormatting>
  <conditionalFormatting sqref="L19:M19">
    <cfRule type="expression" dxfId="956" priority="1398">
      <formula>L19="OFF"</formula>
    </cfRule>
  </conditionalFormatting>
  <conditionalFormatting sqref="K19:M19">
    <cfRule type="expression" dxfId="955" priority="1397">
      <formula>K19="OFF"</formula>
    </cfRule>
  </conditionalFormatting>
  <conditionalFormatting sqref="L146:L147">
    <cfRule type="expression" dxfId="954" priority="1883">
      <formula>L146="OFF"</formula>
    </cfRule>
  </conditionalFormatting>
  <conditionalFormatting sqref="L146:L147">
    <cfRule type="expression" dxfId="953" priority="1879">
      <formula>L146="OFF"</formula>
    </cfRule>
  </conditionalFormatting>
  <conditionalFormatting sqref="L146:L147">
    <cfRule type="expression" dxfId="952" priority="1882">
      <formula>L146="OFF"</formula>
    </cfRule>
  </conditionalFormatting>
  <conditionalFormatting sqref="L146:L147">
    <cfRule type="expression" dxfId="951" priority="1881">
      <formula>L146="OFF"</formula>
    </cfRule>
  </conditionalFormatting>
  <conditionalFormatting sqref="L146:L147">
    <cfRule type="expression" dxfId="950" priority="1880">
      <formula>L146="OFF"</formula>
    </cfRule>
  </conditionalFormatting>
  <conditionalFormatting sqref="M146:M147">
    <cfRule type="expression" dxfId="949" priority="1878">
      <formula>M146="OFF"</formula>
    </cfRule>
  </conditionalFormatting>
  <conditionalFormatting sqref="M146:M147">
    <cfRule type="expression" dxfId="948" priority="1874">
      <formula>M146="OFF"</formula>
    </cfRule>
  </conditionalFormatting>
  <conditionalFormatting sqref="M146:M147">
    <cfRule type="expression" dxfId="947" priority="1877">
      <formula>M146="OFF"</formula>
    </cfRule>
  </conditionalFormatting>
  <conditionalFormatting sqref="M146:M147">
    <cfRule type="expression" dxfId="946" priority="1876">
      <formula>M146="OFF"</formula>
    </cfRule>
  </conditionalFormatting>
  <conditionalFormatting sqref="M146:M147">
    <cfRule type="expression" dxfId="945" priority="1875">
      <formula>M146="OFF"</formula>
    </cfRule>
  </conditionalFormatting>
  <conditionalFormatting sqref="P36:P42 P44:P47 P52:P72">
    <cfRule type="expression" dxfId="944" priority="1082">
      <formula>P36="OFF"</formula>
    </cfRule>
  </conditionalFormatting>
  <conditionalFormatting sqref="P36:P42 P44:P47 P52:P72">
    <cfRule type="expression" dxfId="943" priority="1078">
      <formula>P36="OFF"</formula>
    </cfRule>
  </conditionalFormatting>
  <conditionalFormatting sqref="P36:P42 P44:P47 P52:P72">
    <cfRule type="expression" dxfId="942" priority="1081">
      <formula>P36="OFF"</formula>
    </cfRule>
  </conditionalFormatting>
  <conditionalFormatting sqref="P36:P42 P44:P47 P52:P72">
    <cfRule type="expression" dxfId="941" priority="1080">
      <formula>P36="OFF"</formula>
    </cfRule>
  </conditionalFormatting>
  <conditionalFormatting sqref="P36:P42 P44:P47 P52:P72">
    <cfRule type="expression" dxfId="940" priority="1079">
      <formula>P36="OFF"</formula>
    </cfRule>
  </conditionalFormatting>
  <conditionalFormatting sqref="L18">
    <cfRule type="expression" dxfId="939" priority="1361">
      <formula>L18="OFF"</formula>
    </cfRule>
  </conditionalFormatting>
  <conditionalFormatting sqref="G146:G147">
    <cfRule type="expression" dxfId="938" priority="1848">
      <formula>G146="OFF"</formula>
    </cfRule>
  </conditionalFormatting>
  <conditionalFormatting sqref="L18">
    <cfRule type="expression" dxfId="937" priority="1359">
      <formula>L18="OFF"</formula>
    </cfRule>
  </conditionalFormatting>
  <conditionalFormatting sqref="L18">
    <cfRule type="expression" dxfId="936" priority="1358">
      <formula>L18="OFF"</formula>
    </cfRule>
  </conditionalFormatting>
  <conditionalFormatting sqref="K34:M34">
    <cfRule type="expression" dxfId="935" priority="1357">
      <formula>K34="OFF"</formula>
    </cfRule>
  </conditionalFormatting>
  <conditionalFormatting sqref="C160">
    <cfRule type="expression" dxfId="934" priority="1841">
      <formula>#REF!=0</formula>
    </cfRule>
  </conditionalFormatting>
  <conditionalFormatting sqref="C160">
    <cfRule type="expression" dxfId="933" priority="1840">
      <formula>#REF!=0</formula>
    </cfRule>
  </conditionalFormatting>
  <conditionalFormatting sqref="J34">
    <cfRule type="expression" dxfId="932" priority="1348">
      <formula>J34="OFF"</formula>
    </cfRule>
  </conditionalFormatting>
  <conditionalFormatting sqref="J34">
    <cfRule type="expression" dxfId="931" priority="1351">
      <formula>J34="OFF"</formula>
    </cfRule>
  </conditionalFormatting>
  <conditionalFormatting sqref="J34">
    <cfRule type="expression" dxfId="930" priority="1350">
      <formula>J34="OFF"</formula>
    </cfRule>
  </conditionalFormatting>
  <conditionalFormatting sqref="J34">
    <cfRule type="expression" dxfId="929" priority="1349">
      <formula>J34="OFF"</formula>
    </cfRule>
  </conditionalFormatting>
  <conditionalFormatting sqref="K160:L160">
    <cfRule type="expression" dxfId="928" priority="1835">
      <formula>K160="OFF"</formula>
    </cfRule>
  </conditionalFormatting>
  <conditionalFormatting sqref="L160">
    <cfRule type="expression" dxfId="927" priority="1834">
      <formula>L160="OFF"</formula>
    </cfRule>
  </conditionalFormatting>
  <conditionalFormatting sqref="K160:L160">
    <cfRule type="expression" dxfId="926" priority="1833">
      <formula>K160="OFF"</formula>
    </cfRule>
  </conditionalFormatting>
  <conditionalFormatting sqref="K160:L160">
    <cfRule type="expression" dxfId="925" priority="1832">
      <formula>K160="OFF"</formula>
    </cfRule>
  </conditionalFormatting>
  <conditionalFormatting sqref="N15 N27 N20:N24 N52:N75">
    <cfRule type="expression" dxfId="924" priority="1034">
      <formula>N15="OFF"</formula>
    </cfRule>
  </conditionalFormatting>
  <conditionalFormatting sqref="N25 P25">
    <cfRule type="expression" dxfId="923" priority="1030">
      <formula>N25="OFF"</formula>
    </cfRule>
  </conditionalFormatting>
  <conditionalFormatting sqref="N25 P25">
    <cfRule type="expression" dxfId="922" priority="1033">
      <formula>N25="OFF"</formula>
    </cfRule>
  </conditionalFormatting>
  <conditionalFormatting sqref="N25 P25">
    <cfRule type="expression" dxfId="921" priority="1032">
      <formula>N25="OFF"</formula>
    </cfRule>
  </conditionalFormatting>
  <conditionalFormatting sqref="N25 P25">
    <cfRule type="expression" dxfId="920" priority="1031">
      <formula>N25="OFF"</formula>
    </cfRule>
  </conditionalFormatting>
  <conditionalFormatting sqref="J162:L162">
    <cfRule type="expression" dxfId="919" priority="1794">
      <formula>J162="OFF"</formula>
    </cfRule>
  </conditionalFormatting>
  <conditionalFormatting sqref="C162">
    <cfRule type="expression" dxfId="918" priority="1793">
      <formula>#REF!=0</formula>
    </cfRule>
  </conditionalFormatting>
  <conditionalFormatting sqref="B162:C162">
    <cfRule type="expression" dxfId="917" priority="1792">
      <formula>#REF!=0</formula>
    </cfRule>
  </conditionalFormatting>
  <conditionalFormatting sqref="K162:L162">
    <cfRule type="expression" dxfId="916" priority="1787">
      <formula>K162="OFF"</formula>
    </cfRule>
  </conditionalFormatting>
  <conditionalFormatting sqref="K162:L162">
    <cfRule type="expression" dxfId="915" priority="1783">
      <formula>K162="OFF"</formula>
    </cfRule>
  </conditionalFormatting>
  <conditionalFormatting sqref="L162">
    <cfRule type="expression" dxfId="914" priority="1786">
      <formula>L162="OFF"</formula>
    </cfRule>
  </conditionalFormatting>
  <conditionalFormatting sqref="K162:L162">
    <cfRule type="expression" dxfId="913" priority="1785">
      <formula>K162="OFF"</formula>
    </cfRule>
  </conditionalFormatting>
  <conditionalFormatting sqref="K162:L162">
    <cfRule type="expression" dxfId="912" priority="1784">
      <formula>K162="OFF"</formula>
    </cfRule>
  </conditionalFormatting>
  <conditionalFormatting sqref="M162">
    <cfRule type="expression" dxfId="911" priority="1782">
      <formula>M162="OFF"</formula>
    </cfRule>
  </conditionalFormatting>
  <conditionalFormatting sqref="M162">
    <cfRule type="expression" dxfId="910" priority="1778">
      <formula>M162="OFF"</formula>
    </cfRule>
  </conditionalFormatting>
  <conditionalFormatting sqref="M162">
    <cfRule type="expression" dxfId="909" priority="1781">
      <formula>M162="OFF"</formula>
    </cfRule>
  </conditionalFormatting>
  <conditionalFormatting sqref="M162">
    <cfRule type="expression" dxfId="908" priority="1780">
      <formula>M162="OFF"</formula>
    </cfRule>
  </conditionalFormatting>
  <conditionalFormatting sqref="M162">
    <cfRule type="expression" dxfId="907" priority="1779">
      <formula>M162="OFF"</formula>
    </cfRule>
  </conditionalFormatting>
  <conditionalFormatting sqref="P116:P121">
    <cfRule type="expression" dxfId="906" priority="986">
      <formula>P116="OFF"</formula>
    </cfRule>
  </conditionalFormatting>
  <conditionalFormatting sqref="N116:N121">
    <cfRule type="expression" dxfId="905" priority="982">
      <formula>N116="OFF"</formula>
    </cfRule>
  </conditionalFormatting>
  <conditionalFormatting sqref="N116:N121">
    <cfRule type="expression" dxfId="904" priority="985">
      <formula>N116="OFF"</formula>
    </cfRule>
  </conditionalFormatting>
  <conditionalFormatting sqref="N116:N121">
    <cfRule type="expression" dxfId="903" priority="984">
      <formula>N116="OFF"</formula>
    </cfRule>
  </conditionalFormatting>
  <conditionalFormatting sqref="N116:N121">
    <cfRule type="expression" dxfId="902" priority="983">
      <formula>N116="OFF"</formula>
    </cfRule>
  </conditionalFormatting>
  <conditionalFormatting sqref="G162">
    <cfRule type="expression" dxfId="901" priority="1752">
      <formula>G162="OFF"</formula>
    </cfRule>
  </conditionalFormatting>
  <conditionalFormatting sqref="B159:B160">
    <cfRule type="expression" dxfId="900" priority="1746">
      <formula>#REF!=0</formula>
    </cfRule>
  </conditionalFormatting>
  <conditionalFormatting sqref="P162">
    <cfRule type="expression" dxfId="899" priority="959">
      <formula>P162="OFF"</formula>
    </cfRule>
  </conditionalFormatting>
  <conditionalFormatting sqref="P162">
    <cfRule type="expression" dxfId="898" priority="956">
      <formula>P162="OFF"</formula>
    </cfRule>
  </conditionalFormatting>
  <conditionalFormatting sqref="P162">
    <cfRule type="expression" dxfId="897" priority="958">
      <formula>P162="OFF"</formula>
    </cfRule>
  </conditionalFormatting>
  <conditionalFormatting sqref="P162">
    <cfRule type="expression" dxfId="896" priority="957">
      <formula>P162="OFF"</formula>
    </cfRule>
  </conditionalFormatting>
  <conditionalFormatting sqref="L28">
    <cfRule type="expression" dxfId="895" priority="1731">
      <formula>L28="OFF"</formula>
    </cfRule>
  </conditionalFormatting>
  <conditionalFormatting sqref="L28">
    <cfRule type="expression" dxfId="894" priority="1728">
      <formula>L28="OFF"</formula>
    </cfRule>
  </conditionalFormatting>
  <conditionalFormatting sqref="L28">
    <cfRule type="expression" dxfId="893" priority="1730">
      <formula>L28="OFF"</formula>
    </cfRule>
  </conditionalFormatting>
  <conditionalFormatting sqref="L28">
    <cfRule type="expression" dxfId="892" priority="1729">
      <formula>L28="OFF"</formula>
    </cfRule>
  </conditionalFormatting>
  <conditionalFormatting sqref="L28">
    <cfRule type="expression" dxfId="891" priority="1727">
      <formula>L28="OFF"</formula>
    </cfRule>
  </conditionalFormatting>
  <conditionalFormatting sqref="C76">
    <cfRule type="expression" dxfId="890" priority="1721">
      <formula>#REF!=0</formula>
    </cfRule>
  </conditionalFormatting>
  <conditionalFormatting sqref="C76">
    <cfRule type="expression" dxfId="889" priority="1720">
      <formula>#REF!=0</formula>
    </cfRule>
  </conditionalFormatting>
  <conditionalFormatting sqref="A76">
    <cfRule type="expression" dxfId="888" priority="1719">
      <formula>#REF!=0</formula>
    </cfRule>
  </conditionalFormatting>
  <conditionalFormatting sqref="A76:B76">
    <cfRule type="expression" dxfId="887" priority="1718">
      <formula>#REF!=0</formula>
    </cfRule>
  </conditionalFormatting>
  <conditionalFormatting sqref="A76:B76">
    <cfRule type="expression" dxfId="886" priority="1717">
      <formula>#REF!=0</formula>
    </cfRule>
  </conditionalFormatting>
  <conditionalFormatting sqref="O49:O51">
    <cfRule type="expression" dxfId="885" priority="931">
      <formula>O49="OFF"</formula>
    </cfRule>
  </conditionalFormatting>
  <conditionalFormatting sqref="P76">
    <cfRule type="expression" dxfId="884" priority="940">
      <formula>P76="OFF"</formula>
    </cfRule>
  </conditionalFormatting>
  <conditionalFormatting sqref="Q16:V16">
    <cfRule type="expression" dxfId="883" priority="712">
      <formula>Q16="OFF"</formula>
    </cfRule>
  </conditionalFormatting>
  <conditionalFormatting sqref="P76">
    <cfRule type="expression" dxfId="882" priority="938">
      <formula>P76="OFF"</formula>
    </cfRule>
  </conditionalFormatting>
  <conditionalFormatting sqref="N48:P51">
    <cfRule type="expression" dxfId="881" priority="934">
      <formula>N48="OFF"</formula>
    </cfRule>
  </conditionalFormatting>
  <conditionalFormatting sqref="P76">
    <cfRule type="expression" dxfId="880" priority="937">
      <formula>P76="OFF"</formula>
    </cfRule>
  </conditionalFormatting>
  <conditionalFormatting sqref="P76">
    <cfRule type="expression" dxfId="879" priority="936">
      <formula>P76="OFF"</formula>
    </cfRule>
  </conditionalFormatting>
  <conditionalFormatting sqref="N48:P51">
    <cfRule type="expression" dxfId="878" priority="935">
      <formula>N48="OFF"</formula>
    </cfRule>
  </conditionalFormatting>
  <conditionalFormatting sqref="N48:P51">
    <cfRule type="expression" dxfId="877" priority="933">
      <formula>N48="OFF"</formula>
    </cfRule>
  </conditionalFormatting>
  <conditionalFormatting sqref="P49:P51">
    <cfRule type="expression" dxfId="876" priority="930">
      <formula>P49="OFF"</formula>
    </cfRule>
  </conditionalFormatting>
  <conditionalFormatting sqref="N48:P51">
    <cfRule type="expression" dxfId="875" priority="932">
      <formula>N48="OFF"</formula>
    </cfRule>
  </conditionalFormatting>
  <conditionalFormatting sqref="G76">
    <cfRule type="expression" dxfId="874" priority="1705">
      <formula>G76="OFF"</formula>
    </cfRule>
  </conditionalFormatting>
  <conditionalFormatting sqref="A48:C51">
    <cfRule type="expression" dxfId="873" priority="1698">
      <formula>#REF!=0</formula>
    </cfRule>
  </conditionalFormatting>
  <conditionalFormatting sqref="A48:C51">
    <cfRule type="expression" dxfId="872" priority="1697">
      <formula>#REF!=0</formula>
    </cfRule>
  </conditionalFormatting>
  <conditionalFormatting sqref="A48:A51">
    <cfRule type="expression" dxfId="871" priority="1696">
      <formula>#REF!=0</formula>
    </cfRule>
  </conditionalFormatting>
  <conditionalFormatting sqref="P48">
    <cfRule type="expression" dxfId="870" priority="911">
      <formula>P48="OFF"</formula>
    </cfRule>
  </conditionalFormatting>
  <conditionalFormatting sqref="P48">
    <cfRule type="expression" dxfId="869" priority="910">
      <formula>P48="OFF"</formula>
    </cfRule>
  </conditionalFormatting>
  <conditionalFormatting sqref="N48:N51">
    <cfRule type="expression" dxfId="868" priority="906">
      <formula>N48="OFF"</formula>
    </cfRule>
  </conditionalFormatting>
  <conditionalFormatting sqref="P48">
    <cfRule type="expression" dxfId="867" priority="909">
      <formula>P48="OFF"</formula>
    </cfRule>
  </conditionalFormatting>
  <conditionalFormatting sqref="P48">
    <cfRule type="expression" dxfId="866" priority="908">
      <formula>P48="OFF"</formula>
    </cfRule>
  </conditionalFormatting>
  <conditionalFormatting sqref="N48:N51">
    <cfRule type="expression" dxfId="865" priority="907">
      <formula>N48="OFF"</formula>
    </cfRule>
  </conditionalFormatting>
  <conditionalFormatting sqref="N48:N51">
    <cfRule type="expression" dxfId="864" priority="905">
      <formula>N48="OFF"</formula>
    </cfRule>
  </conditionalFormatting>
  <conditionalFormatting sqref="P100:P101">
    <cfRule type="expression" dxfId="863" priority="902">
      <formula>P100="OFF"</formula>
    </cfRule>
  </conditionalFormatting>
  <conditionalFormatting sqref="N48:N51">
    <cfRule type="expression" dxfId="862" priority="904">
      <formula>N48="OFF"</formula>
    </cfRule>
  </conditionalFormatting>
  <conditionalFormatting sqref="N100:P101">
    <cfRule type="expression" dxfId="861" priority="903">
      <formula>N100="OFF"</formula>
    </cfRule>
  </conditionalFormatting>
  <conditionalFormatting sqref="N8:P8 O10:P10">
    <cfRule type="expression" dxfId="860" priority="885">
      <formula>N8="OFF"</formula>
    </cfRule>
  </conditionalFormatting>
  <conditionalFormatting sqref="P100:P101">
    <cfRule type="expression" dxfId="859" priority="901">
      <formula>P100="OFF"</formula>
    </cfRule>
  </conditionalFormatting>
  <conditionalFormatting sqref="P100:P101">
    <cfRule type="expression" dxfId="858" priority="898">
      <formula>P100="OFF"</formula>
    </cfRule>
  </conditionalFormatting>
  <conditionalFormatting sqref="P100:P101">
    <cfRule type="expression" dxfId="857" priority="900">
      <formula>P100="OFF"</formula>
    </cfRule>
  </conditionalFormatting>
  <conditionalFormatting sqref="P100:P101">
    <cfRule type="expression" dxfId="856" priority="899">
      <formula>P100="OFF"</formula>
    </cfRule>
  </conditionalFormatting>
  <conditionalFormatting sqref="Q102:R104">
    <cfRule type="expression" dxfId="855" priority="670">
      <formula>Q102="OFF"</formula>
    </cfRule>
  </conditionalFormatting>
  <conditionalFormatting sqref="N100:N101">
    <cfRule type="expression" dxfId="854" priority="894">
      <formula>N100="OFF"</formula>
    </cfRule>
  </conditionalFormatting>
  <conditionalFormatting sqref="Q102:R104">
    <cfRule type="expression" dxfId="853" priority="666">
      <formula>Q102="OFF"</formula>
    </cfRule>
  </conditionalFormatting>
  <conditionalFormatting sqref="N10">
    <cfRule type="expression" dxfId="852" priority="892">
      <formula>N10="OFF"</formula>
    </cfRule>
  </conditionalFormatting>
  <conditionalFormatting sqref="N8:P8 O10:P10">
    <cfRule type="expression" dxfId="851" priority="888">
      <formula>N8="OFF"</formula>
    </cfRule>
  </conditionalFormatting>
  <conditionalFormatting sqref="N10">
    <cfRule type="expression" dxfId="850" priority="891">
      <formula>N10="OFF"</formula>
    </cfRule>
  </conditionalFormatting>
  <conditionalFormatting sqref="N10">
    <cfRule type="expression" dxfId="849" priority="890">
      <formula>N10="OFF"</formula>
    </cfRule>
  </conditionalFormatting>
  <conditionalFormatting sqref="N10">
    <cfRule type="expression" dxfId="848" priority="889">
      <formula>N10="OFF"</formula>
    </cfRule>
  </conditionalFormatting>
  <conditionalFormatting sqref="N8:P8 O10:P10">
    <cfRule type="expression" dxfId="847" priority="887">
      <formula>N8="OFF"</formula>
    </cfRule>
  </conditionalFormatting>
  <conditionalFormatting sqref="N18:P18">
    <cfRule type="expression" dxfId="846" priority="884">
      <formula>N18="OFF"</formula>
    </cfRule>
  </conditionalFormatting>
  <conditionalFormatting sqref="N8:P8 O10:P10">
    <cfRule type="expression" dxfId="845" priority="886">
      <formula>N8="OFF"</formula>
    </cfRule>
  </conditionalFormatting>
  <conditionalFormatting sqref="N18:P18">
    <cfRule type="expression" dxfId="844" priority="883">
      <formula>N18="OFF"</formula>
    </cfRule>
  </conditionalFormatting>
  <conditionalFormatting sqref="N18:P18">
    <cfRule type="expression" dxfId="843" priority="880">
      <formula>N18="OFF"</formula>
    </cfRule>
  </conditionalFormatting>
  <conditionalFormatting sqref="N18:P18">
    <cfRule type="expression" dxfId="842" priority="882">
      <formula>N18="OFF"</formula>
    </cfRule>
  </conditionalFormatting>
  <conditionalFormatting sqref="N18:P18">
    <cfRule type="expression" dxfId="841" priority="881">
      <formula>N18="OFF"</formula>
    </cfRule>
  </conditionalFormatting>
  <conditionalFormatting sqref="J100:J101 M100:M101">
    <cfRule type="expression" dxfId="840" priority="1643">
      <formula>J100="OFF"</formula>
    </cfRule>
  </conditionalFormatting>
  <conditionalFormatting sqref="C100:C101">
    <cfRule type="expression" dxfId="839" priority="1642">
      <formula>#REF!=0</formula>
    </cfRule>
  </conditionalFormatting>
  <conditionalFormatting sqref="C100:C101">
    <cfRule type="expression" dxfId="838" priority="1641">
      <formula>#REF!=0</formula>
    </cfRule>
  </conditionalFormatting>
  <conditionalFormatting sqref="C100:C101">
    <cfRule type="expression" dxfId="837" priority="1640">
      <formula>#REF!=0</formula>
    </cfRule>
  </conditionalFormatting>
  <conditionalFormatting sqref="N19:P19">
    <cfRule type="expression" dxfId="836" priority="834">
      <formula>N19="OFF"</formula>
    </cfRule>
  </conditionalFormatting>
  <conditionalFormatting sqref="N19">
    <cfRule type="expression" dxfId="835" priority="830">
      <formula>N19="OFF"</formula>
    </cfRule>
  </conditionalFormatting>
  <conditionalFormatting sqref="N19:P19">
    <cfRule type="expression" dxfId="834" priority="833">
      <formula>N19="OFF"</formula>
    </cfRule>
  </conditionalFormatting>
  <conditionalFormatting sqref="N19:P19">
    <cfRule type="expression" dxfId="833" priority="832">
      <formula>N19="OFF"</formula>
    </cfRule>
  </conditionalFormatting>
  <conditionalFormatting sqref="N19">
    <cfRule type="expression" dxfId="832" priority="831">
      <formula>N19="OFF"</formula>
    </cfRule>
  </conditionalFormatting>
  <conditionalFormatting sqref="P34">
    <cfRule type="expression" dxfId="831" priority="820">
      <formula>P34="OFF"</formula>
    </cfRule>
  </conditionalFormatting>
  <conditionalFormatting sqref="P34">
    <cfRule type="expression" dxfId="830" priority="823">
      <formula>P34="OFF"</formula>
    </cfRule>
  </conditionalFormatting>
  <conditionalFormatting sqref="P34">
    <cfRule type="expression" dxfId="829" priority="822">
      <formula>P34="OFF"</formula>
    </cfRule>
  </conditionalFormatting>
  <conditionalFormatting sqref="P34">
    <cfRule type="expression" dxfId="828" priority="821">
      <formula>P34="OFF"</formula>
    </cfRule>
  </conditionalFormatting>
  <conditionalFormatting sqref="K8:M8 K10">
    <cfRule type="expression" dxfId="827" priority="1595">
      <formula>K8="OFF"</formula>
    </cfRule>
  </conditionalFormatting>
  <conditionalFormatting sqref="A8:C8 C10">
    <cfRule type="expression" dxfId="826" priority="1594">
      <formula>#REF!=0</formula>
    </cfRule>
  </conditionalFormatting>
  <conditionalFormatting sqref="A8:C8 C10">
    <cfRule type="expression" dxfId="825" priority="1593">
      <formula>#REF!=0</formula>
    </cfRule>
  </conditionalFormatting>
  <conditionalFormatting sqref="A8">
    <cfRule type="expression" dxfId="824" priority="1592">
      <formula>#REF!=0</formula>
    </cfRule>
  </conditionalFormatting>
  <conditionalFormatting sqref="L8:M8">
    <cfRule type="expression" dxfId="823" priority="1591">
      <formula>L8="OFF"</formula>
    </cfRule>
  </conditionalFormatting>
  <conditionalFormatting sqref="N94:P99 N88:O93 N4:P4 P193:P223 N193:N223 N161 P161 N77:N85 N52:P75 N11:P15 O3 O5:O7 N7 P7 O16 N20:P24 O25 N27:P27 N29:P29 O28 N31:P33 N35:P47">
    <cfRule type="expression" dxfId="822" priority="1100">
      <formula>N3="OFF"</formula>
    </cfRule>
  </conditionalFormatting>
  <conditionalFormatting sqref="P94:P99 P105:P115 P122:P145 P148:P159 P163:P192">
    <cfRule type="expression" dxfId="821" priority="1096">
      <formula>P94="OFF"</formula>
    </cfRule>
  </conditionalFormatting>
  <conditionalFormatting sqref="N3:P4 N27:P27 N20:P24 N52:P75 N7:P7 N11:P15">
    <cfRule type="expression" dxfId="820" priority="1099">
      <formula>N3="OFF"</formula>
    </cfRule>
  </conditionalFormatting>
  <conditionalFormatting sqref="N3:P4 N27:P27 N20:P24 N52:P75 N7:P7 N11:P15">
    <cfRule type="expression" dxfId="819" priority="1098">
      <formula>N3="OFF"</formula>
    </cfRule>
  </conditionalFormatting>
  <conditionalFormatting sqref="N3:P4 N27:P27 N20:P24 N52:P75 N7:P7 N11:P15">
    <cfRule type="expression" dxfId="818" priority="1097">
      <formula>N3="OFF"</formula>
    </cfRule>
  </conditionalFormatting>
  <conditionalFormatting sqref="M18">
    <cfRule type="expression" dxfId="817" priority="1583">
      <formula>M18="OFF"</formula>
    </cfRule>
  </conditionalFormatting>
  <conditionalFormatting sqref="C18">
    <cfRule type="expression" dxfId="816" priority="1582">
      <formula>#REF!=0</formula>
    </cfRule>
  </conditionalFormatting>
  <conditionalFormatting sqref="C18">
    <cfRule type="expression" dxfId="815" priority="1581">
      <formula>#REF!=0</formula>
    </cfRule>
  </conditionalFormatting>
  <conditionalFormatting sqref="M18">
    <cfRule type="expression" dxfId="814" priority="1578">
      <formula>M18="OFF"</formula>
    </cfRule>
  </conditionalFormatting>
  <conditionalFormatting sqref="M18">
    <cfRule type="expression" dxfId="813" priority="1580">
      <formula>M18="OFF"</formula>
    </cfRule>
  </conditionalFormatting>
  <conditionalFormatting sqref="M18">
    <cfRule type="expression" dxfId="812" priority="1579">
      <formula>M18="OFF"</formula>
    </cfRule>
  </conditionalFormatting>
  <conditionalFormatting sqref="N94:N99 N105:N115 N122:N145 N148:N159 N163:N192">
    <cfRule type="expression" dxfId="811" priority="1089">
      <formula>N94="OFF"</formula>
    </cfRule>
  </conditionalFormatting>
  <conditionalFormatting sqref="P36:P42 P44:P47 P52:P72">
    <cfRule type="expression" dxfId="810" priority="1085">
      <formula>P36="OFF"</formula>
    </cfRule>
  </conditionalFormatting>
  <conditionalFormatting sqref="N94:N99 N105:N115 N122:N145 N148:N159 N163:N192">
    <cfRule type="expression" dxfId="809" priority="1088">
      <formula>N94="OFF"</formula>
    </cfRule>
  </conditionalFormatting>
  <conditionalFormatting sqref="N94:N99 N105:N115 N122:N145 N148:N159 N163:N192">
    <cfRule type="expression" dxfId="808" priority="1087">
      <formula>N94="OFF"</formula>
    </cfRule>
  </conditionalFormatting>
  <conditionalFormatting sqref="O42 O44:O47 O52:O72">
    <cfRule type="expression" dxfId="807" priority="1086">
      <formula>O42="OFF"</formula>
    </cfRule>
  </conditionalFormatting>
  <conditionalFormatting sqref="A18:C18">
    <cfRule type="expression" dxfId="806" priority="1571">
      <formula>#REF!=0</formula>
    </cfRule>
  </conditionalFormatting>
  <conditionalFormatting sqref="A18:C18">
    <cfRule type="expression" dxfId="805" priority="1570">
      <formula>#REF!=0</formula>
    </cfRule>
  </conditionalFormatting>
  <conditionalFormatting sqref="A18">
    <cfRule type="expression" dxfId="804" priority="1569">
      <formula>#REF!=0</formula>
    </cfRule>
  </conditionalFormatting>
  <conditionalFormatting sqref="P36:P42 P44:P47 P52:P72">
    <cfRule type="expression" dxfId="803" priority="1077">
      <formula>P36="OFF"</formula>
    </cfRule>
  </conditionalFormatting>
  <conditionalFormatting sqref="P86:P87">
    <cfRule type="expression" dxfId="802" priority="1073">
      <formula>P86="OFF"</formula>
    </cfRule>
  </conditionalFormatting>
  <conditionalFormatting sqref="O86:O87">
    <cfRule type="expression" dxfId="801" priority="1076">
      <formula>O86="OFF"</formula>
    </cfRule>
  </conditionalFormatting>
  <conditionalFormatting sqref="O86:O87">
    <cfRule type="expression" dxfId="800" priority="1075">
      <formula>O86="OFF"</formula>
    </cfRule>
  </conditionalFormatting>
  <conditionalFormatting sqref="P86:P87">
    <cfRule type="expression" dxfId="799" priority="1074">
      <formula>P86="OFF"</formula>
    </cfRule>
  </conditionalFormatting>
  <conditionalFormatting sqref="P32:P33 P35:P41">
    <cfRule type="expression" dxfId="798" priority="1059">
      <formula>P32="OFF"</formula>
    </cfRule>
  </conditionalFormatting>
  <conditionalFormatting sqref="P32:P33 P35:P41">
    <cfRule type="expression" dxfId="797" priority="1057">
      <formula>P32="OFF"</formula>
    </cfRule>
  </conditionalFormatting>
  <conditionalFormatting sqref="Q3:V4 Q27:V27 Q20:V24 Q52:V75">
    <cfRule type="expression" dxfId="796" priority="781">
      <formula>Q3="OFF"</formula>
    </cfRule>
  </conditionalFormatting>
  <conditionalFormatting sqref="Q3:V4 Q27:V27 Q20:V24 Q52:V75">
    <cfRule type="expression" dxfId="795" priority="782">
      <formula>Q3="OFF"</formula>
    </cfRule>
  </conditionalFormatting>
  <conditionalFormatting sqref="U162">
    <cfRule type="expression" dxfId="794" priority="553">
      <formula>U162="OFF"</formula>
    </cfRule>
  </conditionalFormatting>
  <conditionalFormatting sqref="S162">
    <cfRule type="expression" dxfId="793" priority="550">
      <formula>S162="OFF"</formula>
    </cfRule>
  </conditionalFormatting>
  <conditionalFormatting sqref="U162">
    <cfRule type="expression" dxfId="792" priority="552">
      <formula>U162="OFF"</formula>
    </cfRule>
  </conditionalFormatting>
  <conditionalFormatting sqref="U162">
    <cfRule type="expression" dxfId="791" priority="551">
      <formula>U162="OFF"</formula>
    </cfRule>
  </conditionalFormatting>
  <conditionalFormatting sqref="P32:P33 P35:P41">
    <cfRule type="expression" dxfId="790" priority="1061">
      <formula>P32="OFF"</formula>
    </cfRule>
  </conditionalFormatting>
  <conditionalFormatting sqref="N32">
    <cfRule type="expression" dxfId="789" priority="1062">
      <formula>N32="OFF"</formula>
    </cfRule>
  </conditionalFormatting>
  <conditionalFormatting sqref="P32:P33 P35:P41">
    <cfRule type="expression" dxfId="788" priority="1060">
      <formula>P32="OFF"</formula>
    </cfRule>
  </conditionalFormatting>
  <conditionalFormatting sqref="P32:P33 P35:P41">
    <cfRule type="expression" dxfId="787" priority="1058">
      <formula>P32="OFF"</formula>
    </cfRule>
  </conditionalFormatting>
  <conditionalFormatting sqref="C17">
    <cfRule type="expression" dxfId="786" priority="1543">
      <formula>#REF!=0</formula>
    </cfRule>
  </conditionalFormatting>
  <conditionalFormatting sqref="C17">
    <cfRule type="expression" dxfId="785" priority="1542">
      <formula>#REF!=0</formula>
    </cfRule>
  </conditionalFormatting>
  <conditionalFormatting sqref="K17:M17 K18">
    <cfRule type="expression" dxfId="784" priority="1539">
      <formula>K17="OFF"</formula>
    </cfRule>
  </conditionalFormatting>
  <conditionalFormatting sqref="L17:M17">
    <cfRule type="expression" dxfId="783" priority="1541">
      <formula>L17="OFF"</formula>
    </cfRule>
  </conditionalFormatting>
  <conditionalFormatting sqref="K17:M17 K18">
    <cfRule type="expression" dxfId="782" priority="1540">
      <formula>K17="OFF"</formula>
    </cfRule>
  </conditionalFormatting>
  <conditionalFormatting sqref="N86:N87 N35:N47 N52:N75">
    <cfRule type="expression" dxfId="781" priority="1050">
      <formula>N35="OFF"</formula>
    </cfRule>
  </conditionalFormatting>
  <conditionalFormatting sqref="P88:P93 P73:P75 P43 P77:P85">
    <cfRule type="expression" dxfId="780" priority="1046">
      <formula>P43="OFF"</formula>
    </cfRule>
  </conditionalFormatting>
  <conditionalFormatting sqref="N86:N87 N35:N47 N52:N75">
    <cfRule type="expression" dxfId="779" priority="1049">
      <formula>N35="OFF"</formula>
    </cfRule>
  </conditionalFormatting>
  <conditionalFormatting sqref="O77:O85">
    <cfRule type="expression" dxfId="778" priority="1048">
      <formula>O77="OFF"</formula>
    </cfRule>
  </conditionalFormatting>
  <conditionalFormatting sqref="O73:O75 O43 O32:O33 O35:O41">
    <cfRule type="expression" dxfId="777" priority="1047">
      <formula>O32="OFF"</formula>
    </cfRule>
  </conditionalFormatting>
  <conditionalFormatting sqref="K17:M17 K18">
    <cfRule type="expression" dxfId="776" priority="1533">
      <formula>K17="OFF"</formula>
    </cfRule>
  </conditionalFormatting>
  <conditionalFormatting sqref="A17:C17">
    <cfRule type="expression" dxfId="775" priority="1532">
      <formula>#REF!=0</formula>
    </cfRule>
  </conditionalFormatting>
  <conditionalFormatting sqref="A17:C17">
    <cfRule type="expression" dxfId="774" priority="1531">
      <formula>#REF!=0</formula>
    </cfRule>
  </conditionalFormatting>
  <conditionalFormatting sqref="A17">
    <cfRule type="expression" dxfId="773" priority="1530">
      <formula>#REF!=0</formula>
    </cfRule>
  </conditionalFormatting>
  <conditionalFormatting sqref="Q25:W25">
    <cfRule type="expression" dxfId="772" priority="751">
      <formula>Q25="OFF"</formula>
    </cfRule>
  </conditionalFormatting>
  <conditionalFormatting sqref="Q25:W25">
    <cfRule type="expression" dxfId="771" priority="753">
      <formula>Q25="OFF"</formula>
    </cfRule>
  </conditionalFormatting>
  <conditionalFormatting sqref="Q25:W25">
    <cfRule type="expression" dxfId="770" priority="752">
      <formula>Q25="OFF"</formula>
    </cfRule>
  </conditionalFormatting>
  <conditionalFormatting sqref="P88:P93 P73:P75 P43 P77:P85">
    <cfRule type="expression" dxfId="769" priority="1038">
      <formula>P43="OFF"</formula>
    </cfRule>
  </conditionalFormatting>
  <conditionalFormatting sqref="N15 N27 N20:N24 N52:N75">
    <cfRule type="expression" dxfId="768" priority="1037">
      <formula>N15="OFF"</formula>
    </cfRule>
  </conditionalFormatting>
  <conditionalFormatting sqref="N15 N27 N20:N24 N52:N75">
    <cfRule type="expression" dxfId="767" priority="1036">
      <formula>N15="OFF"</formula>
    </cfRule>
  </conditionalFormatting>
  <conditionalFormatting sqref="N15 N27 N20:N24 N52:N75">
    <cfRule type="expression" dxfId="766" priority="1035">
      <formula>N15="OFF"</formula>
    </cfRule>
  </conditionalFormatting>
  <conditionalFormatting sqref="N16:P16">
    <cfRule type="expression" dxfId="765" priority="1020">
      <formula>N16="OFF"</formula>
    </cfRule>
  </conditionalFormatting>
  <conditionalFormatting sqref="N16:P16">
    <cfRule type="expression" dxfId="764" priority="1018">
      <formula>N16="OFF"</formula>
    </cfRule>
  </conditionalFormatting>
  <conditionalFormatting sqref="Q25:V25">
    <cfRule type="expression" dxfId="763" priority="745">
      <formula>Q25="OFF"</formula>
    </cfRule>
  </conditionalFormatting>
  <conditionalFormatting sqref="Q25">
    <cfRule type="expression" dxfId="762" priority="742">
      <formula>Q25="OFF"</formula>
    </cfRule>
  </conditionalFormatting>
  <conditionalFormatting sqref="Q25">
    <cfRule type="expression" dxfId="761" priority="744">
      <formula>Q25="OFF"</formula>
    </cfRule>
  </conditionalFormatting>
  <conditionalFormatting sqref="Q25">
    <cfRule type="expression" dxfId="760" priority="743">
      <formula>Q25="OFF"</formula>
    </cfRule>
  </conditionalFormatting>
  <conditionalFormatting sqref="U48:U51">
    <cfRule type="expression" dxfId="759" priority="514">
      <formula>U48="OFF"</formula>
    </cfRule>
  </conditionalFormatting>
  <conditionalFormatting sqref="Q48:Q51">
    <cfRule type="expression" dxfId="758" priority="511">
      <formula>Q48="OFF"</formula>
    </cfRule>
  </conditionalFormatting>
  <conditionalFormatting sqref="Q48">
    <cfRule type="expression" dxfId="757" priority="513">
      <formula>Q48="OFF"</formula>
    </cfRule>
  </conditionalFormatting>
  <conditionalFormatting sqref="Q48:Q51">
    <cfRule type="expression" dxfId="756" priority="512">
      <formula>Q48="OFF"</formula>
    </cfRule>
  </conditionalFormatting>
  <conditionalFormatting sqref="N6:P6 O7">
    <cfRule type="expression" dxfId="755" priority="1025">
      <formula>N6="OFF"</formula>
    </cfRule>
  </conditionalFormatting>
  <conditionalFormatting sqref="N5:P6 O7">
    <cfRule type="expression" dxfId="754" priority="1022">
      <formula>N5="OFF"</formula>
    </cfRule>
  </conditionalFormatting>
  <conditionalFormatting sqref="N5:P6 O7">
    <cfRule type="expression" dxfId="753" priority="1024">
      <formula>N5="OFF"</formula>
    </cfRule>
  </conditionalFormatting>
  <conditionalFormatting sqref="N5:P6 O7">
    <cfRule type="expression" dxfId="752" priority="1023">
      <formula>N5="OFF"</formula>
    </cfRule>
  </conditionalFormatting>
  <conditionalFormatting sqref="N16:P16">
    <cfRule type="expression" dxfId="751" priority="1021">
      <formula>N16="OFF"</formula>
    </cfRule>
  </conditionalFormatting>
  <conditionalFormatting sqref="N16:P16">
    <cfRule type="expression" dxfId="750" priority="1019">
      <formula>N16="OFF"</formula>
    </cfRule>
  </conditionalFormatting>
  <conditionalFormatting sqref="K26:M26">
    <cfRule type="expression" dxfId="749" priority="1505">
      <formula>K26="OFF"</formula>
    </cfRule>
  </conditionalFormatting>
  <conditionalFormatting sqref="A26:C26">
    <cfRule type="expression" dxfId="748" priority="1504">
      <formula>#REF!=0</formula>
    </cfRule>
  </conditionalFormatting>
  <conditionalFormatting sqref="A26:C26">
    <cfRule type="expression" dxfId="747" priority="1503">
      <formula>#REF!=0</formula>
    </cfRule>
  </conditionalFormatting>
  <conditionalFormatting sqref="A26">
    <cfRule type="expression" dxfId="746" priority="1502">
      <formula>#REF!=0</formula>
    </cfRule>
  </conditionalFormatting>
  <conditionalFormatting sqref="N16">
    <cfRule type="expression" dxfId="745" priority="1010">
      <formula>N16="OFF"</formula>
    </cfRule>
  </conditionalFormatting>
  <conditionalFormatting sqref="N28:P28">
    <cfRule type="expression" dxfId="744" priority="1006">
      <formula>N28="OFF"</formula>
    </cfRule>
  </conditionalFormatting>
  <conditionalFormatting sqref="N28:P28">
    <cfRule type="expression" dxfId="743" priority="1009">
      <formula>N28="OFF"</formula>
    </cfRule>
  </conditionalFormatting>
  <conditionalFormatting sqref="N28:P28">
    <cfRule type="expression" dxfId="742" priority="1008">
      <formula>N28="OFF"</formula>
    </cfRule>
  </conditionalFormatting>
  <conditionalFormatting sqref="N28:P28">
    <cfRule type="expression" dxfId="741" priority="1007">
      <formula>N28="OFF"</formula>
    </cfRule>
  </conditionalFormatting>
  <conditionalFormatting sqref="N102:N104">
    <cfRule type="expression" dxfId="740" priority="992">
      <formula>N102="OFF"</formula>
    </cfRule>
  </conditionalFormatting>
  <conditionalFormatting sqref="P116:P121">
    <cfRule type="expression" dxfId="739" priority="990">
      <formula>P116="OFF"</formula>
    </cfRule>
  </conditionalFormatting>
  <conditionalFormatting sqref="Q16:V16">
    <cfRule type="expression" dxfId="738" priority="717">
      <formula>Q16="OFF"</formula>
    </cfRule>
  </conditionalFormatting>
  <conditionalFormatting sqref="Q16:W16">
    <cfRule type="expression" dxfId="737" priority="714">
      <formula>Q16="OFF"</formula>
    </cfRule>
  </conditionalFormatting>
  <conditionalFormatting sqref="Q16:V16">
    <cfRule type="expression" dxfId="736" priority="716">
      <formula>Q16="OFF"</formula>
    </cfRule>
  </conditionalFormatting>
  <conditionalFormatting sqref="Q16:V16">
    <cfRule type="expression" dxfId="735" priority="715">
      <formula>Q16="OFF"</formula>
    </cfRule>
  </conditionalFormatting>
  <conditionalFormatting sqref="U100:U101">
    <cfRule type="expression" dxfId="734" priority="486">
      <formula>U100="OFF"</formula>
    </cfRule>
  </conditionalFormatting>
  <conditionalFormatting sqref="S100:S101">
    <cfRule type="expression" dxfId="733" priority="483">
      <formula>S100="OFF"</formula>
    </cfRule>
  </conditionalFormatting>
  <conditionalFormatting sqref="S100:S101">
    <cfRule type="expression" dxfId="732" priority="485">
      <formula>S100="OFF"</formula>
    </cfRule>
  </conditionalFormatting>
  <conditionalFormatting sqref="S100:S101">
    <cfRule type="expression" dxfId="731" priority="484">
      <formula>S100="OFF"</formula>
    </cfRule>
  </conditionalFormatting>
  <conditionalFormatting sqref="P102:P104">
    <cfRule type="expression" dxfId="730" priority="997">
      <formula>P102="OFF"</formula>
    </cfRule>
  </conditionalFormatting>
  <conditionalFormatting sqref="N102:N104">
    <cfRule type="expression" dxfId="729" priority="994">
      <formula>N102="OFF"</formula>
    </cfRule>
  </conditionalFormatting>
  <conditionalFormatting sqref="P102:P104">
    <cfRule type="expression" dxfId="728" priority="996">
      <formula>P102="OFF"</formula>
    </cfRule>
  </conditionalFormatting>
  <conditionalFormatting sqref="N102:N104">
    <cfRule type="expression" dxfId="727" priority="995">
      <formula>N102="OFF"</formula>
    </cfRule>
  </conditionalFormatting>
  <conditionalFormatting sqref="N102:N104">
    <cfRule type="expression" dxfId="726" priority="993">
      <formula>N102="OFF"</formula>
    </cfRule>
  </conditionalFormatting>
  <conditionalFormatting sqref="N102:N104">
    <cfRule type="expression" dxfId="725" priority="991">
      <formula>N102="OFF"</formula>
    </cfRule>
  </conditionalFormatting>
  <conditionalFormatting sqref="K30 M30">
    <cfRule type="expression" dxfId="724" priority="1477">
      <formula>K30="OFF"</formula>
    </cfRule>
  </conditionalFormatting>
  <conditionalFormatting sqref="A30:C30">
    <cfRule type="expression" dxfId="723" priority="1476">
      <formula>#REF!=0</formula>
    </cfRule>
  </conditionalFormatting>
  <conditionalFormatting sqref="A30:C30">
    <cfRule type="expression" dxfId="722" priority="1475">
      <formula>#REF!=0</formula>
    </cfRule>
  </conditionalFormatting>
  <conditionalFormatting sqref="A30">
    <cfRule type="expression" dxfId="721" priority="1474">
      <formula>#REF!=0</formula>
    </cfRule>
  </conditionalFormatting>
  <conditionalFormatting sqref="M30">
    <cfRule type="expression" dxfId="720" priority="1473">
      <formula>M30="OFF"</formula>
    </cfRule>
  </conditionalFormatting>
  <conditionalFormatting sqref="P146:P147">
    <cfRule type="expression" dxfId="719" priority="978">
      <formula>P146="OFF"</formula>
    </cfRule>
  </conditionalFormatting>
  <conditionalFormatting sqref="N116:N121">
    <cfRule type="expression" dxfId="718" priority="981">
      <formula>N116="OFF"</formula>
    </cfRule>
  </conditionalFormatting>
  <conditionalFormatting sqref="P146:P147">
    <cfRule type="expression" dxfId="717" priority="980">
      <formula>P146="OFF"</formula>
    </cfRule>
  </conditionalFormatting>
  <conditionalFormatting sqref="P146:P147">
    <cfRule type="expression" dxfId="716" priority="979">
      <formula>P146="OFF"</formula>
    </cfRule>
  </conditionalFormatting>
  <conditionalFormatting sqref="N160">
    <cfRule type="expression" dxfId="715" priority="964">
      <formula>N160="OFF"</formula>
    </cfRule>
  </conditionalFormatting>
  <conditionalFormatting sqref="N160">
    <cfRule type="expression" dxfId="714" priority="962">
      <formula>N160="OFF"</formula>
    </cfRule>
  </conditionalFormatting>
  <conditionalFormatting sqref="Q28:V28">
    <cfRule type="expression" dxfId="713" priority="689">
      <formula>Q28="OFF"</formula>
    </cfRule>
  </conditionalFormatting>
  <conditionalFormatting sqref="Q28">
    <cfRule type="expression" dxfId="712" priority="686">
      <formula>Q28="OFF"</formula>
    </cfRule>
  </conditionalFormatting>
  <conditionalFormatting sqref="Q28:V28">
    <cfRule type="expression" dxfId="711" priority="688">
      <formula>Q28="OFF"</formula>
    </cfRule>
  </conditionalFormatting>
  <conditionalFormatting sqref="Q28">
    <cfRule type="expression" dxfId="710" priority="687">
      <formula>Q28="OFF"</formula>
    </cfRule>
  </conditionalFormatting>
  <conditionalFormatting sqref="Q18:V18">
    <cfRule type="expression" dxfId="709" priority="458">
      <formula>Q18="OFF"</formula>
    </cfRule>
  </conditionalFormatting>
  <conditionalFormatting sqref="Q18:V18">
    <cfRule type="expression" dxfId="708" priority="455">
      <formula>Q18="OFF"</formula>
    </cfRule>
  </conditionalFormatting>
  <conditionalFormatting sqref="Q18:W18">
    <cfRule type="expression" dxfId="707" priority="457">
      <formula>Q18="OFF"</formula>
    </cfRule>
  </conditionalFormatting>
  <conditionalFormatting sqref="Q18:V18">
    <cfRule type="expression" dxfId="706" priority="456">
      <formula>Q18="OFF"</formula>
    </cfRule>
  </conditionalFormatting>
  <conditionalFormatting sqref="P160">
    <cfRule type="expression" dxfId="705" priority="969">
      <formula>P160="OFF"</formula>
    </cfRule>
  </conditionalFormatting>
  <conditionalFormatting sqref="P160">
    <cfRule type="expression" dxfId="704" priority="966">
      <formula>P160="OFF"</formula>
    </cfRule>
  </conditionalFormatting>
  <conditionalFormatting sqref="P160">
    <cfRule type="expression" dxfId="703" priority="968">
      <formula>P160="OFF"</formula>
    </cfRule>
  </conditionalFormatting>
  <conditionalFormatting sqref="P160">
    <cfRule type="expression" dxfId="702" priority="967">
      <formula>P160="OFF"</formula>
    </cfRule>
  </conditionalFormatting>
  <conditionalFormatting sqref="N160">
    <cfRule type="expression" dxfId="701" priority="965">
      <formula>N160="OFF"</formula>
    </cfRule>
  </conditionalFormatting>
  <conditionalFormatting sqref="N160">
    <cfRule type="expression" dxfId="700" priority="963">
      <formula>N160="OFF"</formula>
    </cfRule>
  </conditionalFormatting>
  <conditionalFormatting sqref="N160">
    <cfRule type="expression" dxfId="699" priority="961">
      <formula>N160="OFF"</formula>
    </cfRule>
  </conditionalFormatting>
  <conditionalFormatting sqref="P162">
    <cfRule type="expression" dxfId="698" priority="960">
      <formula>P162="OFF"</formula>
    </cfRule>
  </conditionalFormatting>
  <conditionalFormatting sqref="O25">
    <cfRule type="expression" dxfId="697" priority="950">
      <formula>O25="OFF"</formula>
    </cfRule>
  </conditionalFormatting>
  <conditionalFormatting sqref="A9:C9">
    <cfRule type="expression" dxfId="696" priority="1437">
      <formula>#REF!=0</formula>
    </cfRule>
  </conditionalFormatting>
  <conditionalFormatting sqref="A9:C9">
    <cfRule type="expression" dxfId="695" priority="1436">
      <formula>#REF!=0</formula>
    </cfRule>
  </conditionalFormatting>
  <conditionalFormatting sqref="A9">
    <cfRule type="expression" dxfId="694" priority="1435">
      <formula>#REF!=0</formula>
    </cfRule>
  </conditionalFormatting>
  <conditionalFormatting sqref="P76">
    <cfRule type="expression" dxfId="693" priority="944">
      <formula>P76="OFF"</formula>
    </cfRule>
  </conditionalFormatting>
  <conditionalFormatting sqref="N76">
    <cfRule type="expression" dxfId="692" priority="946">
      <formula>N76="OFF"</formula>
    </cfRule>
  </conditionalFormatting>
  <conditionalFormatting sqref="O76">
    <cfRule type="expression" dxfId="691" priority="945">
      <formula>O76="OFF"</formula>
    </cfRule>
  </conditionalFormatting>
  <conditionalFormatting sqref="P76">
    <cfRule type="expression" dxfId="690" priority="943">
      <formula>P76="OFF"</formula>
    </cfRule>
  </conditionalFormatting>
  <conditionalFormatting sqref="P76">
    <cfRule type="expression" dxfId="689" priority="939">
      <formula>P76="OFF"</formula>
    </cfRule>
  </conditionalFormatting>
  <conditionalFormatting sqref="P76">
    <cfRule type="expression" dxfId="688" priority="942">
      <formula>P76="OFF"</formula>
    </cfRule>
  </conditionalFormatting>
  <conditionalFormatting sqref="P76">
    <cfRule type="expression" dxfId="687" priority="941">
      <formula>P76="OFF"</formula>
    </cfRule>
  </conditionalFormatting>
  <conditionalFormatting sqref="A1:A18 A20:A33 A35:A224 A772 A786 A790:A791 A797:A4642 A4651:A5344 A5355:A1048576">
    <cfRule type="containsText" dxfId="686" priority="1426" operator="containsText" text="sam263p">
      <formula>NOT(ISERROR(SEARCH("sam263p",A1)))</formula>
    </cfRule>
  </conditionalFormatting>
  <conditionalFormatting sqref="K19:M19">
    <cfRule type="expression" dxfId="685" priority="1401">
      <formula>K19="OFF"</formula>
    </cfRule>
  </conditionalFormatting>
  <conditionalFormatting sqref="C19">
    <cfRule type="expression" dxfId="684" priority="1400">
      <formula>#REF!=0</formula>
    </cfRule>
  </conditionalFormatting>
  <conditionalFormatting sqref="C19">
    <cfRule type="expression" dxfId="683" priority="1399">
      <formula>#REF!=0</formula>
    </cfRule>
  </conditionalFormatting>
  <conditionalFormatting sqref="K19:M19">
    <cfRule type="expression" dxfId="682" priority="1390">
      <formula>K19="OFF"</formula>
    </cfRule>
  </conditionalFormatting>
  <conditionalFormatting sqref="A19:C19">
    <cfRule type="expression" dxfId="681" priority="1389">
      <formula>#REF!=0</formula>
    </cfRule>
  </conditionalFormatting>
  <conditionalFormatting sqref="A19:C19">
    <cfRule type="expression" dxfId="680" priority="1388">
      <formula>#REF!=0</formula>
    </cfRule>
  </conditionalFormatting>
  <conditionalFormatting sqref="A19">
    <cfRule type="expression" dxfId="679" priority="1387">
      <formula>#REF!=0</formula>
    </cfRule>
  </conditionalFormatting>
  <conditionalFormatting sqref="S146:S147">
    <cfRule type="expression" dxfId="678" priority="608">
      <formula>S146="OFF"</formula>
    </cfRule>
  </conditionalFormatting>
  <conditionalFormatting sqref="S146:S147">
    <cfRule type="expression" dxfId="677" priority="610">
      <formula>S146="OFF"</formula>
    </cfRule>
  </conditionalFormatting>
  <conditionalFormatting sqref="S146:S147">
    <cfRule type="expression" dxfId="676" priority="609">
      <formula>S146="OFF"</formula>
    </cfRule>
  </conditionalFormatting>
  <conditionalFormatting sqref="N100:N101">
    <cfRule type="expression" dxfId="675" priority="895">
      <formula>N100="OFF"</formula>
    </cfRule>
  </conditionalFormatting>
  <conditionalFormatting sqref="N100:N101">
    <cfRule type="expression" dxfId="674" priority="893">
      <formula>N100="OFF"</formula>
    </cfRule>
  </conditionalFormatting>
  <conditionalFormatting sqref="N18:P18">
    <cfRule type="expression" dxfId="673" priority="877">
      <formula>N18="OFF"</formula>
    </cfRule>
  </conditionalFormatting>
  <conditionalFormatting sqref="N18">
    <cfRule type="expression" dxfId="672" priority="875">
      <formula>N18="OFF"</formula>
    </cfRule>
  </conditionalFormatting>
  <conditionalFormatting sqref="U30">
    <cfRule type="expression" dxfId="671" priority="371">
      <formula>U30="OFF"</formula>
    </cfRule>
  </conditionalFormatting>
  <conditionalFormatting sqref="N18:P18">
    <cfRule type="expression" dxfId="670" priority="879">
      <formula>N18="OFF"</formula>
    </cfRule>
  </conditionalFormatting>
  <conditionalFormatting sqref="N18:P18">
    <cfRule type="expression" dxfId="669" priority="878">
      <formula>N18="OFF"</formula>
    </cfRule>
  </conditionalFormatting>
  <conditionalFormatting sqref="N18">
    <cfRule type="expression" dxfId="668" priority="876">
      <formula>N18="OFF"</formula>
    </cfRule>
  </conditionalFormatting>
  <conditionalFormatting sqref="A19">
    <cfRule type="containsText" dxfId="667" priority="1362" operator="containsText" text="sam263p">
      <formula>NOT(ISERROR(SEARCH("sam263p",A19)))</formula>
    </cfRule>
  </conditionalFormatting>
  <conditionalFormatting sqref="L18">
    <cfRule type="expression" dxfId="666" priority="1360">
      <formula>L18="OFF"</formula>
    </cfRule>
  </conditionalFormatting>
  <conditionalFormatting sqref="A34:C34">
    <cfRule type="expression" dxfId="665" priority="1356">
      <formula>#REF!=0</formula>
    </cfRule>
  </conditionalFormatting>
  <conditionalFormatting sqref="A34:C34">
    <cfRule type="expression" dxfId="664" priority="1355">
      <formula>#REF!=0</formula>
    </cfRule>
  </conditionalFormatting>
  <conditionalFormatting sqref="K34:M34">
    <cfRule type="expression" dxfId="663" priority="1354">
      <formula>K34="OFF"</formula>
    </cfRule>
  </conditionalFormatting>
  <conditionalFormatting sqref="C34">
    <cfRule type="expression" dxfId="662" priority="1353">
      <formula>#REF!=0</formula>
    </cfRule>
  </conditionalFormatting>
  <conditionalFormatting sqref="C34">
    <cfRule type="expression" dxfId="661" priority="1352">
      <formula>#REF!=0</formula>
    </cfRule>
  </conditionalFormatting>
  <conditionalFormatting sqref="J34">
    <cfRule type="expression" dxfId="660" priority="1347">
      <formula>J34="OFF"</formula>
    </cfRule>
  </conditionalFormatting>
  <conditionalFormatting sqref="Q162:R162">
    <cfRule type="expression" dxfId="659" priority="558">
      <formula>Q162="OFF"</formula>
    </cfRule>
  </conditionalFormatting>
  <conditionalFormatting sqref="Q162:R162">
    <cfRule type="expression" dxfId="658" priority="560">
      <formula>Q162="OFF"</formula>
    </cfRule>
  </conditionalFormatting>
  <conditionalFormatting sqref="Q162:R162">
    <cfRule type="expression" dxfId="657" priority="559">
      <formula>Q162="OFF"</formula>
    </cfRule>
  </conditionalFormatting>
  <conditionalFormatting sqref="Q34:W34">
    <cfRule type="expression" dxfId="656" priority="330">
      <formula>Q34="OFF"</formula>
    </cfRule>
  </conditionalFormatting>
  <conditionalFormatting sqref="N9:P9">
    <cfRule type="expression" dxfId="655" priority="844">
      <formula>N9="OFF"</formula>
    </cfRule>
  </conditionalFormatting>
  <conditionalFormatting sqref="N9:P9">
    <cfRule type="expression" dxfId="654" priority="843">
      <formula>N9="OFF"</formula>
    </cfRule>
  </conditionalFormatting>
  <conditionalFormatting sqref="N9:P9">
    <cfRule type="expression" dxfId="653" priority="842">
      <formula>N9="OFF"</formula>
    </cfRule>
  </conditionalFormatting>
  <conditionalFormatting sqref="A34">
    <cfRule type="containsText" dxfId="652" priority="1328" operator="containsText" text="sam263p">
      <formula>NOT(ISERROR(SEARCH("sam263p",A34)))</formula>
    </cfRule>
  </conditionalFormatting>
  <conditionalFormatting sqref="N19:P19">
    <cfRule type="expression" dxfId="651" priority="839">
      <formula>N19="OFF"</formula>
    </cfRule>
  </conditionalFormatting>
  <conditionalFormatting sqref="N19:P19">
    <cfRule type="expression" dxfId="650" priority="836">
      <formula>N19="OFF"</formula>
    </cfRule>
  </conditionalFormatting>
  <conditionalFormatting sqref="N19:P19">
    <cfRule type="expression" dxfId="649" priority="838">
      <formula>N19="OFF"</formula>
    </cfRule>
  </conditionalFormatting>
  <conditionalFormatting sqref="N19:P19">
    <cfRule type="expression" dxfId="648" priority="837">
      <formula>N19="OFF"</formula>
    </cfRule>
  </conditionalFormatting>
  <conditionalFormatting sqref="N19:P19">
    <cfRule type="expression" dxfId="647" priority="835">
      <formula>N19="OFF"</formula>
    </cfRule>
  </conditionalFormatting>
  <conditionalFormatting sqref="P34">
    <cfRule type="expression" dxfId="646" priority="826">
      <formula>P34="OFF"</formula>
    </cfRule>
  </conditionalFormatting>
  <conditionalFormatting sqref="N19">
    <cfRule type="expression" dxfId="645" priority="829">
      <formula>N19="OFF"</formula>
    </cfRule>
  </conditionalFormatting>
  <conditionalFormatting sqref="N19">
    <cfRule type="expression" dxfId="644" priority="828">
      <formula>N19="OFF"</formula>
    </cfRule>
  </conditionalFormatting>
  <conditionalFormatting sqref="N34:P34">
    <cfRule type="expression" dxfId="643" priority="827">
      <formula>N34="OFF"</formula>
    </cfRule>
  </conditionalFormatting>
  <conditionalFormatting sqref="P34">
    <cfRule type="expression" dxfId="642" priority="825">
      <formula>P34="OFF"</formula>
    </cfRule>
  </conditionalFormatting>
  <conditionalFormatting sqref="P34">
    <cfRule type="expression" dxfId="641" priority="824">
      <formula>P34="OFF"</formula>
    </cfRule>
  </conditionalFormatting>
  <conditionalFormatting sqref="P34">
    <cfRule type="expression" dxfId="640" priority="819">
      <formula>P34="OFF"</formula>
    </cfRule>
  </conditionalFormatting>
  <conditionalFormatting sqref="P34">
    <cfRule type="expression" dxfId="639" priority="818">
      <formula>P34="OFF"</formula>
    </cfRule>
  </conditionalFormatting>
  <conditionalFormatting sqref="N34">
    <cfRule type="expression" dxfId="638" priority="815">
      <formula>N34="OFF"</formula>
    </cfRule>
  </conditionalFormatting>
  <conditionalFormatting sqref="N34">
    <cfRule type="expression" dxfId="637" priority="817">
      <formula>N34="OFF"</formula>
    </cfRule>
  </conditionalFormatting>
  <conditionalFormatting sqref="N34">
    <cfRule type="expression" dxfId="636" priority="816">
      <formula>N34="OFF"</formula>
    </cfRule>
  </conditionalFormatting>
  <conditionalFormatting sqref="N34">
    <cfRule type="expression" dxfId="635" priority="814">
      <formula>N34="OFF"</formula>
    </cfRule>
  </conditionalFormatting>
  <conditionalFormatting sqref="O34">
    <cfRule type="expression" dxfId="634" priority="813">
      <formula>O34="OFF"</formula>
    </cfRule>
  </conditionalFormatting>
  <conditionalFormatting sqref="Q3:W4 Q94:W99 R77:W85 R88:W93 Q193:S223 U193:U223 Q161:S161 U161 Q52:W75 Q10:W15 Q7:W7 Q20:W24 Q27:W27 Q29:W29 Q31:W33 W8:W9 Q35:W47">
    <cfRule type="expression" dxfId="633" priority="812">
      <formula>Q3="OFF"</formula>
    </cfRule>
  </conditionalFormatting>
  <conditionalFormatting sqref="Q3:W4 Q27:W27 Q20:W24 Q52:W75 Q7:W7 Q10:W15 W8:W9">
    <cfRule type="expression" dxfId="632" priority="811">
      <formula>Q3="OFF"</formula>
    </cfRule>
  </conditionalFormatting>
  <conditionalFormatting sqref="Q3:W4 Q27:W27 Q20:W24 Q52:W75 Q7:W7 Q10:W15 W8:W9">
    <cfRule type="expression" dxfId="631" priority="809">
      <formula>Q3="OFF"</formula>
    </cfRule>
  </conditionalFormatting>
  <conditionalFormatting sqref="Q94:R99 Q105:R115 Q122:R145 Q148:R159 Q163:R192">
    <cfRule type="expression" dxfId="630" priority="806">
      <formula>Q94="OFF"</formula>
    </cfRule>
  </conditionalFormatting>
  <conditionalFormatting sqref="Q3:W4 Q27:W27 Q20:W24 Q52:W75 Q7:W7 Q10:W15 W8:W9">
    <cfRule type="expression" dxfId="629" priority="808">
      <formula>Q3="OFF"</formula>
    </cfRule>
  </conditionalFormatting>
  <conditionalFormatting sqref="Q94:R99 Q105:R115 Q122:R145 Q148:R159 Q163:R192">
    <cfRule type="expression" dxfId="628" priority="807">
      <formula>Q94="OFF"</formula>
    </cfRule>
  </conditionalFormatting>
  <conditionalFormatting sqref="Q94:R99 Q105:R115 Q122:R145 Q148:R159 Q163:R192">
    <cfRule type="expression" dxfId="627" priority="805">
      <formula>Q94="OFF"</formula>
    </cfRule>
  </conditionalFormatting>
  <conditionalFormatting sqref="U94:U99 U105:U115 U122:U145 U148:U159 U163:U192">
    <cfRule type="expression" dxfId="626" priority="802">
      <formula>U94="OFF"</formula>
    </cfRule>
  </conditionalFormatting>
  <conditionalFormatting sqref="Q94:R99 Q105:R115 Q122:R145 Q148:R159 Q163:R192">
    <cfRule type="expression" dxfId="625" priority="804">
      <formula>Q94="OFF"</formula>
    </cfRule>
  </conditionalFormatting>
  <conditionalFormatting sqref="Q94:R99 Q105:R115 Q122:R145 Q148:R159 Q163:R192">
    <cfRule type="expression" dxfId="624" priority="803">
      <formula>Q94="OFF"</formula>
    </cfRule>
  </conditionalFormatting>
  <conditionalFormatting sqref="U94:U99 U105:U115 U122:U145 U148:U159 U163:U192">
    <cfRule type="expression" dxfId="623" priority="801">
      <formula>U94="OFF"</formula>
    </cfRule>
  </conditionalFormatting>
  <conditionalFormatting sqref="S94:S99 S105:S115 S122:S145 S148:S159 S163:S192">
    <cfRule type="expression" dxfId="622" priority="797">
      <formula>S94="OFF"</formula>
    </cfRule>
  </conditionalFormatting>
  <conditionalFormatting sqref="U94:U99 U105:U115 U122:U145 U148:U159 U163:U192">
    <cfRule type="expression" dxfId="621" priority="800">
      <formula>U94="OFF"</formula>
    </cfRule>
  </conditionalFormatting>
  <conditionalFormatting sqref="U94:U99 U105:U115 U122:U145 U148:U159 U163:U192">
    <cfRule type="expression" dxfId="620" priority="799">
      <formula>U94="OFF"</formula>
    </cfRule>
  </conditionalFormatting>
  <conditionalFormatting sqref="U94:U99 U105:U115 U122:U145 U148:U159 U163:U192">
    <cfRule type="expression" dxfId="619" priority="798">
      <formula>U94="OFF"</formula>
    </cfRule>
  </conditionalFormatting>
  <conditionalFormatting sqref="S94:S99 S105:S115 S122:S145 S148:S159 S163:S192">
    <cfRule type="expression" dxfId="618" priority="796">
      <formula>S94="OFF"</formula>
    </cfRule>
  </conditionalFormatting>
  <conditionalFormatting sqref="S94:S99 S105:S115 S122:S145 S148:S159 S163:S192">
    <cfRule type="expression" dxfId="617" priority="793">
      <formula>S94="OFF"</formula>
    </cfRule>
  </conditionalFormatting>
  <conditionalFormatting sqref="S94:S99 S105:S115 S122:S145 S148:S159 S163:S192">
    <cfRule type="expression" dxfId="616" priority="795">
      <formula>S94="OFF"</formula>
    </cfRule>
  </conditionalFormatting>
  <conditionalFormatting sqref="S94:S99 S105:S115 S122:S145 S148:S159 S163:S192">
    <cfRule type="expression" dxfId="615" priority="794">
      <formula>S94="OFF"</formula>
    </cfRule>
  </conditionalFormatting>
  <conditionalFormatting sqref="Q3:V4 Q27:V27 Q20:V24 Q52:V75">
    <cfRule type="expression" dxfId="614" priority="778">
      <formula>Q3="OFF"</formula>
    </cfRule>
  </conditionalFormatting>
  <conditionalFormatting sqref="Q3:V4 Q27:V27 Q20:V24 Q52:V75">
    <cfRule type="expression" dxfId="613" priority="780">
      <formula>Q3="OFF"</formula>
    </cfRule>
  </conditionalFormatting>
  <conditionalFormatting sqref="Q3:V4 Q27:V27 Q20:V24 Q52:V75">
    <cfRule type="expression" dxfId="612" priority="779">
      <formula>Q3="OFF"</formula>
    </cfRule>
  </conditionalFormatting>
  <conditionalFormatting sqref="R86:R87 T86:T87 V86:W87">
    <cfRule type="expression" dxfId="611" priority="777">
      <formula>R86="OFF"</formula>
    </cfRule>
  </conditionalFormatting>
  <conditionalFormatting sqref="S86:S87 S35:S47 S52:S75">
    <cfRule type="expression" dxfId="610" priority="774">
      <formula>S35="OFF"</formula>
    </cfRule>
  </conditionalFormatting>
  <conditionalFormatting sqref="R35 Q32:S32 V35:W35 U32:W32 Q33 Q35:Q41">
    <cfRule type="expression" dxfId="609" priority="776">
      <formula>Q32="OFF"</formula>
    </cfRule>
  </conditionalFormatting>
  <conditionalFormatting sqref="Q86:Q87 Q35:Q42 Q44:Q47 Q52:Q72">
    <cfRule type="expression" dxfId="608" priority="775">
      <formula>Q35="OFF"</formula>
    </cfRule>
  </conditionalFormatting>
  <conditionalFormatting sqref="U86:U87 U35:U47 U52:U75">
    <cfRule type="expression" dxfId="607" priority="773">
      <formula>U35="OFF"</formula>
    </cfRule>
  </conditionalFormatting>
  <conditionalFormatting sqref="Q15 Q27 Q20:Q24 Q52:Q75">
    <cfRule type="expression" dxfId="606" priority="769">
      <formula>Q15="OFF"</formula>
    </cfRule>
  </conditionalFormatting>
  <conditionalFormatting sqref="T32:T33 T35">
    <cfRule type="expression" dxfId="605" priority="772">
      <formula>T32="OFF"</formula>
    </cfRule>
  </conditionalFormatting>
  <conditionalFormatting sqref="Q88:Q93 Q73:Q75 Q43 Q77:Q85">
    <cfRule type="expression" dxfId="604" priority="771">
      <formula>Q43="OFF"</formula>
    </cfRule>
  </conditionalFormatting>
  <conditionalFormatting sqref="Q15 Q27 Q20:Q24 Q52:Q75">
    <cfRule type="expression" dxfId="603" priority="770">
      <formula>Q15="OFF"</formula>
    </cfRule>
  </conditionalFormatting>
  <conditionalFormatting sqref="Q15 Q27 Q20:Q24 Q52:Q75">
    <cfRule type="expression" dxfId="602" priority="768">
      <formula>Q15="OFF"</formula>
    </cfRule>
  </conditionalFormatting>
  <conditionalFormatting sqref="S15 S27 S20:S24 S52:S75">
    <cfRule type="expression" dxfId="601" priority="765">
      <formula>S15="OFF"</formula>
    </cfRule>
  </conditionalFormatting>
  <conditionalFormatting sqref="Q15 Q27 Q20:Q24 Q52:Q75">
    <cfRule type="expression" dxfId="600" priority="767">
      <formula>Q15="OFF"</formula>
    </cfRule>
  </conditionalFormatting>
  <conditionalFormatting sqref="S15 S27 S20:S24 S52:S75">
    <cfRule type="expression" dxfId="599" priority="766">
      <formula>S15="OFF"</formula>
    </cfRule>
  </conditionalFormatting>
  <conditionalFormatting sqref="U15 U27 U20:U24 U52:U75">
    <cfRule type="expression" dxfId="598" priority="759">
      <formula>U15="OFF"</formula>
    </cfRule>
  </conditionalFormatting>
  <conditionalFormatting sqref="U15 U27 U20:U24 U52:U75">
    <cfRule type="expression" dxfId="597" priority="761">
      <formula>U15="OFF"</formula>
    </cfRule>
  </conditionalFormatting>
  <conditionalFormatting sqref="U15 U27 U20:U24 U52:U75">
    <cfRule type="expression" dxfId="596" priority="760">
      <formula>U15="OFF"</formula>
    </cfRule>
  </conditionalFormatting>
  <conditionalFormatting sqref="S15 S27 S20:S24 S52:S75">
    <cfRule type="expression" dxfId="595" priority="764">
      <formula>S15="OFF"</formula>
    </cfRule>
  </conditionalFormatting>
  <conditionalFormatting sqref="S15 S27 S20:S24 S52:S75">
    <cfRule type="expression" dxfId="594" priority="763">
      <formula>S15="OFF"</formula>
    </cfRule>
  </conditionalFormatting>
  <conditionalFormatting sqref="U15 U27 U20:U24 U52:U75">
    <cfRule type="expression" dxfId="593" priority="762">
      <formula>U15="OFF"</formula>
    </cfRule>
  </conditionalFormatting>
  <conditionalFormatting sqref="Q25:V25">
    <cfRule type="expression" dxfId="592" priority="749">
      <formula>Q25="OFF"</formula>
    </cfRule>
  </conditionalFormatting>
  <conditionalFormatting sqref="Q25:W25">
    <cfRule type="expression" dxfId="591" priority="750">
      <formula>Q25="OFF"</formula>
    </cfRule>
  </conditionalFormatting>
  <conditionalFormatting sqref="Q25:V25">
    <cfRule type="expression" dxfId="590" priority="748">
      <formula>Q25="OFF"</formula>
    </cfRule>
  </conditionalFormatting>
  <conditionalFormatting sqref="Q25:V25">
    <cfRule type="expression" dxfId="589" priority="747">
      <formula>Q25="OFF"</formula>
    </cfRule>
  </conditionalFormatting>
  <conditionalFormatting sqref="Q25:V25">
    <cfRule type="expression" dxfId="588" priority="746">
      <formula>Q25="OFF"</formula>
    </cfRule>
  </conditionalFormatting>
  <conditionalFormatting sqref="S25">
    <cfRule type="expression" dxfId="587" priority="739">
      <formula>S25="OFF"</formula>
    </cfRule>
  </conditionalFormatting>
  <conditionalFormatting sqref="Q25">
    <cfRule type="expression" dxfId="586" priority="741">
      <formula>Q25="OFF"</formula>
    </cfRule>
  </conditionalFormatting>
  <conditionalFormatting sqref="S25">
    <cfRule type="expression" dxfId="585" priority="740">
      <formula>S25="OFF"</formula>
    </cfRule>
  </conditionalFormatting>
  <conditionalFormatting sqref="S25">
    <cfRule type="expression" dxfId="584" priority="738">
      <formula>S25="OFF"</formula>
    </cfRule>
  </conditionalFormatting>
  <conditionalFormatting sqref="S25">
    <cfRule type="expression" dxfId="583" priority="737">
      <formula>S25="OFF"</formula>
    </cfRule>
  </conditionalFormatting>
  <conditionalFormatting sqref="U25">
    <cfRule type="expression" dxfId="582" priority="734">
      <formula>U25="OFF"</formula>
    </cfRule>
  </conditionalFormatting>
  <conditionalFormatting sqref="U25">
    <cfRule type="expression" dxfId="581" priority="736">
      <formula>U25="OFF"</formula>
    </cfRule>
  </conditionalFormatting>
  <conditionalFormatting sqref="U25">
    <cfRule type="expression" dxfId="580" priority="735">
      <formula>U25="OFF"</formula>
    </cfRule>
  </conditionalFormatting>
  <conditionalFormatting sqref="U25">
    <cfRule type="expression" dxfId="579" priority="733">
      <formula>U25="OFF"</formula>
    </cfRule>
  </conditionalFormatting>
  <conditionalFormatting sqref="Q5:W6">
    <cfRule type="expression" dxfId="578" priority="729">
      <formula>Q5="OFF"</formula>
    </cfRule>
  </conditionalFormatting>
  <conditionalFormatting sqref="Q5:W6">
    <cfRule type="expression" dxfId="577" priority="732">
      <formula>Q5="OFF"</formula>
    </cfRule>
  </conditionalFormatting>
  <conditionalFormatting sqref="Q5:W6">
    <cfRule type="expression" dxfId="576" priority="731">
      <formula>Q5="OFF"</formula>
    </cfRule>
  </conditionalFormatting>
  <conditionalFormatting sqref="Q5:W6">
    <cfRule type="expression" dxfId="575" priority="730">
      <formula>Q5="OFF"</formula>
    </cfRule>
  </conditionalFormatting>
  <conditionalFormatting sqref="Q5:V6">
    <cfRule type="expression" dxfId="574" priority="728">
      <formula>Q5="OFF"</formula>
    </cfRule>
  </conditionalFormatting>
  <conditionalFormatting sqref="Q5:V6">
    <cfRule type="expression" dxfId="573" priority="727">
      <formula>Q5="OFF"</formula>
    </cfRule>
  </conditionalFormatting>
  <conditionalFormatting sqref="Q5:V6">
    <cfRule type="expression" dxfId="572" priority="726">
      <formula>Q5="OFF"</formula>
    </cfRule>
  </conditionalFormatting>
  <conditionalFormatting sqref="Q16:W16">
    <cfRule type="expression" dxfId="571" priority="723">
      <formula>Q16="OFF"</formula>
    </cfRule>
  </conditionalFormatting>
  <conditionalFormatting sqref="Q5:V6">
    <cfRule type="expression" dxfId="570" priority="725">
      <formula>Q5="OFF"</formula>
    </cfRule>
  </conditionalFormatting>
  <conditionalFormatting sqref="Q5:V6">
    <cfRule type="expression" dxfId="569" priority="724">
      <formula>Q5="OFF"</formula>
    </cfRule>
  </conditionalFormatting>
  <conditionalFormatting sqref="Q16:W16">
    <cfRule type="expression" dxfId="568" priority="722">
      <formula>Q16="OFF"</formula>
    </cfRule>
  </conditionalFormatting>
  <conditionalFormatting sqref="Q16:W16">
    <cfRule type="expression" dxfId="567" priority="721">
      <formula>Q16="OFF"</formula>
    </cfRule>
  </conditionalFormatting>
  <conditionalFormatting sqref="Q16:W16">
    <cfRule type="expression" dxfId="566" priority="720">
      <formula>Q16="OFF"</formula>
    </cfRule>
  </conditionalFormatting>
  <conditionalFormatting sqref="Q16:V16">
    <cfRule type="expression" dxfId="565" priority="719">
      <formula>Q16="OFF"</formula>
    </cfRule>
  </conditionalFormatting>
  <conditionalFormatting sqref="Q16:V16">
    <cfRule type="expression" dxfId="564" priority="718">
      <formula>Q16="OFF"</formula>
    </cfRule>
  </conditionalFormatting>
  <conditionalFormatting sqref="Q16:V16">
    <cfRule type="expression" dxfId="563" priority="713">
      <formula>Q16="OFF"</formula>
    </cfRule>
  </conditionalFormatting>
  <conditionalFormatting sqref="Q16">
    <cfRule type="expression" dxfId="562" priority="708">
      <formula>Q16="OFF"</formula>
    </cfRule>
  </conditionalFormatting>
  <conditionalFormatting sqref="Q16:V16">
    <cfRule type="expression" dxfId="561" priority="711">
      <formula>Q16="OFF"</formula>
    </cfRule>
  </conditionalFormatting>
  <conditionalFormatting sqref="Q16:V16">
    <cfRule type="expression" dxfId="560" priority="710">
      <formula>Q16="OFF"</formula>
    </cfRule>
  </conditionalFormatting>
  <conditionalFormatting sqref="Q16:V16">
    <cfRule type="expression" dxfId="559" priority="709">
      <formula>Q16="OFF"</formula>
    </cfRule>
  </conditionalFormatting>
  <conditionalFormatting sqref="Q16">
    <cfRule type="expression" dxfId="558" priority="707">
      <formula>Q16="OFF"</formula>
    </cfRule>
  </conditionalFormatting>
  <conditionalFormatting sqref="S16">
    <cfRule type="expression" dxfId="557" priority="704">
      <formula>S16="OFF"</formula>
    </cfRule>
  </conditionalFormatting>
  <conditionalFormatting sqref="Q16">
    <cfRule type="expression" dxfId="556" priority="706">
      <formula>Q16="OFF"</formula>
    </cfRule>
  </conditionalFormatting>
  <conditionalFormatting sqref="Q16">
    <cfRule type="expression" dxfId="555" priority="705">
      <formula>Q16="OFF"</formula>
    </cfRule>
  </conditionalFormatting>
  <conditionalFormatting sqref="S16">
    <cfRule type="expression" dxfId="554" priority="703">
      <formula>S16="OFF"</formula>
    </cfRule>
  </conditionalFormatting>
  <conditionalFormatting sqref="U16">
    <cfRule type="expression" dxfId="553" priority="699">
      <formula>U16="OFF"</formula>
    </cfRule>
  </conditionalFormatting>
  <conditionalFormatting sqref="S16">
    <cfRule type="expression" dxfId="552" priority="702">
      <formula>S16="OFF"</formula>
    </cfRule>
  </conditionalFormatting>
  <conditionalFormatting sqref="S16">
    <cfRule type="expression" dxfId="551" priority="701">
      <formula>S16="OFF"</formula>
    </cfRule>
  </conditionalFormatting>
  <conditionalFormatting sqref="U16">
    <cfRule type="expression" dxfId="550" priority="700">
      <formula>U16="OFF"</formula>
    </cfRule>
  </conditionalFormatting>
  <conditionalFormatting sqref="U16">
    <cfRule type="expression" dxfId="549" priority="698">
      <formula>U16="OFF"</formula>
    </cfRule>
  </conditionalFormatting>
  <conditionalFormatting sqref="U16">
    <cfRule type="expression" dxfId="548" priority="697">
      <formula>U16="OFF"</formula>
    </cfRule>
  </conditionalFormatting>
  <conditionalFormatting sqref="Q28:W28">
    <cfRule type="expression" dxfId="547" priority="693">
      <formula>Q28="OFF"</formula>
    </cfRule>
  </conditionalFormatting>
  <conditionalFormatting sqref="Q28:W28">
    <cfRule type="expression" dxfId="546" priority="696">
      <formula>Q28="OFF"</formula>
    </cfRule>
  </conditionalFormatting>
  <conditionalFormatting sqref="Q28:W28">
    <cfRule type="expression" dxfId="545" priority="695">
      <formula>Q28="OFF"</formula>
    </cfRule>
  </conditionalFormatting>
  <conditionalFormatting sqref="Q28:W28">
    <cfRule type="expression" dxfId="544" priority="694">
      <formula>Q28="OFF"</formula>
    </cfRule>
  </conditionalFormatting>
  <conditionalFormatting sqref="Q28:V28">
    <cfRule type="expression" dxfId="543" priority="692">
      <formula>Q28="OFF"</formula>
    </cfRule>
  </conditionalFormatting>
  <conditionalFormatting sqref="Q28:V28">
    <cfRule type="expression" dxfId="542" priority="691">
      <formula>Q28="OFF"</formula>
    </cfRule>
  </conditionalFormatting>
  <conditionalFormatting sqref="Q28:V28">
    <cfRule type="expression" dxfId="541" priority="690">
      <formula>Q28="OFF"</formula>
    </cfRule>
  </conditionalFormatting>
  <conditionalFormatting sqref="Q28">
    <cfRule type="expression" dxfId="540" priority="685">
      <formula>Q28="OFF"</formula>
    </cfRule>
  </conditionalFormatting>
  <conditionalFormatting sqref="Q28">
    <cfRule type="expression" dxfId="539" priority="684">
      <formula>Q28="OFF"</formula>
    </cfRule>
  </conditionalFormatting>
  <conditionalFormatting sqref="S28">
    <cfRule type="expression" dxfId="538" priority="680">
      <formula>S28="OFF"</formula>
    </cfRule>
  </conditionalFormatting>
  <conditionalFormatting sqref="S28">
    <cfRule type="expression" dxfId="537" priority="683">
      <formula>S28="OFF"</formula>
    </cfRule>
  </conditionalFormatting>
  <conditionalFormatting sqref="S28">
    <cfRule type="expression" dxfId="536" priority="682">
      <formula>S28="OFF"</formula>
    </cfRule>
  </conditionalFormatting>
  <conditionalFormatting sqref="S28">
    <cfRule type="expression" dxfId="535" priority="681">
      <formula>S28="OFF"</formula>
    </cfRule>
  </conditionalFormatting>
  <conditionalFormatting sqref="U28">
    <cfRule type="expression" dxfId="534" priority="679">
      <formula>U28="OFF"</formula>
    </cfRule>
  </conditionalFormatting>
  <conditionalFormatting sqref="U28">
    <cfRule type="expression" dxfId="533" priority="678">
      <formula>U28="OFF"</formula>
    </cfRule>
  </conditionalFormatting>
  <conditionalFormatting sqref="U28">
    <cfRule type="expression" dxfId="532" priority="677">
      <formula>U28="OFF"</formula>
    </cfRule>
  </conditionalFormatting>
  <conditionalFormatting sqref="U28">
    <cfRule type="expression" dxfId="531" priority="676">
      <formula>U28="OFF"</formula>
    </cfRule>
  </conditionalFormatting>
  <conditionalFormatting sqref="Q102:W104">
    <cfRule type="expression" dxfId="530" priority="675">
      <formula>Q102="OFF"</formula>
    </cfRule>
  </conditionalFormatting>
  <conditionalFormatting sqref="Q102:R104">
    <cfRule type="expression" dxfId="529" priority="669">
      <formula>Q102="OFF"</formula>
    </cfRule>
  </conditionalFormatting>
  <conditionalFormatting sqref="Q102:R104">
    <cfRule type="expression" dxfId="528" priority="668">
      <formula>Q102="OFF"</formula>
    </cfRule>
  </conditionalFormatting>
  <conditionalFormatting sqref="Q102:R104">
    <cfRule type="expression" dxfId="527" priority="667">
      <formula>Q102="OFF"</formula>
    </cfRule>
  </conditionalFormatting>
  <conditionalFormatting sqref="U102:U104">
    <cfRule type="expression" dxfId="526" priority="665">
      <formula>U102="OFF"</formula>
    </cfRule>
  </conditionalFormatting>
  <conditionalFormatting sqref="U102:U104">
    <cfRule type="expression" dxfId="525" priority="661">
      <formula>U102="OFF"</formula>
    </cfRule>
  </conditionalFormatting>
  <conditionalFormatting sqref="U102:U104">
    <cfRule type="expression" dxfId="524" priority="664">
      <formula>U102="OFF"</formula>
    </cfRule>
  </conditionalFormatting>
  <conditionalFormatting sqref="U102:U104">
    <cfRule type="expression" dxfId="523" priority="663">
      <formula>U102="OFF"</formula>
    </cfRule>
  </conditionalFormatting>
  <conditionalFormatting sqref="U102:U104">
    <cfRule type="expression" dxfId="522" priority="662">
      <formula>U102="OFF"</formula>
    </cfRule>
  </conditionalFormatting>
  <conditionalFormatting sqref="S102:S104">
    <cfRule type="expression" dxfId="521" priority="660">
      <formula>S102="OFF"</formula>
    </cfRule>
  </conditionalFormatting>
  <conditionalFormatting sqref="S102:S104">
    <cfRule type="expression" dxfId="520" priority="657">
      <formula>S102="OFF"</formula>
    </cfRule>
  </conditionalFormatting>
  <conditionalFormatting sqref="S102:S104">
    <cfRule type="expression" dxfId="519" priority="659">
      <formula>S102="OFF"</formula>
    </cfRule>
  </conditionalFormatting>
  <conditionalFormatting sqref="S102:S104">
    <cfRule type="expression" dxfId="518" priority="658">
      <formula>S102="OFF"</formula>
    </cfRule>
  </conditionalFormatting>
  <conditionalFormatting sqref="S102:S104">
    <cfRule type="expression" dxfId="517" priority="656">
      <formula>S102="OFF"</formula>
    </cfRule>
  </conditionalFormatting>
  <conditionalFormatting sqref="Q116:R121">
    <cfRule type="expression" dxfId="516" priority="644">
      <formula>Q116="OFF"</formula>
    </cfRule>
  </conditionalFormatting>
  <conditionalFormatting sqref="Q116:R121">
    <cfRule type="expression" dxfId="515" priority="645">
      <formula>Q116="OFF"</formula>
    </cfRule>
  </conditionalFormatting>
  <conditionalFormatting sqref="Q116:R121">
    <cfRule type="expression" dxfId="514" priority="643">
      <formula>Q116="OFF"</formula>
    </cfRule>
  </conditionalFormatting>
  <conditionalFormatting sqref="U116:U121">
    <cfRule type="expression" dxfId="513" priority="640">
      <formula>U116="OFF"</formula>
    </cfRule>
  </conditionalFormatting>
  <conditionalFormatting sqref="Q116:R121">
    <cfRule type="expression" dxfId="512" priority="642">
      <formula>Q116="OFF"</formula>
    </cfRule>
  </conditionalFormatting>
  <conditionalFormatting sqref="Q116:R121">
    <cfRule type="expression" dxfId="511" priority="641">
      <formula>Q116="OFF"</formula>
    </cfRule>
  </conditionalFormatting>
  <conditionalFormatting sqref="U116:U121">
    <cfRule type="expression" dxfId="510" priority="639">
      <formula>U116="OFF"</formula>
    </cfRule>
  </conditionalFormatting>
  <conditionalFormatting sqref="S116:S121">
    <cfRule type="expression" dxfId="509" priority="635">
      <formula>S116="OFF"</formula>
    </cfRule>
  </conditionalFormatting>
  <conditionalFormatting sqref="U116:U121">
    <cfRule type="expression" dxfId="508" priority="638">
      <formula>U116="OFF"</formula>
    </cfRule>
  </conditionalFormatting>
  <conditionalFormatting sqref="U116:U121">
    <cfRule type="expression" dxfId="507" priority="637">
      <formula>U116="OFF"</formula>
    </cfRule>
  </conditionalFormatting>
  <conditionalFormatting sqref="U116:U121">
    <cfRule type="expression" dxfId="506" priority="636">
      <formula>U116="OFF"</formula>
    </cfRule>
  </conditionalFormatting>
  <conditionalFormatting sqref="S116:S121">
    <cfRule type="expression" dxfId="505" priority="634">
      <formula>S116="OFF"</formula>
    </cfRule>
  </conditionalFormatting>
  <conditionalFormatting sqref="S116:S121">
    <cfRule type="expression" dxfId="504" priority="631">
      <formula>S116="OFF"</formula>
    </cfRule>
  </conditionalFormatting>
  <conditionalFormatting sqref="S116:S121">
    <cfRule type="expression" dxfId="503" priority="633">
      <formula>S116="OFF"</formula>
    </cfRule>
  </conditionalFormatting>
  <conditionalFormatting sqref="S116:S121">
    <cfRule type="expression" dxfId="502" priority="632">
      <formula>S116="OFF"</formula>
    </cfRule>
  </conditionalFormatting>
  <conditionalFormatting sqref="Q146:R147">
    <cfRule type="expression" dxfId="501" priority="620">
      <formula>Q146="OFF"</formula>
    </cfRule>
  </conditionalFormatting>
  <conditionalFormatting sqref="Q146:R147">
    <cfRule type="expression" dxfId="500" priority="619">
      <formula>Q146="OFF"</formula>
    </cfRule>
  </conditionalFormatting>
  <conditionalFormatting sqref="Q146:R147">
    <cfRule type="expression" dxfId="499" priority="616">
      <formula>Q146="OFF"</formula>
    </cfRule>
  </conditionalFormatting>
  <conditionalFormatting sqref="Q146:R147">
    <cfRule type="expression" dxfId="498" priority="618">
      <formula>Q146="OFF"</formula>
    </cfRule>
  </conditionalFormatting>
  <conditionalFormatting sqref="Q146:R147">
    <cfRule type="expression" dxfId="497" priority="617">
      <formula>Q146="OFF"</formula>
    </cfRule>
  </conditionalFormatting>
  <conditionalFormatting sqref="U146:U147">
    <cfRule type="expression" dxfId="496" priority="615">
      <formula>U146="OFF"</formula>
    </cfRule>
  </conditionalFormatting>
  <conditionalFormatting sqref="U146:U147">
    <cfRule type="expression" dxfId="495" priority="614">
      <formula>U146="OFF"</formula>
    </cfRule>
  </conditionalFormatting>
  <conditionalFormatting sqref="U146:U147">
    <cfRule type="expression" dxfId="494" priority="613">
      <formula>U146="OFF"</formula>
    </cfRule>
  </conditionalFormatting>
  <conditionalFormatting sqref="T34">
    <cfRule type="expression" dxfId="493" priority="325">
      <formula>T34="OFF"</formula>
    </cfRule>
  </conditionalFormatting>
  <conditionalFormatting sqref="P94:P99 P105:P115 P122:P145 P148:P159 P163:P192">
    <cfRule type="expression" dxfId="492" priority="1095">
      <formula>P94="OFF"</formula>
    </cfRule>
  </conditionalFormatting>
  <conditionalFormatting sqref="N94:N99 N105:N115 N122:N145 N148:N159 N163:N192">
    <cfRule type="expression" dxfId="491" priority="1090">
      <formula>N94="OFF"</formula>
    </cfRule>
  </conditionalFormatting>
  <conditionalFormatting sqref="P36:P42 P44:P47 P52:P72">
    <cfRule type="expression" dxfId="490" priority="1084">
      <formula>P36="OFF"</formula>
    </cfRule>
  </conditionalFormatting>
  <conditionalFormatting sqref="P36:P42 P44:P47 P52:P72">
    <cfRule type="expression" dxfId="489" priority="1083">
      <formula>P36="OFF"</formula>
    </cfRule>
  </conditionalFormatting>
  <conditionalFormatting sqref="P86:P87">
    <cfRule type="expression" dxfId="488" priority="1070">
      <formula>P86="OFF"</formula>
    </cfRule>
  </conditionalFormatting>
  <conditionalFormatting sqref="P86:P87">
    <cfRule type="expression" dxfId="487" priority="1072">
      <formula>P86="OFF"</formula>
    </cfRule>
  </conditionalFormatting>
  <conditionalFormatting sqref="P86:P87">
    <cfRule type="expression" dxfId="486" priority="1071">
      <formula>P86="OFF"</formula>
    </cfRule>
  </conditionalFormatting>
  <conditionalFormatting sqref="P86:P87">
    <cfRule type="expression" dxfId="485" priority="1069">
      <formula>P86="OFF"</formula>
    </cfRule>
  </conditionalFormatting>
  <conditionalFormatting sqref="P86:P87">
    <cfRule type="expression" dxfId="484" priority="1068">
      <formula>P86="OFF"</formula>
    </cfRule>
  </conditionalFormatting>
  <conditionalFormatting sqref="P86:P87">
    <cfRule type="expression" dxfId="483" priority="1067">
      <formula>P86="OFF"</formula>
    </cfRule>
  </conditionalFormatting>
  <conditionalFormatting sqref="P88:P93 P73:P75 P43 P77:P85">
    <cfRule type="expression" dxfId="482" priority="1039">
      <formula>P43="OFF"</formula>
    </cfRule>
  </conditionalFormatting>
  <conditionalFormatting sqref="P32:P33 P35:P41">
    <cfRule type="expression" dxfId="481" priority="1056">
      <formula>P32="OFF"</formula>
    </cfRule>
  </conditionalFormatting>
  <conditionalFormatting sqref="P32:P33 P35:P41">
    <cfRule type="expression" dxfId="480" priority="1053">
      <formula>P32="OFF"</formula>
    </cfRule>
  </conditionalFormatting>
  <conditionalFormatting sqref="P32:P33 P35:P41">
    <cfRule type="expression" dxfId="479" priority="1055">
      <formula>P32="OFF"</formula>
    </cfRule>
  </conditionalFormatting>
  <conditionalFormatting sqref="P32:P33 P35:P41">
    <cfRule type="expression" dxfId="478" priority="1054">
      <formula>P32="OFF"</formula>
    </cfRule>
  </conditionalFormatting>
  <conditionalFormatting sqref="N86:N87 N35:N47 N52:N75">
    <cfRule type="expression" dxfId="477" priority="1052">
      <formula>N35="OFF"</formula>
    </cfRule>
  </conditionalFormatting>
  <conditionalFormatting sqref="N86:N87 N35:N47 N52:N75">
    <cfRule type="expression" dxfId="476" priority="1051">
      <formula>N35="OFF"</formula>
    </cfRule>
  </conditionalFormatting>
  <conditionalFormatting sqref="P88:P93 P73:P75 P43 P77:P85">
    <cfRule type="expression" dxfId="475" priority="1042">
      <formula>P43="OFF"</formula>
    </cfRule>
  </conditionalFormatting>
  <conditionalFormatting sqref="P88:P93 P73:P75 P43 P77:P85">
    <cfRule type="expression" dxfId="474" priority="1045">
      <formula>P43="OFF"</formula>
    </cfRule>
  </conditionalFormatting>
  <conditionalFormatting sqref="P88:P93 P73:P75 P43 P77:P85">
    <cfRule type="expression" dxfId="473" priority="1044">
      <formula>P43="OFF"</formula>
    </cfRule>
  </conditionalFormatting>
  <conditionalFormatting sqref="P88:P93 P73:P75 P43 P77:P85">
    <cfRule type="expression" dxfId="472" priority="1043">
      <formula>P43="OFF"</formula>
    </cfRule>
  </conditionalFormatting>
  <conditionalFormatting sqref="P88:P93 P73:P75 P43 P77:P85">
    <cfRule type="expression" dxfId="471" priority="1041">
      <formula>P43="OFF"</formula>
    </cfRule>
  </conditionalFormatting>
  <conditionalFormatting sqref="P88:P93 P73:P75 P43 P77:P85">
    <cfRule type="expression" dxfId="470" priority="1040">
      <formula>P43="OFF"</formula>
    </cfRule>
  </conditionalFormatting>
  <conditionalFormatting sqref="N25">
    <cfRule type="expression" dxfId="469" priority="1029">
      <formula>N25="OFF"</formula>
    </cfRule>
  </conditionalFormatting>
  <conditionalFormatting sqref="N25">
    <cfRule type="expression" dxfId="468" priority="1026">
      <formula>N25="OFF"</formula>
    </cfRule>
  </conditionalFormatting>
  <conditionalFormatting sqref="N25">
    <cfRule type="expression" dxfId="467" priority="1028">
      <formula>N25="OFF"</formula>
    </cfRule>
  </conditionalFormatting>
  <conditionalFormatting sqref="N25">
    <cfRule type="expression" dxfId="466" priority="1027">
      <formula>N25="OFF"</formula>
    </cfRule>
  </conditionalFormatting>
  <conditionalFormatting sqref="N16:P16">
    <cfRule type="expression" dxfId="465" priority="1017">
      <formula>N16="OFF"</formula>
    </cfRule>
  </conditionalFormatting>
  <conditionalFormatting sqref="N16:P16">
    <cfRule type="expression" dxfId="464" priority="1014">
      <formula>N16="OFF"</formula>
    </cfRule>
  </conditionalFormatting>
  <conditionalFormatting sqref="N16:P16">
    <cfRule type="expression" dxfId="463" priority="1016">
      <formula>N16="OFF"</formula>
    </cfRule>
  </conditionalFormatting>
  <conditionalFormatting sqref="N16:P16">
    <cfRule type="expression" dxfId="462" priority="1015">
      <formula>N16="OFF"</formula>
    </cfRule>
  </conditionalFormatting>
  <conditionalFormatting sqref="N16">
    <cfRule type="expression" dxfId="461" priority="1013">
      <formula>N16="OFF"</formula>
    </cfRule>
  </conditionalFormatting>
  <conditionalFormatting sqref="N16">
    <cfRule type="expression" dxfId="460" priority="1012">
      <formula>N16="OFF"</formula>
    </cfRule>
  </conditionalFormatting>
  <conditionalFormatting sqref="N16">
    <cfRule type="expression" dxfId="459" priority="1011">
      <formula>N16="OFF"</formula>
    </cfRule>
  </conditionalFormatting>
  <conditionalFormatting sqref="N28">
    <cfRule type="expression" dxfId="458" priority="1005">
      <formula>N28="OFF"</formula>
    </cfRule>
  </conditionalFormatting>
  <conditionalFormatting sqref="N28">
    <cfRule type="expression" dxfId="457" priority="1002">
      <formula>N28="OFF"</formula>
    </cfRule>
  </conditionalFormatting>
  <conditionalFormatting sqref="N28">
    <cfRule type="expression" dxfId="456" priority="1004">
      <formula>N28="OFF"</formula>
    </cfRule>
  </conditionalFormatting>
  <conditionalFormatting sqref="N28">
    <cfRule type="expression" dxfId="455" priority="1003">
      <formula>N28="OFF"</formula>
    </cfRule>
  </conditionalFormatting>
  <conditionalFormatting sqref="P102:P104">
    <cfRule type="expression" dxfId="454" priority="998">
      <formula>P102="OFF"</formula>
    </cfRule>
  </conditionalFormatting>
  <conditionalFormatting sqref="N102:P104">
    <cfRule type="expression" dxfId="453" priority="1001">
      <formula>N102="OFF"</formula>
    </cfRule>
  </conditionalFormatting>
  <conditionalFormatting sqref="P102:P104">
    <cfRule type="expression" dxfId="452" priority="1000">
      <formula>P102="OFF"</formula>
    </cfRule>
  </conditionalFormatting>
  <conditionalFormatting sqref="P102:P104">
    <cfRule type="expression" dxfId="451" priority="999">
      <formula>P102="OFF"</formula>
    </cfRule>
  </conditionalFormatting>
  <conditionalFormatting sqref="P116:P121">
    <cfRule type="expression" dxfId="450" priority="989">
      <formula>P116="OFF"</formula>
    </cfRule>
  </conditionalFormatting>
  <conditionalFormatting sqref="P116:P121">
    <cfRule type="expression" dxfId="449" priority="988">
      <formula>P116="OFF"</formula>
    </cfRule>
  </conditionalFormatting>
  <conditionalFormatting sqref="P116:P121">
    <cfRule type="expression" dxfId="448" priority="987">
      <formula>P116="OFF"</formula>
    </cfRule>
  </conditionalFormatting>
  <conditionalFormatting sqref="P146:P147">
    <cfRule type="expression" dxfId="447" priority="976">
      <formula>P146="OFF"</formula>
    </cfRule>
  </conditionalFormatting>
  <conditionalFormatting sqref="P146:P147">
    <cfRule type="expression" dxfId="446" priority="977">
      <formula>P146="OFF"</formula>
    </cfRule>
  </conditionalFormatting>
  <conditionalFormatting sqref="N146:N147">
    <cfRule type="expression" dxfId="445" priority="975">
      <formula>N146="OFF"</formula>
    </cfRule>
  </conditionalFormatting>
  <conditionalFormatting sqref="N146:N147">
    <cfRule type="expression" dxfId="444" priority="971">
      <formula>N146="OFF"</formula>
    </cfRule>
  </conditionalFormatting>
  <conditionalFormatting sqref="N146:N147">
    <cfRule type="expression" dxfId="443" priority="974">
      <formula>N146="OFF"</formula>
    </cfRule>
  </conditionalFormatting>
  <conditionalFormatting sqref="N146:N147">
    <cfRule type="expression" dxfId="442" priority="973">
      <formula>N146="OFF"</formula>
    </cfRule>
  </conditionalFormatting>
  <conditionalFormatting sqref="N146:N147">
    <cfRule type="expression" dxfId="441" priority="972">
      <formula>N146="OFF"</formula>
    </cfRule>
  </conditionalFormatting>
  <conditionalFormatting sqref="P160">
    <cfRule type="expression" dxfId="440" priority="970">
      <formula>P160="OFF"</formula>
    </cfRule>
  </conditionalFormatting>
  <conditionalFormatting sqref="N162">
    <cfRule type="expression" dxfId="439" priority="955">
      <formula>N162="OFF"</formula>
    </cfRule>
  </conditionalFormatting>
  <conditionalFormatting sqref="N162">
    <cfRule type="expression" dxfId="438" priority="951">
      <formula>N162="OFF"</formula>
    </cfRule>
  </conditionalFormatting>
  <conditionalFormatting sqref="N162">
    <cfRule type="expression" dxfId="437" priority="954">
      <formula>N162="OFF"</formula>
    </cfRule>
  </conditionalFormatting>
  <conditionalFormatting sqref="N162">
    <cfRule type="expression" dxfId="436" priority="953">
      <formula>N162="OFF"</formula>
    </cfRule>
  </conditionalFormatting>
  <conditionalFormatting sqref="N162">
    <cfRule type="expression" dxfId="435" priority="952">
      <formula>N162="OFF"</formula>
    </cfRule>
  </conditionalFormatting>
  <conditionalFormatting sqref="O25">
    <cfRule type="expression" dxfId="434" priority="947">
      <formula>O25="OFF"</formula>
    </cfRule>
  </conditionalFormatting>
  <conditionalFormatting sqref="O25">
    <cfRule type="expression" dxfId="433" priority="949">
      <formula>O25="OFF"</formula>
    </cfRule>
  </conditionalFormatting>
  <conditionalFormatting sqref="O25">
    <cfRule type="expression" dxfId="432" priority="948">
      <formula>O25="OFF"</formula>
    </cfRule>
  </conditionalFormatting>
  <conditionalFormatting sqref="P49:P51">
    <cfRule type="expression" dxfId="431" priority="926">
      <formula>P49="OFF"</formula>
    </cfRule>
  </conditionalFormatting>
  <conditionalFormatting sqref="P49:P51">
    <cfRule type="expression" dxfId="430" priority="929">
      <formula>P49="OFF"</formula>
    </cfRule>
  </conditionalFormatting>
  <conditionalFormatting sqref="P49:P51">
    <cfRule type="expression" dxfId="429" priority="928">
      <formula>P49="OFF"</formula>
    </cfRule>
  </conditionalFormatting>
  <conditionalFormatting sqref="P49:P51">
    <cfRule type="expression" dxfId="428" priority="927">
      <formula>P49="OFF"</formula>
    </cfRule>
  </conditionalFormatting>
  <conditionalFormatting sqref="P49:P51">
    <cfRule type="expression" dxfId="427" priority="925">
      <formula>P49="OFF"</formula>
    </cfRule>
  </conditionalFormatting>
  <conditionalFormatting sqref="P49:P51">
    <cfRule type="expression" dxfId="426" priority="922">
      <formula>P49="OFF"</formula>
    </cfRule>
  </conditionalFormatting>
  <conditionalFormatting sqref="P49:P51">
    <cfRule type="expression" dxfId="425" priority="924">
      <formula>P49="OFF"</formula>
    </cfRule>
  </conditionalFormatting>
  <conditionalFormatting sqref="P49:P51">
    <cfRule type="expression" dxfId="424" priority="923">
      <formula>P49="OFF"</formula>
    </cfRule>
  </conditionalFormatting>
  <conditionalFormatting sqref="N48:N51">
    <cfRule type="expression" dxfId="423" priority="921">
      <formula>N48="OFF"</formula>
    </cfRule>
  </conditionalFormatting>
  <conditionalFormatting sqref="N48:N51">
    <cfRule type="expression" dxfId="422" priority="918">
      <formula>N48="OFF"</formula>
    </cfRule>
  </conditionalFormatting>
  <conditionalFormatting sqref="N48:N51">
    <cfRule type="expression" dxfId="421" priority="920">
      <formula>N48="OFF"</formula>
    </cfRule>
  </conditionalFormatting>
  <conditionalFormatting sqref="N48:N51">
    <cfRule type="expression" dxfId="420" priority="919">
      <formula>N48="OFF"</formula>
    </cfRule>
  </conditionalFormatting>
  <conditionalFormatting sqref="O48">
    <cfRule type="expression" dxfId="419" priority="917">
      <formula>O48="OFF"</formula>
    </cfRule>
  </conditionalFormatting>
  <conditionalFormatting sqref="P48">
    <cfRule type="expression" dxfId="418" priority="916">
      <formula>P48="OFF"</formula>
    </cfRule>
  </conditionalFormatting>
  <conditionalFormatting sqref="P48">
    <cfRule type="expression" dxfId="417" priority="912">
      <formula>P48="OFF"</formula>
    </cfRule>
  </conditionalFormatting>
  <conditionalFormatting sqref="P48">
    <cfRule type="expression" dxfId="416" priority="915">
      <formula>P48="OFF"</formula>
    </cfRule>
  </conditionalFormatting>
  <conditionalFormatting sqref="P48">
    <cfRule type="expression" dxfId="415" priority="914">
      <formula>P48="OFF"</formula>
    </cfRule>
  </conditionalFormatting>
  <conditionalFormatting sqref="P48">
    <cfRule type="expression" dxfId="414" priority="913">
      <formula>P48="OFF"</formula>
    </cfRule>
  </conditionalFormatting>
  <conditionalFormatting sqref="N100:N101">
    <cfRule type="expression" dxfId="413" priority="897">
      <formula>N100="OFF"</formula>
    </cfRule>
  </conditionalFormatting>
  <conditionalFormatting sqref="N100:N101">
    <cfRule type="expression" dxfId="412" priority="896">
      <formula>N100="OFF"</formula>
    </cfRule>
  </conditionalFormatting>
  <conditionalFormatting sqref="N18">
    <cfRule type="expression" dxfId="411" priority="873">
      <formula>N18="OFF"</formula>
    </cfRule>
  </conditionalFormatting>
  <conditionalFormatting sqref="N18">
    <cfRule type="expression" dxfId="410" priority="874">
      <formula>N18="OFF"</formula>
    </cfRule>
  </conditionalFormatting>
  <conditionalFormatting sqref="N17:P17">
    <cfRule type="expression" dxfId="409" priority="872">
      <formula>N17="OFF"</formula>
    </cfRule>
  </conditionalFormatting>
  <conditionalFormatting sqref="N17:P17">
    <cfRule type="expression" dxfId="408" priority="869">
      <formula>N17="OFF"</formula>
    </cfRule>
  </conditionalFormatting>
  <conditionalFormatting sqref="N17:P17">
    <cfRule type="expression" dxfId="407" priority="871">
      <formula>N17="OFF"</formula>
    </cfRule>
  </conditionalFormatting>
  <conditionalFormatting sqref="N17:P17">
    <cfRule type="expression" dxfId="406" priority="870">
      <formula>N17="OFF"</formula>
    </cfRule>
  </conditionalFormatting>
  <conditionalFormatting sqref="N17:P17">
    <cfRule type="expression" dxfId="405" priority="868">
      <formula>N17="OFF"</formula>
    </cfRule>
  </conditionalFormatting>
  <conditionalFormatting sqref="N17:P17">
    <cfRule type="expression" dxfId="404" priority="865">
      <formula>N17="OFF"</formula>
    </cfRule>
  </conditionalFormatting>
  <conditionalFormatting sqref="N17:P17">
    <cfRule type="expression" dxfId="403" priority="867">
      <formula>N17="OFF"</formula>
    </cfRule>
  </conditionalFormatting>
  <conditionalFormatting sqref="N17:P17">
    <cfRule type="expression" dxfId="402" priority="866">
      <formula>N17="OFF"</formula>
    </cfRule>
  </conditionalFormatting>
  <conditionalFormatting sqref="N17">
    <cfRule type="expression" dxfId="401" priority="864">
      <formula>N17="OFF"</formula>
    </cfRule>
  </conditionalFormatting>
  <conditionalFormatting sqref="N17">
    <cfRule type="expression" dxfId="400" priority="861">
      <formula>N17="OFF"</formula>
    </cfRule>
  </conditionalFormatting>
  <conditionalFormatting sqref="N17">
    <cfRule type="expression" dxfId="399" priority="863">
      <formula>N17="OFF"</formula>
    </cfRule>
  </conditionalFormatting>
  <conditionalFormatting sqref="N17">
    <cfRule type="expression" dxfId="398" priority="862">
      <formula>N17="OFF"</formula>
    </cfRule>
  </conditionalFormatting>
  <conditionalFormatting sqref="N26:P26">
    <cfRule type="expression" dxfId="397" priority="860">
      <formula>N26="OFF"</formula>
    </cfRule>
  </conditionalFormatting>
  <conditionalFormatting sqref="N26:P26">
    <cfRule type="expression" dxfId="396" priority="857">
      <formula>N26="OFF"</formula>
    </cfRule>
  </conditionalFormatting>
  <conditionalFormatting sqref="N26:P26">
    <cfRule type="expression" dxfId="395" priority="859">
      <formula>N26="OFF"</formula>
    </cfRule>
  </conditionalFormatting>
  <conditionalFormatting sqref="N26:P26">
    <cfRule type="expression" dxfId="394" priority="858">
      <formula>N26="OFF"</formula>
    </cfRule>
  </conditionalFormatting>
  <conditionalFormatting sqref="N26">
    <cfRule type="expression" dxfId="393" priority="856">
      <formula>N26="OFF"</formula>
    </cfRule>
  </conditionalFormatting>
  <conditionalFormatting sqref="N26">
    <cfRule type="expression" dxfId="392" priority="853">
      <formula>N26="OFF"</formula>
    </cfRule>
  </conditionalFormatting>
  <conditionalFormatting sqref="N26">
    <cfRule type="expression" dxfId="391" priority="855">
      <formula>N26="OFF"</formula>
    </cfRule>
  </conditionalFormatting>
  <conditionalFormatting sqref="N26">
    <cfRule type="expression" dxfId="390" priority="854">
      <formula>N26="OFF"</formula>
    </cfRule>
  </conditionalFormatting>
  <conditionalFormatting sqref="N30:P30">
    <cfRule type="expression" dxfId="389" priority="852">
      <formula>N30="OFF"</formula>
    </cfRule>
  </conditionalFormatting>
  <conditionalFormatting sqref="N30:P30">
    <cfRule type="expression" dxfId="388" priority="849">
      <formula>N30="OFF"</formula>
    </cfRule>
  </conditionalFormatting>
  <conditionalFormatting sqref="N30:P30">
    <cfRule type="expression" dxfId="387" priority="851">
      <formula>N30="OFF"</formula>
    </cfRule>
  </conditionalFormatting>
  <conditionalFormatting sqref="N30:P30">
    <cfRule type="expression" dxfId="386" priority="850">
      <formula>N30="OFF"</formula>
    </cfRule>
  </conditionalFormatting>
  <conditionalFormatting sqref="N30">
    <cfRule type="expression" dxfId="385" priority="848">
      <formula>N30="OFF"</formula>
    </cfRule>
  </conditionalFormatting>
  <conditionalFormatting sqref="N30">
    <cfRule type="expression" dxfId="384" priority="845">
      <formula>N30="OFF"</formula>
    </cfRule>
  </conditionalFormatting>
  <conditionalFormatting sqref="N30">
    <cfRule type="expression" dxfId="383" priority="847">
      <formula>N30="OFF"</formula>
    </cfRule>
  </conditionalFormatting>
  <conditionalFormatting sqref="N30">
    <cfRule type="expression" dxfId="382" priority="846">
      <formula>N30="OFF"</formula>
    </cfRule>
  </conditionalFormatting>
  <conditionalFormatting sqref="N9:P9">
    <cfRule type="expression" dxfId="381" priority="841">
      <formula>N9="OFF"</formula>
    </cfRule>
  </conditionalFormatting>
  <conditionalFormatting sqref="O19">
    <cfRule type="expression" dxfId="380" priority="840">
      <formula>O19="OFF"</formula>
    </cfRule>
  </conditionalFormatting>
  <conditionalFormatting sqref="S146:S147">
    <cfRule type="expression" dxfId="379" priority="606">
      <formula>S146="OFF"</formula>
    </cfRule>
  </conditionalFormatting>
  <conditionalFormatting sqref="S146:S147">
    <cfRule type="expression" dxfId="378" priority="607">
      <formula>S146="OFF"</formula>
    </cfRule>
  </conditionalFormatting>
  <conditionalFormatting sqref="U146:U147">
    <cfRule type="expression" dxfId="377" priority="611">
      <formula>U146="OFF"</formula>
    </cfRule>
  </conditionalFormatting>
  <conditionalFormatting sqref="U146:U147">
    <cfRule type="expression" dxfId="376" priority="612">
      <formula>U146="OFF"</formula>
    </cfRule>
  </conditionalFormatting>
  <conditionalFormatting sqref="Q160:R160">
    <cfRule type="expression" dxfId="375" priority="590">
      <formula>Q160="OFF"</formula>
    </cfRule>
  </conditionalFormatting>
  <conditionalFormatting sqref="Q160:R160">
    <cfRule type="expression" dxfId="374" priority="586">
      <formula>Q160="OFF"</formula>
    </cfRule>
  </conditionalFormatting>
  <conditionalFormatting sqref="Q160:R160">
    <cfRule type="expression" dxfId="373" priority="589">
      <formula>Q160="OFF"</formula>
    </cfRule>
  </conditionalFormatting>
  <conditionalFormatting sqref="Q160:R160">
    <cfRule type="expression" dxfId="372" priority="588">
      <formula>Q160="OFF"</formula>
    </cfRule>
  </conditionalFormatting>
  <conditionalFormatting sqref="Q160:R160">
    <cfRule type="expression" dxfId="371" priority="587">
      <formula>Q160="OFF"</formula>
    </cfRule>
  </conditionalFormatting>
  <conditionalFormatting sqref="S160">
    <cfRule type="expression" dxfId="370" priority="580">
      <formula>S160="OFF"</formula>
    </cfRule>
  </conditionalFormatting>
  <conditionalFormatting sqref="S160">
    <cfRule type="expression" dxfId="369" priority="576">
      <formula>S160="OFF"</formula>
    </cfRule>
  </conditionalFormatting>
  <conditionalFormatting sqref="S160">
    <cfRule type="expression" dxfId="368" priority="579">
      <formula>S160="OFF"</formula>
    </cfRule>
  </conditionalFormatting>
  <conditionalFormatting sqref="S160">
    <cfRule type="expression" dxfId="367" priority="578">
      <formula>S160="OFF"</formula>
    </cfRule>
  </conditionalFormatting>
  <conditionalFormatting sqref="S160">
    <cfRule type="expression" dxfId="366" priority="577">
      <formula>S160="OFF"</formula>
    </cfRule>
  </conditionalFormatting>
  <conditionalFormatting sqref="U160">
    <cfRule type="expression" dxfId="365" priority="585">
      <formula>U160="OFF"</formula>
    </cfRule>
  </conditionalFormatting>
  <conditionalFormatting sqref="U160">
    <cfRule type="expression" dxfId="364" priority="581">
      <formula>U160="OFF"</formula>
    </cfRule>
  </conditionalFormatting>
  <conditionalFormatting sqref="U160">
    <cfRule type="expression" dxfId="363" priority="584">
      <formula>U160="OFF"</formula>
    </cfRule>
  </conditionalFormatting>
  <conditionalFormatting sqref="U160">
    <cfRule type="expression" dxfId="362" priority="583">
      <formula>U160="OFF"</formula>
    </cfRule>
  </conditionalFormatting>
  <conditionalFormatting sqref="U160">
    <cfRule type="expression" dxfId="361" priority="582">
      <formula>U160="OFF"</formula>
    </cfRule>
  </conditionalFormatting>
  <conditionalFormatting sqref="Q162:R162">
    <cfRule type="expression" dxfId="360" priority="556">
      <formula>Q162="OFF"</formula>
    </cfRule>
  </conditionalFormatting>
  <conditionalFormatting sqref="Q162:R162">
    <cfRule type="expression" dxfId="359" priority="557">
      <formula>Q162="OFF"</formula>
    </cfRule>
  </conditionalFormatting>
  <conditionalFormatting sqref="S162">
    <cfRule type="expression" dxfId="358" priority="546">
      <formula>S162="OFF"</formula>
    </cfRule>
  </conditionalFormatting>
  <conditionalFormatting sqref="S162">
    <cfRule type="expression" dxfId="357" priority="549">
      <formula>S162="OFF"</formula>
    </cfRule>
  </conditionalFormatting>
  <conditionalFormatting sqref="S162">
    <cfRule type="expression" dxfId="356" priority="548">
      <formula>S162="OFF"</formula>
    </cfRule>
  </conditionalFormatting>
  <conditionalFormatting sqref="S162">
    <cfRule type="expression" dxfId="355" priority="547">
      <formula>S162="OFF"</formula>
    </cfRule>
  </conditionalFormatting>
  <conditionalFormatting sqref="U162">
    <cfRule type="expression" dxfId="354" priority="555">
      <formula>U162="OFF"</formula>
    </cfRule>
  </conditionalFormatting>
  <conditionalFormatting sqref="U162">
    <cfRule type="expression" dxfId="353" priority="554">
      <formula>U162="OFF"</formula>
    </cfRule>
  </conditionalFormatting>
  <conditionalFormatting sqref="R76:W76">
    <cfRule type="expression" dxfId="352" priority="532">
      <formula>R76="OFF"</formula>
    </cfRule>
  </conditionalFormatting>
  <conditionalFormatting sqref="Q76">
    <cfRule type="expression" dxfId="351" priority="531">
      <formula>Q76="OFF"</formula>
    </cfRule>
  </conditionalFormatting>
  <conditionalFormatting sqref="Q48:W51">
    <cfRule type="expression" dxfId="350" priority="525">
      <formula>Q48="OFF"</formula>
    </cfRule>
  </conditionalFormatting>
  <conditionalFormatting sqref="Q48:W51">
    <cfRule type="expression" dxfId="349" priority="522">
      <formula>Q48="OFF"</formula>
    </cfRule>
  </conditionalFormatting>
  <conditionalFormatting sqref="Q48:W51">
    <cfRule type="expression" dxfId="348" priority="524">
      <formula>Q48="OFF"</formula>
    </cfRule>
  </conditionalFormatting>
  <conditionalFormatting sqref="Q48:W51">
    <cfRule type="expression" dxfId="347" priority="523">
      <formula>Q48="OFF"</formula>
    </cfRule>
  </conditionalFormatting>
  <conditionalFormatting sqref="Q48:V51">
    <cfRule type="expression" dxfId="346" priority="521">
      <formula>Q48="OFF"</formula>
    </cfRule>
  </conditionalFormatting>
  <conditionalFormatting sqref="Q48:V51">
    <cfRule type="expression" dxfId="345" priority="517">
      <formula>Q48="OFF"</formula>
    </cfRule>
  </conditionalFormatting>
  <conditionalFormatting sqref="Q48:V51">
    <cfRule type="expression" dxfId="344" priority="520">
      <formula>Q48="OFF"</formula>
    </cfRule>
  </conditionalFormatting>
  <conditionalFormatting sqref="Q48:V51">
    <cfRule type="expression" dxfId="343" priority="519">
      <formula>Q48="OFF"</formula>
    </cfRule>
  </conditionalFormatting>
  <conditionalFormatting sqref="Q48:V51">
    <cfRule type="expression" dxfId="342" priority="518">
      <formula>Q48="OFF"</formula>
    </cfRule>
  </conditionalFormatting>
  <conditionalFormatting sqref="Q49:Q51">
    <cfRule type="expression" dxfId="341" priority="516">
      <formula>Q49="OFF"</formula>
    </cfRule>
  </conditionalFormatting>
  <conditionalFormatting sqref="S48:S51">
    <cfRule type="expression" dxfId="340" priority="515">
      <formula>S48="OFF"</formula>
    </cfRule>
  </conditionalFormatting>
  <conditionalFormatting sqref="U48:U51">
    <cfRule type="expression" dxfId="339" priority="503">
      <formula>U48="OFF"</formula>
    </cfRule>
  </conditionalFormatting>
  <conditionalFormatting sqref="U48:U51">
    <cfRule type="expression" dxfId="338" priority="501">
      <formula>U48="OFF"</formula>
    </cfRule>
  </conditionalFormatting>
  <conditionalFormatting sqref="Q48:Q51">
    <cfRule type="expression" dxfId="337" priority="509">
      <formula>Q48="OFF"</formula>
    </cfRule>
  </conditionalFormatting>
  <conditionalFormatting sqref="Q48:Q51">
    <cfRule type="expression" dxfId="336" priority="510">
      <formula>Q48="OFF"</formula>
    </cfRule>
  </conditionalFormatting>
  <conditionalFormatting sqref="S48:S51">
    <cfRule type="expression" dxfId="335" priority="508">
      <formula>S48="OFF"</formula>
    </cfRule>
  </conditionalFormatting>
  <conditionalFormatting sqref="S48:S51">
    <cfRule type="expression" dxfId="334" priority="505">
      <formula>S48="OFF"</formula>
    </cfRule>
  </conditionalFormatting>
  <conditionalFormatting sqref="S48:S51">
    <cfRule type="expression" dxfId="333" priority="507">
      <formula>S48="OFF"</formula>
    </cfRule>
  </conditionalFormatting>
  <conditionalFormatting sqref="S48:S51">
    <cfRule type="expression" dxfId="332" priority="506">
      <formula>S48="OFF"</formula>
    </cfRule>
  </conditionalFormatting>
  <conditionalFormatting sqref="U48:U51">
    <cfRule type="expression" dxfId="331" priority="504">
      <formula>U48="OFF"</formula>
    </cfRule>
  </conditionalFormatting>
  <conditionalFormatting sqref="U48:U51">
    <cfRule type="expression" dxfId="330" priority="502">
      <formula>U48="OFF"</formula>
    </cfRule>
  </conditionalFormatting>
  <conditionalFormatting sqref="Q100:W101">
    <cfRule type="expression" dxfId="329" priority="500">
      <formula>Q100="OFF"</formula>
    </cfRule>
  </conditionalFormatting>
  <conditionalFormatting sqref="Q100:R101">
    <cfRule type="expression" dxfId="328" priority="495">
      <formula>Q100="OFF"</formula>
    </cfRule>
  </conditionalFormatting>
  <conditionalFormatting sqref="Q100:R101">
    <cfRule type="expression" dxfId="327" priority="491">
      <formula>Q100="OFF"</formula>
    </cfRule>
  </conditionalFormatting>
  <conditionalFormatting sqref="Q100:R101">
    <cfRule type="expression" dxfId="326" priority="494">
      <formula>Q100="OFF"</formula>
    </cfRule>
  </conditionalFormatting>
  <conditionalFormatting sqref="Q100:R101">
    <cfRule type="expression" dxfId="325" priority="493">
      <formula>Q100="OFF"</formula>
    </cfRule>
  </conditionalFormatting>
  <conditionalFormatting sqref="Q100:R101">
    <cfRule type="expression" dxfId="324" priority="492">
      <formula>Q100="OFF"</formula>
    </cfRule>
  </conditionalFormatting>
  <conditionalFormatting sqref="S100:S101">
    <cfRule type="expression" dxfId="323" priority="481">
      <formula>S100="OFF"</formula>
    </cfRule>
  </conditionalFormatting>
  <conditionalFormatting sqref="S100:S101">
    <cfRule type="expression" dxfId="322" priority="482">
      <formula>S100="OFF"</formula>
    </cfRule>
  </conditionalFormatting>
  <conditionalFormatting sqref="U100:U101">
    <cfRule type="expression" dxfId="321" priority="490">
      <formula>U100="OFF"</formula>
    </cfRule>
  </conditionalFormatting>
  <conditionalFormatting sqref="U100:U101">
    <cfRule type="expression" dxfId="320" priority="489">
      <formula>U100="OFF"</formula>
    </cfRule>
  </conditionalFormatting>
  <conditionalFormatting sqref="U100:U101">
    <cfRule type="expression" dxfId="319" priority="488">
      <formula>U100="OFF"</formula>
    </cfRule>
  </conditionalFormatting>
  <conditionalFormatting sqref="U100:U101">
    <cfRule type="expression" dxfId="318" priority="487">
      <formula>U100="OFF"</formula>
    </cfRule>
  </conditionalFormatting>
  <conditionalFormatting sqref="Q8:V8">
    <cfRule type="expression" dxfId="317" priority="475">
      <formula>Q8="OFF"</formula>
    </cfRule>
  </conditionalFormatting>
  <conditionalFormatting sqref="Q8:V8">
    <cfRule type="expression" dxfId="316" priority="472">
      <formula>Q8="OFF"</formula>
    </cfRule>
  </conditionalFormatting>
  <conditionalFormatting sqref="Q8:V8">
    <cfRule type="expression" dxfId="315" priority="474">
      <formula>Q8="OFF"</formula>
    </cfRule>
  </conditionalFormatting>
  <conditionalFormatting sqref="Q8:V8">
    <cfRule type="expression" dxfId="314" priority="473">
      <formula>Q8="OFF"</formula>
    </cfRule>
  </conditionalFormatting>
  <conditionalFormatting sqref="Q8:V8">
    <cfRule type="expression" dxfId="313" priority="471">
      <formula>Q8="OFF"</formula>
    </cfRule>
  </conditionalFormatting>
  <conditionalFormatting sqref="Q8:V8">
    <cfRule type="expression" dxfId="312" priority="467">
      <formula>Q8="OFF"</formula>
    </cfRule>
  </conditionalFormatting>
  <conditionalFormatting sqref="Q8:V8">
    <cfRule type="expression" dxfId="311" priority="470">
      <formula>Q8="OFF"</formula>
    </cfRule>
  </conditionalFormatting>
  <conditionalFormatting sqref="Q8:V8">
    <cfRule type="expression" dxfId="310" priority="469">
      <formula>Q8="OFF"</formula>
    </cfRule>
  </conditionalFormatting>
  <conditionalFormatting sqref="Q8:V8">
    <cfRule type="expression" dxfId="309" priority="468">
      <formula>Q8="OFF"</formula>
    </cfRule>
  </conditionalFormatting>
  <conditionalFormatting sqref="Q18:W18">
    <cfRule type="expression" dxfId="308" priority="466">
      <formula>Q18="OFF"</formula>
    </cfRule>
  </conditionalFormatting>
  <conditionalFormatting sqref="Q18:W18">
    <cfRule type="expression" dxfId="307" priority="463">
      <formula>Q18="OFF"</formula>
    </cfRule>
  </conditionalFormatting>
  <conditionalFormatting sqref="Q18:W18">
    <cfRule type="expression" dxfId="306" priority="465">
      <formula>Q18="OFF"</formula>
    </cfRule>
  </conditionalFormatting>
  <conditionalFormatting sqref="Q18:W18">
    <cfRule type="expression" dxfId="305" priority="464">
      <formula>Q18="OFF"</formula>
    </cfRule>
  </conditionalFormatting>
  <conditionalFormatting sqref="Q18:V18">
    <cfRule type="expression" dxfId="304" priority="462">
      <formula>Q18="OFF"</formula>
    </cfRule>
  </conditionalFormatting>
  <conditionalFormatting sqref="Q18:V18">
    <cfRule type="expression" dxfId="303" priority="461">
      <formula>Q18="OFF"</formula>
    </cfRule>
  </conditionalFormatting>
  <conditionalFormatting sqref="Q18:V18">
    <cfRule type="expression" dxfId="302" priority="460">
      <formula>Q18="OFF"</formula>
    </cfRule>
  </conditionalFormatting>
  <conditionalFormatting sqref="Q18:V18">
    <cfRule type="expression" dxfId="301" priority="459">
      <formula>Q18="OFF"</formula>
    </cfRule>
  </conditionalFormatting>
  <conditionalFormatting sqref="Q18:V18">
    <cfRule type="expression" dxfId="300" priority="452">
      <formula>Q18="OFF"</formula>
    </cfRule>
  </conditionalFormatting>
  <conditionalFormatting sqref="Q18:V18">
    <cfRule type="expression" dxfId="299" priority="454">
      <formula>Q18="OFF"</formula>
    </cfRule>
  </conditionalFormatting>
  <conditionalFormatting sqref="Q18:V18">
    <cfRule type="expression" dxfId="298" priority="453">
      <formula>Q18="OFF"</formula>
    </cfRule>
  </conditionalFormatting>
  <conditionalFormatting sqref="U18">
    <cfRule type="expression" dxfId="297" priority="442">
      <formula>U18="OFF"</formula>
    </cfRule>
  </conditionalFormatting>
  <conditionalFormatting sqref="U18">
    <cfRule type="expression" dxfId="296" priority="440">
      <formula>U18="OFF"</formula>
    </cfRule>
  </conditionalFormatting>
  <conditionalFormatting sqref="Q18">
    <cfRule type="expression" dxfId="295" priority="451">
      <formula>Q18="OFF"</formula>
    </cfRule>
  </conditionalFormatting>
  <conditionalFormatting sqref="Q18">
    <cfRule type="expression" dxfId="294" priority="448">
      <formula>Q18="OFF"</formula>
    </cfRule>
  </conditionalFormatting>
  <conditionalFormatting sqref="Q18">
    <cfRule type="expression" dxfId="293" priority="450">
      <formula>Q18="OFF"</formula>
    </cfRule>
  </conditionalFormatting>
  <conditionalFormatting sqref="Q18">
    <cfRule type="expression" dxfId="292" priority="449">
      <formula>Q18="OFF"</formula>
    </cfRule>
  </conditionalFormatting>
  <conditionalFormatting sqref="S18">
    <cfRule type="expression" dxfId="291" priority="447">
      <formula>S18="OFF"</formula>
    </cfRule>
  </conditionalFormatting>
  <conditionalFormatting sqref="S18">
    <cfRule type="expression" dxfId="290" priority="444">
      <formula>S18="OFF"</formula>
    </cfRule>
  </conditionalFormatting>
  <conditionalFormatting sqref="S18">
    <cfRule type="expression" dxfId="289" priority="446">
      <formula>S18="OFF"</formula>
    </cfRule>
  </conditionalFormatting>
  <conditionalFormatting sqref="S18">
    <cfRule type="expression" dxfId="288" priority="445">
      <formula>S18="OFF"</formula>
    </cfRule>
  </conditionalFormatting>
  <conditionalFormatting sqref="U18">
    <cfRule type="expression" dxfId="287" priority="443">
      <formula>U18="OFF"</formula>
    </cfRule>
  </conditionalFormatting>
  <conditionalFormatting sqref="U18">
    <cfRule type="expression" dxfId="286" priority="441">
      <formula>U18="OFF"</formula>
    </cfRule>
  </conditionalFormatting>
  <conditionalFormatting sqref="Q17:W17">
    <cfRule type="expression" dxfId="285" priority="439">
      <formula>Q17="OFF"</formula>
    </cfRule>
  </conditionalFormatting>
  <conditionalFormatting sqref="Q17:W17">
    <cfRule type="expression" dxfId="284" priority="436">
      <formula>Q17="OFF"</formula>
    </cfRule>
  </conditionalFormatting>
  <conditionalFormatting sqref="Q17:W17">
    <cfRule type="expression" dxfId="283" priority="438">
      <formula>Q17="OFF"</formula>
    </cfRule>
  </conditionalFormatting>
  <conditionalFormatting sqref="Q17:W17">
    <cfRule type="expression" dxfId="282" priority="437">
      <formula>Q17="OFF"</formula>
    </cfRule>
  </conditionalFormatting>
  <conditionalFormatting sqref="Q17:V17">
    <cfRule type="expression" dxfId="281" priority="435">
      <formula>Q17="OFF"</formula>
    </cfRule>
  </conditionalFormatting>
  <conditionalFormatting sqref="Q17:V17">
    <cfRule type="expression" dxfId="280" priority="431">
      <formula>Q17="OFF"</formula>
    </cfRule>
  </conditionalFormatting>
  <conditionalFormatting sqref="Q17:V17">
    <cfRule type="expression" dxfId="279" priority="434">
      <formula>Q17="OFF"</formula>
    </cfRule>
  </conditionalFormatting>
  <conditionalFormatting sqref="Q17:V17">
    <cfRule type="expression" dxfId="278" priority="433">
      <formula>Q17="OFF"</formula>
    </cfRule>
  </conditionalFormatting>
  <conditionalFormatting sqref="Q17:V17">
    <cfRule type="expression" dxfId="277" priority="432">
      <formula>Q17="OFF"</formula>
    </cfRule>
  </conditionalFormatting>
  <conditionalFormatting sqref="Q17:W17">
    <cfRule type="expression" dxfId="276" priority="430">
      <formula>Q17="OFF"</formula>
    </cfRule>
  </conditionalFormatting>
  <conditionalFormatting sqref="Q17:V17">
    <cfRule type="expression" dxfId="275" priority="429">
      <formula>Q17="OFF"</formula>
    </cfRule>
  </conditionalFormatting>
  <conditionalFormatting sqref="Q17:V17">
    <cfRule type="expression" dxfId="274" priority="425">
      <formula>Q17="OFF"</formula>
    </cfRule>
  </conditionalFormatting>
  <conditionalFormatting sqref="Q17:V17">
    <cfRule type="expression" dxfId="273" priority="428">
      <formula>Q17="OFF"</formula>
    </cfRule>
  </conditionalFormatting>
  <conditionalFormatting sqref="Q17:V17">
    <cfRule type="expression" dxfId="272" priority="427">
      <formula>Q17="OFF"</formula>
    </cfRule>
  </conditionalFormatting>
  <conditionalFormatting sqref="Q17:V17">
    <cfRule type="expression" dxfId="271" priority="426">
      <formula>Q17="OFF"</formula>
    </cfRule>
  </conditionalFormatting>
  <conditionalFormatting sqref="U17">
    <cfRule type="expression" dxfId="270" priority="415">
      <formula>U17="OFF"</formula>
    </cfRule>
  </conditionalFormatting>
  <conditionalFormatting sqref="U17">
    <cfRule type="expression" dxfId="269" priority="413">
      <formula>U17="OFF"</formula>
    </cfRule>
  </conditionalFormatting>
  <conditionalFormatting sqref="Q17">
    <cfRule type="expression" dxfId="268" priority="424">
      <formula>Q17="OFF"</formula>
    </cfRule>
  </conditionalFormatting>
  <conditionalFormatting sqref="Q17">
    <cfRule type="expression" dxfId="267" priority="421">
      <formula>Q17="OFF"</formula>
    </cfRule>
  </conditionalFormatting>
  <conditionalFormatting sqref="Q17">
    <cfRule type="expression" dxfId="266" priority="423">
      <formula>Q17="OFF"</formula>
    </cfRule>
  </conditionalFormatting>
  <conditionalFormatting sqref="Q17">
    <cfRule type="expression" dxfId="265" priority="422">
      <formula>Q17="OFF"</formula>
    </cfRule>
  </conditionalFormatting>
  <conditionalFormatting sqref="S17">
    <cfRule type="expression" dxfId="264" priority="420">
      <formula>S17="OFF"</formula>
    </cfRule>
  </conditionalFormatting>
  <conditionalFormatting sqref="S17">
    <cfRule type="expression" dxfId="263" priority="417">
      <formula>S17="OFF"</formula>
    </cfRule>
  </conditionalFormatting>
  <conditionalFormatting sqref="S17">
    <cfRule type="expression" dxfId="262" priority="419">
      <formula>S17="OFF"</formula>
    </cfRule>
  </conditionalFormatting>
  <conditionalFormatting sqref="S17">
    <cfRule type="expression" dxfId="261" priority="418">
      <formula>S17="OFF"</formula>
    </cfRule>
  </conditionalFormatting>
  <conditionalFormatting sqref="U17">
    <cfRule type="expression" dxfId="260" priority="416">
      <formula>U17="OFF"</formula>
    </cfRule>
  </conditionalFormatting>
  <conditionalFormatting sqref="U17">
    <cfRule type="expression" dxfId="259" priority="414">
      <formula>U17="OFF"</formula>
    </cfRule>
  </conditionalFormatting>
  <conditionalFormatting sqref="Q26:W26">
    <cfRule type="expression" dxfId="258" priority="412">
      <formula>Q26="OFF"</formula>
    </cfRule>
  </conditionalFormatting>
  <conditionalFormatting sqref="Q26:W26">
    <cfRule type="expression" dxfId="257" priority="409">
      <formula>Q26="OFF"</formula>
    </cfRule>
  </conditionalFormatting>
  <conditionalFormatting sqref="Q26:W26">
    <cfRule type="expression" dxfId="256" priority="411">
      <formula>Q26="OFF"</formula>
    </cfRule>
  </conditionalFormatting>
  <conditionalFormatting sqref="Q26:W26">
    <cfRule type="expression" dxfId="255" priority="410">
      <formula>Q26="OFF"</formula>
    </cfRule>
  </conditionalFormatting>
  <conditionalFormatting sqref="Q26:V26">
    <cfRule type="expression" dxfId="254" priority="408">
      <formula>Q26="OFF"</formula>
    </cfRule>
  </conditionalFormatting>
  <conditionalFormatting sqref="Q26:V26">
    <cfRule type="expression" dxfId="253" priority="404">
      <formula>Q26="OFF"</formula>
    </cfRule>
  </conditionalFormatting>
  <conditionalFormatting sqref="Q26:V26">
    <cfRule type="expression" dxfId="252" priority="407">
      <formula>Q26="OFF"</formula>
    </cfRule>
  </conditionalFormatting>
  <conditionalFormatting sqref="Q26:V26">
    <cfRule type="expression" dxfId="251" priority="406">
      <formula>Q26="OFF"</formula>
    </cfRule>
  </conditionalFormatting>
  <conditionalFormatting sqref="Q26:V26">
    <cfRule type="expression" dxfId="250" priority="405">
      <formula>Q26="OFF"</formula>
    </cfRule>
  </conditionalFormatting>
  <conditionalFormatting sqref="U26">
    <cfRule type="expression" dxfId="249" priority="394">
      <formula>U26="OFF"</formula>
    </cfRule>
  </conditionalFormatting>
  <conditionalFormatting sqref="U26">
    <cfRule type="expression" dxfId="248" priority="392">
      <formula>U26="OFF"</formula>
    </cfRule>
  </conditionalFormatting>
  <conditionalFormatting sqref="Q26">
    <cfRule type="expression" dxfId="247" priority="403">
      <formula>Q26="OFF"</formula>
    </cfRule>
  </conditionalFormatting>
  <conditionalFormatting sqref="Q26">
    <cfRule type="expression" dxfId="246" priority="400">
      <formula>Q26="OFF"</formula>
    </cfRule>
  </conditionalFormatting>
  <conditionalFormatting sqref="Q26">
    <cfRule type="expression" dxfId="245" priority="402">
      <formula>Q26="OFF"</formula>
    </cfRule>
  </conditionalFormatting>
  <conditionalFormatting sqref="Q26">
    <cfRule type="expression" dxfId="244" priority="401">
      <formula>Q26="OFF"</formula>
    </cfRule>
  </conditionalFormatting>
  <conditionalFormatting sqref="S26">
    <cfRule type="expression" dxfId="243" priority="399">
      <formula>S26="OFF"</formula>
    </cfRule>
  </conditionalFormatting>
  <conditionalFormatting sqref="S26">
    <cfRule type="expression" dxfId="242" priority="396">
      <formula>S26="OFF"</formula>
    </cfRule>
  </conditionalFormatting>
  <conditionalFormatting sqref="S26">
    <cfRule type="expression" dxfId="241" priority="398">
      <formula>S26="OFF"</formula>
    </cfRule>
  </conditionalFormatting>
  <conditionalFormatting sqref="S26">
    <cfRule type="expression" dxfId="240" priority="397">
      <formula>S26="OFF"</formula>
    </cfRule>
  </conditionalFormatting>
  <conditionalFormatting sqref="U26">
    <cfRule type="expression" dxfId="239" priority="395">
      <formula>U26="OFF"</formula>
    </cfRule>
  </conditionalFormatting>
  <conditionalFormatting sqref="U26">
    <cfRule type="expression" dxfId="238" priority="393">
      <formula>U26="OFF"</formula>
    </cfRule>
  </conditionalFormatting>
  <conditionalFormatting sqref="Q30:W30">
    <cfRule type="expression" dxfId="237" priority="391">
      <formula>Q30="OFF"</formula>
    </cfRule>
  </conditionalFormatting>
  <conditionalFormatting sqref="Q30:W30">
    <cfRule type="expression" dxfId="236" priority="388">
      <formula>Q30="OFF"</formula>
    </cfRule>
  </conditionalFormatting>
  <conditionalFormatting sqref="Q30:W30">
    <cfRule type="expression" dxfId="235" priority="390">
      <formula>Q30="OFF"</formula>
    </cfRule>
  </conditionalFormatting>
  <conditionalFormatting sqref="Q30:W30">
    <cfRule type="expression" dxfId="234" priority="389">
      <formula>Q30="OFF"</formula>
    </cfRule>
  </conditionalFormatting>
  <conditionalFormatting sqref="Q30:V30">
    <cfRule type="expression" dxfId="233" priority="387">
      <formula>Q30="OFF"</formula>
    </cfRule>
  </conditionalFormatting>
  <conditionalFormatting sqref="Q30:V30">
    <cfRule type="expression" dxfId="232" priority="383">
      <formula>Q30="OFF"</formula>
    </cfRule>
  </conditionalFormatting>
  <conditionalFormatting sqref="Q30:V30">
    <cfRule type="expression" dxfId="231" priority="386">
      <formula>Q30="OFF"</formula>
    </cfRule>
  </conditionalFormatting>
  <conditionalFormatting sqref="Q30:V30">
    <cfRule type="expression" dxfId="230" priority="385">
      <formula>Q30="OFF"</formula>
    </cfRule>
  </conditionalFormatting>
  <conditionalFormatting sqref="Q30:V30">
    <cfRule type="expression" dxfId="229" priority="384">
      <formula>Q30="OFF"</formula>
    </cfRule>
  </conditionalFormatting>
  <conditionalFormatting sqref="U30">
    <cfRule type="expression" dxfId="228" priority="373">
      <formula>U30="OFF"</formula>
    </cfRule>
  </conditionalFormatting>
  <conditionalFormatting sqref="Q30">
    <cfRule type="expression" dxfId="227" priority="382">
      <formula>Q30="OFF"</formula>
    </cfRule>
  </conditionalFormatting>
  <conditionalFormatting sqref="Q30">
    <cfRule type="expression" dxfId="226" priority="379">
      <formula>Q30="OFF"</formula>
    </cfRule>
  </conditionalFormatting>
  <conditionalFormatting sqref="Q30">
    <cfRule type="expression" dxfId="225" priority="381">
      <formula>Q30="OFF"</formula>
    </cfRule>
  </conditionalFormatting>
  <conditionalFormatting sqref="Q30">
    <cfRule type="expression" dxfId="224" priority="380">
      <formula>Q30="OFF"</formula>
    </cfRule>
  </conditionalFormatting>
  <conditionalFormatting sqref="S30">
    <cfRule type="expression" dxfId="223" priority="378">
      <formula>S30="OFF"</formula>
    </cfRule>
  </conditionalFormatting>
  <conditionalFormatting sqref="S30">
    <cfRule type="expression" dxfId="222" priority="375">
      <formula>S30="OFF"</formula>
    </cfRule>
  </conditionalFormatting>
  <conditionalFormatting sqref="S30">
    <cfRule type="expression" dxfId="221" priority="377">
      <formula>S30="OFF"</formula>
    </cfRule>
  </conditionalFormatting>
  <conditionalFormatting sqref="S30">
    <cfRule type="expression" dxfId="220" priority="376">
      <formula>S30="OFF"</formula>
    </cfRule>
  </conditionalFormatting>
  <conditionalFormatting sqref="U30">
    <cfRule type="expression" dxfId="219" priority="374">
      <formula>U30="OFF"</formula>
    </cfRule>
  </conditionalFormatting>
  <conditionalFormatting sqref="U30">
    <cfRule type="expression" dxfId="218" priority="372">
      <formula>U30="OFF"</formula>
    </cfRule>
  </conditionalFormatting>
  <conditionalFormatting sqref="Q9:V9">
    <cfRule type="expression" dxfId="217" priority="366">
      <formula>Q9="OFF"</formula>
    </cfRule>
  </conditionalFormatting>
  <conditionalFormatting sqref="Q9:V9">
    <cfRule type="expression" dxfId="216" priority="363">
      <formula>Q9="OFF"</formula>
    </cfRule>
  </conditionalFormatting>
  <conditionalFormatting sqref="Q9:V9">
    <cfRule type="expression" dxfId="215" priority="365">
      <formula>Q9="OFF"</formula>
    </cfRule>
  </conditionalFormatting>
  <conditionalFormatting sqref="Q9:V9">
    <cfRule type="expression" dxfId="214" priority="364">
      <formula>Q9="OFF"</formula>
    </cfRule>
  </conditionalFormatting>
  <conditionalFormatting sqref="Q9:V9">
    <cfRule type="expression" dxfId="213" priority="362">
      <formula>Q9="OFF"</formula>
    </cfRule>
  </conditionalFormatting>
  <conditionalFormatting sqref="Q9:V9">
    <cfRule type="expression" dxfId="212" priority="358">
      <formula>Q9="OFF"</formula>
    </cfRule>
  </conditionalFormatting>
  <conditionalFormatting sqref="Q9:V9">
    <cfRule type="expression" dxfId="211" priority="361">
      <formula>Q9="OFF"</formula>
    </cfRule>
  </conditionalFormatting>
  <conditionalFormatting sqref="Q9:V9">
    <cfRule type="expression" dxfId="210" priority="360">
      <formula>Q9="OFF"</formula>
    </cfRule>
  </conditionalFormatting>
  <conditionalFormatting sqref="Q9:V9">
    <cfRule type="expression" dxfId="209" priority="359">
      <formula>Q9="OFF"</formula>
    </cfRule>
  </conditionalFormatting>
  <conditionalFormatting sqref="Q19:W19">
    <cfRule type="expression" dxfId="208" priority="357">
      <formula>Q19="OFF"</formula>
    </cfRule>
  </conditionalFormatting>
  <conditionalFormatting sqref="Q19:W19">
    <cfRule type="expression" dxfId="207" priority="354">
      <formula>Q19="OFF"</formula>
    </cfRule>
  </conditionalFormatting>
  <conditionalFormatting sqref="Q19:W19">
    <cfRule type="expression" dxfId="206" priority="356">
      <formula>Q19="OFF"</formula>
    </cfRule>
  </conditionalFormatting>
  <conditionalFormatting sqref="Q19:W19">
    <cfRule type="expression" dxfId="205" priority="355">
      <formula>Q19="OFF"</formula>
    </cfRule>
  </conditionalFormatting>
  <conditionalFormatting sqref="Q19:V19">
    <cfRule type="expression" dxfId="204" priority="353">
      <formula>Q19="OFF"</formula>
    </cfRule>
  </conditionalFormatting>
  <conditionalFormatting sqref="Q19:V19">
    <cfRule type="expression" dxfId="203" priority="349">
      <formula>Q19="OFF"</formula>
    </cfRule>
  </conditionalFormatting>
  <conditionalFormatting sqref="Q19:V19">
    <cfRule type="expression" dxfId="202" priority="352">
      <formula>Q19="OFF"</formula>
    </cfRule>
  </conditionalFormatting>
  <conditionalFormatting sqref="Q19:V19">
    <cfRule type="expression" dxfId="201" priority="351">
      <formula>Q19="OFF"</formula>
    </cfRule>
  </conditionalFormatting>
  <conditionalFormatting sqref="Q19:V19">
    <cfRule type="expression" dxfId="200" priority="350">
      <formula>Q19="OFF"</formula>
    </cfRule>
  </conditionalFormatting>
  <conditionalFormatting sqref="Q19:W19">
    <cfRule type="expression" dxfId="199" priority="348">
      <formula>Q19="OFF"</formula>
    </cfRule>
  </conditionalFormatting>
  <conditionalFormatting sqref="Q19:V19">
    <cfRule type="expression" dxfId="198" priority="347">
      <formula>Q19="OFF"</formula>
    </cfRule>
  </conditionalFormatting>
  <conditionalFormatting sqref="Q19:V19">
    <cfRule type="expression" dxfId="197" priority="343">
      <formula>Q19="OFF"</formula>
    </cfRule>
  </conditionalFormatting>
  <conditionalFormatting sqref="Q19:V19">
    <cfRule type="expression" dxfId="196" priority="346">
      <formula>Q19="OFF"</formula>
    </cfRule>
  </conditionalFormatting>
  <conditionalFormatting sqref="Q19:V19">
    <cfRule type="expression" dxfId="195" priority="345">
      <formula>Q19="OFF"</formula>
    </cfRule>
  </conditionalFormatting>
  <conditionalFormatting sqref="Q19:V19">
    <cfRule type="expression" dxfId="194" priority="344">
      <formula>Q19="OFF"</formula>
    </cfRule>
  </conditionalFormatting>
  <conditionalFormatting sqref="U19">
    <cfRule type="expression" dxfId="193" priority="333">
      <formula>U19="OFF"</formula>
    </cfRule>
  </conditionalFormatting>
  <conditionalFormatting sqref="U19">
    <cfRule type="expression" dxfId="192" priority="331">
      <formula>U19="OFF"</formula>
    </cfRule>
  </conditionalFormatting>
  <conditionalFormatting sqref="Q19">
    <cfRule type="expression" dxfId="191" priority="342">
      <formula>Q19="OFF"</formula>
    </cfRule>
  </conditionalFormatting>
  <conditionalFormatting sqref="Q19">
    <cfRule type="expression" dxfId="190" priority="339">
      <formula>Q19="OFF"</formula>
    </cfRule>
  </conditionalFormatting>
  <conditionalFormatting sqref="Q19">
    <cfRule type="expression" dxfId="189" priority="341">
      <formula>Q19="OFF"</formula>
    </cfRule>
  </conditionalFormatting>
  <conditionalFormatting sqref="Q19">
    <cfRule type="expression" dxfId="188" priority="340">
      <formula>Q19="OFF"</formula>
    </cfRule>
  </conditionalFormatting>
  <conditionalFormatting sqref="S19">
    <cfRule type="expression" dxfId="187" priority="338">
      <formula>S19="OFF"</formula>
    </cfRule>
  </conditionalFormatting>
  <conditionalFormatting sqref="S19">
    <cfRule type="expression" dxfId="186" priority="335">
      <formula>S19="OFF"</formula>
    </cfRule>
  </conditionalFormatting>
  <conditionalFormatting sqref="S19">
    <cfRule type="expression" dxfId="185" priority="337">
      <formula>S19="OFF"</formula>
    </cfRule>
  </conditionalFormatting>
  <conditionalFormatting sqref="S19">
    <cfRule type="expression" dxfId="184" priority="336">
      <formula>S19="OFF"</formula>
    </cfRule>
  </conditionalFormatting>
  <conditionalFormatting sqref="U19">
    <cfRule type="expression" dxfId="183" priority="334">
      <formula>U19="OFF"</formula>
    </cfRule>
  </conditionalFormatting>
  <conditionalFormatting sqref="U19">
    <cfRule type="expression" dxfId="182" priority="332">
      <formula>U19="OFF"</formula>
    </cfRule>
  </conditionalFormatting>
  <conditionalFormatting sqref="V34:W34 Q34:R34">
    <cfRule type="expression" dxfId="181" priority="329">
      <formula>Q34="OFF"</formula>
    </cfRule>
  </conditionalFormatting>
  <conditionalFormatting sqref="Q34">
    <cfRule type="expression" dxfId="180" priority="328">
      <formula>Q34="OFF"</formula>
    </cfRule>
  </conditionalFormatting>
  <conditionalFormatting sqref="S34">
    <cfRule type="expression" dxfId="179" priority="327">
      <formula>S34="OFF"</formula>
    </cfRule>
  </conditionalFormatting>
  <conditionalFormatting sqref="U34">
    <cfRule type="expression" dxfId="178" priority="326">
      <formula>U34="OFF"</formula>
    </cfRule>
  </conditionalFormatting>
  <conditionalFormatting sqref="Z3:AB4 X77:Y99 X4:Y4 AC4:AL4 AA105:AL115 X105:Y115 X122:Y145 AA122:AB145 AA148:AB159 X148:Y159 AA163:AB192 X163:Y192 X193:AL223 X161:AL161 AA77:AL99 X52:AL75 X11:AL15 X20:AL24 X27:AL27 X29:AL29 X31:AL33 Y7:AL9 X35:AL47">
    <cfRule type="expression" dxfId="177" priority="160">
      <formula>X3="OFF"</formula>
    </cfRule>
  </conditionalFormatting>
  <conditionalFormatting sqref="X93:Y99 X3:AB4 X27:AB27 X20:AB24 X105:Y115 X122:Y145 X148:Y159 X163:Y192 X52:AB75 X11:AB15 Y7:AB9">
    <cfRule type="expression" dxfId="176" priority="156">
      <formula>X3="OFF"</formula>
    </cfRule>
  </conditionalFormatting>
  <conditionalFormatting sqref="X93:Y99 X3:AB4 X27:AB27 X20:AB24 X105:Y115 X122:Y145 X148:Y159 X163:Y192 X52:AB75 X11:AB15 Y7:AB9">
    <cfRule type="expression" dxfId="175" priority="159">
      <formula>X3="OFF"</formula>
    </cfRule>
  </conditionalFormatting>
  <conditionalFormatting sqref="X93:Y99 X105:Y115 X122:Y145 X148:Y159 X163:Y192">
    <cfRule type="expression" dxfId="174" priority="158">
      <formula>X93="OFF"</formula>
    </cfRule>
  </conditionalFormatting>
  <conditionalFormatting sqref="X93:Y99 X3:AB4 X27:AB27 X20:AB24 X105:Y115 X122:Y145 X148:Y159 X163:Y192 X52:AB75 X11:AB15 Y7:AB9">
    <cfRule type="expression" dxfId="173" priority="157">
      <formula>X3="OFF"</formula>
    </cfRule>
  </conditionalFormatting>
  <conditionalFormatting sqref="Z176:Z192">
    <cfRule type="expression" dxfId="172" priority="155">
      <formula>Z176="OFF"</formula>
    </cfRule>
  </conditionalFormatting>
  <conditionalFormatting sqref="Z176:Z192">
    <cfRule type="expression" dxfId="171" priority="151">
      <formula>Z176="OFF"</formula>
    </cfRule>
  </conditionalFormatting>
  <conditionalFormatting sqref="Z176:Z192">
    <cfRule type="expression" dxfId="170" priority="154">
      <formula>Z176="OFF"</formula>
    </cfRule>
  </conditionalFormatting>
  <conditionalFormatting sqref="Z176:Z192">
    <cfRule type="expression" dxfId="169" priority="153">
      <formula>Z176="OFF"</formula>
    </cfRule>
  </conditionalFormatting>
  <conditionalFormatting sqref="Z176:Z192">
    <cfRule type="expression" dxfId="168" priority="152">
      <formula>Z176="OFF"</formula>
    </cfRule>
  </conditionalFormatting>
  <conditionalFormatting sqref="AC122:AL145 AC148:AL159 AC163:AL192">
    <cfRule type="expression" dxfId="167" priority="150">
      <formula>AC122="OFF"</formula>
    </cfRule>
  </conditionalFormatting>
  <conditionalFormatting sqref="AC122:AL145 AC148:AL159 AC163:AL192">
    <cfRule type="expression" dxfId="166" priority="146">
      <formula>AC122="OFF"</formula>
    </cfRule>
  </conditionalFormatting>
  <conditionalFormatting sqref="AC122:AL145 AC148:AL159 AC163:AL192">
    <cfRule type="expression" dxfId="165" priority="149">
      <formula>AC122="OFF"</formula>
    </cfRule>
  </conditionalFormatting>
  <conditionalFormatting sqref="AC122:AL145 AC148:AL159 AC163:AL192">
    <cfRule type="expression" dxfId="164" priority="148">
      <formula>AC122="OFF"</formula>
    </cfRule>
  </conditionalFormatting>
  <conditionalFormatting sqref="AC122:AL145 AC148:AL159 AC163:AL192">
    <cfRule type="expression" dxfId="163" priority="147">
      <formula>AC122="OFF"</formula>
    </cfRule>
  </conditionalFormatting>
  <conditionalFormatting sqref="AI2:AJ2">
    <cfRule type="expression" dxfId="162" priority="161">
      <formula>IF((#REF!+#REF!)&gt;0.01,1,0)</formula>
    </cfRule>
  </conditionalFormatting>
  <conditionalFormatting sqref="AK2">
    <cfRule type="expression" dxfId="161" priority="162">
      <formula>IF((#REF!+#REF!)&gt;0.2,1,0)</formula>
    </cfRule>
  </conditionalFormatting>
  <conditionalFormatting sqref="AL2">
    <cfRule type="expression" dxfId="160" priority="163">
      <formula>IF((#REF!+#REF!)&gt;0.2,1,0)</formula>
    </cfRule>
  </conditionalFormatting>
  <conditionalFormatting sqref="AM2">
    <cfRule type="expression" dxfId="159" priority="145">
      <formula>IF((#REF!+#REF!)&gt;0.2,1,0)</formula>
    </cfRule>
  </conditionalFormatting>
  <conditionalFormatting sqref="Z77:Z99 Z105:Z115 Z122:Z145 Z148:Z159 Z163:Z175">
    <cfRule type="expression" dxfId="158" priority="144">
      <formula>Z77="OFF"</formula>
    </cfRule>
  </conditionalFormatting>
  <conditionalFormatting sqref="Z77:Z99 Z105:Z115 Z122:Z145 Z148:Z159 Z163:Z175">
    <cfRule type="expression" dxfId="157" priority="140">
      <formula>Z77="OFF"</formula>
    </cfRule>
  </conditionalFormatting>
  <conditionalFormatting sqref="Z77:Z99 Z105:Z115 Z122:Z145 Z148:Z159 Z163:Z175">
    <cfRule type="expression" dxfId="156" priority="143">
      <formula>Z77="OFF"</formula>
    </cfRule>
  </conditionalFormatting>
  <conditionalFormatting sqref="Z77:Z99 Z105:Z115 Z122:Z145 Z148:Z159 Z163:Z175">
    <cfRule type="expression" dxfId="155" priority="142">
      <formula>Z77="OFF"</formula>
    </cfRule>
  </conditionalFormatting>
  <conditionalFormatting sqref="Z77:Z99 Z105:Z115 Z122:Z145 Z148:Z159 Z163:Z175">
    <cfRule type="expression" dxfId="154" priority="141">
      <formula>Z77="OFF"</formula>
    </cfRule>
  </conditionalFormatting>
  <conditionalFormatting sqref="X25:AC25 AE25:AL25">
    <cfRule type="expression" dxfId="153" priority="139">
      <formula>X25="OFF"</formula>
    </cfRule>
  </conditionalFormatting>
  <conditionalFormatting sqref="X25:AB25">
    <cfRule type="expression" dxfId="152" priority="136">
      <formula>X25="OFF"</formula>
    </cfRule>
  </conditionalFormatting>
  <conditionalFormatting sqref="X25:AB25">
    <cfRule type="expression" dxfId="151" priority="138">
      <formula>X25="OFF"</formula>
    </cfRule>
  </conditionalFormatting>
  <conditionalFormatting sqref="X25:AB25">
    <cfRule type="expression" dxfId="150" priority="137">
      <formula>X25="OFF"</formula>
    </cfRule>
  </conditionalFormatting>
  <conditionalFormatting sqref="Z5:AB6 X6:Y6 AC6:AD6 AG6:AL6">
    <cfRule type="expression" dxfId="149" priority="135">
      <formula>X5="OFF"</formula>
    </cfRule>
  </conditionalFormatting>
  <conditionalFormatting sqref="X5:AB6 X7:X10">
    <cfRule type="expression" dxfId="148" priority="132">
      <formula>X5="OFF"</formula>
    </cfRule>
  </conditionalFormatting>
  <conditionalFormatting sqref="X5:AB6 X7:X10">
    <cfRule type="expression" dxfId="147" priority="134">
      <formula>X5="OFF"</formula>
    </cfRule>
  </conditionalFormatting>
  <conditionalFormatting sqref="X5:AB6 X7:X10">
    <cfRule type="expression" dxfId="146" priority="133">
      <formula>X5="OFF"</formula>
    </cfRule>
  </conditionalFormatting>
  <conditionalFormatting sqref="X16:AL16 AC17:AC18">
    <cfRule type="expression" dxfId="145" priority="131">
      <formula>X16="OFF"</formula>
    </cfRule>
  </conditionalFormatting>
  <conditionalFormatting sqref="X16:AB16">
    <cfRule type="expression" dxfId="144" priority="128">
      <formula>X16="OFF"</formula>
    </cfRule>
  </conditionalFormatting>
  <conditionalFormatting sqref="X16:AB16">
    <cfRule type="expression" dxfId="143" priority="130">
      <formula>X16="OFF"</formula>
    </cfRule>
  </conditionalFormatting>
  <conditionalFormatting sqref="X16:AB16">
    <cfRule type="expression" dxfId="142" priority="129">
      <formula>X16="OFF"</formula>
    </cfRule>
  </conditionalFormatting>
  <conditionalFormatting sqref="X16:AL16 AC17:AC18">
    <cfRule type="expression" dxfId="141" priority="127">
      <formula>X16="OFF"</formula>
    </cfRule>
  </conditionalFormatting>
  <conditionalFormatting sqref="X28:AC28 AE28:AL28">
    <cfRule type="expression" dxfId="140" priority="126">
      <formula>X28="OFF"</formula>
    </cfRule>
  </conditionalFormatting>
  <conditionalFormatting sqref="X28:AB28">
    <cfRule type="expression" dxfId="139" priority="123">
      <formula>X28="OFF"</formula>
    </cfRule>
  </conditionalFormatting>
  <conditionalFormatting sqref="X28:AB28">
    <cfRule type="expression" dxfId="138" priority="125">
      <formula>X28="OFF"</formula>
    </cfRule>
  </conditionalFormatting>
  <conditionalFormatting sqref="X28:AB28">
    <cfRule type="expression" dxfId="137" priority="124">
      <formula>X28="OFF"</formula>
    </cfRule>
  </conditionalFormatting>
  <conditionalFormatting sqref="Z102:Z104">
    <cfRule type="expression" dxfId="136" priority="115">
      <formula>Z102="OFF"</formula>
    </cfRule>
  </conditionalFormatting>
  <conditionalFormatting sqref="Z102:Z104">
    <cfRule type="expression" dxfId="135" priority="113">
      <formula>Z102="OFF"</formula>
    </cfRule>
  </conditionalFormatting>
  <conditionalFormatting sqref="Z102:Z104">
    <cfRule type="expression" dxfId="134" priority="117">
      <formula>Z102="OFF"</formula>
    </cfRule>
  </conditionalFormatting>
  <conditionalFormatting sqref="Z102:Z104">
    <cfRule type="expression" dxfId="133" priority="116">
      <formula>Z102="OFF"</formula>
    </cfRule>
  </conditionalFormatting>
  <conditionalFormatting sqref="Z102:Z104">
    <cfRule type="expression" dxfId="132" priority="114">
      <formula>Z102="OFF"</formula>
    </cfRule>
  </conditionalFormatting>
  <conditionalFormatting sqref="X102:Y104 AA102:AL104">
    <cfRule type="expression" dxfId="131" priority="122">
      <formula>X102="OFF"</formula>
    </cfRule>
  </conditionalFormatting>
  <conditionalFormatting sqref="X102:Y104">
    <cfRule type="expression" dxfId="130" priority="118">
      <formula>X102="OFF"</formula>
    </cfRule>
  </conditionalFormatting>
  <conditionalFormatting sqref="X102:Y104">
    <cfRule type="expression" dxfId="129" priority="121">
      <formula>X102="OFF"</formula>
    </cfRule>
  </conditionalFormatting>
  <conditionalFormatting sqref="X102:Y104">
    <cfRule type="expression" dxfId="128" priority="120">
      <formula>X102="OFF"</formula>
    </cfRule>
  </conditionalFormatting>
  <conditionalFormatting sqref="X102:Y104">
    <cfRule type="expression" dxfId="127" priority="119">
      <formula>X102="OFF"</formula>
    </cfRule>
  </conditionalFormatting>
  <conditionalFormatting sqref="AA116:AL121 X116:Y121">
    <cfRule type="expression" dxfId="126" priority="112">
      <formula>X116="OFF"</formula>
    </cfRule>
  </conditionalFormatting>
  <conditionalFormatting sqref="X116:Y121">
    <cfRule type="expression" dxfId="125" priority="108">
      <formula>X116="OFF"</formula>
    </cfRule>
  </conditionalFormatting>
  <conditionalFormatting sqref="X116:Y121">
    <cfRule type="expression" dxfId="124" priority="111">
      <formula>X116="OFF"</formula>
    </cfRule>
  </conditionalFormatting>
  <conditionalFormatting sqref="X116:Y121">
    <cfRule type="expression" dxfId="123" priority="110">
      <formula>X116="OFF"</formula>
    </cfRule>
  </conditionalFormatting>
  <conditionalFormatting sqref="X116:Y121">
    <cfRule type="expression" dxfId="122" priority="109">
      <formula>X116="OFF"</formula>
    </cfRule>
  </conditionalFormatting>
  <conditionalFormatting sqref="Z116:Z121">
    <cfRule type="expression" dxfId="121" priority="107">
      <formula>Z116="OFF"</formula>
    </cfRule>
  </conditionalFormatting>
  <conditionalFormatting sqref="Z116:Z121">
    <cfRule type="expression" dxfId="120" priority="103">
      <formula>Z116="OFF"</formula>
    </cfRule>
  </conditionalFormatting>
  <conditionalFormatting sqref="Z116:Z121">
    <cfRule type="expression" dxfId="119" priority="106">
      <formula>Z116="OFF"</formula>
    </cfRule>
  </conditionalFormatting>
  <conditionalFormatting sqref="Z116:Z121">
    <cfRule type="expression" dxfId="118" priority="105">
      <formula>Z116="OFF"</formula>
    </cfRule>
  </conditionalFormatting>
  <conditionalFormatting sqref="Z116:Z121">
    <cfRule type="expression" dxfId="117" priority="104">
      <formula>Z116="OFF"</formula>
    </cfRule>
  </conditionalFormatting>
  <conditionalFormatting sqref="X146:Y147 AA146:AB147">
    <cfRule type="expression" dxfId="116" priority="102">
      <formula>X146="OFF"</formula>
    </cfRule>
  </conditionalFormatting>
  <conditionalFormatting sqref="X146:Y147">
    <cfRule type="expression" dxfId="115" priority="98">
      <formula>X146="OFF"</formula>
    </cfRule>
  </conditionalFormatting>
  <conditionalFormatting sqref="X146:Y147">
    <cfRule type="expression" dxfId="114" priority="101">
      <formula>X146="OFF"</formula>
    </cfRule>
  </conditionalFormatting>
  <conditionalFormatting sqref="X146:Y147">
    <cfRule type="expression" dxfId="113" priority="100">
      <formula>X146="OFF"</formula>
    </cfRule>
  </conditionalFormatting>
  <conditionalFormatting sqref="X146:Y147">
    <cfRule type="expression" dxfId="112" priority="99">
      <formula>X146="OFF"</formula>
    </cfRule>
  </conditionalFormatting>
  <conditionalFormatting sqref="AC146:AL147">
    <cfRule type="expression" dxfId="111" priority="97">
      <formula>AC146="OFF"</formula>
    </cfRule>
  </conditionalFormatting>
  <conditionalFormatting sqref="AC146:AL147">
    <cfRule type="expression" dxfId="110" priority="93">
      <formula>AC146="OFF"</formula>
    </cfRule>
  </conditionalFormatting>
  <conditionalFormatting sqref="AC146:AL147">
    <cfRule type="expression" dxfId="109" priority="96">
      <formula>AC146="OFF"</formula>
    </cfRule>
  </conditionalFormatting>
  <conditionalFormatting sqref="AC146:AL147">
    <cfRule type="expression" dxfId="108" priority="95">
      <formula>AC146="OFF"</formula>
    </cfRule>
  </conditionalFormatting>
  <conditionalFormatting sqref="AC146:AL147">
    <cfRule type="expression" dxfId="107" priority="94">
      <formula>AC146="OFF"</formula>
    </cfRule>
  </conditionalFormatting>
  <conditionalFormatting sqref="Z146:Z147">
    <cfRule type="expression" dxfId="106" priority="92">
      <formula>Z146="OFF"</formula>
    </cfRule>
  </conditionalFormatting>
  <conditionalFormatting sqref="Z146:Z147">
    <cfRule type="expression" dxfId="105" priority="88">
      <formula>Z146="OFF"</formula>
    </cfRule>
  </conditionalFormatting>
  <conditionalFormatting sqref="Z146:Z147">
    <cfRule type="expression" dxfId="104" priority="91">
      <formula>Z146="OFF"</formula>
    </cfRule>
  </conditionalFormatting>
  <conditionalFormatting sqref="Z146:Z147">
    <cfRule type="expression" dxfId="103" priority="90">
      <formula>Z146="OFF"</formula>
    </cfRule>
  </conditionalFormatting>
  <conditionalFormatting sqref="Z146:Z147">
    <cfRule type="expression" dxfId="102" priority="89">
      <formula>Z146="OFF"</formula>
    </cfRule>
  </conditionalFormatting>
  <conditionalFormatting sqref="AA160:AB160 X160:Y160">
    <cfRule type="expression" dxfId="101" priority="87">
      <formula>X160="OFF"</formula>
    </cfRule>
  </conditionalFormatting>
  <conditionalFormatting sqref="X160:Y160">
    <cfRule type="expression" dxfId="100" priority="83">
      <formula>X160="OFF"</formula>
    </cfRule>
  </conditionalFormatting>
  <conditionalFormatting sqref="X160:Y160">
    <cfRule type="expression" dxfId="99" priority="86">
      <formula>X160="OFF"</formula>
    </cfRule>
  </conditionalFormatting>
  <conditionalFormatting sqref="X160:Y160">
    <cfRule type="expression" dxfId="98" priority="85">
      <formula>X160="OFF"</formula>
    </cfRule>
  </conditionalFormatting>
  <conditionalFormatting sqref="X160:Y160">
    <cfRule type="expression" dxfId="97" priority="84">
      <formula>X160="OFF"</formula>
    </cfRule>
  </conditionalFormatting>
  <conditionalFormatting sqref="AC160:AL160">
    <cfRule type="expression" dxfId="96" priority="82">
      <formula>AC160="OFF"</formula>
    </cfRule>
  </conditionalFormatting>
  <conditionalFormatting sqref="AC160:AL160">
    <cfRule type="expression" dxfId="95" priority="78">
      <formula>AC160="OFF"</formula>
    </cfRule>
  </conditionalFormatting>
  <conditionalFormatting sqref="AC160:AL160">
    <cfRule type="expression" dxfId="94" priority="81">
      <formula>AC160="OFF"</formula>
    </cfRule>
  </conditionalFormatting>
  <conditionalFormatting sqref="AC160:AL160">
    <cfRule type="expression" dxfId="93" priority="80">
      <formula>AC160="OFF"</formula>
    </cfRule>
  </conditionalFormatting>
  <conditionalFormatting sqref="AC160:AL160">
    <cfRule type="expression" dxfId="92" priority="79">
      <formula>AC160="OFF"</formula>
    </cfRule>
  </conditionalFormatting>
  <conditionalFormatting sqref="Z160">
    <cfRule type="expression" dxfId="91" priority="77">
      <formula>Z160="OFF"</formula>
    </cfRule>
  </conditionalFormatting>
  <conditionalFormatting sqref="Z160">
    <cfRule type="expression" dxfId="90" priority="73">
      <formula>Z160="OFF"</formula>
    </cfRule>
  </conditionalFormatting>
  <conditionalFormatting sqref="Z160">
    <cfRule type="expression" dxfId="89" priority="76">
      <formula>Z160="OFF"</formula>
    </cfRule>
  </conditionalFormatting>
  <conditionalFormatting sqref="Z160">
    <cfRule type="expression" dxfId="88" priority="75">
      <formula>Z160="OFF"</formula>
    </cfRule>
  </conditionalFormatting>
  <conditionalFormatting sqref="Z160">
    <cfRule type="expression" dxfId="87" priority="74">
      <formula>Z160="OFF"</formula>
    </cfRule>
  </conditionalFormatting>
  <conditionalFormatting sqref="X162:Y162 AA162:AB162">
    <cfRule type="expression" dxfId="86" priority="72">
      <formula>X162="OFF"</formula>
    </cfRule>
  </conditionalFormatting>
  <conditionalFormatting sqref="X162:Y162">
    <cfRule type="expression" dxfId="85" priority="68">
      <formula>X162="OFF"</formula>
    </cfRule>
  </conditionalFormatting>
  <conditionalFormatting sqref="X162:Y162">
    <cfRule type="expression" dxfId="84" priority="71">
      <formula>X162="OFF"</formula>
    </cfRule>
  </conditionalFormatting>
  <conditionalFormatting sqref="X162:Y162">
    <cfRule type="expression" dxfId="83" priority="70">
      <formula>X162="OFF"</formula>
    </cfRule>
  </conditionalFormatting>
  <conditionalFormatting sqref="X162:Y162">
    <cfRule type="expression" dxfId="82" priority="69">
      <formula>X162="OFF"</formula>
    </cfRule>
  </conditionalFormatting>
  <conditionalFormatting sqref="AC162:AL162">
    <cfRule type="expression" dxfId="81" priority="67">
      <formula>AC162="OFF"</formula>
    </cfRule>
  </conditionalFormatting>
  <conditionalFormatting sqref="AC162:AL162">
    <cfRule type="expression" dxfId="80" priority="63">
      <formula>AC162="OFF"</formula>
    </cfRule>
  </conditionalFormatting>
  <conditionalFormatting sqref="AC162:AL162">
    <cfRule type="expression" dxfId="79" priority="66">
      <formula>AC162="OFF"</formula>
    </cfRule>
  </conditionalFormatting>
  <conditionalFormatting sqref="AC162:AL162">
    <cfRule type="expression" dxfId="78" priority="65">
      <formula>AC162="OFF"</formula>
    </cfRule>
  </conditionalFormatting>
  <conditionalFormatting sqref="AC162:AL162">
    <cfRule type="expression" dxfId="77" priority="64">
      <formula>AC162="OFF"</formula>
    </cfRule>
  </conditionalFormatting>
  <conditionalFormatting sqref="Z162">
    <cfRule type="expression" dxfId="76" priority="62">
      <formula>Z162="OFF"</formula>
    </cfRule>
  </conditionalFormatting>
  <conditionalFormatting sqref="Z162">
    <cfRule type="expression" dxfId="75" priority="58">
      <formula>Z162="OFF"</formula>
    </cfRule>
  </conditionalFormatting>
  <conditionalFormatting sqref="Z162">
    <cfRule type="expression" dxfId="74" priority="61">
      <formula>Z162="OFF"</formula>
    </cfRule>
  </conditionalFormatting>
  <conditionalFormatting sqref="Z162">
    <cfRule type="expression" dxfId="73" priority="60">
      <formula>Z162="OFF"</formula>
    </cfRule>
  </conditionalFormatting>
  <conditionalFormatting sqref="Z162">
    <cfRule type="expression" dxfId="72" priority="59">
      <formula>Z162="OFF"</formula>
    </cfRule>
  </conditionalFormatting>
  <conditionalFormatting sqref="AE3">
    <cfRule type="expression" dxfId="71" priority="57">
      <formula>AE3="OFF"</formula>
    </cfRule>
  </conditionalFormatting>
  <conditionalFormatting sqref="AD28">
    <cfRule type="expression" dxfId="70" priority="56">
      <formula>AD28="OFF"</formula>
    </cfRule>
  </conditionalFormatting>
  <conditionalFormatting sqref="AD25">
    <cfRule type="expression" dxfId="69" priority="55">
      <formula>AD25="OFF"</formula>
    </cfRule>
  </conditionalFormatting>
  <conditionalFormatting sqref="X76:Y76 AA76:AL76">
    <cfRule type="expression" dxfId="68" priority="54">
      <formula>X76="OFF"</formula>
    </cfRule>
  </conditionalFormatting>
  <conditionalFormatting sqref="Z76">
    <cfRule type="expression" dxfId="67" priority="53">
      <formula>Z76="OFF"</formula>
    </cfRule>
  </conditionalFormatting>
  <conditionalFormatting sqref="Z76">
    <cfRule type="expression" dxfId="66" priority="49">
      <formula>Z76="OFF"</formula>
    </cfRule>
  </conditionalFormatting>
  <conditionalFormatting sqref="Z76">
    <cfRule type="expression" dxfId="65" priority="52">
      <formula>Z76="OFF"</formula>
    </cfRule>
  </conditionalFormatting>
  <conditionalFormatting sqref="Z76">
    <cfRule type="expression" dxfId="64" priority="51">
      <formula>Z76="OFF"</formula>
    </cfRule>
  </conditionalFormatting>
  <conditionalFormatting sqref="Z76">
    <cfRule type="expression" dxfId="63" priority="50">
      <formula>Z76="OFF"</formula>
    </cfRule>
  </conditionalFormatting>
  <conditionalFormatting sqref="X48:AL51">
    <cfRule type="expression" dxfId="62" priority="48">
      <formula>X48="OFF"</formula>
    </cfRule>
  </conditionalFormatting>
  <conditionalFormatting sqref="X48:AB51">
    <cfRule type="expression" dxfId="61" priority="45">
      <formula>X48="OFF"</formula>
    </cfRule>
  </conditionalFormatting>
  <conditionalFormatting sqref="X48:AB51">
    <cfRule type="expression" dxfId="60" priority="47">
      <formula>X48="OFF"</formula>
    </cfRule>
  </conditionalFormatting>
  <conditionalFormatting sqref="X48:AB51">
    <cfRule type="expression" dxfId="59" priority="46">
      <formula>X48="OFF"</formula>
    </cfRule>
  </conditionalFormatting>
  <conditionalFormatting sqref="X100:Y101 AA100:AL101">
    <cfRule type="expression" dxfId="58" priority="44">
      <formula>X100="OFF"</formula>
    </cfRule>
  </conditionalFormatting>
  <conditionalFormatting sqref="X100:Y101">
    <cfRule type="expression" dxfId="57" priority="40">
      <formula>X100="OFF"</formula>
    </cfRule>
  </conditionalFormatting>
  <conditionalFormatting sqref="X100:Y101">
    <cfRule type="expression" dxfId="56" priority="43">
      <formula>X100="OFF"</formula>
    </cfRule>
  </conditionalFormatting>
  <conditionalFormatting sqref="X100:Y101">
    <cfRule type="expression" dxfId="55" priority="42">
      <formula>X100="OFF"</formula>
    </cfRule>
  </conditionalFormatting>
  <conditionalFormatting sqref="X100:Y101">
    <cfRule type="expression" dxfId="54" priority="41">
      <formula>X100="OFF"</formula>
    </cfRule>
  </conditionalFormatting>
  <conditionalFormatting sqref="Z100:Z101">
    <cfRule type="expression" dxfId="53" priority="39">
      <formula>Z100="OFF"</formula>
    </cfRule>
  </conditionalFormatting>
  <conditionalFormatting sqref="Z100:Z101">
    <cfRule type="expression" dxfId="52" priority="35">
      <formula>Z100="OFF"</formula>
    </cfRule>
  </conditionalFormatting>
  <conditionalFormatting sqref="Z100:Z101">
    <cfRule type="expression" dxfId="51" priority="38">
      <formula>Z100="OFF"</formula>
    </cfRule>
  </conditionalFormatting>
  <conditionalFormatting sqref="Z100:Z101">
    <cfRule type="expression" dxfId="50" priority="37">
      <formula>Z100="OFF"</formula>
    </cfRule>
  </conditionalFormatting>
  <conditionalFormatting sqref="Z100:Z101">
    <cfRule type="expression" dxfId="49" priority="36">
      <formula>Z100="OFF"</formula>
    </cfRule>
  </conditionalFormatting>
  <conditionalFormatting sqref="Z10:AL10">
    <cfRule type="expression" dxfId="48" priority="34">
      <formula>Z10="OFF"</formula>
    </cfRule>
  </conditionalFormatting>
  <conditionalFormatting sqref="Z10:AB10">
    <cfRule type="expression" dxfId="47" priority="31">
      <formula>Z10="OFF"</formula>
    </cfRule>
  </conditionalFormatting>
  <conditionalFormatting sqref="Z10:AB10">
    <cfRule type="expression" dxfId="46" priority="33">
      <formula>Z10="OFF"</formula>
    </cfRule>
  </conditionalFormatting>
  <conditionalFormatting sqref="Z10:AB10">
    <cfRule type="expression" dxfId="45" priority="32">
      <formula>Z10="OFF"</formula>
    </cfRule>
  </conditionalFormatting>
  <conditionalFormatting sqref="X18:AB18 AD18:AL18">
    <cfRule type="expression" dxfId="44" priority="30">
      <formula>X18="OFF"</formula>
    </cfRule>
  </conditionalFormatting>
  <conditionalFormatting sqref="X18:AB18">
    <cfRule type="expression" dxfId="43" priority="27">
      <formula>X18="OFF"</formula>
    </cfRule>
  </conditionalFormatting>
  <conditionalFormatting sqref="X18:AB18">
    <cfRule type="expression" dxfId="42" priority="29">
      <formula>X18="OFF"</formula>
    </cfRule>
  </conditionalFormatting>
  <conditionalFormatting sqref="X18:AB18">
    <cfRule type="expression" dxfId="41" priority="28">
      <formula>X18="OFF"</formula>
    </cfRule>
  </conditionalFormatting>
  <conditionalFormatting sqref="X18:AB18 AD18:AL18">
    <cfRule type="expression" dxfId="40" priority="26">
      <formula>X18="OFF"</formula>
    </cfRule>
  </conditionalFormatting>
  <conditionalFormatting sqref="X17:AB17 AD17:AL17">
    <cfRule type="expression" dxfId="39" priority="25">
      <formula>X17="OFF"</formula>
    </cfRule>
  </conditionalFormatting>
  <conditionalFormatting sqref="X17:AB17">
    <cfRule type="expression" dxfId="38" priority="22">
      <formula>X17="OFF"</formula>
    </cfRule>
  </conditionalFormatting>
  <conditionalFormatting sqref="X17:AB17">
    <cfRule type="expression" dxfId="37" priority="24">
      <formula>X17="OFF"</formula>
    </cfRule>
  </conditionalFormatting>
  <conditionalFormatting sqref="X17:AB17">
    <cfRule type="expression" dxfId="36" priority="23">
      <formula>X17="OFF"</formula>
    </cfRule>
  </conditionalFormatting>
  <conditionalFormatting sqref="X17:AB17 AD17:AL17">
    <cfRule type="expression" dxfId="35" priority="21">
      <formula>X17="OFF"</formula>
    </cfRule>
  </conditionalFormatting>
  <conditionalFormatting sqref="X26:AL26">
    <cfRule type="expression" dxfId="34" priority="20">
      <formula>X26="OFF"</formula>
    </cfRule>
  </conditionalFormatting>
  <conditionalFormatting sqref="X26:AB26">
    <cfRule type="expression" dxfId="33" priority="17">
      <formula>X26="OFF"</formula>
    </cfRule>
  </conditionalFormatting>
  <conditionalFormatting sqref="X26:AB26">
    <cfRule type="expression" dxfId="32" priority="19">
      <formula>X26="OFF"</formula>
    </cfRule>
  </conditionalFormatting>
  <conditionalFormatting sqref="X26:AB26">
    <cfRule type="expression" dxfId="31" priority="18">
      <formula>X26="OFF"</formula>
    </cfRule>
  </conditionalFormatting>
  <conditionalFormatting sqref="X30:AL30">
    <cfRule type="expression" dxfId="30" priority="16">
      <formula>X30="OFF"</formula>
    </cfRule>
  </conditionalFormatting>
  <conditionalFormatting sqref="X30:AB30">
    <cfRule type="expression" dxfId="29" priority="13">
      <formula>X30="OFF"</formula>
    </cfRule>
  </conditionalFormatting>
  <conditionalFormatting sqref="X30:AB30">
    <cfRule type="expression" dxfId="28" priority="15">
      <formula>X30="OFF"</formula>
    </cfRule>
  </conditionalFormatting>
  <conditionalFormatting sqref="X30:AB30">
    <cfRule type="expression" dxfId="27" priority="14">
      <formula>X30="OFF"</formula>
    </cfRule>
  </conditionalFormatting>
  <conditionalFormatting sqref="Y10">
    <cfRule type="expression" dxfId="26" priority="12">
      <formula>Y10="OFF"</formula>
    </cfRule>
  </conditionalFormatting>
  <conditionalFormatting sqref="Y10">
    <cfRule type="expression" dxfId="25" priority="9">
      <formula>Y10="OFF"</formula>
    </cfRule>
  </conditionalFormatting>
  <conditionalFormatting sqref="Y10">
    <cfRule type="expression" dxfId="24" priority="11">
      <formula>Y10="OFF"</formula>
    </cfRule>
  </conditionalFormatting>
  <conditionalFormatting sqref="Y10">
    <cfRule type="expression" dxfId="23" priority="10">
      <formula>Y10="OFF"</formula>
    </cfRule>
  </conditionalFormatting>
  <conditionalFormatting sqref="X19:AL19">
    <cfRule type="expression" dxfId="22" priority="8">
      <formula>X19="OFF"</formula>
    </cfRule>
  </conditionalFormatting>
  <conditionalFormatting sqref="X19:AB19">
    <cfRule type="expression" dxfId="21" priority="5">
      <formula>X19="OFF"</formula>
    </cfRule>
  </conditionalFormatting>
  <conditionalFormatting sqref="X19:AB19">
    <cfRule type="expression" dxfId="20" priority="7">
      <formula>X19="OFF"</formula>
    </cfRule>
  </conditionalFormatting>
  <conditionalFormatting sqref="X19:AB19">
    <cfRule type="expression" dxfId="19" priority="6">
      <formula>X19="OFF"</formula>
    </cfRule>
  </conditionalFormatting>
  <conditionalFormatting sqref="X19:AL19">
    <cfRule type="expression" dxfId="18" priority="4">
      <formula>X19="OFF"</formula>
    </cfRule>
  </conditionalFormatting>
  <conditionalFormatting sqref="X34:AL34">
    <cfRule type="expression" dxfId="17" priority="3">
      <formula>X34="OFF"</formula>
    </cfRule>
  </conditionalFormatting>
  <conditionalFormatting sqref="A5345:A5354">
    <cfRule type="containsText" dxfId="16" priority="2" operator="containsText" text="sam263p">
      <formula>NOT(ISERROR(SEARCH("sam263p",A5345)))</formula>
    </cfRule>
  </conditionalFormatting>
  <conditionalFormatting sqref="C5346">
    <cfRule type="containsText" dxfId="15" priority="1" operator="containsText" text="sam263p">
      <formula>NOT(ISERROR(SEARCH("sam263p",C5346)))</formula>
    </cfRule>
  </conditionalFormatting>
  <pageMargins left="0.25" right="0.25" top="0.75" bottom="0.75" header="0.3" footer="0.3"/>
  <pageSetup scale="24" fitToHeight="0" orientation="portrait" r:id="rId1"/>
  <headerFooter>
    <oddHeader>&amp;L
&amp;C&amp;"-,Bold"&amp;UPROCESSOR PPA ESTIMATION TOOL&amp;RRevision 2.5  (8-16-16)</oddHeader>
    <oddFooter>&amp;L&amp;D&amp;CTI Confidential - NDA Restrictions - Internal ONLY&amp;R&amp;P of &amp;N</oddFooter>
  </headerFooter>
  <ignoredErrors>
    <ignoredError sqref="L9 L19" formula="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051F-4BBC-474A-89D7-2131CE22FE21}">
  <sheetPr>
    <tabColor rgb="FFFFFF99"/>
  </sheetPr>
  <dimension ref="A1:O2068"/>
  <sheetViews>
    <sheetView topLeftCell="A647" zoomScaleNormal="100" workbookViewId="0">
      <selection activeCell="C666" sqref="C666"/>
    </sheetView>
  </sheetViews>
  <sheetFormatPr defaultColWidth="9.140625" defaultRowHeight="11.25" x14ac:dyDescent="0.2"/>
  <cols>
    <col min="1" max="1" width="38.5703125" style="235" customWidth="1"/>
    <col min="2" max="2" width="31.28515625" style="235" bestFit="1" customWidth="1"/>
    <col min="3" max="3" width="24.42578125" style="235" customWidth="1"/>
    <col min="4" max="4" width="32" style="235" customWidth="1"/>
    <col min="5" max="5" width="10.42578125" style="235" bestFit="1" customWidth="1"/>
    <col min="6" max="6" width="9.7109375" style="235" bestFit="1" customWidth="1"/>
    <col min="7" max="7" width="79.28515625" style="235" customWidth="1"/>
    <col min="8" max="8" width="9.140625" style="235"/>
    <col min="9" max="9" width="9.5703125" style="235" customWidth="1"/>
    <col min="10" max="14" width="9.140625" style="235"/>
    <col min="15" max="15" width="8.85546875" style="236"/>
    <col min="16" max="16384" width="9.140625" style="235"/>
  </cols>
  <sheetData>
    <row r="1" spans="1:8" ht="12" thickBot="1" x14ac:dyDescent="0.25">
      <c r="A1" s="210" t="s">
        <v>5182</v>
      </c>
    </row>
    <row r="2" spans="1:8" ht="12" thickTop="1" x14ac:dyDescent="0.2"/>
    <row r="3" spans="1:8" x14ac:dyDescent="0.2">
      <c r="A3" s="237" t="s">
        <v>5442</v>
      </c>
      <c r="B3" s="238"/>
      <c r="C3" s="238"/>
      <c r="D3" s="238"/>
      <c r="E3" s="238"/>
      <c r="F3" s="238"/>
      <c r="G3" s="238"/>
    </row>
    <row r="4" spans="1:8" x14ac:dyDescent="0.2">
      <c r="A4" s="239" t="s">
        <v>5183</v>
      </c>
      <c r="B4" s="239"/>
      <c r="C4" s="239"/>
      <c r="D4" s="239"/>
      <c r="E4" s="239"/>
      <c r="F4" s="239"/>
      <c r="G4" s="239"/>
    </row>
    <row r="5" spans="1:8" x14ac:dyDescent="0.2">
      <c r="A5" s="235" t="s">
        <v>5184</v>
      </c>
    </row>
    <row r="6" spans="1:8" x14ac:dyDescent="0.2">
      <c r="A6" s="235" t="s">
        <v>5185</v>
      </c>
    </row>
    <row r="8" spans="1:8" x14ac:dyDescent="0.2">
      <c r="A8" s="212" t="s">
        <v>5186</v>
      </c>
      <c r="B8" s="213" t="s">
        <v>5187</v>
      </c>
      <c r="C8" s="213" t="s">
        <v>5188</v>
      </c>
      <c r="D8" s="212"/>
      <c r="E8" s="212"/>
      <c r="F8" s="212"/>
      <c r="G8" s="212"/>
    </row>
    <row r="9" spans="1:8" x14ac:dyDescent="0.2">
      <c r="A9" s="240" t="s">
        <v>5443</v>
      </c>
      <c r="B9" s="241" t="s">
        <v>5189</v>
      </c>
      <c r="C9" s="241" t="s">
        <v>5190</v>
      </c>
      <c r="D9" s="241"/>
      <c r="E9" s="241"/>
      <c r="F9" s="241"/>
      <c r="G9" s="241"/>
    </row>
    <row r="10" spans="1:8" x14ac:dyDescent="0.2">
      <c r="A10" s="240" t="s">
        <v>5191</v>
      </c>
      <c r="B10" s="241" t="s">
        <v>5192</v>
      </c>
      <c r="C10" s="241" t="s">
        <v>5193</v>
      </c>
      <c r="D10" s="241"/>
      <c r="E10" s="241"/>
      <c r="F10" s="241"/>
      <c r="G10" s="241"/>
    </row>
    <row r="11" spans="1:8" x14ac:dyDescent="0.2">
      <c r="A11" s="240" t="s">
        <v>5194</v>
      </c>
      <c r="B11" s="241" t="s">
        <v>81</v>
      </c>
      <c r="C11" s="241" t="s">
        <v>5196</v>
      </c>
      <c r="D11" s="241"/>
      <c r="E11" s="241"/>
      <c r="F11" s="241"/>
      <c r="G11" s="241"/>
    </row>
    <row r="12" spans="1:8" x14ac:dyDescent="0.2">
      <c r="A12" s="240" t="s">
        <v>5194</v>
      </c>
      <c r="B12" s="241" t="s">
        <v>5197</v>
      </c>
      <c r="C12" s="241" t="s">
        <v>5198</v>
      </c>
      <c r="D12" s="241"/>
      <c r="E12" s="241"/>
      <c r="F12" s="241"/>
      <c r="G12" s="241"/>
    </row>
    <row r="13" spans="1:8" x14ac:dyDescent="0.2">
      <c r="A13" s="240" t="s">
        <v>5199</v>
      </c>
      <c r="B13" s="241" t="s">
        <v>5200</v>
      </c>
      <c r="C13" s="241" t="s">
        <v>5201</v>
      </c>
      <c r="D13" s="241"/>
      <c r="E13" s="241"/>
      <c r="F13" s="241"/>
      <c r="G13" s="241"/>
    </row>
    <row r="14" spans="1:8" x14ac:dyDescent="0.2">
      <c r="A14" s="235" t="s">
        <v>5202</v>
      </c>
      <c r="B14" s="235" t="s">
        <v>5203</v>
      </c>
      <c r="C14" s="235" t="s">
        <v>5446</v>
      </c>
    </row>
    <row r="16" spans="1:8" ht="45" customHeight="1" x14ac:dyDescent="0.2">
      <c r="A16" s="212" t="s">
        <v>5204</v>
      </c>
      <c r="B16" s="213" t="s">
        <v>5205</v>
      </c>
      <c r="C16" s="213" t="s">
        <v>5206</v>
      </c>
      <c r="D16" s="212" t="s">
        <v>5207</v>
      </c>
      <c r="E16" s="212" t="s">
        <v>5208</v>
      </c>
      <c r="F16" s="212" t="s">
        <v>129</v>
      </c>
      <c r="G16" s="212" t="s">
        <v>5209</v>
      </c>
      <c r="H16" s="212" t="s">
        <v>5210</v>
      </c>
    </row>
    <row r="17" spans="1:15" customFormat="1" ht="15" x14ac:dyDescent="0.25">
      <c r="A17" s="48" t="str">
        <f t="shared" ref="A17:A25" si="0">B17&amp;"_"&amp;C17</f>
        <v>adc12b_Area</v>
      </c>
      <c r="B17" s="59" t="s">
        <v>5447</v>
      </c>
      <c r="C17" s="48" t="s">
        <v>5211</v>
      </c>
      <c r="D17" s="48"/>
      <c r="E17" s="48" t="s">
        <v>5192</v>
      </c>
      <c r="F17" s="14">
        <v>0.37</v>
      </c>
      <c r="G17" s="48"/>
      <c r="H17" s="49"/>
      <c r="I17" s="22"/>
      <c r="O17" s="21"/>
    </row>
    <row r="18" spans="1:15" customFormat="1" ht="15" x14ac:dyDescent="0.25">
      <c r="A18" s="48" t="str">
        <f t="shared" si="0"/>
        <v>adc12b_beachfront</v>
      </c>
      <c r="B18" s="59" t="s">
        <v>5447</v>
      </c>
      <c r="C18" s="48" t="s">
        <v>5358</v>
      </c>
      <c r="D18" s="48"/>
      <c r="E18" s="48" t="s">
        <v>5192</v>
      </c>
      <c r="F18" s="14">
        <v>0.63</v>
      </c>
      <c r="G18" s="48"/>
      <c r="H18" s="49"/>
      <c r="I18" s="22"/>
      <c r="O18" s="21"/>
    </row>
    <row r="19" spans="1:15" customFormat="1" ht="15" x14ac:dyDescent="0.25">
      <c r="A19" s="48" t="str">
        <f t="shared" si="0"/>
        <v>adc12b_Description</v>
      </c>
      <c r="B19" s="59" t="s">
        <v>5447</v>
      </c>
      <c r="C19" s="48" t="s">
        <v>42</v>
      </c>
      <c r="D19" s="48"/>
      <c r="E19" s="48" t="s">
        <v>5192</v>
      </c>
      <c r="F19" s="14" t="s">
        <v>5789</v>
      </c>
      <c r="G19" s="48"/>
      <c r="H19" s="13"/>
      <c r="I19" s="22"/>
      <c r="O19" s="21"/>
    </row>
    <row r="20" spans="1:15" customFormat="1" ht="15" x14ac:dyDescent="0.25">
      <c r="A20" s="48" t="str">
        <f t="shared" si="0"/>
        <v>adc12b_First_SoC</v>
      </c>
      <c r="B20" s="59" t="s">
        <v>5447</v>
      </c>
      <c r="C20" s="48" t="s">
        <v>5216</v>
      </c>
      <c r="D20" s="48"/>
      <c r="E20" s="48" t="s">
        <v>5192</v>
      </c>
      <c r="F20" s="14" t="s">
        <v>5381</v>
      </c>
      <c r="G20" s="48"/>
      <c r="H20" s="13"/>
      <c r="I20" s="22"/>
      <c r="O20" s="21"/>
    </row>
    <row r="21" spans="1:15" customFormat="1" ht="15" x14ac:dyDescent="0.25">
      <c r="A21" s="48" t="str">
        <f t="shared" si="0"/>
        <v>adc12b_Function</v>
      </c>
      <c r="B21" s="59" t="s">
        <v>5447</v>
      </c>
      <c r="C21" s="48" t="s">
        <v>5222</v>
      </c>
      <c r="D21" s="48"/>
      <c r="E21" s="48" t="s">
        <v>5192</v>
      </c>
      <c r="F21" s="14" t="s">
        <v>5802</v>
      </c>
      <c r="G21" s="48"/>
      <c r="H21" s="13"/>
      <c r="I21" s="22"/>
      <c r="O21" s="21"/>
    </row>
    <row r="22" spans="1:15" customFormat="1" ht="15" x14ac:dyDescent="0.25">
      <c r="A22" s="48" t="str">
        <f t="shared" si="0"/>
        <v>adc12b_macro_area</v>
      </c>
      <c r="B22" s="59" t="s">
        <v>5447</v>
      </c>
      <c r="C22" s="48" t="s">
        <v>5228</v>
      </c>
      <c r="D22" s="48"/>
      <c r="E22" s="48" t="s">
        <v>5192</v>
      </c>
      <c r="F22" s="14">
        <v>0.37</v>
      </c>
      <c r="G22" s="48"/>
      <c r="H22" s="49"/>
      <c r="I22" s="22"/>
      <c r="O22" s="21"/>
    </row>
    <row r="23" spans="1:15" customFormat="1" ht="15" x14ac:dyDescent="0.25">
      <c r="A23" s="48" t="str">
        <f t="shared" si="0"/>
        <v>adc12b_pins</v>
      </c>
      <c r="B23" s="59" t="s">
        <v>5447</v>
      </c>
      <c r="C23" s="48" t="s">
        <v>5359</v>
      </c>
      <c r="D23" s="48"/>
      <c r="E23" s="48" t="s">
        <v>5192</v>
      </c>
      <c r="F23" s="14">
        <v>10</v>
      </c>
      <c r="G23" s="48"/>
      <c r="H23" s="49"/>
      <c r="I23" s="22"/>
      <c r="O23" s="21"/>
    </row>
    <row r="24" spans="1:15" customFormat="1" ht="15" x14ac:dyDescent="0.25">
      <c r="A24" s="48" t="str">
        <f t="shared" si="0"/>
        <v>adc12b_tag</v>
      </c>
      <c r="B24" s="59" t="s">
        <v>5447</v>
      </c>
      <c r="C24" s="48" t="s">
        <v>5234</v>
      </c>
      <c r="D24" s="48"/>
      <c r="E24" s="48" t="s">
        <v>5192</v>
      </c>
      <c r="F24" s="14">
        <v>44501</v>
      </c>
      <c r="G24" s="48"/>
      <c r="H24" s="49"/>
      <c r="I24" s="22"/>
      <c r="O24" s="21"/>
    </row>
    <row r="25" spans="1:15" customFormat="1" ht="15" x14ac:dyDescent="0.25">
      <c r="A25" s="48" t="str">
        <f t="shared" si="0"/>
        <v>adc12b_Type</v>
      </c>
      <c r="B25" s="59" t="s">
        <v>5447</v>
      </c>
      <c r="C25" s="48" t="s">
        <v>0</v>
      </c>
      <c r="D25" s="48"/>
      <c r="E25" s="48" t="s">
        <v>5192</v>
      </c>
      <c r="F25" s="14" t="s">
        <v>5784</v>
      </c>
      <c r="G25" s="48"/>
      <c r="H25" s="13"/>
      <c r="I25" s="22"/>
      <c r="O25" s="21"/>
    </row>
    <row r="26" spans="1:15" customFormat="1" ht="15" x14ac:dyDescent="0.25">
      <c r="A26" s="48" t="str">
        <f>B26&amp;"_"&amp;C26&amp;"_"&amp;D26</f>
        <v>adc12b_vdd_dyn_off</v>
      </c>
      <c r="B26" s="59" t="s">
        <v>5447</v>
      </c>
      <c r="C26" s="48" t="s">
        <v>5255</v>
      </c>
      <c r="D26" s="48" t="s">
        <v>4798</v>
      </c>
      <c r="E26" s="48" t="s">
        <v>5192</v>
      </c>
      <c r="F26" s="14">
        <v>0</v>
      </c>
      <c r="G26" s="48"/>
      <c r="H26" s="49"/>
      <c r="I26" s="22"/>
      <c r="O26" s="21"/>
    </row>
    <row r="27" spans="1:15" customFormat="1" ht="15" x14ac:dyDescent="0.25">
      <c r="A27" s="48" t="str">
        <f>B27&amp;"_"&amp;C27&amp;"_"&amp;D27</f>
        <v>adc12b_vdd_dyn_on_1p8v</v>
      </c>
      <c r="B27" s="59" t="s">
        <v>5447</v>
      </c>
      <c r="C27" s="48" t="s">
        <v>5255</v>
      </c>
      <c r="D27" s="48" t="s">
        <v>5160</v>
      </c>
      <c r="E27" s="48" t="s">
        <v>5192</v>
      </c>
      <c r="F27" s="14">
        <f>0.5*1.2</f>
        <v>0.6</v>
      </c>
      <c r="G27" s="48" t="s">
        <v>5386</v>
      </c>
      <c r="H27" s="49"/>
      <c r="I27" s="22"/>
      <c r="O27" s="21"/>
    </row>
    <row r="28" spans="1:15" customFormat="1" ht="15" x14ac:dyDescent="0.25">
      <c r="A28" s="48" t="str">
        <f>B28&amp;"_"&amp;C28&amp;"_"&amp;D28</f>
        <v>adc12b_vdd_dyn_on_3p3v</v>
      </c>
      <c r="B28" s="59" t="s">
        <v>5447</v>
      </c>
      <c r="C28" s="48" t="s">
        <v>5255</v>
      </c>
      <c r="D28" s="48" t="s">
        <v>5159</v>
      </c>
      <c r="E28" s="48" t="s">
        <v>5192</v>
      </c>
      <c r="F28" s="14">
        <f>0.5*1.2</f>
        <v>0.6</v>
      </c>
      <c r="G28" s="48" t="s">
        <v>5386</v>
      </c>
      <c r="H28" s="49"/>
      <c r="I28" s="22"/>
      <c r="O28" s="21"/>
    </row>
    <row r="29" spans="1:15" customFormat="1" ht="15" x14ac:dyDescent="0.25">
      <c r="A29" s="48" t="str">
        <f>B29&amp;"_"&amp;C29</f>
        <v>adc12b_vdd_lkg</v>
      </c>
      <c r="B29" s="59" t="s">
        <v>5447</v>
      </c>
      <c r="C29" s="48" t="s">
        <v>5245</v>
      </c>
      <c r="D29" s="48"/>
      <c r="E29" s="48" t="s">
        <v>5192</v>
      </c>
      <c r="F29" s="14">
        <v>1E-3</v>
      </c>
      <c r="G29" s="48"/>
      <c r="H29" s="49"/>
      <c r="I29" s="22"/>
      <c r="O29" s="21"/>
    </row>
    <row r="30" spans="1:15" customFormat="1" ht="15" x14ac:dyDescent="0.25">
      <c r="A30" s="48" t="str">
        <f>B30&amp;"_"&amp;C30&amp;"_"&amp;D30</f>
        <v>adc12b_vdda_dyn_off</v>
      </c>
      <c r="B30" s="59" t="s">
        <v>5447</v>
      </c>
      <c r="C30" s="48" t="s">
        <v>5274</v>
      </c>
      <c r="D30" s="48" t="s">
        <v>4798</v>
      </c>
      <c r="E30" s="48" t="s">
        <v>5192</v>
      </c>
      <c r="F30" s="14">
        <v>0</v>
      </c>
      <c r="G30" s="48"/>
      <c r="H30" s="49"/>
      <c r="I30" s="22"/>
      <c r="O30" s="21"/>
    </row>
    <row r="31" spans="1:15" customFormat="1" ht="15" x14ac:dyDescent="0.25">
      <c r="A31" s="48" t="str">
        <f>B31&amp;"_"&amp;C31&amp;"_"&amp;D31</f>
        <v>adc12b_vdda_dyn_on_1p8v</v>
      </c>
      <c r="B31" s="59" t="s">
        <v>5447</v>
      </c>
      <c r="C31" s="48" t="s">
        <v>5274</v>
      </c>
      <c r="D31" s="48" t="s">
        <v>5160</v>
      </c>
      <c r="E31" s="48" t="s">
        <v>5192</v>
      </c>
      <c r="F31" s="14">
        <f>1.4*3.3</f>
        <v>4.6199999999999992</v>
      </c>
      <c r="G31" s="48" t="s">
        <v>6192</v>
      </c>
      <c r="H31" s="49"/>
      <c r="I31" s="22"/>
      <c r="O31" s="21"/>
    </row>
    <row r="32" spans="1:15" customFormat="1" ht="15" x14ac:dyDescent="0.25">
      <c r="A32" s="48" t="str">
        <f>B32&amp;"_"&amp;C32&amp;"_"&amp;D32</f>
        <v>adc12b_vdda_dyn_on_3p3v</v>
      </c>
      <c r="B32" s="59" t="s">
        <v>5447</v>
      </c>
      <c r="C32" s="48" t="s">
        <v>5274</v>
      </c>
      <c r="D32" s="48" t="s">
        <v>5159</v>
      </c>
      <c r="E32" s="48" t="s">
        <v>5192</v>
      </c>
      <c r="F32" s="14">
        <f>0.9*3.3</f>
        <v>2.9699999999999998</v>
      </c>
      <c r="G32" s="48" t="s">
        <v>6193</v>
      </c>
      <c r="H32" s="49"/>
      <c r="I32" s="22"/>
      <c r="O32" s="21"/>
    </row>
    <row r="33" spans="1:15" customFormat="1" ht="15" x14ac:dyDescent="0.25">
      <c r="A33" s="48" t="str">
        <f t="shared" ref="A33:A42" si="1">B33&amp;"_"&amp;C33</f>
        <v>adc12b_vdda_lkg</v>
      </c>
      <c r="B33" s="59" t="s">
        <v>5447</v>
      </c>
      <c r="C33" s="48" t="s">
        <v>5275</v>
      </c>
      <c r="D33" s="48"/>
      <c r="E33" s="48" t="s">
        <v>5192</v>
      </c>
      <c r="F33" s="14">
        <v>1E-3</v>
      </c>
      <c r="G33" s="48" t="s">
        <v>5385</v>
      </c>
      <c r="H33" s="49"/>
      <c r="I33" s="22"/>
      <c r="O33" s="21"/>
    </row>
    <row r="34" spans="1:15" s="22" customFormat="1" ht="15" x14ac:dyDescent="0.25">
      <c r="A34" s="48" t="str">
        <f t="shared" si="1"/>
        <v>adc12b_sigdel_Area</v>
      </c>
      <c r="B34" s="59" t="s">
        <v>6202</v>
      </c>
      <c r="C34" s="48" t="s">
        <v>5211</v>
      </c>
      <c r="D34" s="48"/>
      <c r="E34" s="48" t="s">
        <v>5192</v>
      </c>
      <c r="F34" s="14">
        <v>0.15</v>
      </c>
      <c r="G34" s="172" t="s">
        <v>6210</v>
      </c>
      <c r="H34" s="49"/>
      <c r="O34" s="21"/>
    </row>
    <row r="35" spans="1:15" s="22" customFormat="1" ht="15" x14ac:dyDescent="0.25">
      <c r="A35" s="48" t="str">
        <f t="shared" si="1"/>
        <v>adc12b_sigdel_beachfront</v>
      </c>
      <c r="B35" s="59" t="s">
        <v>6202</v>
      </c>
      <c r="C35" s="48" t="s">
        <v>5358</v>
      </c>
      <c r="D35" s="48"/>
      <c r="E35" s="48" t="s">
        <v>5192</v>
      </c>
      <c r="F35" s="14">
        <v>0.63</v>
      </c>
      <c r="G35" s="172">
        <v>44797</v>
      </c>
      <c r="H35" s="49"/>
      <c r="O35" s="21"/>
    </row>
    <row r="36" spans="1:15" s="22" customFormat="1" ht="15" x14ac:dyDescent="0.25">
      <c r="A36" s="48" t="str">
        <f t="shared" si="1"/>
        <v>adc12b_sigdel_Description</v>
      </c>
      <c r="B36" s="59" t="s">
        <v>6202</v>
      </c>
      <c r="C36" s="48" t="s">
        <v>42</v>
      </c>
      <c r="D36" s="48"/>
      <c r="E36" s="48" t="s">
        <v>5192</v>
      </c>
      <c r="F36" s="14" t="s">
        <v>6203</v>
      </c>
      <c r="G36" s="172">
        <v>44797</v>
      </c>
      <c r="H36" s="13"/>
      <c r="O36" s="21"/>
    </row>
    <row r="37" spans="1:15" s="22" customFormat="1" ht="15" x14ac:dyDescent="0.25">
      <c r="A37" s="48" t="str">
        <f t="shared" si="1"/>
        <v>adc12b_sigdel_first_soc</v>
      </c>
      <c r="B37" s="59" t="s">
        <v>6202</v>
      </c>
      <c r="C37" s="48" t="s">
        <v>5378</v>
      </c>
      <c r="D37" s="48"/>
      <c r="E37" s="48" t="s">
        <v>5192</v>
      </c>
      <c r="F37" s="14" t="s">
        <v>6009</v>
      </c>
      <c r="G37" s="172">
        <v>44797</v>
      </c>
      <c r="H37" s="13"/>
      <c r="O37" s="21"/>
    </row>
    <row r="38" spans="1:15" s="22" customFormat="1" ht="15" x14ac:dyDescent="0.25">
      <c r="A38" s="48" t="str">
        <f t="shared" si="1"/>
        <v>adc12b_sigdel_Function</v>
      </c>
      <c r="B38" s="59" t="s">
        <v>6202</v>
      </c>
      <c r="C38" s="48" t="s">
        <v>5222</v>
      </c>
      <c r="D38" s="48"/>
      <c r="E38" s="48" t="s">
        <v>5192</v>
      </c>
      <c r="F38" s="14" t="s">
        <v>5802</v>
      </c>
      <c r="G38" s="172">
        <v>44797</v>
      </c>
      <c r="H38" s="13"/>
      <c r="O38" s="21"/>
    </row>
    <row r="39" spans="1:15" s="22" customFormat="1" ht="15" x14ac:dyDescent="0.25">
      <c r="A39" s="48" t="str">
        <f t="shared" si="1"/>
        <v>adc12b_sigdel_macro_area</v>
      </c>
      <c r="B39" s="59" t="s">
        <v>6202</v>
      </c>
      <c r="C39" s="48" t="s">
        <v>5228</v>
      </c>
      <c r="D39" s="48"/>
      <c r="E39" s="48" t="s">
        <v>5192</v>
      </c>
      <c r="F39" s="14">
        <v>0.15</v>
      </c>
      <c r="G39" s="172">
        <v>44797</v>
      </c>
      <c r="H39" s="49"/>
      <c r="O39" s="21"/>
    </row>
    <row r="40" spans="1:15" s="22" customFormat="1" ht="15" x14ac:dyDescent="0.25">
      <c r="A40" s="48" t="str">
        <f t="shared" si="1"/>
        <v>adc12b_sigdel_pins</v>
      </c>
      <c r="B40" s="59" t="s">
        <v>6202</v>
      </c>
      <c r="C40" s="48" t="s">
        <v>5359</v>
      </c>
      <c r="D40" s="48"/>
      <c r="E40" s="48" t="s">
        <v>5192</v>
      </c>
      <c r="F40" s="14">
        <v>10</v>
      </c>
      <c r="G40" s="172">
        <v>44797</v>
      </c>
      <c r="H40" s="49"/>
      <c r="O40" s="21"/>
    </row>
    <row r="41" spans="1:15" s="22" customFormat="1" ht="15" x14ac:dyDescent="0.25">
      <c r="A41" s="48" t="str">
        <f t="shared" si="1"/>
        <v>adc12b_sigdel_tag</v>
      </c>
      <c r="B41" s="59" t="s">
        <v>6202</v>
      </c>
      <c r="C41" s="48" t="s">
        <v>5234</v>
      </c>
      <c r="D41" s="48"/>
      <c r="E41" s="48" t="s">
        <v>5192</v>
      </c>
      <c r="F41" s="172">
        <v>44797</v>
      </c>
      <c r="G41" s="172">
        <v>44797</v>
      </c>
      <c r="H41" s="49"/>
      <c r="O41" s="21"/>
    </row>
    <row r="42" spans="1:15" s="22" customFormat="1" ht="15" x14ac:dyDescent="0.25">
      <c r="A42" s="48" t="str">
        <f t="shared" si="1"/>
        <v>adc12b_sigdel_Type</v>
      </c>
      <c r="B42" s="59" t="s">
        <v>6202</v>
      </c>
      <c r="C42" s="48" t="s">
        <v>0</v>
      </c>
      <c r="D42" s="48"/>
      <c r="E42" s="48" t="s">
        <v>5192</v>
      </c>
      <c r="F42" s="14" t="s">
        <v>5784</v>
      </c>
      <c r="G42" s="172">
        <v>44797</v>
      </c>
      <c r="H42" s="13"/>
      <c r="O42" s="21"/>
    </row>
    <row r="43" spans="1:15" s="22" customFormat="1" ht="15" x14ac:dyDescent="0.25">
      <c r="A43" s="48" t="str">
        <f>B43&amp;"_"&amp;C43&amp;"_"&amp;D43</f>
        <v>adc12b_sigdel_vdd_dyn_off</v>
      </c>
      <c r="B43" s="59" t="s">
        <v>6202</v>
      </c>
      <c r="C43" s="48" t="s">
        <v>5255</v>
      </c>
      <c r="D43" s="48" t="s">
        <v>4798</v>
      </c>
      <c r="E43" s="48" t="s">
        <v>5192</v>
      </c>
      <c r="F43" s="14">
        <v>0</v>
      </c>
      <c r="G43" s="172">
        <v>44797</v>
      </c>
      <c r="H43" s="49"/>
      <c r="O43" s="21"/>
    </row>
    <row r="44" spans="1:15" s="22" customFormat="1" ht="15" x14ac:dyDescent="0.25">
      <c r="A44" s="48" t="str">
        <f>B44&amp;"_"&amp;C44&amp;"_"&amp;D44</f>
        <v>adc12b_sigdel_vdd_dyn_on_1p8v</v>
      </c>
      <c r="B44" s="59" t="s">
        <v>6202</v>
      </c>
      <c r="C44" s="48" t="s">
        <v>5255</v>
      </c>
      <c r="D44" s="48" t="s">
        <v>5160</v>
      </c>
      <c r="E44" s="48" t="s">
        <v>5192</v>
      </c>
      <c r="F44" s="14">
        <f>0.5*1.2</f>
        <v>0.6</v>
      </c>
      <c r="G44" s="172" t="s">
        <v>6211</v>
      </c>
      <c r="H44" s="49"/>
      <c r="O44" s="21"/>
    </row>
    <row r="45" spans="1:15" s="22" customFormat="1" ht="15" x14ac:dyDescent="0.25">
      <c r="A45" s="48" t="str">
        <f>B45&amp;"_"&amp;C45&amp;"_"&amp;D45</f>
        <v>adc12b_sigdel_vdd_dyn_on_3p3v</v>
      </c>
      <c r="B45" s="59" t="s">
        <v>6202</v>
      </c>
      <c r="C45" s="48" t="s">
        <v>5255</v>
      </c>
      <c r="D45" s="48" t="s">
        <v>5159</v>
      </c>
      <c r="E45" s="48" t="s">
        <v>5192</v>
      </c>
      <c r="F45" s="14">
        <f>0.5*1.2</f>
        <v>0.6</v>
      </c>
      <c r="G45" s="172" t="s">
        <v>6211</v>
      </c>
      <c r="H45" s="49"/>
      <c r="O45" s="21"/>
    </row>
    <row r="46" spans="1:15" s="22" customFormat="1" ht="15" x14ac:dyDescent="0.25">
      <c r="A46" s="48" t="str">
        <f>B46&amp;"_"&amp;C46</f>
        <v>adc12b_sigdel_vdd_lkg</v>
      </c>
      <c r="B46" s="59" t="s">
        <v>6202</v>
      </c>
      <c r="C46" s="48" t="s">
        <v>5245</v>
      </c>
      <c r="D46" s="48"/>
      <c r="E46" s="48" t="s">
        <v>5192</v>
      </c>
      <c r="F46" s="14">
        <f>0.001</f>
        <v>1E-3</v>
      </c>
      <c r="G46" s="172" t="s">
        <v>6211</v>
      </c>
      <c r="H46" s="49"/>
      <c r="O46" s="21"/>
    </row>
    <row r="47" spans="1:15" s="22" customFormat="1" ht="15" x14ac:dyDescent="0.25">
      <c r="A47" s="48" t="str">
        <f>B47&amp;"_"&amp;C47&amp;"_"&amp;D47</f>
        <v>adc12b_sigdel_vdda_dyn_off</v>
      </c>
      <c r="B47" s="59" t="s">
        <v>6202</v>
      </c>
      <c r="C47" s="48" t="s">
        <v>5274</v>
      </c>
      <c r="D47" s="48" t="s">
        <v>4798</v>
      </c>
      <c r="E47" s="48" t="s">
        <v>5192</v>
      </c>
      <c r="F47" s="14">
        <v>0</v>
      </c>
      <c r="G47" s="172" t="s">
        <v>6211</v>
      </c>
      <c r="H47" s="49"/>
      <c r="O47" s="21"/>
    </row>
    <row r="48" spans="1:15" s="22" customFormat="1" ht="15" x14ac:dyDescent="0.25">
      <c r="A48" s="48" t="str">
        <f>B48&amp;"_"&amp;C48&amp;"_"&amp;D48</f>
        <v>adc12b_sigdel_vdda_dyn_on_1p8v</v>
      </c>
      <c r="B48" s="59" t="s">
        <v>6202</v>
      </c>
      <c r="C48" s="48" t="s">
        <v>5274</v>
      </c>
      <c r="D48" s="48" t="s">
        <v>5160</v>
      </c>
      <c r="E48" s="48" t="s">
        <v>5192</v>
      </c>
      <c r="F48" s="14">
        <f>1.4*3.3</f>
        <v>4.6199999999999992</v>
      </c>
      <c r="G48" s="172" t="s">
        <v>6211</v>
      </c>
      <c r="H48" s="49"/>
      <c r="O48" s="21"/>
    </row>
    <row r="49" spans="1:15" s="22" customFormat="1" ht="15" x14ac:dyDescent="0.25">
      <c r="A49" s="48" t="str">
        <f>B49&amp;"_"&amp;C49&amp;"_"&amp;D49</f>
        <v>adc12b_sigdel_vdda_dyn_on_3p3v</v>
      </c>
      <c r="B49" s="59" t="s">
        <v>6202</v>
      </c>
      <c r="C49" s="48" t="s">
        <v>5274</v>
      </c>
      <c r="D49" s="48" t="s">
        <v>5159</v>
      </c>
      <c r="E49" s="48" t="s">
        <v>5192</v>
      </c>
      <c r="F49" s="14">
        <f>0.9*3.3</f>
        <v>2.9699999999999998</v>
      </c>
      <c r="G49" s="172" t="s">
        <v>6211</v>
      </c>
      <c r="H49" s="49"/>
      <c r="O49" s="21"/>
    </row>
    <row r="50" spans="1:15" s="22" customFormat="1" ht="15" x14ac:dyDescent="0.25">
      <c r="A50" s="48" t="str">
        <f t="shared" ref="A50:A57" si="2">B50&amp;"_"&amp;C50</f>
        <v>adc12b_sigdel_vdda_lkg</v>
      </c>
      <c r="B50" s="59" t="s">
        <v>6202</v>
      </c>
      <c r="C50" s="48" t="s">
        <v>5275</v>
      </c>
      <c r="D50" s="48"/>
      <c r="E50" s="48" t="s">
        <v>5192</v>
      </c>
      <c r="F50" s="14">
        <f>0.001</f>
        <v>1E-3</v>
      </c>
      <c r="G50" s="172" t="s">
        <v>6211</v>
      </c>
      <c r="H50" s="49"/>
      <c r="O50" s="21"/>
    </row>
    <row r="51" spans="1:15" s="106" customFormat="1" ht="12.75" x14ac:dyDescent="0.2">
      <c r="A51" s="48" t="str">
        <f t="shared" si="2"/>
        <v>adpllj_Area</v>
      </c>
      <c r="B51" s="59" t="s">
        <v>5448</v>
      </c>
      <c r="C51" s="50" t="s">
        <v>5211</v>
      </c>
      <c r="D51" s="48"/>
      <c r="E51" s="48" t="s">
        <v>5192</v>
      </c>
      <c r="F51" s="14">
        <f>0.37044*0.3402</f>
        <v>0.12602368799999999</v>
      </c>
      <c r="G51" s="48" t="s">
        <v>5330</v>
      </c>
      <c r="H51" s="49"/>
      <c r="O51" s="162"/>
    </row>
    <row r="52" spans="1:15" s="106" customFormat="1" ht="15" x14ac:dyDescent="0.25">
      <c r="A52" s="48" t="str">
        <f t="shared" si="2"/>
        <v>adpllj_Description</v>
      </c>
      <c r="B52" s="59" t="s">
        <v>5448</v>
      </c>
      <c r="C52" s="50" t="s">
        <v>42</v>
      </c>
      <c r="D52" s="48" t="s">
        <v>5372</v>
      </c>
      <c r="E52" s="48" t="s">
        <v>5192</v>
      </c>
      <c r="F52" s="14" t="s">
        <v>5788</v>
      </c>
      <c r="G52" s="48" t="s">
        <v>5330</v>
      </c>
      <c r="H52" s="13"/>
      <c r="O52" s="163"/>
    </row>
    <row r="53" spans="1:15" s="106" customFormat="1" ht="15" x14ac:dyDescent="0.25">
      <c r="A53" s="48" t="str">
        <f t="shared" si="2"/>
        <v>adpllj_First_SoC</v>
      </c>
      <c r="B53" s="59" t="s">
        <v>5448</v>
      </c>
      <c r="C53" s="48" t="s">
        <v>5216</v>
      </c>
      <c r="D53" s="48" t="s">
        <v>4731</v>
      </c>
      <c r="E53" s="48" t="s">
        <v>5192</v>
      </c>
      <c r="F53" s="14" t="s">
        <v>5798</v>
      </c>
      <c r="G53" s="48" t="s">
        <v>5252</v>
      </c>
      <c r="H53" s="13"/>
      <c r="O53" s="162"/>
    </row>
    <row r="54" spans="1:15" s="106" customFormat="1" ht="15" x14ac:dyDescent="0.25">
      <c r="A54" s="48" t="str">
        <f t="shared" si="2"/>
        <v>adpllj_Function</v>
      </c>
      <c r="B54" s="59" t="s">
        <v>5448</v>
      </c>
      <c r="C54" s="50" t="s">
        <v>5222</v>
      </c>
      <c r="D54" s="48"/>
      <c r="E54" s="48" t="s">
        <v>5192</v>
      </c>
      <c r="F54" s="14" t="s">
        <v>5380</v>
      </c>
      <c r="G54" s="48" t="s">
        <v>5330</v>
      </c>
      <c r="H54" s="13"/>
      <c r="O54" s="164"/>
    </row>
    <row r="55" spans="1:15" s="106" customFormat="1" ht="12.75" x14ac:dyDescent="0.2">
      <c r="A55" s="48" t="str">
        <f t="shared" si="2"/>
        <v>adpllj_macro_area</v>
      </c>
      <c r="B55" s="59" t="s">
        <v>5448</v>
      </c>
      <c r="C55" s="52" t="s">
        <v>5228</v>
      </c>
      <c r="D55" s="52"/>
      <c r="E55" s="52" t="s">
        <v>5192</v>
      </c>
      <c r="F55" s="14">
        <v>0.12602368799999999</v>
      </c>
      <c r="G55" s="48" t="s">
        <v>5330</v>
      </c>
      <c r="H55" s="49"/>
      <c r="O55" s="56"/>
    </row>
    <row r="56" spans="1:15" s="106" customFormat="1" ht="15" x14ac:dyDescent="0.25">
      <c r="A56" s="48" t="str">
        <f t="shared" si="2"/>
        <v>adpllj_tag</v>
      </c>
      <c r="B56" s="59" t="s">
        <v>5448</v>
      </c>
      <c r="C56" s="49" t="s">
        <v>5234</v>
      </c>
      <c r="D56" s="49"/>
      <c r="E56" s="49" t="s">
        <v>5192</v>
      </c>
      <c r="F56" s="14" t="s">
        <v>5373</v>
      </c>
      <c r="G56" s="49" t="s">
        <v>5374</v>
      </c>
      <c r="H56" s="13"/>
      <c r="O56" s="55"/>
    </row>
    <row r="57" spans="1:15" s="106" customFormat="1" ht="15" x14ac:dyDescent="0.25">
      <c r="A57" s="48" t="str">
        <f t="shared" si="2"/>
        <v>adpllj_Type</v>
      </c>
      <c r="B57" s="59" t="s">
        <v>5448</v>
      </c>
      <c r="C57" s="50" t="s">
        <v>0</v>
      </c>
      <c r="D57" s="48"/>
      <c r="E57" s="48" t="s">
        <v>5192</v>
      </c>
      <c r="F57" s="14" t="s">
        <v>5783</v>
      </c>
      <c r="G57" s="48" t="s">
        <v>5330</v>
      </c>
      <c r="H57" s="13"/>
      <c r="O57" s="148"/>
    </row>
    <row r="58" spans="1:15" s="106" customFormat="1" ht="12.75" x14ac:dyDescent="0.2">
      <c r="A58" s="48" t="str">
        <f>B58&amp;"_"&amp;C58&amp;"_"&amp;D58</f>
        <v>adpllj_vdd_dyn_0</v>
      </c>
      <c r="B58" s="59" t="s">
        <v>5448</v>
      </c>
      <c r="C58" s="48" t="s">
        <v>5255</v>
      </c>
      <c r="D58" s="48">
        <v>0</v>
      </c>
      <c r="E58" s="48" t="s">
        <v>5192</v>
      </c>
      <c r="F58" s="14">
        <v>0</v>
      </c>
      <c r="G58" s="48" t="s">
        <v>5376</v>
      </c>
      <c r="H58" s="49"/>
      <c r="O58" s="148"/>
    </row>
    <row r="59" spans="1:15" s="106" customFormat="1" ht="12.75" x14ac:dyDescent="0.2">
      <c r="A59" s="48" t="str">
        <f>B59&amp;"_"&amp;C59&amp;"_"&amp;D59</f>
        <v>adpllj_vdd_dyn_1000</v>
      </c>
      <c r="B59" s="59" t="s">
        <v>5448</v>
      </c>
      <c r="C59" s="48" t="s">
        <v>5255</v>
      </c>
      <c r="D59" s="48">
        <v>1000</v>
      </c>
      <c r="E59" s="48" t="s">
        <v>5192</v>
      </c>
      <c r="F59" s="14">
        <f>0.15*1.2</f>
        <v>0.18</v>
      </c>
      <c r="G59" s="48" t="s">
        <v>5376</v>
      </c>
      <c r="H59" s="49"/>
      <c r="O59" s="55"/>
    </row>
    <row r="60" spans="1:15" s="106" customFormat="1" ht="12.75" x14ac:dyDescent="0.2">
      <c r="A60" s="48" t="str">
        <f>B60&amp;"_"&amp;C60&amp;"_"&amp;D60</f>
        <v>adpllj_vdd_dyn_2000</v>
      </c>
      <c r="B60" s="59" t="s">
        <v>5448</v>
      </c>
      <c r="C60" s="48" t="s">
        <v>5255</v>
      </c>
      <c r="D60" s="48">
        <v>2000</v>
      </c>
      <c r="E60" s="48" t="s">
        <v>5192</v>
      </c>
      <c r="F60" s="14">
        <f>0.15*1.2</f>
        <v>0.18</v>
      </c>
      <c r="G60" s="48" t="s">
        <v>5376</v>
      </c>
      <c r="H60" s="49"/>
      <c r="O60" s="148"/>
    </row>
    <row r="61" spans="1:15" s="106" customFormat="1" ht="12.75" x14ac:dyDescent="0.2">
      <c r="A61" s="48" t="str">
        <f>B61&amp;"_"&amp;C61</f>
        <v>adpllj_vdd_lkg</v>
      </c>
      <c r="B61" s="59" t="s">
        <v>5448</v>
      </c>
      <c r="C61" s="48" t="s">
        <v>5245</v>
      </c>
      <c r="D61" s="48"/>
      <c r="E61" s="48" t="s">
        <v>5192</v>
      </c>
      <c r="F61" s="14">
        <f>0.05*1.2</f>
        <v>0.06</v>
      </c>
      <c r="G61" s="48" t="s">
        <v>5377</v>
      </c>
      <c r="H61" s="49"/>
      <c r="O61" s="55"/>
    </row>
    <row r="62" spans="1:15" s="106" customFormat="1" ht="12.75" x14ac:dyDescent="0.2">
      <c r="A62" s="48" t="str">
        <f>B62&amp;"_"&amp;C62&amp;"_"&amp;D62</f>
        <v>adpllj_vdda_dyn_0</v>
      </c>
      <c r="B62" s="59" t="s">
        <v>5448</v>
      </c>
      <c r="C62" s="48" t="s">
        <v>5274</v>
      </c>
      <c r="D62" s="48">
        <v>0</v>
      </c>
      <c r="E62" s="48" t="s">
        <v>5192</v>
      </c>
      <c r="F62" s="14">
        <v>0</v>
      </c>
      <c r="G62" s="48" t="s">
        <v>5375</v>
      </c>
      <c r="H62" s="49"/>
      <c r="O62" s="148"/>
    </row>
    <row r="63" spans="1:15" s="106" customFormat="1" ht="12.75" x14ac:dyDescent="0.2">
      <c r="A63" s="48" t="str">
        <f>B63&amp;"_"&amp;C63&amp;"_"&amp;D63</f>
        <v>adpllj_vdda_dyn_1000</v>
      </c>
      <c r="B63" s="59" t="s">
        <v>5448</v>
      </c>
      <c r="C63" s="48" t="s">
        <v>5274</v>
      </c>
      <c r="D63" s="48">
        <v>1000</v>
      </c>
      <c r="E63" s="48" t="s">
        <v>5192</v>
      </c>
      <c r="F63" s="14">
        <f>4.5*1.8</f>
        <v>8.1</v>
      </c>
      <c r="G63" s="48" t="s">
        <v>5375</v>
      </c>
      <c r="H63" s="49"/>
      <c r="O63" s="55"/>
    </row>
    <row r="64" spans="1:15" s="106" customFormat="1" ht="12.75" x14ac:dyDescent="0.2">
      <c r="A64" s="48" t="str">
        <f>B64&amp;"_"&amp;C64&amp;"_"&amp;D64</f>
        <v>adpllj_vdda_dyn_2000</v>
      </c>
      <c r="B64" s="59" t="s">
        <v>5448</v>
      </c>
      <c r="C64" s="48" t="s">
        <v>5274</v>
      </c>
      <c r="D64" s="48">
        <v>2000</v>
      </c>
      <c r="E64" s="48" t="s">
        <v>5192</v>
      </c>
      <c r="F64" s="14">
        <f>5.5*1.8</f>
        <v>9.9</v>
      </c>
      <c r="G64" s="48" t="s">
        <v>5375</v>
      </c>
      <c r="H64" s="49"/>
      <c r="O64" s="148"/>
    </row>
    <row r="65" spans="1:15" s="106" customFormat="1" ht="12.75" x14ac:dyDescent="0.2">
      <c r="A65" s="48" t="str">
        <f t="shared" ref="A65:A110" si="3">B65&amp;"_"&amp;C65</f>
        <v>adpllj_vdda_lkg</v>
      </c>
      <c r="B65" s="59" t="s">
        <v>5448</v>
      </c>
      <c r="C65" s="48" t="s">
        <v>5275</v>
      </c>
      <c r="D65" s="48"/>
      <c r="E65" s="48" t="s">
        <v>5192</v>
      </c>
      <c r="F65" s="14">
        <f>0.05*1.8</f>
        <v>9.0000000000000011E-2</v>
      </c>
      <c r="G65" s="48" t="s">
        <v>5377</v>
      </c>
      <c r="H65" s="49"/>
      <c r="O65" s="148"/>
    </row>
    <row r="66" spans="1:15" s="106" customFormat="1" ht="15" x14ac:dyDescent="0.25">
      <c r="A66" s="48" t="str">
        <f t="shared" si="3"/>
        <v>bbiaslvds18hp_ssdhh_Area</v>
      </c>
      <c r="B66" s="59" t="s">
        <v>4794</v>
      </c>
      <c r="C66" s="48" t="s">
        <v>5211</v>
      </c>
      <c r="D66" s="48"/>
      <c r="E66" s="48" t="s">
        <v>5192</v>
      </c>
      <c r="F66" s="14">
        <v>0.02</v>
      </c>
      <c r="G66" s="48"/>
      <c r="H66" s="13"/>
      <c r="O66" s="55"/>
    </row>
    <row r="67" spans="1:15" s="106" customFormat="1" ht="15" x14ac:dyDescent="0.25">
      <c r="A67" s="48" t="str">
        <f t="shared" si="3"/>
        <v>bbiaslvds18hp_ssdhh_beachfront</v>
      </c>
      <c r="B67" s="59" t="s">
        <v>4794</v>
      </c>
      <c r="C67" s="48" t="s">
        <v>5358</v>
      </c>
      <c r="D67" s="48"/>
      <c r="E67" s="48" t="s">
        <v>5192</v>
      </c>
      <c r="F67" s="14">
        <v>0.08</v>
      </c>
      <c r="G67" s="48"/>
      <c r="H67" s="13"/>
      <c r="O67" s="55"/>
    </row>
    <row r="68" spans="1:15" s="106" customFormat="1" ht="15" x14ac:dyDescent="0.25">
      <c r="A68" s="48" t="str">
        <f t="shared" si="3"/>
        <v>bbiaslvds18hp_ssdhh_description</v>
      </c>
      <c r="B68" s="59" t="s">
        <v>4794</v>
      </c>
      <c r="C68" s="48" t="s">
        <v>5379</v>
      </c>
      <c r="D68" s="48"/>
      <c r="E68" s="48" t="s">
        <v>5192</v>
      </c>
      <c r="F68" s="14" t="s">
        <v>5847</v>
      </c>
      <c r="G68" s="48"/>
      <c r="H68" s="13"/>
      <c r="O68" s="55"/>
    </row>
    <row r="69" spans="1:15" s="106" customFormat="1" ht="15" x14ac:dyDescent="0.25">
      <c r="A69" s="48" t="str">
        <f t="shared" si="3"/>
        <v>bbiaslvds18hp_ssdhh_first_soc</v>
      </c>
      <c r="B69" s="59" t="s">
        <v>4794</v>
      </c>
      <c r="C69" s="48" t="s">
        <v>5378</v>
      </c>
      <c r="D69" s="48"/>
      <c r="E69" s="48" t="s">
        <v>5192</v>
      </c>
      <c r="F69" s="14" t="s">
        <v>5381</v>
      </c>
      <c r="G69" s="48"/>
      <c r="H69" s="13"/>
      <c r="O69" s="148"/>
    </row>
    <row r="70" spans="1:15" s="106" customFormat="1" ht="15" x14ac:dyDescent="0.25">
      <c r="A70" s="48" t="str">
        <f t="shared" si="3"/>
        <v>bbiaslvds18hp_ssdhh_function</v>
      </c>
      <c r="B70" s="59" t="s">
        <v>4794</v>
      </c>
      <c r="C70" s="48" t="s">
        <v>5367</v>
      </c>
      <c r="D70" s="48"/>
      <c r="E70" s="48" t="s">
        <v>5192</v>
      </c>
      <c r="F70" s="14" t="s">
        <v>5864</v>
      </c>
      <c r="G70" s="48"/>
      <c r="H70" s="13"/>
      <c r="O70" s="148"/>
    </row>
    <row r="71" spans="1:15" s="106" customFormat="1" ht="15" x14ac:dyDescent="0.25">
      <c r="A71" s="48" t="str">
        <f t="shared" si="3"/>
        <v>bbiaslvds18hp_ssdhh_macro_area</v>
      </c>
      <c r="B71" s="59" t="s">
        <v>4794</v>
      </c>
      <c r="C71" s="48" t="s">
        <v>5228</v>
      </c>
      <c r="D71" s="48"/>
      <c r="E71" s="48" t="s">
        <v>5192</v>
      </c>
      <c r="F71" s="14">
        <v>0.02</v>
      </c>
      <c r="G71" s="48"/>
      <c r="H71" s="13"/>
      <c r="O71" s="55"/>
    </row>
    <row r="72" spans="1:15" s="106" customFormat="1" ht="15" x14ac:dyDescent="0.25">
      <c r="A72" s="48" t="str">
        <f t="shared" si="3"/>
        <v>bbiaslvds18hp_ssdhh_pins</v>
      </c>
      <c r="B72" s="59" t="s">
        <v>4794</v>
      </c>
      <c r="C72" s="48" t="s">
        <v>5359</v>
      </c>
      <c r="D72" s="48"/>
      <c r="E72" s="48" t="s">
        <v>5192</v>
      </c>
      <c r="F72" s="14">
        <v>0</v>
      </c>
      <c r="G72" s="48"/>
      <c r="H72" s="13"/>
      <c r="O72" s="148"/>
    </row>
    <row r="73" spans="1:15" s="106" customFormat="1" ht="15" x14ac:dyDescent="0.25">
      <c r="A73" s="48" t="str">
        <f t="shared" si="3"/>
        <v>bbiaslvds18hp_ssdhh_tag</v>
      </c>
      <c r="B73" s="59" t="s">
        <v>4794</v>
      </c>
      <c r="C73" s="48" t="s">
        <v>5234</v>
      </c>
      <c r="D73" s="48"/>
      <c r="E73" s="48" t="s">
        <v>5192</v>
      </c>
      <c r="F73" s="14" t="s">
        <v>5418</v>
      </c>
      <c r="G73" s="48"/>
      <c r="H73" s="13"/>
      <c r="O73" s="148"/>
    </row>
    <row r="74" spans="1:15" s="106" customFormat="1" ht="15" x14ac:dyDescent="0.25">
      <c r="A74" s="48" t="str">
        <f t="shared" si="3"/>
        <v>bbiaslvds18hp_ssdhh_type</v>
      </c>
      <c r="B74" s="59" t="s">
        <v>4794</v>
      </c>
      <c r="C74" s="48" t="s">
        <v>1</v>
      </c>
      <c r="D74" s="48"/>
      <c r="E74" s="48" t="s">
        <v>5192</v>
      </c>
      <c r="F74" s="14" t="s">
        <v>5784</v>
      </c>
      <c r="G74" s="48"/>
      <c r="H74" s="13"/>
      <c r="O74" s="55"/>
    </row>
    <row r="75" spans="1:15" s="106" customFormat="1" ht="15" x14ac:dyDescent="0.25">
      <c r="A75" s="48" t="str">
        <f t="shared" si="3"/>
        <v>bbiaslvds18hp_ssdhh_vdd_lkg</v>
      </c>
      <c r="B75" s="59" t="s">
        <v>4794</v>
      </c>
      <c r="C75" s="48" t="s">
        <v>5245</v>
      </c>
      <c r="D75" s="48"/>
      <c r="E75" s="48" t="s">
        <v>5192</v>
      </c>
      <c r="F75" s="14">
        <v>1E-3</v>
      </c>
      <c r="G75" s="48"/>
      <c r="H75" s="13"/>
      <c r="O75" s="55"/>
    </row>
    <row r="76" spans="1:15" s="106" customFormat="1" ht="15" x14ac:dyDescent="0.25">
      <c r="A76" s="48" t="str">
        <f t="shared" si="3"/>
        <v>bbiaslvds18hp_ssdhh_vddh1_lkg</v>
      </c>
      <c r="B76" s="59" t="s">
        <v>4794</v>
      </c>
      <c r="C76" s="48" t="s">
        <v>5257</v>
      </c>
      <c r="D76" s="48"/>
      <c r="E76" s="48" t="s">
        <v>5192</v>
      </c>
      <c r="F76" s="14">
        <v>0.1</v>
      </c>
      <c r="G76" s="48"/>
      <c r="H76" s="13"/>
      <c r="O76" s="55"/>
    </row>
    <row r="77" spans="1:15" s="106" customFormat="1" ht="15" x14ac:dyDescent="0.25">
      <c r="A77" s="48" t="str">
        <f t="shared" si="3"/>
        <v>bbiaslvds18hp_ssdhh_vddh2_lkg</v>
      </c>
      <c r="B77" s="59" t="s">
        <v>4794</v>
      </c>
      <c r="C77" s="48" t="s">
        <v>5263</v>
      </c>
      <c r="D77" s="48"/>
      <c r="E77" s="48" t="s">
        <v>5192</v>
      </c>
      <c r="F77" s="14">
        <v>0.1</v>
      </c>
      <c r="G77" s="48"/>
      <c r="H77" s="13"/>
      <c r="O77" s="148"/>
    </row>
    <row r="78" spans="1:15" s="106" customFormat="1" ht="15" x14ac:dyDescent="0.25">
      <c r="A78" s="48" t="str">
        <f t="shared" si="3"/>
        <v>bc1833dv40dcpbfbp18ll_od_fs_ssdlv_Area</v>
      </c>
      <c r="B78" s="59" t="s">
        <v>4793</v>
      </c>
      <c r="C78" s="48" t="s">
        <v>5211</v>
      </c>
      <c r="D78" s="48"/>
      <c r="E78" s="48" t="s">
        <v>5192</v>
      </c>
      <c r="F78" s="14">
        <v>7.1999999999999998E-3</v>
      </c>
      <c r="G78" s="48"/>
      <c r="H78" s="13"/>
      <c r="O78" s="162"/>
    </row>
    <row r="79" spans="1:15" s="106" customFormat="1" ht="15" x14ac:dyDescent="0.25">
      <c r="A79" s="48" t="str">
        <f t="shared" si="3"/>
        <v>bc1833dv40dcpbfbp18ll_od_fs_ssdlv_beachfront</v>
      </c>
      <c r="B79" s="59" t="s">
        <v>4793</v>
      </c>
      <c r="C79" s="48" t="s">
        <v>5358</v>
      </c>
      <c r="D79" s="48"/>
      <c r="E79" s="48" t="s">
        <v>5192</v>
      </c>
      <c r="F79" s="14">
        <v>0.05</v>
      </c>
      <c r="G79" s="48"/>
      <c r="H79" s="13"/>
      <c r="O79" s="162"/>
    </row>
    <row r="80" spans="1:15" customFormat="1" ht="15" x14ac:dyDescent="0.25">
      <c r="A80" s="48" t="str">
        <f t="shared" si="3"/>
        <v>bc1833dv40dcpbfbp18ll_od_fs_ssdlv_description</v>
      </c>
      <c r="B80" s="59" t="s">
        <v>4793</v>
      </c>
      <c r="C80" s="48" t="s">
        <v>5379</v>
      </c>
      <c r="D80" s="48"/>
      <c r="E80" s="48" t="s">
        <v>5192</v>
      </c>
      <c r="F80" s="14" t="s">
        <v>5853</v>
      </c>
      <c r="G80" s="48"/>
      <c r="H80" s="13"/>
      <c r="I80" s="22"/>
      <c r="O80" s="21"/>
    </row>
    <row r="81" spans="1:15" customFormat="1" ht="15" x14ac:dyDescent="0.25">
      <c r="A81" s="48" t="str">
        <f t="shared" si="3"/>
        <v>bc1833dv40dcpbfbp18ll_od_fs_ssdlv_first_soc</v>
      </c>
      <c r="B81" s="59" t="s">
        <v>4793</v>
      </c>
      <c r="C81" s="48" t="s">
        <v>5378</v>
      </c>
      <c r="D81" s="48"/>
      <c r="E81" s="48" t="s">
        <v>5192</v>
      </c>
      <c r="F81" s="14" t="s">
        <v>5381</v>
      </c>
      <c r="G81" s="48"/>
      <c r="H81" s="13"/>
      <c r="I81" s="22"/>
      <c r="O81" s="21"/>
    </row>
    <row r="82" spans="1:15" customFormat="1" ht="15" x14ac:dyDescent="0.25">
      <c r="A82" s="48" t="str">
        <f t="shared" si="3"/>
        <v>bc1833dv40dcpbfbp18ll_od_fs_ssdlv_function</v>
      </c>
      <c r="B82" s="59" t="s">
        <v>4793</v>
      </c>
      <c r="C82" s="48" t="s">
        <v>5367</v>
      </c>
      <c r="D82" s="48"/>
      <c r="E82" s="48" t="s">
        <v>5192</v>
      </c>
      <c r="F82" s="14" t="s">
        <v>5415</v>
      </c>
      <c r="G82" s="48"/>
      <c r="H82" s="13"/>
      <c r="I82" s="22"/>
      <c r="O82" s="21"/>
    </row>
    <row r="83" spans="1:15" customFormat="1" ht="15" x14ac:dyDescent="0.25">
      <c r="A83" s="48" t="str">
        <f t="shared" si="3"/>
        <v>bc1833dv40dcpbfbp18ll_od_fs_ssdlv_macro_area</v>
      </c>
      <c r="B83" s="59" t="s">
        <v>4793</v>
      </c>
      <c r="C83" s="48" t="s">
        <v>5228</v>
      </c>
      <c r="D83" s="48"/>
      <c r="E83" s="48" t="s">
        <v>5192</v>
      </c>
      <c r="F83" s="14">
        <v>7.1999999999999998E-3</v>
      </c>
      <c r="G83" s="48"/>
      <c r="H83" s="13"/>
      <c r="I83" s="22"/>
      <c r="O83" s="21"/>
    </row>
    <row r="84" spans="1:15" customFormat="1" ht="15" x14ac:dyDescent="0.25">
      <c r="A84" s="48" t="str">
        <f t="shared" si="3"/>
        <v>bc1833dv40dcpbfbp18ll_od_fs_ssdlv_pins</v>
      </c>
      <c r="B84" s="59" t="s">
        <v>4793</v>
      </c>
      <c r="C84" s="48" t="s">
        <v>5359</v>
      </c>
      <c r="D84" s="48"/>
      <c r="E84" s="48" t="s">
        <v>5192</v>
      </c>
      <c r="F84" s="14">
        <v>1</v>
      </c>
      <c r="G84" s="48"/>
      <c r="H84" s="13"/>
      <c r="I84" s="22"/>
      <c r="O84" s="21"/>
    </row>
    <row r="85" spans="1:15" customFormat="1" ht="15" x14ac:dyDescent="0.25">
      <c r="A85" s="48" t="str">
        <f t="shared" si="3"/>
        <v>bc1833dv40dcpbfbp18ll_od_fs_ssdlv_tag</v>
      </c>
      <c r="B85" s="59" t="s">
        <v>4793</v>
      </c>
      <c r="C85" s="48" t="s">
        <v>5234</v>
      </c>
      <c r="D85" s="48"/>
      <c r="E85" s="48" t="s">
        <v>5192</v>
      </c>
      <c r="F85" s="14" t="s">
        <v>5418</v>
      </c>
      <c r="G85" s="48"/>
      <c r="H85" s="13"/>
      <c r="I85" s="22"/>
      <c r="O85" s="21"/>
    </row>
    <row r="86" spans="1:15" customFormat="1" ht="15" x14ac:dyDescent="0.25">
      <c r="A86" s="48" t="str">
        <f t="shared" si="3"/>
        <v>bc1833dv40dcpbfbp18ll_od_fs_ssdlv_type</v>
      </c>
      <c r="B86" s="59" t="s">
        <v>4793</v>
      </c>
      <c r="C86" s="48" t="s">
        <v>1</v>
      </c>
      <c r="D86" s="48"/>
      <c r="E86" s="48" t="s">
        <v>5192</v>
      </c>
      <c r="F86" s="14" t="s">
        <v>5784</v>
      </c>
      <c r="G86" s="48"/>
      <c r="H86" s="13"/>
      <c r="I86" s="22"/>
      <c r="O86" s="21"/>
    </row>
    <row r="87" spans="1:15" customFormat="1" ht="15" x14ac:dyDescent="0.25">
      <c r="A87" s="48" t="str">
        <f t="shared" si="3"/>
        <v>bc1833dv40dcpbfbp18ll_od_fs_ssdlv_vdd_lkg</v>
      </c>
      <c r="B87" s="59" t="s">
        <v>4793</v>
      </c>
      <c r="C87" s="48" t="s">
        <v>5245</v>
      </c>
      <c r="D87" s="48"/>
      <c r="E87" s="48" t="s">
        <v>5192</v>
      </c>
      <c r="F87" s="14">
        <v>1E-3</v>
      </c>
      <c r="G87" s="48"/>
      <c r="H87" s="13"/>
      <c r="I87" s="22"/>
      <c r="O87" s="21"/>
    </row>
    <row r="88" spans="1:15" customFormat="1" ht="15" x14ac:dyDescent="0.25">
      <c r="A88" s="48" t="str">
        <f t="shared" si="3"/>
        <v>bc1833dv40dcpbfbp18ll_od_fs_ssdlv_vddh1_lkg</v>
      </c>
      <c r="B88" s="59" t="s">
        <v>4793</v>
      </c>
      <c r="C88" s="48" t="s">
        <v>5257</v>
      </c>
      <c r="D88" s="48"/>
      <c r="E88" s="48" t="s">
        <v>5192</v>
      </c>
      <c r="F88" s="14">
        <v>0.1</v>
      </c>
      <c r="G88" s="48"/>
      <c r="H88" s="13"/>
      <c r="I88" s="22"/>
      <c r="O88" s="21"/>
    </row>
    <row r="89" spans="1:15" s="22" customFormat="1" ht="15" x14ac:dyDescent="0.25">
      <c r="A89" s="48" t="str">
        <f t="shared" si="3"/>
        <v>bc1833dv40dcpbfbp18ll_od_fs_ssdlv_vddh2_lkg</v>
      </c>
      <c r="B89" s="59" t="s">
        <v>4793</v>
      </c>
      <c r="C89" s="48" t="s">
        <v>5263</v>
      </c>
      <c r="D89" s="48"/>
      <c r="E89" s="48" t="s">
        <v>5192</v>
      </c>
      <c r="F89" s="14">
        <v>0.1</v>
      </c>
      <c r="G89" s="48"/>
      <c r="H89" s="13"/>
      <c r="O89" s="21"/>
    </row>
    <row r="90" spans="1:15" s="22" customFormat="1" ht="15" x14ac:dyDescent="0.25">
      <c r="A90" s="48" t="str">
        <f t="shared" si="3"/>
        <v>bc1833dv40dcpbfbp18ll_ssdlh_Area</v>
      </c>
      <c r="B90" s="59" t="s">
        <v>4792</v>
      </c>
      <c r="C90" s="48" t="s">
        <v>5211</v>
      </c>
      <c r="D90" s="48"/>
      <c r="E90" s="48" t="s">
        <v>5192</v>
      </c>
      <c r="F90" s="14">
        <v>1.0800000000000001E-2</v>
      </c>
      <c r="G90" s="48"/>
      <c r="H90" s="13"/>
      <c r="O90" s="21"/>
    </row>
    <row r="91" spans="1:15" customFormat="1" ht="15" x14ac:dyDescent="0.25">
      <c r="A91" s="48" t="str">
        <f t="shared" si="3"/>
        <v>bc1833dv40dcpbfbp18ll_ssdlh_beachfront</v>
      </c>
      <c r="B91" s="59" t="s">
        <v>4792</v>
      </c>
      <c r="C91" s="48" t="s">
        <v>5358</v>
      </c>
      <c r="D91" s="48"/>
      <c r="E91" s="48" t="s">
        <v>5192</v>
      </c>
      <c r="F91" s="14">
        <v>0.05</v>
      </c>
      <c r="G91" s="48"/>
      <c r="H91" s="13"/>
      <c r="I91" s="22"/>
      <c r="O91" s="21"/>
    </row>
    <row r="92" spans="1:15" customFormat="1" ht="15" x14ac:dyDescent="0.25">
      <c r="A92" s="48" t="str">
        <f t="shared" si="3"/>
        <v>bc1833dv40dcpbfbp18ll_ssdlh_description</v>
      </c>
      <c r="B92" s="59" t="s">
        <v>4792</v>
      </c>
      <c r="C92" s="48" t="s">
        <v>5379</v>
      </c>
      <c r="D92" s="48"/>
      <c r="E92" s="48" t="s">
        <v>5192</v>
      </c>
      <c r="F92" s="14" t="s">
        <v>5845</v>
      </c>
      <c r="G92" s="48"/>
      <c r="H92" s="13"/>
      <c r="I92" s="22"/>
      <c r="O92" s="21"/>
    </row>
    <row r="93" spans="1:15" customFormat="1" ht="15" x14ac:dyDescent="0.25">
      <c r="A93" s="48" t="str">
        <f t="shared" si="3"/>
        <v>bc1833dv40dcpbfbp18ll_ssdlh_first_soc</v>
      </c>
      <c r="B93" s="59" t="s">
        <v>4792</v>
      </c>
      <c r="C93" s="48" t="s">
        <v>5378</v>
      </c>
      <c r="D93" s="48"/>
      <c r="E93" s="48" t="s">
        <v>5192</v>
      </c>
      <c r="F93" s="14" t="s">
        <v>5381</v>
      </c>
      <c r="G93" s="48"/>
      <c r="H93" s="13"/>
      <c r="I93" s="22"/>
      <c r="O93" s="21"/>
    </row>
    <row r="94" spans="1:15" customFormat="1" ht="15" x14ac:dyDescent="0.25">
      <c r="A94" s="48" t="str">
        <f t="shared" si="3"/>
        <v>bc1833dv40dcpbfbp18ll_ssdlh_function</v>
      </c>
      <c r="B94" s="59" t="s">
        <v>4792</v>
      </c>
      <c r="C94" s="48" t="s">
        <v>5367</v>
      </c>
      <c r="D94" s="48"/>
      <c r="E94" s="48" t="s">
        <v>5192</v>
      </c>
      <c r="F94" s="14" t="s">
        <v>5415</v>
      </c>
      <c r="G94" s="48"/>
      <c r="H94" s="13"/>
      <c r="I94" s="22"/>
      <c r="O94" s="21"/>
    </row>
    <row r="95" spans="1:15" customFormat="1" ht="15" x14ac:dyDescent="0.25">
      <c r="A95" s="48" t="str">
        <f t="shared" si="3"/>
        <v>bc1833dv40dcpbfbp18ll_ssdlh_macro_area</v>
      </c>
      <c r="B95" s="59" t="s">
        <v>4792</v>
      </c>
      <c r="C95" s="48" t="s">
        <v>5228</v>
      </c>
      <c r="D95" s="48"/>
      <c r="E95" s="48" t="s">
        <v>5192</v>
      </c>
      <c r="F95" s="14">
        <v>1.0800000000000001E-2</v>
      </c>
      <c r="G95" s="48"/>
      <c r="H95" s="13"/>
      <c r="I95" s="22"/>
      <c r="O95" s="21"/>
    </row>
    <row r="96" spans="1:15" customFormat="1" ht="15" x14ac:dyDescent="0.25">
      <c r="A96" s="48" t="str">
        <f t="shared" si="3"/>
        <v>bc1833dv40dcpbfbp18ll_ssdlh_pins</v>
      </c>
      <c r="B96" s="59" t="s">
        <v>4792</v>
      </c>
      <c r="C96" s="48" t="s">
        <v>5359</v>
      </c>
      <c r="D96" s="48"/>
      <c r="E96" s="48" t="s">
        <v>5192</v>
      </c>
      <c r="F96" s="14">
        <v>1</v>
      </c>
      <c r="G96" s="48"/>
      <c r="H96" s="13"/>
      <c r="I96" s="22"/>
      <c r="O96" s="21"/>
    </row>
    <row r="97" spans="1:15" customFormat="1" ht="15" x14ac:dyDescent="0.25">
      <c r="A97" s="48" t="str">
        <f t="shared" si="3"/>
        <v>bc1833dv40dcpbfbp18ll_ssdlh_tag</v>
      </c>
      <c r="B97" s="59" t="s">
        <v>4792</v>
      </c>
      <c r="C97" s="48" t="s">
        <v>5234</v>
      </c>
      <c r="D97" s="48"/>
      <c r="E97" s="48" t="s">
        <v>5192</v>
      </c>
      <c r="F97" s="14" t="s">
        <v>5779</v>
      </c>
      <c r="G97" s="48"/>
      <c r="H97" s="13"/>
      <c r="I97" s="22"/>
      <c r="O97" s="21"/>
    </row>
    <row r="98" spans="1:15" customFormat="1" ht="15" x14ac:dyDescent="0.25">
      <c r="A98" s="48" t="str">
        <f t="shared" si="3"/>
        <v>bc1833dv40dcpbfbp18ll_ssdlh_type</v>
      </c>
      <c r="B98" s="59" t="s">
        <v>4792</v>
      </c>
      <c r="C98" s="48" t="s">
        <v>1</v>
      </c>
      <c r="D98" s="48"/>
      <c r="E98" s="48" t="s">
        <v>5192</v>
      </c>
      <c r="F98" s="14" t="s">
        <v>5784</v>
      </c>
      <c r="G98" s="48"/>
      <c r="H98" s="13"/>
      <c r="I98" s="22"/>
      <c r="O98" s="21"/>
    </row>
    <row r="99" spans="1:15" customFormat="1" ht="15" x14ac:dyDescent="0.25">
      <c r="A99" s="48" t="str">
        <f t="shared" si="3"/>
        <v>bc1833dv40dcpbfbp18ll_ssdlh_vdd_lkg</v>
      </c>
      <c r="B99" s="59" t="s">
        <v>4792</v>
      </c>
      <c r="C99" s="48" t="s">
        <v>5245</v>
      </c>
      <c r="D99" s="48"/>
      <c r="E99" s="48" t="s">
        <v>5192</v>
      </c>
      <c r="F99" s="14">
        <v>1.2E-2</v>
      </c>
      <c r="G99" s="48" t="s">
        <v>5416</v>
      </c>
      <c r="H99" s="13"/>
      <c r="I99" s="22"/>
      <c r="O99" s="21"/>
    </row>
    <row r="100" spans="1:15" customFormat="1" ht="15" x14ac:dyDescent="0.25">
      <c r="A100" s="48" t="str">
        <f t="shared" si="3"/>
        <v>bc1833dv40dcpbfbp18ll_ssdlh_vddh1_lkg</v>
      </c>
      <c r="B100" s="59" t="s">
        <v>4792</v>
      </c>
      <c r="C100" s="48" t="s">
        <v>5257</v>
      </c>
      <c r="D100" s="48"/>
      <c r="E100" s="48" t="s">
        <v>5192</v>
      </c>
      <c r="F100" s="14">
        <v>2.2176000000000001E-2</v>
      </c>
      <c r="G100" s="48" t="s">
        <v>5416</v>
      </c>
      <c r="H100" s="13"/>
      <c r="I100" s="22"/>
      <c r="O100" s="21"/>
    </row>
    <row r="101" spans="1:15" customFormat="1" ht="15" x14ac:dyDescent="0.25">
      <c r="A101" s="48" t="str">
        <f t="shared" si="3"/>
        <v>bc1833dv40dcpbfbp18ll_ssdlh_vddh2_lkg</v>
      </c>
      <c r="B101" s="59" t="s">
        <v>4792</v>
      </c>
      <c r="C101" s="48" t="s">
        <v>5263</v>
      </c>
      <c r="D101" s="48"/>
      <c r="E101" s="48" t="s">
        <v>5192</v>
      </c>
      <c r="F101" s="14">
        <v>8.7120000000000003E-2</v>
      </c>
      <c r="G101" s="48" t="s">
        <v>5416</v>
      </c>
      <c r="H101" s="13"/>
      <c r="I101" s="22"/>
      <c r="O101" s="21"/>
    </row>
    <row r="102" spans="1:15" customFormat="1" ht="15" x14ac:dyDescent="0.25">
      <c r="A102" s="48" t="str">
        <f t="shared" si="3"/>
        <v>btmonitor_ssdhb_area</v>
      </c>
      <c r="B102" s="59" t="s">
        <v>5398</v>
      </c>
      <c r="C102" s="48" t="s">
        <v>5360</v>
      </c>
      <c r="D102" s="48"/>
      <c r="E102" s="48" t="s">
        <v>5192</v>
      </c>
      <c r="F102" s="14">
        <f>0.3*0.08</f>
        <v>2.4E-2</v>
      </c>
      <c r="G102" s="48"/>
      <c r="H102" s="49"/>
      <c r="I102" s="22"/>
      <c r="O102" s="21"/>
    </row>
    <row r="103" spans="1:15" customFormat="1" ht="15" x14ac:dyDescent="0.25">
      <c r="A103" s="48" t="str">
        <f t="shared" si="3"/>
        <v>btmonitor_ssdhb_beachfront</v>
      </c>
      <c r="B103" s="59" t="s">
        <v>5398</v>
      </c>
      <c r="C103" s="48" t="s">
        <v>5358</v>
      </c>
      <c r="D103" s="48"/>
      <c r="E103" s="48" t="s">
        <v>5192</v>
      </c>
      <c r="F103" s="14">
        <v>0.08</v>
      </c>
      <c r="G103" s="48"/>
      <c r="H103" s="49"/>
      <c r="I103" s="22"/>
      <c r="O103" s="21"/>
    </row>
    <row r="104" spans="1:15" customFormat="1" ht="15" x14ac:dyDescent="0.25">
      <c r="A104" s="48" t="str">
        <f t="shared" si="3"/>
        <v>btmonitor_ssdhb_description</v>
      </c>
      <c r="B104" s="59" t="s">
        <v>5398</v>
      </c>
      <c r="C104" s="48" t="s">
        <v>5379</v>
      </c>
      <c r="D104" s="48"/>
      <c r="E104" s="48" t="s">
        <v>5192</v>
      </c>
      <c r="F104" s="14" t="s">
        <v>5866</v>
      </c>
      <c r="G104" s="48"/>
      <c r="H104" s="13"/>
      <c r="I104" s="22"/>
      <c r="O104" s="21"/>
    </row>
    <row r="105" spans="1:15" customFormat="1" ht="15" x14ac:dyDescent="0.25">
      <c r="A105" s="48" t="str">
        <f t="shared" si="3"/>
        <v>btmonitor_ssdhb_first_soc</v>
      </c>
      <c r="B105" s="59" t="s">
        <v>5398</v>
      </c>
      <c r="C105" s="48" t="s">
        <v>5378</v>
      </c>
      <c r="D105" s="48"/>
      <c r="E105" s="48" t="s">
        <v>5192</v>
      </c>
      <c r="F105" s="14" t="s">
        <v>5381</v>
      </c>
      <c r="G105" s="48"/>
      <c r="H105" s="13"/>
      <c r="I105" s="22"/>
      <c r="O105" s="21"/>
    </row>
    <row r="106" spans="1:15" customFormat="1" ht="15" x14ac:dyDescent="0.25">
      <c r="A106" s="48" t="str">
        <f t="shared" si="3"/>
        <v>btmonitor_ssdhb_function</v>
      </c>
      <c r="B106" s="59" t="s">
        <v>5398</v>
      </c>
      <c r="C106" s="48" t="s">
        <v>5367</v>
      </c>
      <c r="D106" s="48"/>
      <c r="E106" s="48" t="s">
        <v>5192</v>
      </c>
      <c r="F106" s="14" t="s">
        <v>5864</v>
      </c>
      <c r="G106" s="48"/>
      <c r="H106" s="13"/>
      <c r="I106" s="22"/>
      <c r="O106" s="21"/>
    </row>
    <row r="107" spans="1:15" customFormat="1" ht="15" x14ac:dyDescent="0.25">
      <c r="A107" s="48" t="str">
        <f t="shared" si="3"/>
        <v>btmonitor_ssdhb_macro_area</v>
      </c>
      <c r="B107" s="59" t="s">
        <v>5398</v>
      </c>
      <c r="C107" s="48" t="s">
        <v>5228</v>
      </c>
      <c r="D107" s="48"/>
      <c r="E107" s="48" t="s">
        <v>5192</v>
      </c>
      <c r="F107" s="14">
        <f>0.3*0.08</f>
        <v>2.4E-2</v>
      </c>
      <c r="G107" s="48"/>
      <c r="H107" s="49"/>
      <c r="I107" s="22"/>
      <c r="O107" s="21"/>
    </row>
    <row r="108" spans="1:15" customFormat="1" ht="15" x14ac:dyDescent="0.25">
      <c r="A108" s="48" t="str">
        <f t="shared" si="3"/>
        <v>btmonitor_ssdhb_pins</v>
      </c>
      <c r="B108" s="59" t="s">
        <v>5398</v>
      </c>
      <c r="C108" s="48" t="s">
        <v>5359</v>
      </c>
      <c r="D108" s="48"/>
      <c r="E108" s="48" t="s">
        <v>5192</v>
      </c>
      <c r="F108" s="14">
        <v>2</v>
      </c>
      <c r="G108" s="48"/>
      <c r="H108" s="49"/>
      <c r="I108" s="22"/>
      <c r="O108" s="21"/>
    </row>
    <row r="109" spans="1:15" customFormat="1" ht="15" x14ac:dyDescent="0.25">
      <c r="A109" s="48" t="str">
        <f t="shared" si="3"/>
        <v>btmonitor_ssdhb_tag</v>
      </c>
      <c r="B109" s="59" t="s">
        <v>5398</v>
      </c>
      <c r="C109" s="48" t="s">
        <v>5234</v>
      </c>
      <c r="D109" s="48"/>
      <c r="E109" s="48" t="s">
        <v>5192</v>
      </c>
      <c r="F109" s="14" t="s">
        <v>5399</v>
      </c>
      <c r="G109" s="48" t="s">
        <v>5400</v>
      </c>
      <c r="H109" s="13"/>
      <c r="I109" s="22"/>
      <c r="O109" s="21"/>
    </row>
    <row r="110" spans="1:15" customFormat="1" ht="15" x14ac:dyDescent="0.25">
      <c r="A110" s="48" t="str">
        <f t="shared" si="3"/>
        <v>btmonitor_ssdhb_Type</v>
      </c>
      <c r="B110" s="59" t="s">
        <v>5398</v>
      </c>
      <c r="C110" s="48" t="s">
        <v>0</v>
      </c>
      <c r="D110" s="48"/>
      <c r="E110" s="48" t="s">
        <v>5192</v>
      </c>
      <c r="F110" s="14" t="s">
        <v>5784</v>
      </c>
      <c r="G110" s="48"/>
      <c r="H110" s="13"/>
      <c r="I110" s="22"/>
      <c r="O110" s="21"/>
    </row>
    <row r="111" spans="1:15" customFormat="1" ht="15" x14ac:dyDescent="0.25">
      <c r="A111" s="48" t="str">
        <f>B111&amp;"_"&amp;C111&amp;"_"&amp;D111</f>
        <v>btmonitor_ssdhb_vdda_dyn_off</v>
      </c>
      <c r="B111" s="59" t="s">
        <v>5398</v>
      </c>
      <c r="C111" s="48" t="s">
        <v>5274</v>
      </c>
      <c r="D111" s="48" t="s">
        <v>4798</v>
      </c>
      <c r="E111" s="48" t="s">
        <v>5192</v>
      </c>
      <c r="F111" s="14">
        <v>0</v>
      </c>
      <c r="G111" s="48"/>
      <c r="H111" s="49"/>
      <c r="I111" s="22"/>
      <c r="O111" s="21"/>
    </row>
    <row r="112" spans="1:15" customFormat="1" ht="15" x14ac:dyDescent="0.25">
      <c r="A112" s="48" t="str">
        <f>B112&amp;"_"&amp;C112&amp;"_"&amp;D112</f>
        <v>btmonitor_ssdhb_vdda_dyn_on</v>
      </c>
      <c r="B112" s="59" t="s">
        <v>5398</v>
      </c>
      <c r="C112" s="48" t="s">
        <v>5274</v>
      </c>
      <c r="D112" s="48" t="s">
        <v>4872</v>
      </c>
      <c r="E112" s="48" t="s">
        <v>5192</v>
      </c>
      <c r="F112" s="14">
        <f>0.6*1.8</f>
        <v>1.08</v>
      </c>
      <c r="G112" s="48" t="s">
        <v>5942</v>
      </c>
      <c r="H112" s="49"/>
      <c r="I112" s="22"/>
      <c r="O112" s="21"/>
    </row>
    <row r="113" spans="1:15" customFormat="1" ht="15" x14ac:dyDescent="0.25">
      <c r="A113" s="48" t="str">
        <f t="shared" ref="A113:A121" si="4">B113&amp;"_"&amp;C113</f>
        <v>camerarx_addon_Area</v>
      </c>
      <c r="B113" s="59" t="s">
        <v>5176</v>
      </c>
      <c r="C113" s="48" t="s">
        <v>5211</v>
      </c>
      <c r="D113" s="48"/>
      <c r="E113" s="48" t="s">
        <v>5192</v>
      </c>
      <c r="F113" s="14">
        <v>5.2999999999999999E-2</v>
      </c>
      <c r="G113" s="48"/>
      <c r="H113" s="13"/>
      <c r="I113" s="22"/>
      <c r="O113" s="21"/>
    </row>
    <row r="114" spans="1:15" customFormat="1" ht="15" x14ac:dyDescent="0.25">
      <c r="A114" s="48" t="str">
        <f t="shared" si="4"/>
        <v>camerarx_addon_beachfront</v>
      </c>
      <c r="B114" s="59" t="s">
        <v>5176</v>
      </c>
      <c r="C114" s="48" t="s">
        <v>5358</v>
      </c>
      <c r="D114" s="48"/>
      <c r="E114" s="48" t="s">
        <v>5192</v>
      </c>
      <c r="F114" s="14">
        <v>0.09</v>
      </c>
      <c r="G114" s="48"/>
      <c r="H114" s="13"/>
      <c r="I114" s="22"/>
      <c r="O114" s="21"/>
    </row>
    <row r="115" spans="1:15" customFormat="1" ht="15" x14ac:dyDescent="0.25">
      <c r="A115" s="48" t="str">
        <f t="shared" si="4"/>
        <v>camerarx_addon_Description</v>
      </c>
      <c r="B115" s="59" t="s">
        <v>5176</v>
      </c>
      <c r="C115" s="48" t="s">
        <v>42</v>
      </c>
      <c r="D115" s="48" t="s">
        <v>5903</v>
      </c>
      <c r="E115" s="48" t="s">
        <v>5192</v>
      </c>
      <c r="F115" s="14" t="s">
        <v>5812</v>
      </c>
      <c r="G115" s="48"/>
      <c r="H115" s="13"/>
      <c r="I115" s="22"/>
      <c r="O115" s="21"/>
    </row>
    <row r="116" spans="1:15" customFormat="1" ht="15" x14ac:dyDescent="0.25">
      <c r="A116" s="48" t="str">
        <f t="shared" si="4"/>
        <v>camerarx_addon_First_SoC</v>
      </c>
      <c r="B116" s="59" t="s">
        <v>5176</v>
      </c>
      <c r="C116" s="48" t="s">
        <v>5216</v>
      </c>
      <c r="D116" s="48" t="s">
        <v>5903</v>
      </c>
      <c r="E116" s="48" t="s">
        <v>5192</v>
      </c>
      <c r="F116" s="14" t="s">
        <v>5381</v>
      </c>
      <c r="G116" s="48"/>
      <c r="H116" s="13"/>
      <c r="I116" s="22"/>
      <c r="O116" s="21"/>
    </row>
    <row r="117" spans="1:15" customFormat="1" ht="15" x14ac:dyDescent="0.25">
      <c r="A117" s="48" t="str">
        <f t="shared" si="4"/>
        <v>camerarx_addon_Function</v>
      </c>
      <c r="B117" s="59" t="s">
        <v>5176</v>
      </c>
      <c r="C117" s="48" t="s">
        <v>5222</v>
      </c>
      <c r="D117" s="48" t="s">
        <v>5903</v>
      </c>
      <c r="E117" s="48" t="s">
        <v>5192</v>
      </c>
      <c r="F117" s="14" t="s">
        <v>5863</v>
      </c>
      <c r="G117" s="48"/>
      <c r="H117" s="13"/>
      <c r="I117" s="22"/>
      <c r="O117" s="21"/>
    </row>
    <row r="118" spans="1:15" customFormat="1" ht="15" x14ac:dyDescent="0.25">
      <c r="A118" s="48" t="str">
        <f t="shared" si="4"/>
        <v>camerarx_addon_macro_area</v>
      </c>
      <c r="B118" s="59" t="s">
        <v>5176</v>
      </c>
      <c r="C118" s="48" t="s">
        <v>5228</v>
      </c>
      <c r="D118" s="48"/>
      <c r="E118" s="48" t="s">
        <v>5192</v>
      </c>
      <c r="F118" s="14">
        <v>5.2999999999999999E-2</v>
      </c>
      <c r="G118" s="48"/>
      <c r="H118" s="13"/>
      <c r="I118" s="22"/>
      <c r="O118" s="21"/>
    </row>
    <row r="119" spans="1:15" customFormat="1" ht="15" x14ac:dyDescent="0.25">
      <c r="A119" s="48" t="str">
        <f t="shared" si="4"/>
        <v>camerarx_addon_pins</v>
      </c>
      <c r="B119" s="59" t="s">
        <v>5176</v>
      </c>
      <c r="C119" s="48" t="s">
        <v>5359</v>
      </c>
      <c r="D119" s="48" t="s">
        <v>5903</v>
      </c>
      <c r="E119" s="48" t="s">
        <v>5192</v>
      </c>
      <c r="F119" s="14">
        <v>2</v>
      </c>
      <c r="G119" s="48"/>
      <c r="H119" s="13"/>
      <c r="I119" s="22"/>
      <c r="O119" s="21"/>
    </row>
    <row r="120" spans="1:15" customFormat="1" ht="15" x14ac:dyDescent="0.25">
      <c r="A120" s="48" t="str">
        <f t="shared" si="4"/>
        <v>camerarx_addon_tag</v>
      </c>
      <c r="B120" s="59" t="s">
        <v>5176</v>
      </c>
      <c r="C120" s="48" t="s">
        <v>5234</v>
      </c>
      <c r="D120" s="48" t="s">
        <v>5903</v>
      </c>
      <c r="E120" s="48" t="s">
        <v>5192</v>
      </c>
      <c r="F120" s="14" t="s">
        <v>5413</v>
      </c>
      <c r="G120" s="48" t="s">
        <v>5414</v>
      </c>
      <c r="H120" s="13"/>
      <c r="I120" s="22"/>
      <c r="O120" s="21"/>
    </row>
    <row r="121" spans="1:15" customFormat="1" ht="15" x14ac:dyDescent="0.25">
      <c r="A121" s="48" t="str">
        <f t="shared" si="4"/>
        <v>camerarx_addon_Type</v>
      </c>
      <c r="B121" s="59" t="s">
        <v>5176</v>
      </c>
      <c r="C121" s="48" t="s">
        <v>0</v>
      </c>
      <c r="D121" s="48" t="s">
        <v>5903</v>
      </c>
      <c r="E121" s="48" t="s">
        <v>5192</v>
      </c>
      <c r="F121" s="14" t="s">
        <v>5784</v>
      </c>
      <c r="G121" s="48"/>
      <c r="H121" s="13"/>
      <c r="I121" s="22"/>
      <c r="O121" s="21"/>
    </row>
    <row r="122" spans="1:15" customFormat="1" ht="15" x14ac:dyDescent="0.25">
      <c r="A122" s="48" t="str">
        <f>B122&amp;"_"&amp;C122&amp;"_"&amp;D122</f>
        <v>camerarx_addon_vdd_dyn_lane hs 150 mbps</v>
      </c>
      <c r="B122" s="59" t="s">
        <v>5176</v>
      </c>
      <c r="C122" s="48" t="s">
        <v>5255</v>
      </c>
      <c r="D122" s="48" t="s">
        <v>5890</v>
      </c>
      <c r="E122" s="48" t="s">
        <v>5192</v>
      </c>
      <c r="F122" s="14">
        <f>(0.2)*1.2</f>
        <v>0.24</v>
      </c>
      <c r="G122" s="48" t="s">
        <v>5411</v>
      </c>
      <c r="H122" s="13"/>
      <c r="I122" s="22"/>
      <c r="O122" s="21"/>
    </row>
    <row r="123" spans="1:15" customFormat="1" ht="15" x14ac:dyDescent="0.25">
      <c r="A123" s="48" t="str">
        <f>B123&amp;"_"&amp;C123&amp;"_"&amp;D123</f>
        <v>camerarx_addon_vdd_dyn_lane hs 300 mbps</v>
      </c>
      <c r="B123" s="59" t="s">
        <v>5176</v>
      </c>
      <c r="C123" s="48" t="s">
        <v>5255</v>
      </c>
      <c r="D123" s="48" t="s">
        <v>5891</v>
      </c>
      <c r="E123" s="48" t="s">
        <v>5192</v>
      </c>
      <c r="F123" s="14">
        <f>(0.2)*1.2</f>
        <v>0.24</v>
      </c>
      <c r="G123" s="48" t="s">
        <v>5411</v>
      </c>
      <c r="H123" s="13"/>
      <c r="I123" s="22"/>
      <c r="O123" s="21"/>
    </row>
    <row r="124" spans="1:15" customFormat="1" ht="15" x14ac:dyDescent="0.25">
      <c r="A124" s="48" t="str">
        <f>B124&amp;"_"&amp;C124&amp;"_"&amp;D124</f>
        <v>camerarx_addon_vdd_dyn_lane hs 600 mbps</v>
      </c>
      <c r="B124" s="59" t="s">
        <v>5176</v>
      </c>
      <c r="C124" s="48" t="s">
        <v>5255</v>
      </c>
      <c r="D124" s="48" t="s">
        <v>5892</v>
      </c>
      <c r="E124" s="48" t="s">
        <v>5192</v>
      </c>
      <c r="F124" s="14">
        <f>(0.2)*1.2</f>
        <v>0.24</v>
      </c>
      <c r="G124" s="48" t="s">
        <v>5411</v>
      </c>
      <c r="H124" s="13"/>
      <c r="I124" s="22"/>
      <c r="O124" s="21"/>
    </row>
    <row r="125" spans="1:15" customFormat="1" ht="15" x14ac:dyDescent="0.25">
      <c r="A125" s="48" t="str">
        <f>B125&amp;"_"&amp;C125&amp;"_"&amp;D125</f>
        <v>camerarx_addon_vdd_dyn_lane lp 10 mbps</v>
      </c>
      <c r="B125" s="59" t="s">
        <v>5176</v>
      </c>
      <c r="C125" s="48" t="s">
        <v>5255</v>
      </c>
      <c r="D125" s="48" t="s">
        <v>5889</v>
      </c>
      <c r="E125" s="48" t="s">
        <v>5192</v>
      </c>
      <c r="F125" s="14">
        <f>0.1*1.2</f>
        <v>0.12</v>
      </c>
      <c r="G125" s="48" t="s">
        <v>5409</v>
      </c>
      <c r="H125" s="13"/>
      <c r="I125" s="22"/>
      <c r="O125" s="21"/>
    </row>
    <row r="126" spans="1:15" customFormat="1" ht="15" x14ac:dyDescent="0.25">
      <c r="A126" s="48" t="str">
        <f>B126&amp;"_"&amp;C126&amp;"_"&amp;D126</f>
        <v>camerarx_addon_vdd_dyn_off</v>
      </c>
      <c r="B126" s="59" t="s">
        <v>5176</v>
      </c>
      <c r="C126" s="48" t="s">
        <v>5255</v>
      </c>
      <c r="D126" s="48" t="s">
        <v>4798</v>
      </c>
      <c r="E126" s="48" t="s">
        <v>5192</v>
      </c>
      <c r="F126" s="14">
        <v>0</v>
      </c>
      <c r="G126" s="48" t="s">
        <v>5405</v>
      </c>
      <c r="H126" s="13"/>
      <c r="I126" s="22"/>
      <c r="O126" s="21"/>
    </row>
    <row r="127" spans="1:15" customFormat="1" ht="15" x14ac:dyDescent="0.25">
      <c r="A127" s="48" t="str">
        <f>B127&amp;"_"&amp;C127</f>
        <v>camerarx_addon_vdd_lkg</v>
      </c>
      <c r="B127" s="59" t="s">
        <v>5176</v>
      </c>
      <c r="C127" s="48" t="s">
        <v>5245</v>
      </c>
      <c r="D127" s="48"/>
      <c r="E127" s="48" t="s">
        <v>5192</v>
      </c>
      <c r="F127" s="14">
        <f>0.0017*11</f>
        <v>1.8699999999999998E-2</v>
      </c>
      <c r="G127" s="48" t="s">
        <v>5403</v>
      </c>
      <c r="H127" s="13"/>
      <c r="I127" s="22"/>
      <c r="O127" s="21"/>
    </row>
    <row r="128" spans="1:15" customFormat="1" ht="15" x14ac:dyDescent="0.25">
      <c r="A128" s="48" t="str">
        <f>B128&amp;"_"&amp;C128&amp;"_"&amp;D128</f>
        <v>camerarx_addon_vddh1_dyn_lane hs 150 mbps</v>
      </c>
      <c r="B128" s="59" t="s">
        <v>5176</v>
      </c>
      <c r="C128" s="48" t="s">
        <v>5256</v>
      </c>
      <c r="D128" s="48" t="s">
        <v>5890</v>
      </c>
      <c r="E128" s="48" t="s">
        <v>5192</v>
      </c>
      <c r="F128" s="14">
        <f>2*1.8</f>
        <v>3.6</v>
      </c>
      <c r="G128" s="48" t="s">
        <v>5408</v>
      </c>
      <c r="H128" s="13"/>
      <c r="I128" s="22"/>
      <c r="O128" s="21"/>
    </row>
    <row r="129" spans="1:15" customFormat="1" ht="15" x14ac:dyDescent="0.25">
      <c r="A129" s="48" t="str">
        <f>B129&amp;"_"&amp;C129&amp;"_"&amp;D129</f>
        <v>camerarx_addon_vddh1_dyn_lane hs 300 mbps</v>
      </c>
      <c r="B129" s="59" t="s">
        <v>5176</v>
      </c>
      <c r="C129" s="48" t="s">
        <v>5256</v>
      </c>
      <c r="D129" s="48" t="s">
        <v>5891</v>
      </c>
      <c r="E129" s="48" t="s">
        <v>5192</v>
      </c>
      <c r="F129" s="14">
        <f>2*1.8</f>
        <v>3.6</v>
      </c>
      <c r="G129" s="48" t="s">
        <v>5408</v>
      </c>
      <c r="H129" s="13"/>
      <c r="I129" s="22"/>
      <c r="O129" s="21"/>
    </row>
    <row r="130" spans="1:15" customFormat="1" ht="15" x14ac:dyDescent="0.25">
      <c r="A130" s="48" t="str">
        <f>B130&amp;"_"&amp;C130&amp;"_"&amp;D130</f>
        <v>camerarx_addon_vddh1_dyn_lane hs 600 mbps</v>
      </c>
      <c r="B130" s="59" t="s">
        <v>5176</v>
      </c>
      <c r="C130" s="48" t="s">
        <v>5256</v>
      </c>
      <c r="D130" s="48" t="s">
        <v>5892</v>
      </c>
      <c r="E130" s="48" t="s">
        <v>5192</v>
      </c>
      <c r="F130" s="14">
        <f>2*1.8</f>
        <v>3.6</v>
      </c>
      <c r="G130" s="48" t="s">
        <v>5408</v>
      </c>
      <c r="H130" s="13"/>
      <c r="I130" s="22"/>
      <c r="O130" s="21"/>
    </row>
    <row r="131" spans="1:15" customFormat="1" ht="15" x14ac:dyDescent="0.25">
      <c r="A131" s="48" t="str">
        <f>B131&amp;"_"&amp;C131&amp;"_"&amp;D131</f>
        <v>camerarx_addon_vddh1_dyn_lane lp 10 mbps</v>
      </c>
      <c r="B131" s="59" t="s">
        <v>5176</v>
      </c>
      <c r="C131" s="48" t="s">
        <v>5256</v>
      </c>
      <c r="D131" s="48" t="s">
        <v>5889</v>
      </c>
      <c r="E131" s="48" t="s">
        <v>5192</v>
      </c>
      <c r="F131" s="14">
        <f>0.25*1.8</f>
        <v>0.45</v>
      </c>
      <c r="G131" s="48" t="s">
        <v>5407</v>
      </c>
      <c r="H131" s="13"/>
      <c r="I131" s="22"/>
      <c r="O131" s="21"/>
    </row>
    <row r="132" spans="1:15" customFormat="1" ht="15" x14ac:dyDescent="0.25">
      <c r="A132" s="48" t="str">
        <f>B132&amp;"_"&amp;C132&amp;"_"&amp;D132</f>
        <v>camerarx_addon_vddh1_dyn_off</v>
      </c>
      <c r="B132" s="59" t="s">
        <v>5176</v>
      </c>
      <c r="C132" s="48" t="s">
        <v>5256</v>
      </c>
      <c r="D132" s="48" t="s">
        <v>4798</v>
      </c>
      <c r="E132" s="48" t="s">
        <v>5192</v>
      </c>
      <c r="F132" s="14">
        <v>0</v>
      </c>
      <c r="G132" s="48" t="s">
        <v>5405</v>
      </c>
      <c r="H132" s="13"/>
      <c r="I132" s="22"/>
      <c r="O132" s="21"/>
    </row>
    <row r="133" spans="1:15" customFormat="1" ht="15" x14ac:dyDescent="0.25">
      <c r="A133" s="48" t="str">
        <f t="shared" ref="A133:A142" si="5">B133&amp;"_"&amp;C133</f>
        <v>camerarx_addon_vddh1_lkg</v>
      </c>
      <c r="B133" s="59" t="s">
        <v>5176</v>
      </c>
      <c r="C133" s="48" t="s">
        <v>5257</v>
      </c>
      <c r="D133" s="48" t="s">
        <v>5903</v>
      </c>
      <c r="E133" s="48" t="s">
        <v>5192</v>
      </c>
      <c r="F133" s="14">
        <f>0.0202*11</f>
        <v>0.22219999999999998</v>
      </c>
      <c r="G133" s="48" t="s">
        <v>5404</v>
      </c>
      <c r="H133" s="13"/>
      <c r="I133" s="22"/>
      <c r="O133" s="21"/>
    </row>
    <row r="134" spans="1:15" customFormat="1" ht="15" x14ac:dyDescent="0.25">
      <c r="A134" s="48" t="str">
        <f t="shared" si="5"/>
        <v>camerarx_core_Area</v>
      </c>
      <c r="B134" s="59" t="s">
        <v>5175</v>
      </c>
      <c r="C134" s="48" t="s">
        <v>5211</v>
      </c>
      <c r="D134" s="48" t="s">
        <v>5903</v>
      </c>
      <c r="E134" s="48" t="s">
        <v>5192</v>
      </c>
      <c r="F134" s="14">
        <v>0.192</v>
      </c>
      <c r="G134" s="48"/>
      <c r="H134" s="13"/>
      <c r="I134" s="22"/>
      <c r="O134" s="21"/>
    </row>
    <row r="135" spans="1:15" customFormat="1" ht="15" x14ac:dyDescent="0.25">
      <c r="A135" s="48" t="str">
        <f t="shared" si="5"/>
        <v>camerarx_core_beachfront</v>
      </c>
      <c r="B135" s="59" t="s">
        <v>5175</v>
      </c>
      <c r="C135" s="48" t="s">
        <v>5358</v>
      </c>
      <c r="D135" s="48" t="s">
        <v>5903</v>
      </c>
      <c r="E135" s="48" t="s">
        <v>5192</v>
      </c>
      <c r="F135" s="14">
        <v>0.252</v>
      </c>
      <c r="G135" s="48"/>
      <c r="H135" s="13"/>
      <c r="I135" s="22"/>
      <c r="O135" s="21"/>
    </row>
    <row r="136" spans="1:15" customFormat="1" ht="15" x14ac:dyDescent="0.25">
      <c r="A136" s="48" t="str">
        <f t="shared" si="5"/>
        <v>camerarx_core_Description</v>
      </c>
      <c r="B136" s="59" t="s">
        <v>5175</v>
      </c>
      <c r="C136" s="48" t="s">
        <v>42</v>
      </c>
      <c r="D136" s="48" t="s">
        <v>5903</v>
      </c>
      <c r="E136" s="48" t="s">
        <v>5192</v>
      </c>
      <c r="F136" s="14" t="s">
        <v>5813</v>
      </c>
      <c r="G136" s="48"/>
      <c r="H136" s="13"/>
      <c r="I136" s="22"/>
      <c r="O136" s="21"/>
    </row>
    <row r="137" spans="1:15" customFormat="1" ht="15" x14ac:dyDescent="0.25">
      <c r="A137" s="48" t="str">
        <f t="shared" si="5"/>
        <v>camerarx_core_First_SoC</v>
      </c>
      <c r="B137" s="59" t="s">
        <v>5175</v>
      </c>
      <c r="C137" s="48" t="s">
        <v>5216</v>
      </c>
      <c r="D137" s="48" t="s">
        <v>5903</v>
      </c>
      <c r="E137" s="48" t="s">
        <v>5192</v>
      </c>
      <c r="F137" s="14" t="s">
        <v>5381</v>
      </c>
      <c r="G137" s="48"/>
      <c r="H137" s="13"/>
      <c r="I137" s="22"/>
      <c r="O137" s="21"/>
    </row>
    <row r="138" spans="1:15" customFormat="1" ht="15" x14ac:dyDescent="0.25">
      <c r="A138" s="48" t="str">
        <f t="shared" si="5"/>
        <v>camerarx_core_Function</v>
      </c>
      <c r="B138" s="59" t="s">
        <v>5175</v>
      </c>
      <c r="C138" s="48" t="s">
        <v>5222</v>
      </c>
      <c r="D138" s="48" t="s">
        <v>5903</v>
      </c>
      <c r="E138" s="48" t="s">
        <v>5192</v>
      </c>
      <c r="F138" s="14" t="s">
        <v>5863</v>
      </c>
      <c r="G138" s="48"/>
      <c r="H138" s="13"/>
      <c r="I138" s="22"/>
      <c r="O138" s="21"/>
    </row>
    <row r="139" spans="1:15" customFormat="1" ht="15" x14ac:dyDescent="0.25">
      <c r="A139" s="48" t="str">
        <f t="shared" si="5"/>
        <v>camerarx_core_macro_area</v>
      </c>
      <c r="B139" s="59" t="s">
        <v>5175</v>
      </c>
      <c r="C139" s="48" t="s">
        <v>5228</v>
      </c>
      <c r="D139" s="48" t="s">
        <v>5903</v>
      </c>
      <c r="E139" s="48" t="s">
        <v>5192</v>
      </c>
      <c r="F139" s="14">
        <v>0.192</v>
      </c>
      <c r="G139" s="48"/>
      <c r="H139" s="13"/>
      <c r="I139" s="22"/>
      <c r="O139" s="21"/>
    </row>
    <row r="140" spans="1:15" customFormat="1" ht="15" x14ac:dyDescent="0.25">
      <c r="A140" s="48" t="str">
        <f t="shared" si="5"/>
        <v>camerarx_core_pins</v>
      </c>
      <c r="B140" s="59" t="s">
        <v>5175</v>
      </c>
      <c r="C140" s="48" t="s">
        <v>5359</v>
      </c>
      <c r="D140" s="48" t="s">
        <v>5903</v>
      </c>
      <c r="E140" s="48" t="s">
        <v>5192</v>
      </c>
      <c r="F140" s="14">
        <v>7</v>
      </c>
      <c r="G140" s="48"/>
      <c r="H140" s="13"/>
      <c r="I140" s="22"/>
      <c r="O140" s="21"/>
    </row>
    <row r="141" spans="1:15" s="22" customFormat="1" ht="15" x14ac:dyDescent="0.25">
      <c r="A141" s="48" t="str">
        <f t="shared" si="5"/>
        <v>camerarx_core_tag</v>
      </c>
      <c r="B141" s="59" t="s">
        <v>5175</v>
      </c>
      <c r="C141" s="48" t="s">
        <v>5234</v>
      </c>
      <c r="D141" s="48" t="s">
        <v>5903</v>
      </c>
      <c r="E141" s="48" t="s">
        <v>5192</v>
      </c>
      <c r="F141" s="14" t="s">
        <v>5413</v>
      </c>
      <c r="G141" s="48" t="s">
        <v>5414</v>
      </c>
      <c r="H141" s="13"/>
      <c r="O141" s="21"/>
    </row>
    <row r="142" spans="1:15" customFormat="1" ht="15" x14ac:dyDescent="0.25">
      <c r="A142" s="48" t="str">
        <f t="shared" si="5"/>
        <v>camerarx_core_Type</v>
      </c>
      <c r="B142" s="59" t="s">
        <v>5175</v>
      </c>
      <c r="C142" s="48" t="s">
        <v>0</v>
      </c>
      <c r="D142" s="48" t="s">
        <v>5903</v>
      </c>
      <c r="E142" s="48" t="s">
        <v>5192</v>
      </c>
      <c r="F142" s="14" t="s">
        <v>5784</v>
      </c>
      <c r="G142" s="48"/>
      <c r="H142" s="13"/>
      <c r="I142" s="22"/>
      <c r="O142" s="21"/>
    </row>
    <row r="143" spans="1:15" customFormat="1" ht="15" x14ac:dyDescent="0.25">
      <c r="A143" s="48" t="str">
        <f>B143&amp;"_"&amp;C143&amp;"_"&amp;D143</f>
        <v>camerarx_core_vdd_dyn_clock + lane hs 150 mbps</v>
      </c>
      <c r="B143" s="59" t="s">
        <v>5175</v>
      </c>
      <c r="C143" s="48" t="s">
        <v>5255</v>
      </c>
      <c r="D143" s="48" t="s">
        <v>5908</v>
      </c>
      <c r="E143" s="48" t="s">
        <v>5192</v>
      </c>
      <c r="F143" s="14">
        <f>(0.5+0.2)*1.2</f>
        <v>0.84</v>
      </c>
      <c r="G143" s="48" t="s">
        <v>5410</v>
      </c>
      <c r="H143" s="13"/>
      <c r="I143" s="22"/>
      <c r="O143" s="21"/>
    </row>
    <row r="144" spans="1:15" customFormat="1" ht="15" x14ac:dyDescent="0.25">
      <c r="A144" s="48" t="str">
        <f>B144&amp;"_"&amp;C144&amp;"_"&amp;D144</f>
        <v>camerarx_core_vdd_dyn_clock + lane hs 300 mbps</v>
      </c>
      <c r="B144" s="59" t="s">
        <v>5175</v>
      </c>
      <c r="C144" s="48" t="s">
        <v>5255</v>
      </c>
      <c r="D144" s="48" t="s">
        <v>5895</v>
      </c>
      <c r="E144" s="48" t="s">
        <v>5192</v>
      </c>
      <c r="F144" s="14">
        <f>(0.5+0.2)*1.2</f>
        <v>0.84</v>
      </c>
      <c r="G144" s="48" t="s">
        <v>5410</v>
      </c>
      <c r="H144" s="13"/>
      <c r="I144" s="22"/>
      <c r="O144" s="21"/>
    </row>
    <row r="145" spans="1:15" customFormat="1" ht="15" x14ac:dyDescent="0.25">
      <c r="A145" s="48" t="str">
        <f>B145&amp;"_"&amp;C145&amp;"_"&amp;D145</f>
        <v>camerarx_core_vdd_dyn_clock + lane hs 600 mbps</v>
      </c>
      <c r="B145" s="59" t="s">
        <v>5175</v>
      </c>
      <c r="C145" s="48" t="s">
        <v>5255</v>
      </c>
      <c r="D145" s="48" t="s">
        <v>5896</v>
      </c>
      <c r="E145" s="48" t="s">
        <v>5192</v>
      </c>
      <c r="F145" s="14">
        <f>(0.5+0.2)*1.2</f>
        <v>0.84</v>
      </c>
      <c r="G145" s="48" t="s">
        <v>5410</v>
      </c>
      <c r="H145" s="13"/>
      <c r="I145" s="22"/>
      <c r="O145" s="21"/>
    </row>
    <row r="146" spans="1:15" customFormat="1" ht="15" x14ac:dyDescent="0.25">
      <c r="A146" s="48" t="str">
        <f>B146&amp;"_"&amp;C146&amp;"_"&amp;D146</f>
        <v>camerarx_core_vdd_dyn_clock + lane lp 10 mbps</v>
      </c>
      <c r="B146" s="59" t="s">
        <v>5175</v>
      </c>
      <c r="C146" s="48" t="s">
        <v>5255</v>
      </c>
      <c r="D146" s="48" t="s">
        <v>5893</v>
      </c>
      <c r="E146" s="48" t="s">
        <v>5192</v>
      </c>
      <c r="F146" s="14">
        <f>0.1*1.2</f>
        <v>0.12</v>
      </c>
      <c r="G146" s="48" t="s">
        <v>5409</v>
      </c>
      <c r="H146" s="13"/>
      <c r="I146" s="22"/>
      <c r="O146" s="21"/>
    </row>
    <row r="147" spans="1:15" customFormat="1" ht="15" x14ac:dyDescent="0.25">
      <c r="A147" s="48" t="str">
        <f>B147&amp;"_"&amp;C147&amp;"_"&amp;D147</f>
        <v>camerarx_core_vdd_dyn_off</v>
      </c>
      <c r="B147" s="59" t="s">
        <v>5175</v>
      </c>
      <c r="C147" s="48" t="s">
        <v>5255</v>
      </c>
      <c r="D147" s="48" t="s">
        <v>4798</v>
      </c>
      <c r="E147" s="48" t="s">
        <v>5192</v>
      </c>
      <c r="F147" s="14">
        <v>0</v>
      </c>
      <c r="G147" s="48" t="s">
        <v>5405</v>
      </c>
      <c r="H147" s="13"/>
      <c r="I147" s="22"/>
      <c r="O147" s="21"/>
    </row>
    <row r="148" spans="1:15" customFormat="1" ht="15" x14ac:dyDescent="0.25">
      <c r="A148" s="48" t="str">
        <f>B148&amp;"_"&amp;C148</f>
        <v>camerarx_core_vdd_lkg</v>
      </c>
      <c r="B148" s="59" t="s">
        <v>5175</v>
      </c>
      <c r="C148" s="48" t="s">
        <v>5245</v>
      </c>
      <c r="D148" s="48" t="s">
        <v>5903</v>
      </c>
      <c r="E148" s="48" t="s">
        <v>5192</v>
      </c>
      <c r="F148" s="14">
        <f>0.625*11</f>
        <v>6.875</v>
      </c>
      <c r="G148" s="48" t="s">
        <v>5402</v>
      </c>
      <c r="H148" s="13"/>
      <c r="I148" s="22"/>
      <c r="O148" s="21"/>
    </row>
    <row r="149" spans="1:15" customFormat="1" ht="15" x14ac:dyDescent="0.25">
      <c r="A149" s="48" t="str">
        <f>B149&amp;"_"&amp;C149&amp;"_"&amp;D149</f>
        <v>camerarx_core_vddh1_dyn_clock + lane hs 150 mbps</v>
      </c>
      <c r="B149" s="59" t="s">
        <v>5175</v>
      </c>
      <c r="C149" s="48" t="s">
        <v>5256</v>
      </c>
      <c r="D149" s="48" t="s">
        <v>5908</v>
      </c>
      <c r="E149" s="48" t="s">
        <v>5192</v>
      </c>
      <c r="F149" s="14">
        <f>(3+2)*1.8</f>
        <v>9</v>
      </c>
      <c r="G149" s="48" t="s">
        <v>5412</v>
      </c>
      <c r="H149" s="13"/>
      <c r="I149" s="22"/>
      <c r="O149" s="21"/>
    </row>
    <row r="150" spans="1:15" customFormat="1" ht="15" x14ac:dyDescent="0.25">
      <c r="A150" s="48" t="str">
        <f>B150&amp;"_"&amp;C150&amp;"_"&amp;D150</f>
        <v>camerarx_core_vddh1_dyn_clock + lane hs 300 mbps</v>
      </c>
      <c r="B150" s="59" t="s">
        <v>5175</v>
      </c>
      <c r="C150" s="48" t="s">
        <v>5256</v>
      </c>
      <c r="D150" s="48" t="s">
        <v>5895</v>
      </c>
      <c r="E150" s="48" t="s">
        <v>5192</v>
      </c>
      <c r="F150" s="14">
        <v>9</v>
      </c>
      <c r="G150" s="48" t="s">
        <v>5412</v>
      </c>
      <c r="H150" s="13"/>
      <c r="I150" s="22"/>
      <c r="O150" s="21"/>
    </row>
    <row r="151" spans="1:15" customFormat="1" ht="15" x14ac:dyDescent="0.25">
      <c r="A151" s="48" t="str">
        <f>B151&amp;"_"&amp;C151&amp;"_"&amp;D151</f>
        <v>camerarx_core_vddh1_dyn_clock + lane hs 600 mbps</v>
      </c>
      <c r="B151" s="59" t="s">
        <v>5175</v>
      </c>
      <c r="C151" s="48" t="s">
        <v>5256</v>
      </c>
      <c r="D151" s="48" t="s">
        <v>5896</v>
      </c>
      <c r="E151" s="48" t="s">
        <v>5192</v>
      </c>
      <c r="F151" s="14">
        <v>9</v>
      </c>
      <c r="G151" s="48" t="s">
        <v>5412</v>
      </c>
      <c r="H151" s="13"/>
      <c r="I151" s="22"/>
      <c r="O151" s="21"/>
    </row>
    <row r="152" spans="1:15" customFormat="1" ht="15" x14ac:dyDescent="0.25">
      <c r="A152" s="48" t="str">
        <f>B152&amp;"_"&amp;C152&amp;"_"&amp;D152</f>
        <v>camerarx_core_vddh1_dyn_clock + lane lp 10 mbps</v>
      </c>
      <c r="B152" s="59" t="s">
        <v>5175</v>
      </c>
      <c r="C152" s="48" t="s">
        <v>5256</v>
      </c>
      <c r="D152" s="48" t="s">
        <v>5893</v>
      </c>
      <c r="E152" s="48" t="s">
        <v>5192</v>
      </c>
      <c r="F152" s="14">
        <f>(0.85+0.25)*1.8</f>
        <v>1.9800000000000002</v>
      </c>
      <c r="G152" s="48" t="s">
        <v>5406</v>
      </c>
      <c r="H152" s="13"/>
      <c r="I152" s="22"/>
      <c r="O152" s="21"/>
    </row>
    <row r="153" spans="1:15" customFormat="1" ht="15" x14ac:dyDescent="0.25">
      <c r="A153" s="48" t="str">
        <f>B153&amp;"_"&amp;C153&amp;"_"&amp;D153</f>
        <v>camerarx_core_vddh1_dyn_off</v>
      </c>
      <c r="B153" s="59" t="s">
        <v>5175</v>
      </c>
      <c r="C153" s="48" t="s">
        <v>5256</v>
      </c>
      <c r="D153" s="48" t="s">
        <v>4798</v>
      </c>
      <c r="E153" s="48" t="s">
        <v>5192</v>
      </c>
      <c r="F153" s="14">
        <v>9</v>
      </c>
      <c r="G153" s="48" t="s">
        <v>5405</v>
      </c>
      <c r="H153" s="13"/>
      <c r="I153" s="22"/>
      <c r="O153" s="21"/>
    </row>
    <row r="154" spans="1:15" customFormat="1" ht="15" x14ac:dyDescent="0.25">
      <c r="A154" s="48" t="str">
        <f t="shared" ref="A154:A160" si="6">B154&amp;"_"&amp;C154</f>
        <v>camerarx_core_vddh1_lkg</v>
      </c>
      <c r="B154" s="59" t="s">
        <v>5175</v>
      </c>
      <c r="C154" s="48" t="s">
        <v>5257</v>
      </c>
      <c r="D154" s="48" t="s">
        <v>5903</v>
      </c>
      <c r="E154" s="48" t="s">
        <v>5192</v>
      </c>
      <c r="F154" s="14">
        <f>0.053*11</f>
        <v>0.58299999999999996</v>
      </c>
      <c r="G154" s="48" t="s">
        <v>5401</v>
      </c>
      <c r="H154" s="13"/>
      <c r="I154" s="22"/>
      <c r="O154" s="21"/>
    </row>
    <row r="155" spans="1:15" customFormat="1" ht="15" x14ac:dyDescent="0.25">
      <c r="A155" s="48" t="str">
        <f t="shared" si="6"/>
        <v>canfd_Description</v>
      </c>
      <c r="B155" s="48" t="s">
        <v>5258</v>
      </c>
      <c r="C155" s="48" t="s">
        <v>42</v>
      </c>
      <c r="D155" s="48"/>
      <c r="E155" s="48" t="s">
        <v>5192</v>
      </c>
      <c r="F155" s="14" t="s">
        <v>5808</v>
      </c>
      <c r="G155" s="48" t="s">
        <v>5259</v>
      </c>
      <c r="H155" s="13"/>
      <c r="I155" s="22"/>
      <c r="O155" s="21"/>
    </row>
    <row r="156" spans="1:15" customFormat="1" ht="15" x14ac:dyDescent="0.25">
      <c r="A156" s="48" t="str">
        <f t="shared" si="6"/>
        <v>canfd_First_SoC</v>
      </c>
      <c r="B156" s="48" t="s">
        <v>5258</v>
      </c>
      <c r="C156" s="48" t="s">
        <v>5216</v>
      </c>
      <c r="D156" s="48"/>
      <c r="E156" s="48" t="s">
        <v>5192</v>
      </c>
      <c r="F156" s="14" t="s">
        <v>5841</v>
      </c>
      <c r="G156" s="48"/>
      <c r="H156" s="13"/>
      <c r="I156" s="22"/>
      <c r="O156" s="21"/>
    </row>
    <row r="157" spans="1:15" customFormat="1" ht="15" x14ac:dyDescent="0.25">
      <c r="A157" s="48" t="str">
        <f t="shared" si="6"/>
        <v>canfd_Function</v>
      </c>
      <c r="B157" s="48" t="s">
        <v>5258</v>
      </c>
      <c r="C157" s="48" t="s">
        <v>5222</v>
      </c>
      <c r="D157" s="48"/>
      <c r="E157" s="48" t="s">
        <v>5192</v>
      </c>
      <c r="F157" s="14" t="s">
        <v>5258</v>
      </c>
      <c r="G157" s="48" t="s">
        <v>5260</v>
      </c>
      <c r="H157" s="13"/>
      <c r="I157" s="22"/>
      <c r="O157" s="21"/>
    </row>
    <row r="158" spans="1:15" customFormat="1" ht="15" x14ac:dyDescent="0.25">
      <c r="A158" s="48" t="str">
        <f t="shared" si="6"/>
        <v>canfd_Pinmux</v>
      </c>
      <c r="B158" s="48" t="s">
        <v>5258</v>
      </c>
      <c r="C158" s="48" t="s">
        <v>5261</v>
      </c>
      <c r="D158" s="48"/>
      <c r="E158" s="48" t="s">
        <v>5192</v>
      </c>
      <c r="F158" s="14">
        <v>2</v>
      </c>
      <c r="G158" s="48"/>
      <c r="H158" s="49"/>
      <c r="I158" s="22"/>
      <c r="O158" s="21"/>
    </row>
    <row r="159" spans="1:15" customFormat="1" ht="15" x14ac:dyDescent="0.25">
      <c r="A159" s="48" t="str">
        <f t="shared" si="6"/>
        <v>canfd_tag</v>
      </c>
      <c r="B159" s="49" t="s">
        <v>5258</v>
      </c>
      <c r="C159" s="49" t="s">
        <v>5234</v>
      </c>
      <c r="D159" s="49"/>
      <c r="E159" s="49" t="s">
        <v>5192</v>
      </c>
      <c r="F159" s="14">
        <v>44499</v>
      </c>
      <c r="G159" s="49" t="s">
        <v>5254</v>
      </c>
      <c r="H159" s="49"/>
      <c r="I159" s="22"/>
      <c r="O159" s="21"/>
    </row>
    <row r="160" spans="1:15" customFormat="1" ht="15" x14ac:dyDescent="0.25">
      <c r="A160" s="48" t="str">
        <f t="shared" si="6"/>
        <v>canfd_Type</v>
      </c>
      <c r="B160" s="48" t="s">
        <v>5258</v>
      </c>
      <c r="C160" s="48" t="s">
        <v>0</v>
      </c>
      <c r="D160" s="48"/>
      <c r="E160" s="48" t="s">
        <v>5192</v>
      </c>
      <c r="F160" s="14" t="s">
        <v>5785</v>
      </c>
      <c r="G160" s="48" t="s">
        <v>5260</v>
      </c>
      <c r="H160" s="13"/>
      <c r="I160" s="22"/>
      <c r="O160" s="21"/>
    </row>
    <row r="161" spans="1:15" customFormat="1" ht="15" x14ac:dyDescent="0.25">
      <c r="A161" s="48" t="str">
        <f t="shared" ref="A161:A179" si="7">B161&amp;"_"&amp;C161&amp;"_"&amp;D161</f>
        <v>canfd_vdd_dyn_1mbs_1p8v</v>
      </c>
      <c r="B161" s="48" t="s">
        <v>5258</v>
      </c>
      <c r="C161" s="48" t="s">
        <v>5255</v>
      </c>
      <c r="D161" s="48" t="s">
        <v>4916</v>
      </c>
      <c r="E161" s="48" t="s">
        <v>5195</v>
      </c>
      <c r="F161" s="14">
        <v>5.4222960000000002E-8</v>
      </c>
      <c r="G161" s="48" t="s">
        <v>5260</v>
      </c>
      <c r="H161" s="49"/>
      <c r="I161" s="22"/>
      <c r="O161" s="21"/>
    </row>
    <row r="162" spans="1:15" customFormat="1" ht="15" x14ac:dyDescent="0.25">
      <c r="A162" s="48" t="str">
        <f t="shared" si="7"/>
        <v>canfd_vdd_dyn_1mbs_3p3v</v>
      </c>
      <c r="B162" s="48" t="s">
        <v>5258</v>
      </c>
      <c r="C162" s="48" t="s">
        <v>5255</v>
      </c>
      <c r="D162" s="48" t="s">
        <v>4913</v>
      </c>
      <c r="E162" s="48" t="s">
        <v>5195</v>
      </c>
      <c r="F162" s="14">
        <v>5.4222960000000002E-8</v>
      </c>
      <c r="G162" s="48" t="s">
        <v>5260</v>
      </c>
      <c r="H162" s="49"/>
      <c r="I162" s="22"/>
      <c r="O162" s="21"/>
    </row>
    <row r="163" spans="1:15" customFormat="1" ht="15" x14ac:dyDescent="0.25">
      <c r="A163" s="48" t="str">
        <f t="shared" si="7"/>
        <v>canfd_vdd_dyn_250kbs_1p8v</v>
      </c>
      <c r="B163" s="48" t="s">
        <v>5258</v>
      </c>
      <c r="C163" s="48" t="s">
        <v>5255</v>
      </c>
      <c r="D163" s="48" t="s">
        <v>4917</v>
      </c>
      <c r="E163" s="48" t="s">
        <v>5195</v>
      </c>
      <c r="F163" s="14">
        <v>1.3555740000000001E-8</v>
      </c>
      <c r="G163" s="48" t="s">
        <v>5260</v>
      </c>
      <c r="H163" s="49"/>
      <c r="I163" s="22"/>
      <c r="O163" s="21"/>
    </row>
    <row r="164" spans="1:15" customFormat="1" ht="15" x14ac:dyDescent="0.25">
      <c r="A164" s="48" t="str">
        <f t="shared" si="7"/>
        <v>canfd_vdd_dyn_250kbs_3p3v</v>
      </c>
      <c r="B164" s="48" t="s">
        <v>5258</v>
      </c>
      <c r="C164" s="48" t="s">
        <v>5255</v>
      </c>
      <c r="D164" s="48" t="s">
        <v>4914</v>
      </c>
      <c r="E164" s="48" t="s">
        <v>5195</v>
      </c>
      <c r="F164" s="14">
        <v>1.3555740000000001E-8</v>
      </c>
      <c r="G164" s="48" t="s">
        <v>5260</v>
      </c>
      <c r="H164" s="49"/>
      <c r="I164" s="22"/>
      <c r="O164" s="21"/>
    </row>
    <row r="165" spans="1:15" customFormat="1" ht="15" x14ac:dyDescent="0.25">
      <c r="A165" s="48" t="str">
        <f t="shared" si="7"/>
        <v>canfd_vdd_dyn_5mbs_1p8v</v>
      </c>
      <c r="B165" s="48" t="s">
        <v>5258</v>
      </c>
      <c r="C165" s="48" t="s">
        <v>5255</v>
      </c>
      <c r="D165" s="48" t="s">
        <v>4915</v>
      </c>
      <c r="E165" s="48" t="s">
        <v>5195</v>
      </c>
      <c r="F165" s="14">
        <v>2.7111479999999994E-7</v>
      </c>
      <c r="G165" s="48" t="s">
        <v>5260</v>
      </c>
      <c r="H165" s="49"/>
      <c r="I165" s="22"/>
      <c r="O165" s="21"/>
    </row>
    <row r="166" spans="1:15" customFormat="1" ht="15" x14ac:dyDescent="0.25">
      <c r="A166" s="48" t="str">
        <f t="shared" si="7"/>
        <v>canfd_vdd_dyn_5mbs_3p3v</v>
      </c>
      <c r="B166" s="48" t="s">
        <v>5258</v>
      </c>
      <c r="C166" s="48" t="s">
        <v>5255</v>
      </c>
      <c r="D166" s="48" t="s">
        <v>4912</v>
      </c>
      <c r="E166" s="48" t="s">
        <v>5195</v>
      </c>
      <c r="F166" s="14">
        <v>2.7111479999999994E-7</v>
      </c>
      <c r="G166" s="48" t="s">
        <v>5260</v>
      </c>
      <c r="H166" s="49"/>
      <c r="I166" s="22"/>
      <c r="O166" s="21"/>
    </row>
    <row r="167" spans="1:15" customFormat="1" ht="15" x14ac:dyDescent="0.25">
      <c r="A167" s="48" t="str">
        <f t="shared" si="7"/>
        <v>canfd_vdd_dyn_8mbs_1p8v</v>
      </c>
      <c r="B167" s="48" t="s">
        <v>5258</v>
      </c>
      <c r="C167" s="48" t="s">
        <v>5255</v>
      </c>
      <c r="D167" s="48" t="s">
        <v>5519</v>
      </c>
      <c r="E167" s="48" t="s">
        <v>5195</v>
      </c>
      <c r="F167" s="14">
        <v>4.3378368000000002E-7</v>
      </c>
      <c r="G167" s="48" t="s">
        <v>5260</v>
      </c>
      <c r="H167" s="49"/>
      <c r="I167" s="22"/>
      <c r="O167" s="21"/>
    </row>
    <row r="168" spans="1:15" customFormat="1" ht="15" x14ac:dyDescent="0.25">
      <c r="A168" s="48" t="str">
        <f t="shared" si="7"/>
        <v>canfd_vdd_dyn_8mbs_3p3v</v>
      </c>
      <c r="B168" s="48" t="s">
        <v>5258</v>
      </c>
      <c r="C168" s="48" t="s">
        <v>5255</v>
      </c>
      <c r="D168" s="48" t="s">
        <v>5520</v>
      </c>
      <c r="E168" s="48" t="s">
        <v>5195</v>
      </c>
      <c r="F168" s="14">
        <v>4.3378368000000002E-7</v>
      </c>
      <c r="G168" s="48" t="s">
        <v>5260</v>
      </c>
      <c r="H168" s="49"/>
      <c r="I168" s="22"/>
      <c r="O168" s="21"/>
    </row>
    <row r="169" spans="1:15" customFormat="1" ht="15" x14ac:dyDescent="0.25">
      <c r="A169" s="48" t="str">
        <f t="shared" si="7"/>
        <v>canfd_vdd_dyn_off</v>
      </c>
      <c r="B169" s="48" t="s">
        <v>5258</v>
      </c>
      <c r="C169" s="48" t="s">
        <v>5255</v>
      </c>
      <c r="D169" s="48" t="s">
        <v>4798</v>
      </c>
      <c r="E169" s="48" t="s">
        <v>5195</v>
      </c>
      <c r="F169" s="14">
        <v>0</v>
      </c>
      <c r="G169" s="48" t="s">
        <v>5260</v>
      </c>
      <c r="H169" s="49"/>
      <c r="I169" s="22"/>
      <c r="O169" s="21"/>
    </row>
    <row r="170" spans="1:15" customFormat="1" ht="15" x14ac:dyDescent="0.25">
      <c r="A170" s="48" t="str">
        <f t="shared" si="7"/>
        <v>canfd_vddh1_dyn_1mbs_1p8v</v>
      </c>
      <c r="B170" s="48" t="s">
        <v>5258</v>
      </c>
      <c r="C170" s="48" t="s">
        <v>5256</v>
      </c>
      <c r="D170" s="48" t="s">
        <v>4916</v>
      </c>
      <c r="E170" s="48" t="s">
        <v>5195</v>
      </c>
      <c r="F170" s="14">
        <v>1.2684600000000001E-2</v>
      </c>
      <c r="G170" s="48" t="s">
        <v>5260</v>
      </c>
      <c r="H170" s="49"/>
      <c r="I170" s="22"/>
      <c r="O170" s="21"/>
    </row>
    <row r="171" spans="1:15" customFormat="1" ht="15" x14ac:dyDescent="0.25">
      <c r="A171" s="48" t="str">
        <f t="shared" si="7"/>
        <v>canfd_vddh1_dyn_250kbs_1p8v</v>
      </c>
      <c r="B171" s="48" t="s">
        <v>5258</v>
      </c>
      <c r="C171" s="48" t="s">
        <v>5256</v>
      </c>
      <c r="D171" s="48" t="s">
        <v>4917</v>
      </c>
      <c r="E171" s="48" t="s">
        <v>5195</v>
      </c>
      <c r="F171" s="14">
        <v>3.1711500000000002E-3</v>
      </c>
      <c r="G171" s="48" t="s">
        <v>5260</v>
      </c>
      <c r="H171" s="49"/>
      <c r="I171" s="22"/>
      <c r="O171" s="21"/>
    </row>
    <row r="172" spans="1:15" customFormat="1" ht="15" x14ac:dyDescent="0.25">
      <c r="A172" s="48" t="str">
        <f t="shared" si="7"/>
        <v>canfd_vddh1_dyn_5mbs_1p8v</v>
      </c>
      <c r="B172" s="48" t="s">
        <v>5258</v>
      </c>
      <c r="C172" s="48" t="s">
        <v>5256</v>
      </c>
      <c r="D172" s="48" t="s">
        <v>4915</v>
      </c>
      <c r="E172" s="48" t="s">
        <v>5195</v>
      </c>
      <c r="F172" s="14">
        <v>6.3422999999999993E-2</v>
      </c>
      <c r="G172" s="48" t="s">
        <v>5260</v>
      </c>
      <c r="H172" s="49"/>
      <c r="I172" s="22"/>
      <c r="O172" s="21"/>
    </row>
    <row r="173" spans="1:15" s="22" customFormat="1" ht="15" x14ac:dyDescent="0.25">
      <c r="A173" s="48" t="str">
        <f t="shared" si="7"/>
        <v>canfd_vddh1_dyn_8mbs_1p8v</v>
      </c>
      <c r="B173" s="48" t="s">
        <v>5258</v>
      </c>
      <c r="C173" s="48" t="s">
        <v>5256</v>
      </c>
      <c r="D173" s="48" t="s">
        <v>5519</v>
      </c>
      <c r="E173" s="48" t="s">
        <v>5195</v>
      </c>
      <c r="F173" s="14">
        <v>0.10147680000000001</v>
      </c>
      <c r="G173" s="48" t="s">
        <v>5260</v>
      </c>
      <c r="H173" s="49"/>
      <c r="O173" s="21"/>
    </row>
    <row r="174" spans="1:15" customFormat="1" ht="15" x14ac:dyDescent="0.25">
      <c r="A174" s="48" t="str">
        <f t="shared" si="7"/>
        <v>canfd_vddh1_dyn_off</v>
      </c>
      <c r="B174" s="48" t="s">
        <v>5258</v>
      </c>
      <c r="C174" s="48" t="s">
        <v>5256</v>
      </c>
      <c r="D174" s="48" t="s">
        <v>4798</v>
      </c>
      <c r="E174" s="48" t="s">
        <v>5195</v>
      </c>
      <c r="F174" s="14">
        <v>0</v>
      </c>
      <c r="G174" s="48" t="s">
        <v>5260</v>
      </c>
      <c r="H174" s="49"/>
      <c r="I174" s="22"/>
      <c r="O174" s="21"/>
    </row>
    <row r="175" spans="1:15" customFormat="1" ht="15" x14ac:dyDescent="0.25">
      <c r="A175" s="48" t="str">
        <f t="shared" si="7"/>
        <v>canfd_vddh2_dyn_1mbs_3p3v</v>
      </c>
      <c r="B175" s="48" t="s">
        <v>5258</v>
      </c>
      <c r="C175" s="48" t="s">
        <v>5262</v>
      </c>
      <c r="D175" s="48" t="s">
        <v>4913</v>
      </c>
      <c r="E175" s="48" t="s">
        <v>5195</v>
      </c>
      <c r="F175" s="14">
        <v>6.5339999999999995E-2</v>
      </c>
      <c r="G175" s="48" t="s">
        <v>5260</v>
      </c>
      <c r="H175" s="49"/>
      <c r="I175" s="22"/>
      <c r="O175" s="21"/>
    </row>
    <row r="176" spans="1:15" customFormat="1" ht="15" x14ac:dyDescent="0.25">
      <c r="A176" s="48" t="str">
        <f t="shared" si="7"/>
        <v>canfd_vddh2_dyn_250kbs_3p3v</v>
      </c>
      <c r="B176" s="48" t="s">
        <v>5258</v>
      </c>
      <c r="C176" s="48" t="s">
        <v>5262</v>
      </c>
      <c r="D176" s="48" t="s">
        <v>4914</v>
      </c>
      <c r="E176" s="48" t="s">
        <v>5195</v>
      </c>
      <c r="F176" s="14">
        <v>1.6334999999999999E-2</v>
      </c>
      <c r="G176" s="48" t="s">
        <v>5260</v>
      </c>
      <c r="H176" s="49"/>
      <c r="I176" s="22"/>
      <c r="O176" s="21"/>
    </row>
    <row r="177" spans="1:15" customFormat="1" ht="15" x14ac:dyDescent="0.25">
      <c r="A177" s="48" t="str">
        <f t="shared" si="7"/>
        <v>canfd_vddh2_dyn_5mbs_3p3v</v>
      </c>
      <c r="B177" s="48" t="s">
        <v>5258</v>
      </c>
      <c r="C177" s="48" t="s">
        <v>5262</v>
      </c>
      <c r="D177" s="48" t="s">
        <v>4912</v>
      </c>
      <c r="E177" s="48" t="s">
        <v>5195</v>
      </c>
      <c r="F177" s="14">
        <v>0.32669999999999993</v>
      </c>
      <c r="G177" s="48" t="s">
        <v>5260</v>
      </c>
      <c r="H177" s="49"/>
      <c r="I177" s="22"/>
      <c r="O177" s="21"/>
    </row>
    <row r="178" spans="1:15" customFormat="1" ht="15" x14ac:dyDescent="0.25">
      <c r="A178" s="48" t="str">
        <f t="shared" si="7"/>
        <v>canfd_vddh2_dyn_8mbs_3p3v</v>
      </c>
      <c r="B178" s="48" t="s">
        <v>5258</v>
      </c>
      <c r="C178" s="48" t="s">
        <v>5262</v>
      </c>
      <c r="D178" s="48" t="s">
        <v>5520</v>
      </c>
      <c r="E178" s="48" t="s">
        <v>5195</v>
      </c>
      <c r="F178" s="14">
        <v>0.52271999999999996</v>
      </c>
      <c r="G178" s="48" t="s">
        <v>5260</v>
      </c>
      <c r="H178" s="49"/>
      <c r="I178" s="22"/>
      <c r="O178" s="21"/>
    </row>
    <row r="179" spans="1:15" customFormat="1" ht="15" x14ac:dyDescent="0.25">
      <c r="A179" s="48" t="str">
        <f t="shared" si="7"/>
        <v>canfd_vddh2_dyn_off</v>
      </c>
      <c r="B179" s="48" t="s">
        <v>5258</v>
      </c>
      <c r="C179" s="48" t="s">
        <v>5262</v>
      </c>
      <c r="D179" s="48" t="s">
        <v>4798</v>
      </c>
      <c r="E179" s="48" t="s">
        <v>5195</v>
      </c>
      <c r="F179" s="14">
        <v>0</v>
      </c>
      <c r="G179" s="48" t="s">
        <v>5260</v>
      </c>
      <c r="H179" s="49"/>
      <c r="I179" s="22"/>
      <c r="O179" s="21"/>
    </row>
    <row r="180" spans="1:15" customFormat="1" ht="15" x14ac:dyDescent="0.25">
      <c r="A180" s="48" t="str">
        <f t="shared" ref="A180:A188" si="8">B180&amp;"_"&amp;C180</f>
        <v>cmpss_Area</v>
      </c>
      <c r="B180" s="59" t="s">
        <v>5449</v>
      </c>
      <c r="C180" s="48" t="s">
        <v>5211</v>
      </c>
      <c r="D180" s="48"/>
      <c r="E180" s="48" t="s">
        <v>5192</v>
      </c>
      <c r="F180" s="14">
        <v>0.12</v>
      </c>
      <c r="G180" s="48"/>
      <c r="H180" s="49"/>
      <c r="I180" s="22"/>
      <c r="O180" s="21"/>
    </row>
    <row r="181" spans="1:15" customFormat="1" ht="15" x14ac:dyDescent="0.25">
      <c r="A181" s="48" t="str">
        <f t="shared" si="8"/>
        <v>cmpss_beachfront</v>
      </c>
      <c r="B181" s="59" t="s">
        <v>5449</v>
      </c>
      <c r="C181" s="48" t="s">
        <v>5358</v>
      </c>
      <c r="D181" s="48"/>
      <c r="E181" s="48" t="s">
        <v>5192</v>
      </c>
      <c r="F181" s="14">
        <v>0.2</v>
      </c>
      <c r="G181" s="48"/>
      <c r="H181" s="49"/>
      <c r="I181" s="22"/>
      <c r="O181" s="21"/>
    </row>
    <row r="182" spans="1:15" customFormat="1" ht="15" x14ac:dyDescent="0.25">
      <c r="A182" s="48" t="str">
        <f t="shared" si="8"/>
        <v>cmpss_Description</v>
      </c>
      <c r="B182" s="59" t="s">
        <v>5449</v>
      </c>
      <c r="C182" s="48" t="s">
        <v>42</v>
      </c>
      <c r="D182" s="48"/>
      <c r="E182" s="48" t="s">
        <v>5192</v>
      </c>
      <c r="F182" s="14" t="s">
        <v>5819</v>
      </c>
      <c r="G182" s="48"/>
      <c r="H182" s="13"/>
      <c r="I182" s="22"/>
      <c r="O182" s="21"/>
    </row>
    <row r="183" spans="1:15" customFormat="1" ht="15" x14ac:dyDescent="0.25">
      <c r="A183" s="48" t="str">
        <f t="shared" si="8"/>
        <v>cmpss_First_SoC</v>
      </c>
      <c r="B183" s="59" t="s">
        <v>5449</v>
      </c>
      <c r="C183" s="48" t="s">
        <v>5216</v>
      </c>
      <c r="D183" s="48"/>
      <c r="E183" s="48" t="s">
        <v>5192</v>
      </c>
      <c r="F183" s="14" t="s">
        <v>5389</v>
      </c>
      <c r="G183" s="48"/>
      <c r="H183" s="13"/>
      <c r="I183" s="22"/>
      <c r="O183" s="21"/>
    </row>
    <row r="184" spans="1:15" customFormat="1" ht="15" x14ac:dyDescent="0.25">
      <c r="A184" s="48" t="str">
        <f t="shared" si="8"/>
        <v>cmpss_Function</v>
      </c>
      <c r="B184" s="59" t="s">
        <v>5449</v>
      </c>
      <c r="C184" s="48" t="s">
        <v>5222</v>
      </c>
      <c r="D184" s="48"/>
      <c r="E184" s="48" t="s">
        <v>5192</v>
      </c>
      <c r="F184" s="14" t="s">
        <v>5802</v>
      </c>
      <c r="G184" s="48"/>
      <c r="H184" s="13"/>
      <c r="I184" s="22"/>
      <c r="O184" s="21"/>
    </row>
    <row r="185" spans="1:15" customFormat="1" ht="15" x14ac:dyDescent="0.25">
      <c r="A185" s="48" t="str">
        <f t="shared" si="8"/>
        <v>cmpss_macro_area</v>
      </c>
      <c r="B185" s="59" t="s">
        <v>5449</v>
      </c>
      <c r="C185" s="48" t="s">
        <v>5228</v>
      </c>
      <c r="D185" s="48"/>
      <c r="E185" s="48" t="s">
        <v>5192</v>
      </c>
      <c r="F185" s="14">
        <v>0.12</v>
      </c>
      <c r="G185" s="48"/>
      <c r="H185" s="49"/>
      <c r="I185" s="22"/>
      <c r="O185" s="21"/>
    </row>
    <row r="186" spans="1:15" customFormat="1" ht="15" x14ac:dyDescent="0.25">
      <c r="A186" s="48" t="str">
        <f t="shared" si="8"/>
        <v>cmpss_pins</v>
      </c>
      <c r="B186" s="59" t="s">
        <v>5449</v>
      </c>
      <c r="C186" s="48" t="s">
        <v>5359</v>
      </c>
      <c r="D186" s="48"/>
      <c r="E186" s="48" t="s">
        <v>5192</v>
      </c>
      <c r="F186" s="14">
        <v>4</v>
      </c>
      <c r="G186" s="48"/>
      <c r="H186" s="49"/>
      <c r="I186" s="22"/>
      <c r="O186" s="21"/>
    </row>
    <row r="187" spans="1:15" customFormat="1" ht="15" x14ac:dyDescent="0.25">
      <c r="A187" s="48" t="str">
        <f t="shared" si="8"/>
        <v>cmpss_tag</v>
      </c>
      <c r="B187" s="59" t="s">
        <v>5449</v>
      </c>
      <c r="C187" s="48" t="s">
        <v>5234</v>
      </c>
      <c r="D187" s="48"/>
      <c r="E187" s="48" t="s">
        <v>5192</v>
      </c>
      <c r="F187" s="14">
        <v>44501</v>
      </c>
      <c r="G187" s="48"/>
      <c r="H187" s="49"/>
      <c r="I187" s="22"/>
      <c r="O187" s="21"/>
    </row>
    <row r="188" spans="1:15" customFormat="1" ht="15" x14ac:dyDescent="0.25">
      <c r="A188" s="48" t="str">
        <f t="shared" si="8"/>
        <v>cmpss_Type</v>
      </c>
      <c r="B188" s="59" t="s">
        <v>5449</v>
      </c>
      <c r="C188" s="48" t="s">
        <v>0</v>
      </c>
      <c r="D188" s="48"/>
      <c r="E188" s="48" t="s">
        <v>5192</v>
      </c>
      <c r="F188" s="14" t="s">
        <v>5784</v>
      </c>
      <c r="G188" s="48"/>
      <c r="H188" s="13"/>
      <c r="I188" s="22"/>
      <c r="O188" s="21"/>
    </row>
    <row r="189" spans="1:15" customFormat="1" ht="15" x14ac:dyDescent="0.25">
      <c r="A189" s="48" t="str">
        <f>B189&amp;"_"&amp;C189&amp;"_"&amp;D189</f>
        <v>cmpss_vdd_dyn_off</v>
      </c>
      <c r="B189" s="59" t="s">
        <v>5449</v>
      </c>
      <c r="C189" s="48" t="s">
        <v>5255</v>
      </c>
      <c r="D189" s="48" t="s">
        <v>4798</v>
      </c>
      <c r="E189" s="48" t="s">
        <v>5192</v>
      </c>
      <c r="F189" s="14">
        <v>0</v>
      </c>
      <c r="G189" s="48" t="s">
        <v>5388</v>
      </c>
      <c r="H189" s="49"/>
      <c r="I189" s="22"/>
      <c r="O189" s="21"/>
    </row>
    <row r="190" spans="1:15" customFormat="1" ht="15" x14ac:dyDescent="0.25">
      <c r="A190" s="48" t="str">
        <f>B190&amp;"_"&amp;C190&amp;"_"&amp;D190</f>
        <v>cmpss_vdd_dyn_on_1p8v</v>
      </c>
      <c r="B190" s="59" t="s">
        <v>5449</v>
      </c>
      <c r="C190" s="48" t="s">
        <v>5255</v>
      </c>
      <c r="D190" s="48" t="s">
        <v>5160</v>
      </c>
      <c r="E190" s="48" t="s">
        <v>5518</v>
      </c>
      <c r="F190" s="14">
        <f>0.005*1.2</f>
        <v>6.0000000000000001E-3</v>
      </c>
      <c r="G190" s="48" t="s">
        <v>5387</v>
      </c>
      <c r="H190" s="49"/>
      <c r="I190" s="22"/>
      <c r="O190" s="21"/>
    </row>
    <row r="191" spans="1:15" customFormat="1" ht="15" x14ac:dyDescent="0.25">
      <c r="A191" s="48" t="str">
        <f>B191&amp;"_"&amp;C191&amp;"_"&amp;D191</f>
        <v>cmpss_vdd_dyn_on_3p3v</v>
      </c>
      <c r="B191" s="59" t="s">
        <v>5449</v>
      </c>
      <c r="C191" s="48" t="s">
        <v>5255</v>
      </c>
      <c r="D191" s="48" t="s">
        <v>5159</v>
      </c>
      <c r="E191" s="48" t="s">
        <v>5192</v>
      </c>
      <c r="F191" s="14">
        <f>0.005*1.2</f>
        <v>6.0000000000000001E-3</v>
      </c>
      <c r="G191" s="48" t="s">
        <v>5387</v>
      </c>
      <c r="H191" s="49"/>
      <c r="I191" s="22"/>
      <c r="O191" s="21"/>
    </row>
    <row r="192" spans="1:15" customFormat="1" ht="15" x14ac:dyDescent="0.25">
      <c r="A192" s="48" t="str">
        <f>B192&amp;"_"&amp;C192</f>
        <v>cmpss_vdd_lkg</v>
      </c>
      <c r="B192" s="59" t="s">
        <v>5449</v>
      </c>
      <c r="C192" s="48" t="s">
        <v>5245</v>
      </c>
      <c r="D192" s="48"/>
      <c r="E192" s="48" t="s">
        <v>5192</v>
      </c>
      <c r="F192" s="14">
        <f>0.005*1.2</f>
        <v>6.0000000000000001E-3</v>
      </c>
      <c r="G192" s="48" t="s">
        <v>5388</v>
      </c>
      <c r="H192" s="49"/>
      <c r="I192" s="22"/>
      <c r="O192" s="21"/>
    </row>
    <row r="193" spans="1:15" customFormat="1" ht="15" x14ac:dyDescent="0.25">
      <c r="A193" s="48" t="str">
        <f>B193&amp;"_"&amp;C193&amp;"_"&amp;D193</f>
        <v>cmpss_vdda_dyn_off</v>
      </c>
      <c r="B193" s="59" t="s">
        <v>5449</v>
      </c>
      <c r="C193" s="48" t="s">
        <v>5274</v>
      </c>
      <c r="D193" s="48" t="s">
        <v>4798</v>
      </c>
      <c r="E193" s="48" t="s">
        <v>5192</v>
      </c>
      <c r="F193" s="14">
        <v>0</v>
      </c>
      <c r="G193" s="48" t="s">
        <v>5388</v>
      </c>
      <c r="H193" s="49"/>
      <c r="I193" s="22"/>
      <c r="O193" s="21"/>
    </row>
    <row r="194" spans="1:15" customFormat="1" ht="15" x14ac:dyDescent="0.25">
      <c r="A194" s="48" t="str">
        <f>B194&amp;"_"&amp;C194&amp;"_"&amp;D194</f>
        <v>cmpss_vdda_dyn_on_1p8v</v>
      </c>
      <c r="B194" s="59" t="s">
        <v>5449</v>
      </c>
      <c r="C194" s="48" t="s">
        <v>5274</v>
      </c>
      <c r="D194" s="48" t="s">
        <v>5160</v>
      </c>
      <c r="E194" s="48" t="s">
        <v>5192</v>
      </c>
      <c r="F194" s="14">
        <f>0.2*3.3</f>
        <v>0.66</v>
      </c>
      <c r="G194" s="48" t="s">
        <v>6195</v>
      </c>
      <c r="H194" s="49"/>
      <c r="I194" s="22"/>
      <c r="O194" s="21"/>
    </row>
    <row r="195" spans="1:15" customFormat="1" ht="15" x14ac:dyDescent="0.25">
      <c r="A195" s="48" t="str">
        <f>B195&amp;"_"&amp;C195&amp;"_"&amp;D195</f>
        <v>cmpss_vdda_dyn_on_3p3v</v>
      </c>
      <c r="B195" s="59" t="s">
        <v>5449</v>
      </c>
      <c r="C195" s="48" t="s">
        <v>5274</v>
      </c>
      <c r="D195" s="48" t="s">
        <v>5159</v>
      </c>
      <c r="E195" s="48" t="s">
        <v>5192</v>
      </c>
      <c r="F195" s="14">
        <f>1.2*3.3</f>
        <v>3.9599999999999995</v>
      </c>
      <c r="G195" s="48" t="s">
        <v>6194</v>
      </c>
      <c r="H195" s="49"/>
      <c r="I195" s="22"/>
      <c r="O195" s="21"/>
    </row>
    <row r="196" spans="1:15" customFormat="1" ht="15" x14ac:dyDescent="0.25">
      <c r="A196" s="48" t="str">
        <f t="shared" ref="A196:A217" si="9">B196&amp;"_"&amp;C196</f>
        <v>cmpss_vdda_lkg</v>
      </c>
      <c r="B196" s="59" t="s">
        <v>5449</v>
      </c>
      <c r="C196" s="48" t="s">
        <v>5275</v>
      </c>
      <c r="D196" s="48"/>
      <c r="E196" s="48" t="s">
        <v>5192</v>
      </c>
      <c r="F196" s="14">
        <f>0.005*3.3</f>
        <v>1.6500000000000001E-2</v>
      </c>
      <c r="G196" s="48" t="s">
        <v>5388</v>
      </c>
      <c r="H196" s="49"/>
      <c r="I196" s="22"/>
      <c r="O196" s="21"/>
    </row>
    <row r="197" spans="1:15" customFormat="1" ht="15" x14ac:dyDescent="0.25">
      <c r="A197" s="48" t="str">
        <f t="shared" si="9"/>
        <v>cq1833dvdetect_ssdlv_Area</v>
      </c>
      <c r="B197" s="59" t="s">
        <v>4795</v>
      </c>
      <c r="C197" s="48" t="s">
        <v>5211</v>
      </c>
      <c r="D197" s="48"/>
      <c r="E197" s="48" t="s">
        <v>5192</v>
      </c>
      <c r="F197" s="14">
        <v>3.96E-3</v>
      </c>
      <c r="G197" s="48"/>
      <c r="H197" s="13"/>
      <c r="I197" s="22"/>
      <c r="O197" s="21"/>
    </row>
    <row r="198" spans="1:15" customFormat="1" ht="15" x14ac:dyDescent="0.25">
      <c r="A198" s="48" t="str">
        <f t="shared" si="9"/>
        <v>cq1833dvdetect_ssdlv_beachfront</v>
      </c>
      <c r="B198" s="59" t="s">
        <v>4795</v>
      </c>
      <c r="C198" s="48" t="s">
        <v>5358</v>
      </c>
      <c r="D198" s="48"/>
      <c r="E198" s="48" t="s">
        <v>5192</v>
      </c>
      <c r="F198" s="14">
        <v>0.04</v>
      </c>
      <c r="G198" s="48"/>
      <c r="H198" s="13"/>
      <c r="I198" s="22"/>
      <c r="O198" s="21"/>
    </row>
    <row r="199" spans="1:15" customFormat="1" ht="15" x14ac:dyDescent="0.25">
      <c r="A199" s="48" t="str">
        <f t="shared" si="9"/>
        <v>cq1833dvdetect_ssdlv_description</v>
      </c>
      <c r="B199" s="59" t="s">
        <v>4795</v>
      </c>
      <c r="C199" s="48" t="s">
        <v>5379</v>
      </c>
      <c r="D199" s="48"/>
      <c r="E199" s="48" t="s">
        <v>5192</v>
      </c>
      <c r="F199" s="14" t="s">
        <v>5846</v>
      </c>
      <c r="G199" s="48"/>
      <c r="H199" s="13"/>
      <c r="I199" s="22"/>
      <c r="O199" s="21"/>
    </row>
    <row r="200" spans="1:15" customFormat="1" ht="15" x14ac:dyDescent="0.25">
      <c r="A200" s="48" t="str">
        <f t="shared" si="9"/>
        <v>cq1833dvdetect_ssdlv_first_soc</v>
      </c>
      <c r="B200" s="59" t="s">
        <v>4795</v>
      </c>
      <c r="C200" s="48" t="s">
        <v>5378</v>
      </c>
      <c r="D200" s="48"/>
      <c r="E200" s="48" t="s">
        <v>5192</v>
      </c>
      <c r="F200" s="14" t="s">
        <v>5381</v>
      </c>
      <c r="G200" s="48"/>
      <c r="H200" s="13"/>
      <c r="I200" s="22"/>
      <c r="O200" s="21"/>
    </row>
    <row r="201" spans="1:15" customFormat="1" ht="15" x14ac:dyDescent="0.25">
      <c r="A201" s="48" t="str">
        <f t="shared" si="9"/>
        <v>cq1833dvdetect_ssdlv_function</v>
      </c>
      <c r="B201" s="59" t="s">
        <v>4795</v>
      </c>
      <c r="C201" s="48" t="s">
        <v>5367</v>
      </c>
      <c r="D201" s="48"/>
      <c r="E201" s="48" t="s">
        <v>5192</v>
      </c>
      <c r="F201" s="14" t="s">
        <v>5415</v>
      </c>
      <c r="G201" s="48"/>
      <c r="H201" s="13"/>
      <c r="I201" s="22"/>
      <c r="O201" s="21"/>
    </row>
    <row r="202" spans="1:15" customFormat="1" ht="15" x14ac:dyDescent="0.25">
      <c r="A202" s="48" t="str">
        <f t="shared" si="9"/>
        <v>cq1833dvdetect_ssdlv_macro_area</v>
      </c>
      <c r="B202" s="59" t="s">
        <v>4795</v>
      </c>
      <c r="C202" s="48" t="s">
        <v>5228</v>
      </c>
      <c r="D202" s="48"/>
      <c r="E202" s="48" t="s">
        <v>5192</v>
      </c>
      <c r="F202" s="14">
        <v>3.96E-3</v>
      </c>
      <c r="G202" s="48"/>
      <c r="H202" s="13"/>
      <c r="I202" s="22"/>
      <c r="O202" s="21"/>
    </row>
    <row r="203" spans="1:15" customFormat="1" ht="15" x14ac:dyDescent="0.25">
      <c r="A203" s="48" t="str">
        <f t="shared" si="9"/>
        <v>cq1833dvdetect_ssdlv_pins</v>
      </c>
      <c r="B203" s="59" t="s">
        <v>4795</v>
      </c>
      <c r="C203" s="48" t="s">
        <v>5359</v>
      </c>
      <c r="D203" s="48"/>
      <c r="E203" s="48" t="s">
        <v>5192</v>
      </c>
      <c r="F203" s="14">
        <v>0</v>
      </c>
      <c r="G203" s="48"/>
      <c r="H203" s="13"/>
      <c r="I203" s="22"/>
      <c r="O203" s="21"/>
    </row>
    <row r="204" spans="1:15" customFormat="1" ht="15" x14ac:dyDescent="0.25">
      <c r="A204" s="48" t="str">
        <f t="shared" si="9"/>
        <v>cq1833dvdetect_ssdlv_tag</v>
      </c>
      <c r="B204" s="59" t="s">
        <v>4795</v>
      </c>
      <c r="C204" s="48" t="s">
        <v>5234</v>
      </c>
      <c r="D204" s="48"/>
      <c r="E204" s="48" t="s">
        <v>5192</v>
      </c>
      <c r="F204" s="14" t="s">
        <v>5779</v>
      </c>
      <c r="G204" s="48"/>
      <c r="H204" s="13"/>
      <c r="I204" s="22"/>
      <c r="O204" s="21"/>
    </row>
    <row r="205" spans="1:15" customFormat="1" ht="15" x14ac:dyDescent="0.25">
      <c r="A205" s="48" t="str">
        <f t="shared" si="9"/>
        <v>cq1833dvdetect_ssdlv_type</v>
      </c>
      <c r="B205" s="59" t="s">
        <v>4795</v>
      </c>
      <c r="C205" s="48" t="s">
        <v>1</v>
      </c>
      <c r="D205" s="48"/>
      <c r="E205" s="48" t="s">
        <v>5192</v>
      </c>
      <c r="F205" s="14" t="s">
        <v>5784</v>
      </c>
      <c r="G205" s="48"/>
      <c r="H205" s="13"/>
      <c r="I205" s="22"/>
      <c r="O205" s="21"/>
    </row>
    <row r="206" spans="1:15" customFormat="1" ht="15" x14ac:dyDescent="0.25">
      <c r="A206" s="48" t="str">
        <f t="shared" si="9"/>
        <v>cq1833dvdetect_ssdlv_vdd_lkg</v>
      </c>
      <c r="B206" s="59" t="s">
        <v>4795</v>
      </c>
      <c r="C206" s="48" t="s">
        <v>5245</v>
      </c>
      <c r="D206" s="48"/>
      <c r="E206" s="48" t="s">
        <v>5192</v>
      </c>
      <c r="F206" s="14">
        <v>1E-3</v>
      </c>
      <c r="G206" s="48" t="s">
        <v>5416</v>
      </c>
      <c r="H206" s="13"/>
      <c r="I206" s="22"/>
      <c r="O206" s="21"/>
    </row>
    <row r="207" spans="1:15" customFormat="1" ht="15" x14ac:dyDescent="0.25">
      <c r="A207" s="48" t="str">
        <f t="shared" si="9"/>
        <v>cq1833dvdetect_ssdlv_vddh1_lkg</v>
      </c>
      <c r="B207" s="59" t="s">
        <v>4795</v>
      </c>
      <c r="C207" s="48" t="s">
        <v>5257</v>
      </c>
      <c r="D207" s="48"/>
      <c r="E207" s="48" t="s">
        <v>5192</v>
      </c>
      <c r="F207" s="14">
        <v>3.96E-3</v>
      </c>
      <c r="G207" s="48" t="s">
        <v>5416</v>
      </c>
      <c r="H207" s="13"/>
      <c r="I207" s="22"/>
      <c r="O207" s="21"/>
    </row>
    <row r="208" spans="1:15" customFormat="1" ht="15" x14ac:dyDescent="0.25">
      <c r="A208" s="48" t="str">
        <f t="shared" si="9"/>
        <v>cq1833dvdetect_ssdlv_vddh2_lkg</v>
      </c>
      <c r="B208" s="59" t="s">
        <v>4795</v>
      </c>
      <c r="C208" s="48" t="s">
        <v>5263</v>
      </c>
      <c r="D208" s="48"/>
      <c r="E208" s="48" t="s">
        <v>5192</v>
      </c>
      <c r="F208" s="14">
        <v>0.29039999999999994</v>
      </c>
      <c r="G208" s="48" t="s">
        <v>5416</v>
      </c>
      <c r="H208" s="13"/>
      <c r="I208" s="22"/>
      <c r="O208" s="21"/>
    </row>
    <row r="209" spans="1:15" customFormat="1" ht="15" x14ac:dyDescent="0.25">
      <c r="A209" s="48" t="str">
        <f t="shared" si="9"/>
        <v>dac12b_Area</v>
      </c>
      <c r="B209" s="59" t="s">
        <v>5450</v>
      </c>
      <c r="C209" s="48" t="s">
        <v>5211</v>
      </c>
      <c r="D209" s="48"/>
      <c r="E209" s="48" t="s">
        <v>5192</v>
      </c>
      <c r="F209" s="14">
        <v>0.06</v>
      </c>
      <c r="G209" s="48"/>
      <c r="H209" s="49"/>
      <c r="I209" s="22"/>
      <c r="O209" s="21"/>
    </row>
    <row r="210" spans="1:15" customFormat="1" ht="15" x14ac:dyDescent="0.25">
      <c r="A210" s="48" t="str">
        <f t="shared" si="9"/>
        <v>dac12b_beachfront</v>
      </c>
      <c r="B210" s="59" t="s">
        <v>5450</v>
      </c>
      <c r="C210" s="48" t="s">
        <v>5358</v>
      </c>
      <c r="D210" s="48"/>
      <c r="E210" s="48" t="s">
        <v>5192</v>
      </c>
      <c r="F210" s="14">
        <v>0.2</v>
      </c>
      <c r="G210" s="48"/>
      <c r="H210" s="49"/>
      <c r="I210" s="22"/>
      <c r="O210" s="21"/>
    </row>
    <row r="211" spans="1:15" customFormat="1" ht="15" x14ac:dyDescent="0.25">
      <c r="A211" s="48" t="str">
        <f t="shared" si="9"/>
        <v>dac12b_Description</v>
      </c>
      <c r="B211" s="59" t="s">
        <v>5450</v>
      </c>
      <c r="C211" s="48" t="s">
        <v>42</v>
      </c>
      <c r="D211" s="48"/>
      <c r="E211" s="48" t="s">
        <v>5192</v>
      </c>
      <c r="F211" s="14" t="s">
        <v>5814</v>
      </c>
      <c r="G211" s="48"/>
      <c r="H211" s="13"/>
      <c r="I211" s="22"/>
      <c r="O211" s="21"/>
    </row>
    <row r="212" spans="1:15" customFormat="1" ht="15" x14ac:dyDescent="0.25">
      <c r="A212" s="48" t="str">
        <f t="shared" si="9"/>
        <v>dac12b_First_SoC</v>
      </c>
      <c r="B212" s="59" t="s">
        <v>5450</v>
      </c>
      <c r="C212" s="48" t="s">
        <v>5216</v>
      </c>
      <c r="D212" s="48"/>
      <c r="E212" s="48" t="s">
        <v>5192</v>
      </c>
      <c r="F212" s="14" t="s">
        <v>5389</v>
      </c>
      <c r="G212" s="48"/>
      <c r="H212" s="13"/>
      <c r="I212" s="22"/>
      <c r="O212" s="21"/>
    </row>
    <row r="213" spans="1:15" customFormat="1" ht="15" x14ac:dyDescent="0.25">
      <c r="A213" s="48" t="str">
        <f t="shared" si="9"/>
        <v>dac12b_Function</v>
      </c>
      <c r="B213" s="59" t="s">
        <v>5450</v>
      </c>
      <c r="C213" s="48" t="s">
        <v>5222</v>
      </c>
      <c r="D213" s="48"/>
      <c r="E213" s="48" t="s">
        <v>5192</v>
      </c>
      <c r="F213" s="14" t="s">
        <v>5802</v>
      </c>
      <c r="G213" s="48"/>
      <c r="H213" s="13"/>
      <c r="I213" s="22"/>
      <c r="O213" s="21"/>
    </row>
    <row r="214" spans="1:15" customFormat="1" ht="15" x14ac:dyDescent="0.25">
      <c r="A214" s="48" t="str">
        <f t="shared" si="9"/>
        <v>dac12b_macro_area</v>
      </c>
      <c r="B214" s="59" t="s">
        <v>5450</v>
      </c>
      <c r="C214" s="48" t="s">
        <v>5228</v>
      </c>
      <c r="D214" s="48"/>
      <c r="E214" s="48" t="s">
        <v>5192</v>
      </c>
      <c r="F214" s="14">
        <v>0.06</v>
      </c>
      <c r="G214" s="48"/>
      <c r="H214" s="49"/>
      <c r="I214" s="22"/>
      <c r="O214" s="21"/>
    </row>
    <row r="215" spans="1:15" customFormat="1" ht="15" x14ac:dyDescent="0.25">
      <c r="A215" s="48" t="str">
        <f t="shared" si="9"/>
        <v>dac12b_pins</v>
      </c>
      <c r="B215" s="59" t="s">
        <v>5450</v>
      </c>
      <c r="C215" s="48" t="s">
        <v>5359</v>
      </c>
      <c r="D215" s="48"/>
      <c r="E215" s="48" t="s">
        <v>5192</v>
      </c>
      <c r="F215" s="14">
        <v>1</v>
      </c>
      <c r="G215" s="48"/>
      <c r="H215" s="49"/>
      <c r="I215" s="22"/>
      <c r="O215" s="21"/>
    </row>
    <row r="216" spans="1:15" customFormat="1" ht="15" x14ac:dyDescent="0.25">
      <c r="A216" s="48" t="str">
        <f t="shared" si="9"/>
        <v>dac12b_tag</v>
      </c>
      <c r="B216" s="59" t="s">
        <v>5450</v>
      </c>
      <c r="C216" s="48" t="s">
        <v>5234</v>
      </c>
      <c r="D216" s="48"/>
      <c r="E216" s="48" t="s">
        <v>5192</v>
      </c>
      <c r="F216" s="14">
        <v>44501</v>
      </c>
      <c r="G216" s="48"/>
      <c r="H216" s="49"/>
      <c r="I216" s="22"/>
      <c r="O216" s="21"/>
    </row>
    <row r="217" spans="1:15" customFormat="1" ht="15" x14ac:dyDescent="0.25">
      <c r="A217" s="48" t="str">
        <f t="shared" si="9"/>
        <v>dac12b_Type</v>
      </c>
      <c r="B217" s="59" t="s">
        <v>5450</v>
      </c>
      <c r="C217" s="48" t="s">
        <v>0</v>
      </c>
      <c r="D217" s="48"/>
      <c r="E217" s="48" t="s">
        <v>5192</v>
      </c>
      <c r="F217" s="14" t="s">
        <v>5784</v>
      </c>
      <c r="G217" s="48"/>
      <c r="H217" s="13"/>
      <c r="I217" s="22"/>
      <c r="O217" s="21"/>
    </row>
    <row r="218" spans="1:15" customFormat="1" ht="15" x14ac:dyDescent="0.25">
      <c r="A218" s="48" t="str">
        <f>B218&amp;"_"&amp;C218&amp;"_"&amp;D218</f>
        <v>dac12b_vdd_dyn_off</v>
      </c>
      <c r="B218" s="59" t="s">
        <v>5450</v>
      </c>
      <c r="C218" s="48" t="s">
        <v>5255</v>
      </c>
      <c r="D218" s="48" t="s">
        <v>4798</v>
      </c>
      <c r="E218" s="48" t="s">
        <v>5192</v>
      </c>
      <c r="F218" s="14">
        <v>0</v>
      </c>
      <c r="G218" s="48" t="s">
        <v>5388</v>
      </c>
      <c r="H218" s="49"/>
      <c r="I218" s="22"/>
      <c r="O218" s="21"/>
    </row>
    <row r="219" spans="1:15" customFormat="1" ht="15" x14ac:dyDescent="0.25">
      <c r="A219" s="48" t="str">
        <f>B219&amp;"_"&amp;C219&amp;"_"&amp;D219</f>
        <v>dac12b_vdd_dyn_on_1p8v</v>
      </c>
      <c r="B219" s="59" t="s">
        <v>5450</v>
      </c>
      <c r="C219" s="48" t="s">
        <v>5255</v>
      </c>
      <c r="D219" s="48" t="s">
        <v>5160</v>
      </c>
      <c r="E219" s="48" t="s">
        <v>5192</v>
      </c>
      <c r="F219" s="53">
        <v>0</v>
      </c>
      <c r="G219" s="48" t="s">
        <v>5387</v>
      </c>
      <c r="H219" s="49"/>
      <c r="I219" s="22"/>
      <c r="O219" s="21"/>
    </row>
    <row r="220" spans="1:15" customFormat="1" ht="15" x14ac:dyDescent="0.25">
      <c r="A220" s="48" t="str">
        <f>B220&amp;"_"&amp;C220&amp;"_"&amp;D220</f>
        <v>dac12b_vdd_dyn_on_3p3v</v>
      </c>
      <c r="B220" s="59" t="s">
        <v>5450</v>
      </c>
      <c r="C220" s="48" t="s">
        <v>5255</v>
      </c>
      <c r="D220" s="48" t="s">
        <v>5159</v>
      </c>
      <c r="E220" s="48" t="s">
        <v>5192</v>
      </c>
      <c r="F220" s="53">
        <v>0</v>
      </c>
      <c r="G220" s="48" t="s">
        <v>5387</v>
      </c>
      <c r="H220" s="49"/>
      <c r="I220" s="22"/>
      <c r="O220" s="21"/>
    </row>
    <row r="221" spans="1:15" customFormat="1" ht="15" x14ac:dyDescent="0.25">
      <c r="A221" s="48" t="str">
        <f>B221&amp;"_"&amp;C221</f>
        <v>dac12b_vdd_lkg</v>
      </c>
      <c r="B221" s="59" t="s">
        <v>5450</v>
      </c>
      <c r="C221" s="48" t="s">
        <v>5245</v>
      </c>
      <c r="D221" s="48"/>
      <c r="E221" s="48" t="s">
        <v>5192</v>
      </c>
      <c r="F221" s="14">
        <f>0.005*1.2</f>
        <v>6.0000000000000001E-3</v>
      </c>
      <c r="G221" s="48" t="s">
        <v>5388</v>
      </c>
      <c r="H221" s="49"/>
      <c r="I221" s="22"/>
      <c r="O221" s="21"/>
    </row>
    <row r="222" spans="1:15" customFormat="1" ht="15" x14ac:dyDescent="0.25">
      <c r="A222" s="48" t="str">
        <f>B222&amp;"_"&amp;C222&amp;"_"&amp;D222</f>
        <v>dac12b_vdda_dyn_off</v>
      </c>
      <c r="B222" s="59" t="s">
        <v>5450</v>
      </c>
      <c r="C222" s="48" t="s">
        <v>5274</v>
      </c>
      <c r="D222" s="48" t="s">
        <v>4798</v>
      </c>
      <c r="E222" s="48" t="s">
        <v>5192</v>
      </c>
      <c r="F222" s="14">
        <v>0</v>
      </c>
      <c r="G222" s="48" t="s">
        <v>5388</v>
      </c>
      <c r="H222" s="49"/>
      <c r="I222" s="22"/>
      <c r="O222" s="21"/>
    </row>
    <row r="223" spans="1:15" customFormat="1" ht="15" x14ac:dyDescent="0.25">
      <c r="A223" s="48" t="str">
        <f>B223&amp;"_"&amp;C223&amp;"_"&amp;D223</f>
        <v>dac12b_vdda_dyn_on_1p8v</v>
      </c>
      <c r="B223" s="59" t="s">
        <v>5450</v>
      </c>
      <c r="C223" s="48" t="s">
        <v>5274</v>
      </c>
      <c r="D223" s="48" t="s">
        <v>5160</v>
      </c>
      <c r="E223" s="48" t="s">
        <v>5192</v>
      </c>
      <c r="F223" s="14">
        <f>0.045*3.3</f>
        <v>0.14849999999999999</v>
      </c>
      <c r="G223" s="48" t="s">
        <v>6197</v>
      </c>
      <c r="H223" s="49" t="s">
        <v>6198</v>
      </c>
      <c r="I223" s="22"/>
      <c r="O223" s="21"/>
    </row>
    <row r="224" spans="1:15" customFormat="1" ht="15" x14ac:dyDescent="0.25">
      <c r="A224" s="48" t="str">
        <f>B224&amp;"_"&amp;C224&amp;"_"&amp;D224</f>
        <v>dac12b_vdda_dyn_on_3p3v</v>
      </c>
      <c r="B224" s="59" t="s">
        <v>5450</v>
      </c>
      <c r="C224" s="48" t="s">
        <v>5274</v>
      </c>
      <c r="D224" s="48" t="s">
        <v>5159</v>
      </c>
      <c r="E224" s="48" t="s">
        <v>5192</v>
      </c>
      <c r="F224" s="14">
        <f>1.5*3</f>
        <v>4.5</v>
      </c>
      <c r="G224" s="48" t="s">
        <v>6196</v>
      </c>
      <c r="H224" s="49"/>
      <c r="I224" s="22"/>
      <c r="O224" s="21"/>
    </row>
    <row r="225" spans="1:15" customFormat="1" ht="15" x14ac:dyDescent="0.25">
      <c r="A225" s="48" t="str">
        <f t="shared" ref="A225:A231" si="10">B225&amp;"_"&amp;C225</f>
        <v>dac12b_vdda_lkg</v>
      </c>
      <c r="B225" s="59" t="s">
        <v>5450</v>
      </c>
      <c r="C225" s="48" t="s">
        <v>5275</v>
      </c>
      <c r="D225" s="48"/>
      <c r="E225" s="48" t="s">
        <v>5192</v>
      </c>
      <c r="F225" s="14">
        <f>0.005*3.3</f>
        <v>1.6500000000000001E-2</v>
      </c>
      <c r="G225" s="48" t="s">
        <v>5388</v>
      </c>
      <c r="H225" s="49"/>
      <c r="I225" s="22"/>
      <c r="O225" s="21"/>
    </row>
    <row r="226" spans="1:15" customFormat="1" ht="15" x14ac:dyDescent="0.25">
      <c r="A226" s="48" t="str">
        <f t="shared" si="10"/>
        <v>dpi_Description</v>
      </c>
      <c r="B226" s="48" t="s">
        <v>5264</v>
      </c>
      <c r="C226" s="48" t="s">
        <v>42</v>
      </c>
      <c r="D226" s="48"/>
      <c r="E226" s="48" t="s">
        <v>5192</v>
      </c>
      <c r="F226" s="14" t="s">
        <v>5817</v>
      </c>
      <c r="G226" s="48" t="s">
        <v>5265</v>
      </c>
      <c r="H226" s="13"/>
      <c r="I226" s="22"/>
      <c r="O226" s="21"/>
    </row>
    <row r="227" spans="1:15" customFormat="1" ht="15" x14ac:dyDescent="0.25">
      <c r="A227" s="48" t="str">
        <f t="shared" si="10"/>
        <v>dpi_First_SoC</v>
      </c>
      <c r="B227" s="48" t="s">
        <v>5264</v>
      </c>
      <c r="C227" s="48" t="s">
        <v>5216</v>
      </c>
      <c r="D227" s="48"/>
      <c r="E227" s="48" t="s">
        <v>5192</v>
      </c>
      <c r="F227" s="14" t="s">
        <v>5841</v>
      </c>
      <c r="G227" s="48"/>
      <c r="H227" s="13"/>
      <c r="I227" s="22"/>
      <c r="O227" s="21"/>
    </row>
    <row r="228" spans="1:15" customFormat="1" ht="15" x14ac:dyDescent="0.25">
      <c r="A228" s="48" t="str">
        <f t="shared" si="10"/>
        <v>dpi_Function</v>
      </c>
      <c r="B228" s="48" t="s">
        <v>5264</v>
      </c>
      <c r="C228" s="48" t="s">
        <v>5222</v>
      </c>
      <c r="D228" s="48"/>
      <c r="E228" s="48" t="s">
        <v>5192</v>
      </c>
      <c r="F228" s="14" t="s">
        <v>5816</v>
      </c>
      <c r="G228" s="48" t="s">
        <v>5260</v>
      </c>
      <c r="H228" s="13"/>
      <c r="I228" s="22"/>
      <c r="O228" s="21"/>
    </row>
    <row r="229" spans="1:15" customFormat="1" ht="15" x14ac:dyDescent="0.25">
      <c r="A229" s="48" t="str">
        <f t="shared" si="10"/>
        <v>dpi_Pinmux</v>
      </c>
      <c r="B229" s="48" t="s">
        <v>5264</v>
      </c>
      <c r="C229" s="48" t="s">
        <v>5261</v>
      </c>
      <c r="D229" s="48"/>
      <c r="E229" s="48" t="s">
        <v>5192</v>
      </c>
      <c r="F229" s="14">
        <v>28</v>
      </c>
      <c r="G229" s="48" t="s">
        <v>5266</v>
      </c>
      <c r="H229" s="49"/>
      <c r="I229" s="22"/>
      <c r="O229" s="21"/>
    </row>
    <row r="230" spans="1:15" customFormat="1" ht="15" x14ac:dyDescent="0.25">
      <c r="A230" s="48" t="str">
        <f t="shared" si="10"/>
        <v>dpi_tag</v>
      </c>
      <c r="B230" s="49" t="s">
        <v>5264</v>
      </c>
      <c r="C230" s="49" t="s">
        <v>5234</v>
      </c>
      <c r="D230" s="49"/>
      <c r="E230" s="49" t="s">
        <v>5192</v>
      </c>
      <c r="F230" s="14">
        <v>44499</v>
      </c>
      <c r="G230" s="49" t="s">
        <v>5254</v>
      </c>
      <c r="H230" s="49"/>
      <c r="I230" s="22"/>
      <c r="O230" s="21"/>
    </row>
    <row r="231" spans="1:15" customFormat="1" ht="15" x14ac:dyDescent="0.25">
      <c r="A231" s="48" t="str">
        <f t="shared" si="10"/>
        <v>dpi_Type</v>
      </c>
      <c r="B231" s="48" t="s">
        <v>5264</v>
      </c>
      <c r="C231" s="48" t="s">
        <v>0</v>
      </c>
      <c r="D231" s="48"/>
      <c r="E231" s="48" t="s">
        <v>5192</v>
      </c>
      <c r="F231" s="14" t="s">
        <v>5785</v>
      </c>
      <c r="G231" s="48" t="s">
        <v>5260</v>
      </c>
      <c r="H231" s="13"/>
      <c r="I231" s="22"/>
      <c r="O231" s="21"/>
    </row>
    <row r="232" spans="1:15" customFormat="1" ht="15" x14ac:dyDescent="0.25">
      <c r="A232" s="48" t="str">
        <f t="shared" ref="A232:A295" si="11">B232&amp;"_"&amp;C232&amp;"_"&amp;D232</f>
        <v>dpi_vdd_dyn_2K_|_2048x1080x30_fps_18b_|_1p8V</v>
      </c>
      <c r="B232" s="48" t="s">
        <v>5264</v>
      </c>
      <c r="C232" s="48" t="s">
        <v>5255</v>
      </c>
      <c r="D232" s="48" t="s">
        <v>5064</v>
      </c>
      <c r="E232" s="48" t="s">
        <v>5195</v>
      </c>
      <c r="F232" s="14">
        <v>5.0826275039232008E-5</v>
      </c>
      <c r="G232" s="48" t="s">
        <v>5260</v>
      </c>
      <c r="H232" s="49"/>
      <c r="I232" s="22"/>
      <c r="O232" s="21"/>
    </row>
    <row r="233" spans="1:15" customFormat="1" ht="15" x14ac:dyDescent="0.25">
      <c r="A233" s="48" t="str">
        <f t="shared" si="11"/>
        <v>dpi_vdd_dyn_2K_|_2048x1080x30_fps_18b_|_3p3V</v>
      </c>
      <c r="B233" s="48" t="s">
        <v>5264</v>
      </c>
      <c r="C233" s="48" t="s">
        <v>5255</v>
      </c>
      <c r="D233" s="48" t="s">
        <v>5065</v>
      </c>
      <c r="E233" s="48" t="s">
        <v>5195</v>
      </c>
      <c r="F233" s="14">
        <v>2.5188618470400002E-5</v>
      </c>
      <c r="G233" s="48" t="s">
        <v>5260</v>
      </c>
      <c r="H233" s="49"/>
      <c r="I233" s="22"/>
      <c r="O233" s="21"/>
    </row>
    <row r="234" spans="1:15" customFormat="1" ht="15" x14ac:dyDescent="0.25">
      <c r="A234" s="48" t="str">
        <f t="shared" si="11"/>
        <v>dpi_vdd_dyn_2K_|_2048x1080x30_fps_24b_|_1p8V</v>
      </c>
      <c r="B234" s="48" t="s">
        <v>5264</v>
      </c>
      <c r="C234" s="48" t="s">
        <v>5255</v>
      </c>
      <c r="D234" s="48" t="s">
        <v>5066</v>
      </c>
      <c r="E234" s="48" t="s">
        <v>5195</v>
      </c>
      <c r="F234" s="14">
        <v>2.5188618470400002E-5</v>
      </c>
      <c r="G234" s="48" t="s">
        <v>5260</v>
      </c>
      <c r="H234" s="49"/>
      <c r="I234" s="22"/>
      <c r="O234" s="21"/>
    </row>
    <row r="235" spans="1:15" customFormat="1" ht="15" x14ac:dyDescent="0.25">
      <c r="A235" s="48" t="str">
        <f t="shared" si="11"/>
        <v>dpi_vdd_dyn_2K_|_2048x1080x30_fps_24b_|_3p3V</v>
      </c>
      <c r="B235" s="48" t="s">
        <v>5264</v>
      </c>
      <c r="C235" s="48" t="s">
        <v>5255</v>
      </c>
      <c r="D235" s="48" t="s">
        <v>5067</v>
      </c>
      <c r="E235" s="48" t="s">
        <v>5195</v>
      </c>
      <c r="F235" s="14">
        <v>2.5188618470400002E-5</v>
      </c>
      <c r="G235" s="48" t="s">
        <v>5260</v>
      </c>
      <c r="H235" s="49"/>
      <c r="I235" s="22"/>
      <c r="O235" s="21"/>
    </row>
    <row r="236" spans="1:15" customFormat="1" ht="15" x14ac:dyDescent="0.25">
      <c r="A236" s="48" t="str">
        <f t="shared" si="11"/>
        <v>dpi_vdd_dyn_2K_|_2048x1080x60_fps_18b_|_1p8V</v>
      </c>
      <c r="B236" s="48" t="s">
        <v>5264</v>
      </c>
      <c r="C236" s="48" t="s">
        <v>5255</v>
      </c>
      <c r="D236" s="48" t="s">
        <v>5068</v>
      </c>
      <c r="E236" s="48" t="s">
        <v>5195</v>
      </c>
      <c r="F236" s="14">
        <v>2.5188618470400002E-5</v>
      </c>
      <c r="G236" s="48" t="s">
        <v>5260</v>
      </c>
      <c r="H236" s="49"/>
      <c r="I236" s="22"/>
      <c r="O236" s="21"/>
    </row>
    <row r="237" spans="1:15" customFormat="1" ht="15" x14ac:dyDescent="0.25">
      <c r="A237" s="48" t="str">
        <f t="shared" si="11"/>
        <v>dpi_vdd_dyn_2K_|_2048x1080x60_fps_18b_|_3p3V</v>
      </c>
      <c r="B237" s="48" t="s">
        <v>5264</v>
      </c>
      <c r="C237" s="48" t="s">
        <v>5255</v>
      </c>
      <c r="D237" s="48" t="s">
        <v>5069</v>
      </c>
      <c r="E237" s="48" t="s">
        <v>5195</v>
      </c>
      <c r="F237" s="14">
        <v>5.0377236940800004E-5</v>
      </c>
      <c r="G237" s="48" t="s">
        <v>5260</v>
      </c>
      <c r="H237" s="49"/>
      <c r="I237" s="22"/>
      <c r="O237" s="21"/>
    </row>
    <row r="238" spans="1:15" customFormat="1" ht="15" x14ac:dyDescent="0.25">
      <c r="A238" s="48" t="str">
        <f t="shared" si="11"/>
        <v>dpi_vdd_dyn_2K_|_2048x1080x60_fps_24b_|_1p8V</v>
      </c>
      <c r="B238" s="48" t="s">
        <v>5264</v>
      </c>
      <c r="C238" s="48" t="s">
        <v>5255</v>
      </c>
      <c r="D238" s="48" t="s">
        <v>5070</v>
      </c>
      <c r="E238" s="48" t="s">
        <v>5195</v>
      </c>
      <c r="F238" s="14">
        <v>5.0377236940800004E-5</v>
      </c>
      <c r="G238" s="48" t="s">
        <v>5260</v>
      </c>
      <c r="H238" s="49"/>
      <c r="I238" s="22"/>
      <c r="O238" s="21"/>
    </row>
    <row r="239" spans="1:15" customFormat="1" ht="15" x14ac:dyDescent="0.25">
      <c r="A239" s="48" t="str">
        <f t="shared" si="11"/>
        <v>dpi_vdd_dyn_2K_|_2048x1080x60_fps_24b_|_3p3V</v>
      </c>
      <c r="B239" s="48" t="s">
        <v>5264</v>
      </c>
      <c r="C239" s="48" t="s">
        <v>5255</v>
      </c>
      <c r="D239" s="48" t="s">
        <v>5071</v>
      </c>
      <c r="E239" s="48" t="s">
        <v>5195</v>
      </c>
      <c r="F239" s="14">
        <v>5.0377236940800004E-5</v>
      </c>
      <c r="G239" s="48" t="s">
        <v>5260</v>
      </c>
      <c r="H239" s="49"/>
      <c r="I239" s="22"/>
      <c r="O239" s="21"/>
    </row>
    <row r="240" spans="1:15" customFormat="1" ht="15" x14ac:dyDescent="0.25">
      <c r="A240" s="48" t="str">
        <f t="shared" si="11"/>
        <v>dpi_vdd_dyn_Full_HD_|_1920x1080x30_fps_12b_|_1p8V</v>
      </c>
      <c r="B240" s="48" t="s">
        <v>5264</v>
      </c>
      <c r="C240" s="48" t="s">
        <v>5255</v>
      </c>
      <c r="D240" s="48" t="s">
        <v>5048</v>
      </c>
      <c r="E240" s="48" t="s">
        <v>5195</v>
      </c>
      <c r="F240" s="14">
        <v>3.2890507884748802E-5</v>
      </c>
      <c r="G240" s="48" t="s">
        <v>5260</v>
      </c>
      <c r="H240" s="49"/>
      <c r="I240" s="22"/>
      <c r="O240" s="21"/>
    </row>
    <row r="241" spans="1:15" customFormat="1" ht="15" x14ac:dyDescent="0.25">
      <c r="A241" s="48" t="str">
        <f t="shared" si="11"/>
        <v>dpi_vdd_dyn_Full_HD_|_1920x1080x30_fps_12b_|_3p3V</v>
      </c>
      <c r="B241" s="48" t="s">
        <v>5264</v>
      </c>
      <c r="C241" s="48" t="s">
        <v>5255</v>
      </c>
      <c r="D241" s="48" t="s">
        <v>5049</v>
      </c>
      <c r="E241" s="48" t="s">
        <v>5195</v>
      </c>
      <c r="F241" s="14">
        <v>2.3715599846400005E-5</v>
      </c>
      <c r="G241" s="48" t="s">
        <v>5260</v>
      </c>
      <c r="H241" s="49"/>
      <c r="I241" s="22"/>
      <c r="O241" s="21"/>
    </row>
    <row r="242" spans="1:15" customFormat="1" ht="15" x14ac:dyDescent="0.25">
      <c r="A242" s="48" t="str">
        <f t="shared" si="11"/>
        <v>dpi_vdd_dyn_Full_HD_|_1920x1080x30_fps_16b_|_1p8V</v>
      </c>
      <c r="B242" s="48" t="s">
        <v>5264</v>
      </c>
      <c r="C242" s="48" t="s">
        <v>5255</v>
      </c>
      <c r="D242" s="48" t="s">
        <v>5050</v>
      </c>
      <c r="E242" s="48" t="s">
        <v>5195</v>
      </c>
      <c r="F242" s="14">
        <v>2.3715599846400005E-5</v>
      </c>
      <c r="G242" s="48" t="s">
        <v>5260</v>
      </c>
      <c r="H242" s="49"/>
      <c r="I242" s="22"/>
      <c r="O242" s="21"/>
    </row>
    <row r="243" spans="1:15" customFormat="1" ht="15" x14ac:dyDescent="0.25">
      <c r="A243" s="48" t="str">
        <f t="shared" si="11"/>
        <v>dpi_vdd_dyn_Full_HD_|_1920x1080x30_fps_16b_|_3p3V</v>
      </c>
      <c r="B243" s="48" t="s">
        <v>5264</v>
      </c>
      <c r="C243" s="48" t="s">
        <v>5255</v>
      </c>
      <c r="D243" s="48" t="s">
        <v>5051</v>
      </c>
      <c r="E243" s="48" t="s">
        <v>5195</v>
      </c>
      <c r="F243" s="14">
        <v>2.3715599846400005E-5</v>
      </c>
      <c r="G243" s="48" t="s">
        <v>5260</v>
      </c>
      <c r="H243" s="49"/>
      <c r="I243" s="22"/>
      <c r="O243" s="21"/>
    </row>
    <row r="244" spans="1:15" customFormat="1" ht="15" x14ac:dyDescent="0.25">
      <c r="A244" s="48" t="str">
        <f t="shared" si="11"/>
        <v>dpi_vdd_dyn_Full_HD_|_1920x1080x30_fps_18b_|_1p8V</v>
      </c>
      <c r="B244" s="48" t="s">
        <v>5264</v>
      </c>
      <c r="C244" s="48" t="s">
        <v>5255</v>
      </c>
      <c r="D244" s="48" t="s">
        <v>5052</v>
      </c>
      <c r="E244" s="48" t="s">
        <v>5195</v>
      </c>
      <c r="F244" s="14">
        <v>2.3715599846400005E-5</v>
      </c>
      <c r="G244" s="48" t="s">
        <v>5260</v>
      </c>
      <c r="H244" s="49"/>
      <c r="I244" s="22"/>
      <c r="O244" s="21"/>
    </row>
    <row r="245" spans="1:15" customFormat="1" ht="15" x14ac:dyDescent="0.25">
      <c r="A245" s="48" t="str">
        <f t="shared" si="11"/>
        <v>dpi_vdd_dyn_Full_HD_|_1920x1080x30_fps_18b_|_3p3V</v>
      </c>
      <c r="B245" s="48" t="s">
        <v>5264</v>
      </c>
      <c r="C245" s="48" t="s">
        <v>5255</v>
      </c>
      <c r="D245" s="48" t="s">
        <v>5053</v>
      </c>
      <c r="E245" s="48" t="s">
        <v>5195</v>
      </c>
      <c r="F245" s="14">
        <v>2.5413137519616004E-5</v>
      </c>
      <c r="G245" s="48" t="s">
        <v>5260</v>
      </c>
      <c r="H245" s="49"/>
      <c r="I245" s="22"/>
      <c r="O245" s="21"/>
    </row>
    <row r="246" spans="1:15" customFormat="1" ht="15" x14ac:dyDescent="0.25">
      <c r="A246" s="48" t="str">
        <f t="shared" si="11"/>
        <v>dpi_vdd_dyn_Full_HD_|_1920x1080x30_fps_24b_|_1p8V</v>
      </c>
      <c r="B246" s="48" t="s">
        <v>5264</v>
      </c>
      <c r="C246" s="48" t="s">
        <v>5255</v>
      </c>
      <c r="D246" s="48" t="s">
        <v>5054</v>
      </c>
      <c r="E246" s="48" t="s">
        <v>5195</v>
      </c>
      <c r="F246" s="14">
        <v>2.5413137519616004E-5</v>
      </c>
      <c r="G246" s="48" t="s">
        <v>5260</v>
      </c>
      <c r="H246" s="49"/>
      <c r="I246" s="22"/>
      <c r="O246" s="21"/>
    </row>
    <row r="247" spans="1:15" customFormat="1" ht="15" x14ac:dyDescent="0.25">
      <c r="A247" s="48" t="str">
        <f t="shared" si="11"/>
        <v>dpi_vdd_dyn_Full_HD_|_1920x1080x30_fps_24b_|_3p3V</v>
      </c>
      <c r="B247" s="48" t="s">
        <v>5264</v>
      </c>
      <c r="C247" s="48" t="s">
        <v>5255</v>
      </c>
      <c r="D247" s="48" t="s">
        <v>5055</v>
      </c>
      <c r="E247" s="48" t="s">
        <v>5195</v>
      </c>
      <c r="F247" s="14">
        <v>2.5413137519616004E-5</v>
      </c>
      <c r="G247" s="48" t="s">
        <v>5260</v>
      </c>
      <c r="H247" s="49"/>
      <c r="I247" s="22"/>
      <c r="O247" s="21"/>
    </row>
    <row r="248" spans="1:15" customFormat="1" ht="15" x14ac:dyDescent="0.25">
      <c r="A248" s="48" t="str">
        <f t="shared" si="11"/>
        <v>dpi_vdd_dyn_Full_HD_|_1920x1080x60_fps_12b_|_1p8V</v>
      </c>
      <c r="B248" s="48" t="s">
        <v>5264</v>
      </c>
      <c r="C248" s="48" t="s">
        <v>5255</v>
      </c>
      <c r="D248" s="48" t="s">
        <v>5056</v>
      </c>
      <c r="E248" s="48" t="s">
        <v>5195</v>
      </c>
      <c r="F248" s="14">
        <v>2.5413137519616004E-5</v>
      </c>
      <c r="G248" s="48" t="s">
        <v>5260</v>
      </c>
      <c r="H248" s="49"/>
      <c r="I248" s="22"/>
      <c r="O248" s="21"/>
    </row>
    <row r="249" spans="1:15" customFormat="1" ht="15" x14ac:dyDescent="0.25">
      <c r="A249" s="48" t="str">
        <f t="shared" si="11"/>
        <v>dpi_vdd_dyn_Full_HD_|_1920x1080x60_fps_12b_|_3p3V</v>
      </c>
      <c r="B249" s="48" t="s">
        <v>5264</v>
      </c>
      <c r="C249" s="48" t="s">
        <v>5255</v>
      </c>
      <c r="D249" s="48" t="s">
        <v>5057</v>
      </c>
      <c r="E249" s="48" t="s">
        <v>5195</v>
      </c>
      <c r="F249" s="14">
        <v>4.7431199692800009E-5</v>
      </c>
      <c r="G249" s="48" t="s">
        <v>5260</v>
      </c>
      <c r="H249" s="49"/>
      <c r="I249" s="22"/>
      <c r="O249" s="21"/>
    </row>
    <row r="250" spans="1:15" customFormat="1" ht="15" x14ac:dyDescent="0.25">
      <c r="A250" s="48" t="str">
        <f t="shared" si="11"/>
        <v>dpi_vdd_dyn_Full_HD_|_1920x1080x60_fps_16b_|_1p8V</v>
      </c>
      <c r="B250" s="48" t="s">
        <v>5264</v>
      </c>
      <c r="C250" s="48" t="s">
        <v>5255</v>
      </c>
      <c r="D250" s="48" t="s">
        <v>5058</v>
      </c>
      <c r="E250" s="48" t="s">
        <v>5195</v>
      </c>
      <c r="F250" s="14">
        <v>4.7431199692800009E-5</v>
      </c>
      <c r="G250" s="48" t="s">
        <v>5260</v>
      </c>
      <c r="H250" s="49"/>
      <c r="I250" s="22"/>
      <c r="O250" s="21"/>
    </row>
    <row r="251" spans="1:15" customFormat="1" ht="15" x14ac:dyDescent="0.25">
      <c r="A251" s="48" t="str">
        <f t="shared" si="11"/>
        <v>dpi_vdd_dyn_Full_HD_|_1920x1080x60_fps_16b_|_3p3V</v>
      </c>
      <c r="B251" s="48" t="s">
        <v>5264</v>
      </c>
      <c r="C251" s="48" t="s">
        <v>5255</v>
      </c>
      <c r="D251" s="48" t="s">
        <v>5059</v>
      </c>
      <c r="E251" s="48" t="s">
        <v>5195</v>
      </c>
      <c r="F251" s="14">
        <v>4.7431199692800009E-5</v>
      </c>
      <c r="G251" s="48" t="s">
        <v>5260</v>
      </c>
      <c r="H251" s="49"/>
      <c r="I251" s="22"/>
      <c r="O251" s="21"/>
    </row>
    <row r="252" spans="1:15" customFormat="1" ht="15" x14ac:dyDescent="0.25">
      <c r="A252" s="48" t="str">
        <f t="shared" si="11"/>
        <v>dpi_vdd_dyn_Full_HD_|_1920x1080x60_fps_18b_|_1p8V</v>
      </c>
      <c r="B252" s="48" t="s">
        <v>5264</v>
      </c>
      <c r="C252" s="48" t="s">
        <v>5255</v>
      </c>
      <c r="D252" s="48" t="s">
        <v>5060</v>
      </c>
      <c r="E252" s="48" t="s">
        <v>5195</v>
      </c>
      <c r="F252" s="14">
        <v>4.7431199692800009E-5</v>
      </c>
      <c r="G252" s="48" t="s">
        <v>5260</v>
      </c>
      <c r="H252" s="49"/>
      <c r="I252" s="22"/>
      <c r="O252" s="21"/>
    </row>
    <row r="253" spans="1:15" customFormat="1" ht="15" x14ac:dyDescent="0.25">
      <c r="A253" s="48" t="str">
        <f t="shared" si="11"/>
        <v>dpi_vdd_dyn_Full_HD_|_1920x1080x60_fps_18b_|_3p3V</v>
      </c>
      <c r="B253" s="48" t="s">
        <v>5264</v>
      </c>
      <c r="C253" s="48" t="s">
        <v>5255</v>
      </c>
      <c r="D253" s="48" t="s">
        <v>5061</v>
      </c>
      <c r="E253" s="48" t="s">
        <v>5195</v>
      </c>
      <c r="F253" s="14">
        <v>5.0826275039232008E-5</v>
      </c>
      <c r="G253" s="48" t="s">
        <v>5260</v>
      </c>
      <c r="H253" s="49"/>
      <c r="I253" s="22"/>
      <c r="O253" s="21"/>
    </row>
    <row r="254" spans="1:15" customFormat="1" ht="15" x14ac:dyDescent="0.25">
      <c r="A254" s="48" t="str">
        <f t="shared" si="11"/>
        <v>dpi_vdd_dyn_Full_HD_|_1920x1080x60_fps_24b_|_1p8V</v>
      </c>
      <c r="B254" s="48" t="s">
        <v>5264</v>
      </c>
      <c r="C254" s="48" t="s">
        <v>5255</v>
      </c>
      <c r="D254" s="48" t="s">
        <v>5062</v>
      </c>
      <c r="E254" s="48" t="s">
        <v>5195</v>
      </c>
      <c r="F254" s="14">
        <v>5.0826275039232008E-5</v>
      </c>
      <c r="G254" s="48" t="s">
        <v>5260</v>
      </c>
      <c r="H254" s="49"/>
      <c r="I254" s="22"/>
      <c r="O254" s="21"/>
    </row>
    <row r="255" spans="1:15" customFormat="1" ht="15" x14ac:dyDescent="0.25">
      <c r="A255" s="48" t="str">
        <f t="shared" si="11"/>
        <v>dpi_vdd_dyn_Full_HD_|_1920x1080x60_fps_24b_|_3p3V</v>
      </c>
      <c r="B255" s="48" t="s">
        <v>5264</v>
      </c>
      <c r="C255" s="48" t="s">
        <v>5255</v>
      </c>
      <c r="D255" s="48" t="s">
        <v>5063</v>
      </c>
      <c r="E255" s="48" t="s">
        <v>5195</v>
      </c>
      <c r="F255" s="14">
        <v>5.0826275039232008E-5</v>
      </c>
      <c r="G255" s="48" t="s">
        <v>5260</v>
      </c>
      <c r="H255" s="49"/>
      <c r="I255" s="22"/>
      <c r="O255" s="21"/>
    </row>
    <row r="256" spans="1:15" customFormat="1" ht="15" x14ac:dyDescent="0.25">
      <c r="A256" s="48" t="str">
        <f t="shared" si="11"/>
        <v>dpi_vdd_dyn_Full_HD_|_1920x720x30_fps_12b_|_1p8V</v>
      </c>
      <c r="B256" s="48" t="s">
        <v>5264</v>
      </c>
      <c r="C256" s="48" t="s">
        <v>5255</v>
      </c>
      <c r="D256" s="48" t="s">
        <v>5032</v>
      </c>
      <c r="E256" s="48" t="s">
        <v>5195</v>
      </c>
      <c r="F256" s="14">
        <v>4.7374812429120002E-5</v>
      </c>
      <c r="G256" s="48" t="s">
        <v>5260</v>
      </c>
      <c r="H256" s="49"/>
      <c r="I256" s="22"/>
      <c r="O256" s="21"/>
    </row>
    <row r="257" spans="1:15" customFormat="1" ht="15" x14ac:dyDescent="0.25">
      <c r="A257" s="48" t="str">
        <f t="shared" si="11"/>
        <v>dpi_vdd_dyn_Full_HD_|_1920x720x30_fps_12b_|_3p3V</v>
      </c>
      <c r="B257" s="48" t="s">
        <v>5264</v>
      </c>
      <c r="C257" s="48" t="s">
        <v>5255</v>
      </c>
      <c r="D257" s="48" t="s">
        <v>5033</v>
      </c>
      <c r="E257" s="48" t="s">
        <v>5195</v>
      </c>
      <c r="F257" s="14">
        <v>1.5346749749760003E-5</v>
      </c>
      <c r="G257" s="48" t="s">
        <v>5260</v>
      </c>
      <c r="H257" s="49"/>
      <c r="I257" s="22"/>
      <c r="O257" s="21"/>
    </row>
    <row r="258" spans="1:15" customFormat="1" ht="15" x14ac:dyDescent="0.25">
      <c r="A258" s="48" t="str">
        <f t="shared" si="11"/>
        <v>dpi_vdd_dyn_Full_HD_|_1920x720x30_fps_16b_|_1p8V</v>
      </c>
      <c r="B258" s="48" t="s">
        <v>5264</v>
      </c>
      <c r="C258" s="48" t="s">
        <v>5255</v>
      </c>
      <c r="D258" s="48" t="s">
        <v>5034</v>
      </c>
      <c r="E258" s="48" t="s">
        <v>5195</v>
      </c>
      <c r="F258" s="14">
        <v>1.5346749749760003E-5</v>
      </c>
      <c r="G258" s="48" t="s">
        <v>5260</v>
      </c>
      <c r="H258" s="49"/>
      <c r="I258" s="22"/>
      <c r="O258" s="21"/>
    </row>
    <row r="259" spans="1:15" customFormat="1" ht="15" x14ac:dyDescent="0.25">
      <c r="A259" s="48" t="str">
        <f t="shared" si="11"/>
        <v>dpi_vdd_dyn_Full_HD_|_1920x720x30_fps_16b_|_3p3V</v>
      </c>
      <c r="B259" s="48" t="s">
        <v>5264</v>
      </c>
      <c r="C259" s="48" t="s">
        <v>5255</v>
      </c>
      <c r="D259" s="48" t="s">
        <v>5035</v>
      </c>
      <c r="E259" s="48" t="s">
        <v>5195</v>
      </c>
      <c r="F259" s="14">
        <v>1.5346749749760003E-5</v>
      </c>
      <c r="G259" s="48" t="s">
        <v>5260</v>
      </c>
      <c r="H259" s="49"/>
      <c r="I259" s="22"/>
      <c r="O259" s="21"/>
    </row>
    <row r="260" spans="1:15" customFormat="1" ht="15" x14ac:dyDescent="0.25">
      <c r="A260" s="48" t="str">
        <f t="shared" si="11"/>
        <v>dpi_vdd_dyn_Full_HD_|_1920x720x30_fps_18b_|_1p8V</v>
      </c>
      <c r="B260" s="48" t="s">
        <v>5264</v>
      </c>
      <c r="C260" s="48" t="s">
        <v>5255</v>
      </c>
      <c r="D260" s="48" t="s">
        <v>5036</v>
      </c>
      <c r="E260" s="48" t="s">
        <v>5195</v>
      </c>
      <c r="F260" s="14">
        <v>1.5346749749760003E-5</v>
      </c>
      <c r="G260" s="48" t="s">
        <v>5260</v>
      </c>
      <c r="H260" s="49"/>
      <c r="I260" s="22"/>
      <c r="O260" s="21"/>
    </row>
    <row r="261" spans="1:15" customFormat="1" ht="15" x14ac:dyDescent="0.25">
      <c r="A261" s="48" t="str">
        <f t="shared" si="11"/>
        <v>dpi_vdd_dyn_Full_HD_|_1920x720x30_fps_18b_|_3p3V</v>
      </c>
      <c r="B261" s="48" t="s">
        <v>5264</v>
      </c>
      <c r="C261" s="48" t="s">
        <v>5255</v>
      </c>
      <c r="D261" s="48" t="s">
        <v>5037</v>
      </c>
      <c r="E261" s="48" t="s">
        <v>5195</v>
      </c>
      <c r="F261" s="14">
        <v>1.6445253942374401E-5</v>
      </c>
      <c r="G261" s="48" t="s">
        <v>5260</v>
      </c>
      <c r="H261" s="49"/>
      <c r="I261" s="22"/>
      <c r="O261" s="21"/>
    </row>
    <row r="262" spans="1:15" customFormat="1" ht="15" x14ac:dyDescent="0.25">
      <c r="A262" s="48" t="str">
        <f t="shared" si="11"/>
        <v>dpi_vdd_dyn_Full_HD_|_1920x720x30_fps_24b_|_1p8V</v>
      </c>
      <c r="B262" s="48" t="s">
        <v>5264</v>
      </c>
      <c r="C262" s="48" t="s">
        <v>5255</v>
      </c>
      <c r="D262" s="48" t="s">
        <v>5038</v>
      </c>
      <c r="E262" s="48" t="s">
        <v>5195</v>
      </c>
      <c r="F262" s="14">
        <v>1.6445253942374401E-5</v>
      </c>
      <c r="G262" s="48" t="s">
        <v>5260</v>
      </c>
      <c r="H262" s="49"/>
      <c r="I262" s="22"/>
      <c r="O262" s="21"/>
    </row>
    <row r="263" spans="1:15" customFormat="1" ht="15" x14ac:dyDescent="0.25">
      <c r="A263" s="48" t="str">
        <f t="shared" si="11"/>
        <v>dpi_vdd_dyn_Full_HD_|_1920x720x30_fps_24b_|_3p3V</v>
      </c>
      <c r="B263" s="48" t="s">
        <v>5264</v>
      </c>
      <c r="C263" s="48" t="s">
        <v>5255</v>
      </c>
      <c r="D263" s="48" t="s">
        <v>5039</v>
      </c>
      <c r="E263" s="48" t="s">
        <v>5195</v>
      </c>
      <c r="F263" s="14">
        <v>1.6445253942374401E-5</v>
      </c>
      <c r="G263" s="48" t="s">
        <v>5260</v>
      </c>
      <c r="H263" s="49"/>
      <c r="I263" s="22"/>
      <c r="O263" s="21"/>
    </row>
    <row r="264" spans="1:15" customFormat="1" ht="15" x14ac:dyDescent="0.25">
      <c r="A264" s="48" t="str">
        <f t="shared" si="11"/>
        <v>dpi_vdd_dyn_Full_HD_|_1920x720x60_fps_12b_|_1p8V</v>
      </c>
      <c r="B264" s="48" t="s">
        <v>5264</v>
      </c>
      <c r="C264" s="48" t="s">
        <v>5255</v>
      </c>
      <c r="D264" s="48" t="s">
        <v>5040</v>
      </c>
      <c r="E264" s="48" t="s">
        <v>5195</v>
      </c>
      <c r="F264" s="14">
        <v>1.6445253942374401E-5</v>
      </c>
      <c r="G264" s="48" t="s">
        <v>5260</v>
      </c>
      <c r="H264" s="49"/>
      <c r="I264" s="22"/>
      <c r="O264" s="21"/>
    </row>
    <row r="265" spans="1:15" customFormat="1" ht="15" x14ac:dyDescent="0.25">
      <c r="A265" s="48" t="str">
        <f t="shared" si="11"/>
        <v>dpi_vdd_dyn_Full_HD_|_1920x720x60_fps_12b_|_3p3V</v>
      </c>
      <c r="B265" s="48" t="s">
        <v>5264</v>
      </c>
      <c r="C265" s="48" t="s">
        <v>5255</v>
      </c>
      <c r="D265" s="48" t="s">
        <v>5041</v>
      </c>
      <c r="E265" s="48" t="s">
        <v>5195</v>
      </c>
      <c r="F265" s="14">
        <v>3.0693499499520006E-5</v>
      </c>
      <c r="G265" s="48" t="s">
        <v>5260</v>
      </c>
      <c r="H265" s="49"/>
      <c r="I265" s="22"/>
      <c r="O265" s="21"/>
    </row>
    <row r="266" spans="1:15" customFormat="1" ht="15" x14ac:dyDescent="0.25">
      <c r="A266" s="48" t="str">
        <f t="shared" si="11"/>
        <v>dpi_vdd_dyn_Full_HD_|_1920x720x60_fps_16b_|_1p8V</v>
      </c>
      <c r="B266" s="48" t="s">
        <v>5264</v>
      </c>
      <c r="C266" s="48" t="s">
        <v>5255</v>
      </c>
      <c r="D266" s="48" t="s">
        <v>5042</v>
      </c>
      <c r="E266" s="48" t="s">
        <v>5195</v>
      </c>
      <c r="F266" s="14">
        <v>3.0693499499520006E-5</v>
      </c>
      <c r="G266" s="48" t="s">
        <v>5260</v>
      </c>
      <c r="H266" s="49"/>
      <c r="I266" s="22"/>
      <c r="O266" s="21"/>
    </row>
    <row r="267" spans="1:15" customFormat="1" ht="15" x14ac:dyDescent="0.25">
      <c r="A267" s="48" t="str">
        <f t="shared" si="11"/>
        <v>dpi_vdd_dyn_Full_HD_|_1920x720x60_fps_16b_|_3p3V</v>
      </c>
      <c r="B267" s="48" t="s">
        <v>5264</v>
      </c>
      <c r="C267" s="48" t="s">
        <v>5255</v>
      </c>
      <c r="D267" s="48" t="s">
        <v>5043</v>
      </c>
      <c r="E267" s="48" t="s">
        <v>5195</v>
      </c>
      <c r="F267" s="14">
        <v>3.0693499499520006E-5</v>
      </c>
      <c r="G267" s="48" t="s">
        <v>5260</v>
      </c>
      <c r="H267" s="49"/>
      <c r="I267" s="22"/>
      <c r="O267" s="21"/>
    </row>
    <row r="268" spans="1:15" customFormat="1" ht="15" x14ac:dyDescent="0.25">
      <c r="A268" s="48" t="str">
        <f t="shared" si="11"/>
        <v>dpi_vdd_dyn_Full_HD_|_1920x720x60_fps_18b_|_1p8V</v>
      </c>
      <c r="B268" s="48" t="s">
        <v>5264</v>
      </c>
      <c r="C268" s="48" t="s">
        <v>5255</v>
      </c>
      <c r="D268" s="48" t="s">
        <v>5044</v>
      </c>
      <c r="E268" s="48" t="s">
        <v>5195</v>
      </c>
      <c r="F268" s="14">
        <v>3.0693499499520006E-5</v>
      </c>
      <c r="G268" s="48" t="s">
        <v>5260</v>
      </c>
      <c r="H268" s="49"/>
      <c r="I268" s="22"/>
      <c r="O268" s="21"/>
    </row>
    <row r="269" spans="1:15" customFormat="1" ht="15" x14ac:dyDescent="0.25">
      <c r="A269" s="48" t="str">
        <f t="shared" si="11"/>
        <v>dpi_vdd_dyn_Full_HD_|_1920x720x60_fps_18b_|_3p3V</v>
      </c>
      <c r="B269" s="48" t="s">
        <v>5264</v>
      </c>
      <c r="C269" s="48" t="s">
        <v>5255</v>
      </c>
      <c r="D269" s="48" t="s">
        <v>5045</v>
      </c>
      <c r="E269" s="48" t="s">
        <v>5195</v>
      </c>
      <c r="F269" s="14">
        <v>3.2890507884748802E-5</v>
      </c>
      <c r="G269" s="48" t="s">
        <v>5260</v>
      </c>
      <c r="H269" s="49"/>
      <c r="I269" s="22"/>
      <c r="O269" s="21"/>
    </row>
    <row r="270" spans="1:15" customFormat="1" ht="15" x14ac:dyDescent="0.25">
      <c r="A270" s="48" t="str">
        <f t="shared" si="11"/>
        <v>dpi_vdd_dyn_Full_HD_|_1920x720x60_fps_24b_|_1p8V</v>
      </c>
      <c r="B270" s="48" t="s">
        <v>5264</v>
      </c>
      <c r="C270" s="48" t="s">
        <v>5255</v>
      </c>
      <c r="D270" s="48" t="s">
        <v>5046</v>
      </c>
      <c r="E270" s="48" t="s">
        <v>5195</v>
      </c>
      <c r="F270" s="14">
        <v>3.2890507884748802E-5</v>
      </c>
      <c r="G270" s="48" t="s">
        <v>5260</v>
      </c>
      <c r="H270" s="49"/>
      <c r="I270" s="22"/>
      <c r="O270" s="21"/>
    </row>
    <row r="271" spans="1:15" customFormat="1" ht="15" x14ac:dyDescent="0.25">
      <c r="A271" s="48" t="str">
        <f t="shared" si="11"/>
        <v>dpi_vdd_dyn_Full_HD_|_1920x720x60_fps_24b_|_3p3V</v>
      </c>
      <c r="B271" s="48" t="s">
        <v>5264</v>
      </c>
      <c r="C271" s="48" t="s">
        <v>5255</v>
      </c>
      <c r="D271" s="48" t="s">
        <v>5047</v>
      </c>
      <c r="E271" s="48" t="s">
        <v>5195</v>
      </c>
      <c r="F271" s="14">
        <v>3.2890507884748802E-5</v>
      </c>
      <c r="G271" s="48" t="s">
        <v>5260</v>
      </c>
      <c r="H271" s="49"/>
      <c r="I271" s="22"/>
      <c r="O271" s="21"/>
    </row>
    <row r="272" spans="1:15" customFormat="1" ht="15" x14ac:dyDescent="0.25">
      <c r="A272" s="48" t="str">
        <f t="shared" si="11"/>
        <v>dpi_vdd_dyn_HD_|_1280x720x30_fps_12b_|_1p8V</v>
      </c>
      <c r="B272" s="48" t="s">
        <v>5264</v>
      </c>
      <c r="C272" s="48" t="s">
        <v>5255</v>
      </c>
      <c r="D272" s="48" t="s">
        <v>4951</v>
      </c>
      <c r="E272" s="48" t="s">
        <v>5195</v>
      </c>
      <c r="F272" s="14">
        <v>2.2410358043673598E-5</v>
      </c>
      <c r="G272" s="48" t="s">
        <v>5260</v>
      </c>
      <c r="H272" s="49"/>
      <c r="I272" s="22"/>
      <c r="O272" s="21"/>
    </row>
    <row r="273" spans="1:15" customFormat="1" ht="15" x14ac:dyDescent="0.25">
      <c r="A273" s="48" t="str">
        <f t="shared" si="11"/>
        <v>dpi_vdd_dyn_HD_|_1280x720x30_fps_12b_|_3p3V</v>
      </c>
      <c r="B273" s="48" t="s">
        <v>5264</v>
      </c>
      <c r="C273" s="48" t="s">
        <v>5255</v>
      </c>
      <c r="D273" s="48" t="s">
        <v>4952</v>
      </c>
      <c r="E273" s="48" t="s">
        <v>5195</v>
      </c>
      <c r="F273" s="14">
        <v>1.023116649984E-5</v>
      </c>
      <c r="G273" s="48" t="s">
        <v>5260</v>
      </c>
      <c r="H273" s="49"/>
      <c r="I273" s="22"/>
      <c r="O273" s="21"/>
    </row>
    <row r="274" spans="1:15" customFormat="1" ht="15" x14ac:dyDescent="0.25">
      <c r="A274" s="48" t="str">
        <f t="shared" si="11"/>
        <v>dpi_vdd_dyn_HD_|_1280x720x30_fps_16b_|_1p8V</v>
      </c>
      <c r="B274" s="48" t="s">
        <v>5264</v>
      </c>
      <c r="C274" s="48" t="s">
        <v>5255</v>
      </c>
      <c r="D274" s="48" t="s">
        <v>4953</v>
      </c>
      <c r="E274" s="48" t="s">
        <v>5195</v>
      </c>
      <c r="F274" s="14">
        <v>1.023116649984E-5</v>
      </c>
      <c r="G274" s="48" t="s">
        <v>5260</v>
      </c>
      <c r="H274" s="49"/>
      <c r="I274" s="22"/>
      <c r="O274" s="21"/>
    </row>
    <row r="275" spans="1:15" customFormat="1" ht="15" x14ac:dyDescent="0.25">
      <c r="A275" s="48" t="str">
        <f t="shared" si="11"/>
        <v>dpi_vdd_dyn_HD_|_1280x720x30_fps_16b_|_3p3V</v>
      </c>
      <c r="B275" s="48" t="s">
        <v>5264</v>
      </c>
      <c r="C275" s="48" t="s">
        <v>5255</v>
      </c>
      <c r="D275" s="48" t="s">
        <v>4954</v>
      </c>
      <c r="E275" s="48" t="s">
        <v>5195</v>
      </c>
      <c r="F275" s="14">
        <v>1.023116649984E-5</v>
      </c>
      <c r="G275" s="48" t="s">
        <v>5260</v>
      </c>
      <c r="H275" s="49"/>
      <c r="I275" s="22"/>
      <c r="O275" s="21"/>
    </row>
    <row r="276" spans="1:15" customFormat="1" ht="15" x14ac:dyDescent="0.25">
      <c r="A276" s="48" t="str">
        <f t="shared" si="11"/>
        <v>dpi_vdd_dyn_HD_|_1280x720x30_fps_24b_|_1p8V</v>
      </c>
      <c r="B276" s="48" t="s">
        <v>5264</v>
      </c>
      <c r="C276" s="48" t="s">
        <v>5255</v>
      </c>
      <c r="D276" s="48" t="s">
        <v>4955</v>
      </c>
      <c r="E276" s="48" t="s">
        <v>5195</v>
      </c>
      <c r="F276" s="14">
        <v>1.023116649984E-5</v>
      </c>
      <c r="G276" s="48" t="s">
        <v>5260</v>
      </c>
      <c r="H276" s="49"/>
      <c r="I276" s="22"/>
      <c r="O276" s="21"/>
    </row>
    <row r="277" spans="1:15" s="22" customFormat="1" ht="15" x14ac:dyDescent="0.25">
      <c r="A277" s="48" t="str">
        <f t="shared" si="11"/>
        <v>dpi_vdd_dyn_HD_|_1280x720x30_fps_24b_|_1p8V</v>
      </c>
      <c r="B277" s="48" t="s">
        <v>5264</v>
      </c>
      <c r="C277" s="48" t="s">
        <v>5255</v>
      </c>
      <c r="D277" s="48" t="s">
        <v>4955</v>
      </c>
      <c r="E277" s="48" t="s">
        <v>5195</v>
      </c>
      <c r="F277" s="14">
        <v>1.3160511013478397E-5</v>
      </c>
      <c r="G277" s="48" t="s">
        <v>5260</v>
      </c>
      <c r="H277" s="49"/>
      <c r="O277" s="21"/>
    </row>
    <row r="278" spans="1:15" customFormat="1" ht="15" x14ac:dyDescent="0.25">
      <c r="A278" s="48" t="str">
        <f t="shared" si="11"/>
        <v>dpi_vdd_dyn_HD_|_1280x720x30_fps_24b_|_3p3V</v>
      </c>
      <c r="B278" s="48" t="s">
        <v>5264</v>
      </c>
      <c r="C278" s="48" t="s">
        <v>5255</v>
      </c>
      <c r="D278" s="48" t="s">
        <v>4956</v>
      </c>
      <c r="E278" s="48" t="s">
        <v>5195</v>
      </c>
      <c r="F278" s="14">
        <v>1.3160511013478397E-5</v>
      </c>
      <c r="G278" s="48" t="s">
        <v>5260</v>
      </c>
      <c r="H278" s="49"/>
      <c r="I278" s="22"/>
      <c r="O278" s="21"/>
    </row>
    <row r="279" spans="1:15" customFormat="1" ht="15" x14ac:dyDescent="0.25">
      <c r="A279" s="48" t="str">
        <f t="shared" si="11"/>
        <v>dpi_vdd_dyn_HD_|_1280x720x30_fps_24b_|_3p3V</v>
      </c>
      <c r="B279" s="48" t="s">
        <v>5264</v>
      </c>
      <c r="C279" s="48" t="s">
        <v>5255</v>
      </c>
      <c r="D279" s="48" t="s">
        <v>4956</v>
      </c>
      <c r="E279" s="48" t="s">
        <v>5195</v>
      </c>
      <c r="F279" s="14">
        <v>1.3160511013478397E-5</v>
      </c>
      <c r="G279" s="48" t="s">
        <v>5260</v>
      </c>
      <c r="H279" s="49"/>
      <c r="I279" s="22"/>
      <c r="O279" s="21"/>
    </row>
    <row r="280" spans="1:15" customFormat="1" ht="15" x14ac:dyDescent="0.25">
      <c r="A280" s="48" t="str">
        <f t="shared" si="11"/>
        <v>dpi_vdd_dyn_HD_|_1280x720x60_fps_12b_|_1p8V</v>
      </c>
      <c r="B280" s="48" t="s">
        <v>5264</v>
      </c>
      <c r="C280" s="48" t="s">
        <v>5255</v>
      </c>
      <c r="D280" s="48" t="s">
        <v>4957</v>
      </c>
      <c r="E280" s="48" t="s">
        <v>5195</v>
      </c>
      <c r="F280" s="14">
        <v>1.3160511013478397E-5</v>
      </c>
      <c r="G280" s="48" t="s">
        <v>5260</v>
      </c>
      <c r="H280" s="49"/>
      <c r="I280" s="22"/>
      <c r="O280" s="21"/>
    </row>
    <row r="281" spans="1:15" customFormat="1" ht="15" x14ac:dyDescent="0.25">
      <c r="A281" s="48" t="str">
        <f t="shared" si="11"/>
        <v>dpi_vdd_dyn_HD_|_1280x720x60_fps_12b_|_3p3V</v>
      </c>
      <c r="B281" s="48" t="s">
        <v>5264</v>
      </c>
      <c r="C281" s="48" t="s">
        <v>5255</v>
      </c>
      <c r="D281" s="48" t="s">
        <v>4958</v>
      </c>
      <c r="E281" s="48" t="s">
        <v>5195</v>
      </c>
      <c r="F281" s="14">
        <v>2.046233299968E-5</v>
      </c>
      <c r="G281" s="48" t="s">
        <v>5260</v>
      </c>
      <c r="H281" s="49"/>
      <c r="I281" s="22"/>
      <c r="O281" s="21"/>
    </row>
    <row r="282" spans="1:15" customFormat="1" ht="15" x14ac:dyDescent="0.25">
      <c r="A282" s="48" t="str">
        <f t="shared" si="11"/>
        <v>dpi_vdd_dyn_HD_|_1280x720x60_fps_16b_|_1p8V</v>
      </c>
      <c r="B282" s="48" t="s">
        <v>5264</v>
      </c>
      <c r="C282" s="48" t="s">
        <v>5255</v>
      </c>
      <c r="D282" s="48" t="s">
        <v>4959</v>
      </c>
      <c r="E282" s="48" t="s">
        <v>5195</v>
      </c>
      <c r="F282" s="14">
        <v>2.046233299968E-5</v>
      </c>
      <c r="G282" s="48" t="s">
        <v>5260</v>
      </c>
      <c r="H282" s="49"/>
      <c r="I282" s="22"/>
      <c r="O282" s="21"/>
    </row>
    <row r="283" spans="1:15" customFormat="1" ht="15" x14ac:dyDescent="0.25">
      <c r="A283" s="48" t="str">
        <f t="shared" si="11"/>
        <v>dpi_vdd_dyn_HD_|_1280x720x60_fps_16b_|_3p3V</v>
      </c>
      <c r="B283" s="48" t="s">
        <v>5264</v>
      </c>
      <c r="C283" s="48" t="s">
        <v>5255</v>
      </c>
      <c r="D283" s="48" t="s">
        <v>4960</v>
      </c>
      <c r="E283" s="48" t="s">
        <v>5195</v>
      </c>
      <c r="F283" s="14">
        <v>2.046233299968E-5</v>
      </c>
      <c r="G283" s="48" t="s">
        <v>5260</v>
      </c>
      <c r="H283" s="49"/>
      <c r="I283" s="22"/>
      <c r="O283" s="21"/>
    </row>
    <row r="284" spans="1:15" customFormat="1" ht="15" x14ac:dyDescent="0.25">
      <c r="A284" s="48" t="str">
        <f t="shared" si="11"/>
        <v>dpi_vdd_dyn_HD_|_1280x720x60_fps_24b_|_1p8V</v>
      </c>
      <c r="B284" s="48" t="s">
        <v>5264</v>
      </c>
      <c r="C284" s="48" t="s">
        <v>5255</v>
      </c>
      <c r="D284" s="48" t="s">
        <v>4961</v>
      </c>
      <c r="E284" s="48" t="s">
        <v>5195</v>
      </c>
      <c r="F284" s="14">
        <v>2.046233299968E-5</v>
      </c>
      <c r="G284" s="48" t="s">
        <v>5260</v>
      </c>
      <c r="H284" s="49"/>
      <c r="I284" s="22"/>
      <c r="O284" s="21"/>
    </row>
    <row r="285" spans="1:15" customFormat="1" ht="15" x14ac:dyDescent="0.25">
      <c r="A285" s="48" t="str">
        <f t="shared" si="11"/>
        <v>dpi_vdd_dyn_HD_|_1280x720x60_fps_24b_|_1p8V</v>
      </c>
      <c r="B285" s="48" t="s">
        <v>5264</v>
      </c>
      <c r="C285" s="48" t="s">
        <v>5255</v>
      </c>
      <c r="D285" s="48" t="s">
        <v>4961</v>
      </c>
      <c r="E285" s="48" t="s">
        <v>5195</v>
      </c>
      <c r="F285" s="14">
        <v>2.6321022026956794E-5</v>
      </c>
      <c r="G285" s="48" t="s">
        <v>5260</v>
      </c>
      <c r="H285" s="49"/>
      <c r="I285" s="22"/>
      <c r="O285" s="21"/>
    </row>
    <row r="286" spans="1:15" customFormat="1" ht="15" x14ac:dyDescent="0.25">
      <c r="A286" s="48" t="str">
        <f t="shared" si="11"/>
        <v>dpi_vdd_dyn_HD_|_1280x720x60_fps_24b_|_3p3V</v>
      </c>
      <c r="B286" s="48" t="s">
        <v>5264</v>
      </c>
      <c r="C286" s="48" t="s">
        <v>5255</v>
      </c>
      <c r="D286" s="48" t="s">
        <v>4962</v>
      </c>
      <c r="E286" s="48" t="s">
        <v>5195</v>
      </c>
      <c r="F286" s="14">
        <v>2.6321022026956794E-5</v>
      </c>
      <c r="G286" s="48" t="s">
        <v>5260</v>
      </c>
      <c r="H286" s="49"/>
      <c r="I286" s="22"/>
      <c r="O286" s="21"/>
    </row>
    <row r="287" spans="1:15" customFormat="1" ht="15" x14ac:dyDescent="0.25">
      <c r="A287" s="48" t="str">
        <f t="shared" si="11"/>
        <v>dpi_vdd_dyn_HD_|_1280x720x60_fps_24b_|_3p3V</v>
      </c>
      <c r="B287" s="48" t="s">
        <v>5264</v>
      </c>
      <c r="C287" s="48" t="s">
        <v>5255</v>
      </c>
      <c r="D287" s="48" t="s">
        <v>4962</v>
      </c>
      <c r="E287" s="48" t="s">
        <v>5195</v>
      </c>
      <c r="F287" s="14">
        <v>2.6321022026956794E-5</v>
      </c>
      <c r="G287" s="48" t="s">
        <v>5260</v>
      </c>
      <c r="H287" s="49"/>
      <c r="I287" s="22"/>
      <c r="O287" s="21"/>
    </row>
    <row r="288" spans="1:15" customFormat="1" ht="15" x14ac:dyDescent="0.25">
      <c r="A288" s="48" t="str">
        <f t="shared" si="11"/>
        <v>dpi_vdd_dyn_HD+_|_1600x900x30_fps_12b_|_1p8V</v>
      </c>
      <c r="B288" s="48" t="s">
        <v>5264</v>
      </c>
      <c r="C288" s="48" t="s">
        <v>5255</v>
      </c>
      <c r="D288" s="48" t="s">
        <v>5001</v>
      </c>
      <c r="E288" s="48" t="s">
        <v>5195</v>
      </c>
      <c r="F288" s="14">
        <v>3.5760055871865602E-5</v>
      </c>
      <c r="G288" s="48" t="s">
        <v>5260</v>
      </c>
      <c r="H288" s="49"/>
      <c r="I288" s="22"/>
      <c r="O288" s="21"/>
    </row>
    <row r="289" spans="1:15" customFormat="1" ht="15" x14ac:dyDescent="0.25">
      <c r="A289" s="48" t="str">
        <f t="shared" si="11"/>
        <v>dpi_vdd_dyn_HD+_|_1600x900x30_fps_12b_|_3p3V</v>
      </c>
      <c r="B289" s="48" t="s">
        <v>5264</v>
      </c>
      <c r="C289" s="48" t="s">
        <v>5255</v>
      </c>
      <c r="D289" s="48" t="s">
        <v>5002</v>
      </c>
      <c r="E289" s="48" t="s">
        <v>5195</v>
      </c>
      <c r="F289" s="14">
        <v>1.6214778581760005E-5</v>
      </c>
      <c r="G289" s="48" t="s">
        <v>5260</v>
      </c>
      <c r="H289" s="49"/>
      <c r="I289" s="22"/>
      <c r="O289" s="21"/>
    </row>
    <row r="290" spans="1:15" customFormat="1" ht="15" x14ac:dyDescent="0.25">
      <c r="A290" s="48" t="str">
        <f t="shared" si="11"/>
        <v>dpi_vdd_dyn_HD+_|_1600x900x30_fps_16b_|_1p8V</v>
      </c>
      <c r="B290" s="48" t="s">
        <v>5264</v>
      </c>
      <c r="C290" s="48" t="s">
        <v>5255</v>
      </c>
      <c r="D290" s="48" t="s">
        <v>5003</v>
      </c>
      <c r="E290" s="48" t="s">
        <v>5195</v>
      </c>
      <c r="F290" s="14">
        <v>1.6214778581760005E-5</v>
      </c>
      <c r="G290" s="48" t="s">
        <v>5260</v>
      </c>
      <c r="H290" s="49"/>
      <c r="I290" s="22"/>
      <c r="O290" s="21"/>
    </row>
    <row r="291" spans="1:15" customFormat="1" ht="15" x14ac:dyDescent="0.25">
      <c r="A291" s="48" t="str">
        <f t="shared" si="11"/>
        <v>dpi_vdd_dyn_HD+_|_1600x900x30_fps_16b_|_3p3V</v>
      </c>
      <c r="B291" s="48" t="s">
        <v>5264</v>
      </c>
      <c r="C291" s="48" t="s">
        <v>5255</v>
      </c>
      <c r="D291" s="48" t="s">
        <v>5004</v>
      </c>
      <c r="E291" s="48" t="s">
        <v>5195</v>
      </c>
      <c r="F291" s="14">
        <v>1.6214778581760005E-5</v>
      </c>
      <c r="G291" s="48" t="s">
        <v>5260</v>
      </c>
      <c r="H291" s="49"/>
      <c r="I291" s="22"/>
      <c r="O291" s="21"/>
    </row>
    <row r="292" spans="1:15" customFormat="1" ht="15" x14ac:dyDescent="0.25">
      <c r="A292" s="48" t="str">
        <f t="shared" si="11"/>
        <v>dpi_vdd_dyn_HD+_|_1600x900x30_fps_18b_|_1p8V</v>
      </c>
      <c r="B292" s="48" t="s">
        <v>5264</v>
      </c>
      <c r="C292" s="48" t="s">
        <v>5255</v>
      </c>
      <c r="D292" s="48" t="s">
        <v>5005</v>
      </c>
      <c r="E292" s="48" t="s">
        <v>5195</v>
      </c>
      <c r="F292" s="14">
        <v>1.6214778581760005E-5</v>
      </c>
      <c r="G292" s="48" t="s">
        <v>5260</v>
      </c>
      <c r="H292" s="49"/>
      <c r="I292" s="22"/>
      <c r="O292" s="21"/>
    </row>
    <row r="293" spans="1:15" customFormat="1" ht="15" x14ac:dyDescent="0.25">
      <c r="A293" s="48" t="str">
        <f t="shared" si="11"/>
        <v>dpi_vdd_dyn_HD+_|_1600x900x30_fps_18b_|_3p3V</v>
      </c>
      <c r="B293" s="48" t="s">
        <v>5264</v>
      </c>
      <c r="C293" s="48" t="s">
        <v>5255</v>
      </c>
      <c r="D293" s="48" t="s">
        <v>5006</v>
      </c>
      <c r="E293" s="48" t="s">
        <v>5195</v>
      </c>
      <c r="F293" s="14">
        <v>1.7375415364454402E-5</v>
      </c>
      <c r="G293" s="48" t="s">
        <v>5260</v>
      </c>
      <c r="H293" s="49"/>
      <c r="I293" s="22"/>
      <c r="O293" s="21"/>
    </row>
    <row r="294" spans="1:15" customFormat="1" ht="15" x14ac:dyDescent="0.25">
      <c r="A294" s="48" t="str">
        <f t="shared" si="11"/>
        <v>dpi_vdd_dyn_HD+_|_1600x900x30_fps_24b_|_1p8V</v>
      </c>
      <c r="B294" s="48" t="s">
        <v>5264</v>
      </c>
      <c r="C294" s="48" t="s">
        <v>5255</v>
      </c>
      <c r="D294" s="48" t="s">
        <v>5007</v>
      </c>
      <c r="E294" s="48" t="s">
        <v>5195</v>
      </c>
      <c r="F294" s="14">
        <v>1.7375415364454402E-5</v>
      </c>
      <c r="G294" s="48" t="s">
        <v>5260</v>
      </c>
      <c r="H294" s="49"/>
      <c r="I294" s="22"/>
      <c r="O294" s="21"/>
    </row>
    <row r="295" spans="1:15" customFormat="1" ht="15" x14ac:dyDescent="0.25">
      <c r="A295" s="48" t="str">
        <f t="shared" si="11"/>
        <v>dpi_vdd_dyn_HD+_|_1600x900x30_fps_24b_|_3p3V</v>
      </c>
      <c r="B295" s="48" t="s">
        <v>5264</v>
      </c>
      <c r="C295" s="48" t="s">
        <v>5255</v>
      </c>
      <c r="D295" s="48" t="s">
        <v>5008</v>
      </c>
      <c r="E295" s="48" t="s">
        <v>5195</v>
      </c>
      <c r="F295" s="14">
        <v>1.7375415364454402E-5</v>
      </c>
      <c r="G295" s="48" t="s">
        <v>5260</v>
      </c>
      <c r="H295" s="49"/>
      <c r="I295" s="22"/>
      <c r="O295" s="21"/>
    </row>
    <row r="296" spans="1:15" customFormat="1" ht="15" x14ac:dyDescent="0.25">
      <c r="A296" s="48" t="str">
        <f t="shared" ref="A296:A359" si="12">B296&amp;"_"&amp;C296&amp;"_"&amp;D296</f>
        <v>dpi_vdd_dyn_HD+_|_1600x900x60_fps_12b_|_1p8V</v>
      </c>
      <c r="B296" s="48" t="s">
        <v>5264</v>
      </c>
      <c r="C296" s="48" t="s">
        <v>5255</v>
      </c>
      <c r="D296" s="48" t="s">
        <v>5009</v>
      </c>
      <c r="E296" s="48" t="s">
        <v>5195</v>
      </c>
      <c r="F296" s="14">
        <v>1.7375415364454402E-5</v>
      </c>
      <c r="G296" s="48" t="s">
        <v>5260</v>
      </c>
      <c r="H296" s="49"/>
      <c r="I296" s="22"/>
      <c r="O296" s="21"/>
    </row>
    <row r="297" spans="1:15" customFormat="1" ht="15" x14ac:dyDescent="0.25">
      <c r="A297" s="48" t="str">
        <f t="shared" si="12"/>
        <v>dpi_vdd_dyn_HD+_|_1600x900x60_fps_12b_|_3p3V</v>
      </c>
      <c r="B297" s="48" t="s">
        <v>5264</v>
      </c>
      <c r="C297" s="48" t="s">
        <v>5255</v>
      </c>
      <c r="D297" s="48" t="s">
        <v>5010</v>
      </c>
      <c r="E297" s="48" t="s">
        <v>5195</v>
      </c>
      <c r="F297" s="14">
        <v>3.242955716352001E-5</v>
      </c>
      <c r="G297" s="48" t="s">
        <v>5260</v>
      </c>
      <c r="H297" s="49"/>
      <c r="I297" s="22"/>
      <c r="O297" s="21"/>
    </row>
    <row r="298" spans="1:15" customFormat="1" ht="15" x14ac:dyDescent="0.25">
      <c r="A298" s="48" t="str">
        <f t="shared" si="12"/>
        <v>dpi_vdd_dyn_HD+_|_1600x900x60_fps_16b_|_1p8V</v>
      </c>
      <c r="B298" s="48" t="s">
        <v>5264</v>
      </c>
      <c r="C298" s="48" t="s">
        <v>5255</v>
      </c>
      <c r="D298" s="48" t="s">
        <v>5011</v>
      </c>
      <c r="E298" s="48" t="s">
        <v>5195</v>
      </c>
      <c r="F298" s="14">
        <v>3.242955716352001E-5</v>
      </c>
      <c r="G298" s="48" t="s">
        <v>5260</v>
      </c>
      <c r="H298" s="49"/>
      <c r="I298" s="22"/>
      <c r="O298" s="21"/>
    </row>
    <row r="299" spans="1:15" customFormat="1" ht="15" x14ac:dyDescent="0.25">
      <c r="A299" s="48" t="str">
        <f t="shared" si="12"/>
        <v>dpi_vdd_dyn_HD+_|_1600x900x60_fps_16b_|_3p3V</v>
      </c>
      <c r="B299" s="48" t="s">
        <v>5264</v>
      </c>
      <c r="C299" s="48" t="s">
        <v>5255</v>
      </c>
      <c r="D299" s="48" t="s">
        <v>5012</v>
      </c>
      <c r="E299" s="48" t="s">
        <v>5195</v>
      </c>
      <c r="F299" s="14">
        <v>3.242955716352001E-5</v>
      </c>
      <c r="G299" s="48" t="s">
        <v>5260</v>
      </c>
      <c r="H299" s="49"/>
      <c r="I299" s="22"/>
      <c r="O299" s="21"/>
    </row>
    <row r="300" spans="1:15" customFormat="1" ht="15" x14ac:dyDescent="0.25">
      <c r="A300" s="48" t="str">
        <f t="shared" si="12"/>
        <v>dpi_vdd_dyn_HD+_|_1600x900x60_fps_18b_|_1p8V</v>
      </c>
      <c r="B300" s="48" t="s">
        <v>5264</v>
      </c>
      <c r="C300" s="48" t="s">
        <v>5255</v>
      </c>
      <c r="D300" s="48" t="s">
        <v>5013</v>
      </c>
      <c r="E300" s="48" t="s">
        <v>5195</v>
      </c>
      <c r="F300" s="14">
        <v>3.242955716352001E-5</v>
      </c>
      <c r="G300" s="48" t="s">
        <v>5260</v>
      </c>
      <c r="H300" s="49"/>
      <c r="I300" s="22"/>
      <c r="O300" s="21"/>
    </row>
    <row r="301" spans="1:15" customFormat="1" ht="15" x14ac:dyDescent="0.25">
      <c r="A301" s="48" t="str">
        <f t="shared" si="12"/>
        <v>dpi_vdd_dyn_HD+_|_1600x900x60_fps_18b_|_1p8V</v>
      </c>
      <c r="B301" s="48" t="s">
        <v>5264</v>
      </c>
      <c r="C301" s="48" t="s">
        <v>5255</v>
      </c>
      <c r="D301" s="48" t="s">
        <v>5013</v>
      </c>
      <c r="E301" s="48" t="s">
        <v>5195</v>
      </c>
      <c r="F301" s="14">
        <v>3.4750830728908804E-5</v>
      </c>
      <c r="G301" s="48" t="s">
        <v>5260</v>
      </c>
      <c r="H301" s="49"/>
      <c r="I301" s="22"/>
      <c r="O301" s="21"/>
    </row>
    <row r="302" spans="1:15" customFormat="1" ht="15" x14ac:dyDescent="0.25">
      <c r="A302" s="48" t="str">
        <f t="shared" si="12"/>
        <v>dpi_vdd_dyn_HD+_|_1600x900x60_fps_18b_|_3p3V</v>
      </c>
      <c r="B302" s="48" t="s">
        <v>5264</v>
      </c>
      <c r="C302" s="48" t="s">
        <v>5255</v>
      </c>
      <c r="D302" s="48" t="s">
        <v>5014</v>
      </c>
      <c r="E302" s="48" t="s">
        <v>5195</v>
      </c>
      <c r="F302" s="14">
        <v>3.4750830728908804E-5</v>
      </c>
      <c r="G302" s="48" t="s">
        <v>5260</v>
      </c>
      <c r="H302" s="49"/>
      <c r="I302" s="22"/>
      <c r="O302" s="21"/>
    </row>
    <row r="303" spans="1:15" customFormat="1" ht="15" x14ac:dyDescent="0.25">
      <c r="A303" s="48" t="str">
        <f t="shared" si="12"/>
        <v>dpi_vdd_dyn_HD+_|_1600x900x60_fps_24b_|_3p3V</v>
      </c>
      <c r="B303" s="48" t="s">
        <v>5264</v>
      </c>
      <c r="C303" s="48" t="s">
        <v>5255</v>
      </c>
      <c r="D303" s="48" t="s">
        <v>5015</v>
      </c>
      <c r="E303" s="48" t="s">
        <v>5195</v>
      </c>
      <c r="F303" s="14">
        <v>3.4750830728908797E-5</v>
      </c>
      <c r="G303" s="48" t="s">
        <v>5260</v>
      </c>
      <c r="H303" s="49"/>
      <c r="I303" s="22"/>
      <c r="O303" s="21"/>
    </row>
    <row r="304" spans="1:15" customFormat="1" ht="15" x14ac:dyDescent="0.25">
      <c r="A304" s="48" t="str">
        <f t="shared" si="12"/>
        <v>dpi_vdd_dyn_off</v>
      </c>
      <c r="B304" s="48" t="s">
        <v>5264</v>
      </c>
      <c r="C304" s="48" t="s">
        <v>5255</v>
      </c>
      <c r="D304" s="48" t="s">
        <v>4798</v>
      </c>
      <c r="E304" s="48" t="s">
        <v>5195</v>
      </c>
      <c r="F304" s="14">
        <v>0</v>
      </c>
      <c r="G304" s="48" t="s">
        <v>5260</v>
      </c>
      <c r="H304" s="49"/>
      <c r="I304" s="22"/>
      <c r="O304" s="21"/>
    </row>
    <row r="305" spans="1:15" customFormat="1" ht="15" x14ac:dyDescent="0.25">
      <c r="A305" s="48" t="str">
        <f t="shared" si="12"/>
        <v>dpi_vdd_dyn_off</v>
      </c>
      <c r="B305" s="48" t="s">
        <v>5264</v>
      </c>
      <c r="C305" s="48" t="s">
        <v>5255</v>
      </c>
      <c r="D305" s="48" t="s">
        <v>4798</v>
      </c>
      <c r="E305" s="48" t="s">
        <v>5195</v>
      </c>
      <c r="F305" s="14">
        <v>0</v>
      </c>
      <c r="G305" s="48" t="s">
        <v>5260</v>
      </c>
      <c r="H305" s="49"/>
      <c r="I305" s="22"/>
      <c r="O305" s="21"/>
    </row>
    <row r="306" spans="1:15" customFormat="1" ht="15" x14ac:dyDescent="0.25">
      <c r="A306" s="48" t="str">
        <f t="shared" si="12"/>
        <v>dpi_vdd_dyn_SD_|_640x480x60_fps_12b_|_1p8V</v>
      </c>
      <c r="B306" s="48" t="s">
        <v>5264</v>
      </c>
      <c r="C306" s="48" t="s">
        <v>5255</v>
      </c>
      <c r="D306" s="48" t="s">
        <v>4927</v>
      </c>
      <c r="E306" s="48" t="s">
        <v>5195</v>
      </c>
      <c r="F306" s="14">
        <v>0</v>
      </c>
      <c r="G306" s="48" t="s">
        <v>5260</v>
      </c>
      <c r="H306" s="49"/>
      <c r="I306" s="22"/>
      <c r="O306" s="21"/>
    </row>
    <row r="307" spans="1:15" customFormat="1" ht="15" x14ac:dyDescent="0.25">
      <c r="A307" s="48" t="str">
        <f t="shared" si="12"/>
        <v>dpi_vdd_dyn_SD_|_640x480x60_fps_12b_|_3p3V</v>
      </c>
      <c r="B307" s="48" t="s">
        <v>5264</v>
      </c>
      <c r="C307" s="48" t="s">
        <v>5255</v>
      </c>
      <c r="D307" s="48" t="s">
        <v>4928</v>
      </c>
      <c r="E307" s="48" t="s">
        <v>5195</v>
      </c>
      <c r="F307" s="14">
        <v>7.0466774400000001E-6</v>
      </c>
      <c r="G307" s="48" t="s">
        <v>5260</v>
      </c>
      <c r="H307" s="49"/>
      <c r="I307" s="22"/>
      <c r="O307" s="21"/>
    </row>
    <row r="308" spans="1:15" customFormat="1" ht="15" x14ac:dyDescent="0.25">
      <c r="A308" s="48" t="str">
        <f t="shared" si="12"/>
        <v>dpi_vdd_dyn_SD_|_640x480x60_fps_16b_|_1p8V</v>
      </c>
      <c r="B308" s="48" t="s">
        <v>5264</v>
      </c>
      <c r="C308" s="48" t="s">
        <v>5255</v>
      </c>
      <c r="D308" s="48" t="s">
        <v>4929</v>
      </c>
      <c r="E308" s="48" t="s">
        <v>5195</v>
      </c>
      <c r="F308" s="14">
        <v>7.0466774400000001E-6</v>
      </c>
      <c r="G308" s="48" t="s">
        <v>5260</v>
      </c>
      <c r="H308" s="49"/>
      <c r="I308" s="22"/>
      <c r="O308" s="21"/>
    </row>
    <row r="309" spans="1:15" customFormat="1" ht="15" x14ac:dyDescent="0.25">
      <c r="A309" s="48" t="str">
        <f t="shared" si="12"/>
        <v>dpi_vdd_dyn_SD_|_640x480x60_fps_16b_|_3p3V</v>
      </c>
      <c r="B309" s="48" t="s">
        <v>5264</v>
      </c>
      <c r="C309" s="48" t="s">
        <v>5255</v>
      </c>
      <c r="D309" s="48" t="s">
        <v>4930</v>
      </c>
      <c r="E309" s="48" t="s">
        <v>5195</v>
      </c>
      <c r="F309" s="14">
        <v>7.0466774400000001E-6</v>
      </c>
      <c r="G309" s="48" t="s">
        <v>5260</v>
      </c>
      <c r="H309" s="49"/>
      <c r="I309" s="22"/>
      <c r="O309" s="21"/>
    </row>
    <row r="310" spans="1:15" customFormat="1" ht="15" x14ac:dyDescent="0.25">
      <c r="A310" s="48" t="str">
        <f t="shared" si="12"/>
        <v>dpi_vdd_dyn_SD_|_640x480x60_fps_24b_|_1p8V</v>
      </c>
      <c r="B310" s="48" t="s">
        <v>5264</v>
      </c>
      <c r="C310" s="48" t="s">
        <v>5255</v>
      </c>
      <c r="D310" s="48" t="s">
        <v>4931</v>
      </c>
      <c r="E310" s="48" t="s">
        <v>5195</v>
      </c>
      <c r="F310" s="14">
        <v>7.0466774400000001E-6</v>
      </c>
      <c r="G310" s="48" t="s">
        <v>5260</v>
      </c>
      <c r="H310" s="49"/>
      <c r="I310" s="22"/>
      <c r="O310" s="21"/>
    </row>
    <row r="311" spans="1:15" customFormat="1" ht="15" x14ac:dyDescent="0.25">
      <c r="A311" s="48" t="str">
        <f t="shared" si="12"/>
        <v>dpi_vdd_dyn_SD_|_640x480x60_fps_24b_|_1p8V</v>
      </c>
      <c r="B311" s="48" t="s">
        <v>5264</v>
      </c>
      <c r="C311" s="48" t="s">
        <v>5255</v>
      </c>
      <c r="D311" s="48" t="s">
        <v>4931</v>
      </c>
      <c r="E311" s="48" t="s">
        <v>5195</v>
      </c>
      <c r="F311" s="14">
        <v>8.4587817599999993E-6</v>
      </c>
      <c r="G311" s="48" t="s">
        <v>5260</v>
      </c>
      <c r="H311" s="49"/>
      <c r="I311" s="22"/>
      <c r="O311" s="21"/>
    </row>
    <row r="312" spans="1:15" customFormat="1" ht="15" x14ac:dyDescent="0.25">
      <c r="A312" s="48" t="str">
        <f t="shared" si="12"/>
        <v>dpi_vdd_dyn_SD_|_640x480x60_fps_24b_|_3p3V</v>
      </c>
      <c r="B312" s="48" t="s">
        <v>5264</v>
      </c>
      <c r="C312" s="48" t="s">
        <v>5255</v>
      </c>
      <c r="D312" s="48" t="s">
        <v>4932</v>
      </c>
      <c r="E312" s="48" t="s">
        <v>5195</v>
      </c>
      <c r="F312" s="14">
        <v>8.4587817599999993E-6</v>
      </c>
      <c r="G312" s="48" t="s">
        <v>5260</v>
      </c>
      <c r="H312" s="49"/>
      <c r="I312" s="22"/>
      <c r="O312" s="21"/>
    </row>
    <row r="313" spans="1:15" customFormat="1" ht="15" x14ac:dyDescent="0.25">
      <c r="A313" s="48" t="str">
        <f t="shared" si="12"/>
        <v>dpi_vdd_dyn_SD_|_640x480x60_fps_24b_|_3p3V</v>
      </c>
      <c r="B313" s="48" t="s">
        <v>5264</v>
      </c>
      <c r="C313" s="48" t="s">
        <v>5255</v>
      </c>
      <c r="D313" s="48" t="s">
        <v>4932</v>
      </c>
      <c r="E313" s="48" t="s">
        <v>5195</v>
      </c>
      <c r="F313" s="14">
        <v>8.4587817599999993E-6</v>
      </c>
      <c r="G313" s="48" t="s">
        <v>5260</v>
      </c>
      <c r="H313" s="49"/>
      <c r="I313" s="22"/>
      <c r="O313" s="21"/>
    </row>
    <row r="314" spans="1:15" customFormat="1" ht="15" x14ac:dyDescent="0.25">
      <c r="A314" s="48" t="str">
        <f t="shared" si="12"/>
        <v>dpi_vdd_dyn_SVGA_|_800x600x60_fps_12b_|_1p8V</v>
      </c>
      <c r="B314" s="48" t="s">
        <v>5264</v>
      </c>
      <c r="C314" s="48" t="s">
        <v>5255</v>
      </c>
      <c r="D314" s="48" t="s">
        <v>4933</v>
      </c>
      <c r="E314" s="48" t="s">
        <v>5195</v>
      </c>
      <c r="F314" s="14">
        <v>8.4587817599999993E-6</v>
      </c>
      <c r="G314" s="48" t="s">
        <v>5260</v>
      </c>
      <c r="H314" s="49"/>
      <c r="I314" s="22"/>
      <c r="O314" s="21"/>
    </row>
    <row r="315" spans="1:15" customFormat="1" ht="15" x14ac:dyDescent="0.25">
      <c r="A315" s="48" t="str">
        <f t="shared" si="12"/>
        <v>dpi_vdd_dyn_SVGA_|_800x600x60_fps_12b_|_3p3V</v>
      </c>
      <c r="B315" s="48" t="s">
        <v>5264</v>
      </c>
      <c r="C315" s="48" t="s">
        <v>5255</v>
      </c>
      <c r="D315" s="48" t="s">
        <v>4934</v>
      </c>
      <c r="E315" s="48" t="s">
        <v>5195</v>
      </c>
      <c r="F315" s="14">
        <v>1.1256644409753601E-5</v>
      </c>
      <c r="G315" s="48" t="s">
        <v>5260</v>
      </c>
      <c r="H315" s="49"/>
      <c r="I315" s="22"/>
      <c r="O315" s="21"/>
    </row>
    <row r="316" spans="1:15" customFormat="1" ht="15" x14ac:dyDescent="0.25">
      <c r="A316" s="48" t="str">
        <f t="shared" si="12"/>
        <v>dpi_vdd_dyn_SVGA_|_800x600x60_fps_16b_|_1p8V</v>
      </c>
      <c r="B316" s="48" t="s">
        <v>5264</v>
      </c>
      <c r="C316" s="48" t="s">
        <v>5255</v>
      </c>
      <c r="D316" s="48" t="s">
        <v>4935</v>
      </c>
      <c r="E316" s="48" t="s">
        <v>5195</v>
      </c>
      <c r="F316" s="14">
        <v>1.1256644409753601E-5</v>
      </c>
      <c r="G316" s="48" t="s">
        <v>5260</v>
      </c>
      <c r="H316" s="49"/>
      <c r="I316" s="22"/>
      <c r="O316" s="21"/>
    </row>
    <row r="317" spans="1:15" customFormat="1" ht="15" x14ac:dyDescent="0.25">
      <c r="A317" s="48" t="str">
        <f t="shared" si="12"/>
        <v>dpi_vdd_dyn_SVGA_|_800x600x60_fps_16b_|_3p3V</v>
      </c>
      <c r="B317" s="48" t="s">
        <v>5264</v>
      </c>
      <c r="C317" s="48" t="s">
        <v>5255</v>
      </c>
      <c r="D317" s="48" t="s">
        <v>4936</v>
      </c>
      <c r="E317" s="48" t="s">
        <v>5195</v>
      </c>
      <c r="F317" s="14">
        <v>1.1256644409753601E-5</v>
      </c>
      <c r="G317" s="48" t="s">
        <v>5260</v>
      </c>
      <c r="H317" s="49"/>
      <c r="I317" s="22"/>
      <c r="O317" s="21"/>
    </row>
    <row r="318" spans="1:15" customFormat="1" ht="15" x14ac:dyDescent="0.25">
      <c r="A318" s="48" t="str">
        <f t="shared" si="12"/>
        <v>dpi_vdd_dyn_SVGA_|_800x600x60_fps_24b_|_1p8V</v>
      </c>
      <c r="B318" s="48" t="s">
        <v>5264</v>
      </c>
      <c r="C318" s="48" t="s">
        <v>5255</v>
      </c>
      <c r="D318" s="48" t="s">
        <v>4937</v>
      </c>
      <c r="E318" s="48" t="s">
        <v>5195</v>
      </c>
      <c r="F318" s="14">
        <v>1.1256644409753601E-5</v>
      </c>
      <c r="G318" s="48" t="s">
        <v>5260</v>
      </c>
      <c r="H318" s="49"/>
      <c r="I318" s="22"/>
      <c r="O318" s="21"/>
    </row>
    <row r="319" spans="1:15" customFormat="1" ht="15" x14ac:dyDescent="0.25">
      <c r="A319" s="48" t="str">
        <f t="shared" si="12"/>
        <v>dpi_vdd_dyn_SVGA_|_800x600x60_fps_24b_|_1p8V</v>
      </c>
      <c r="B319" s="48" t="s">
        <v>5264</v>
      </c>
      <c r="C319" s="48" t="s">
        <v>5255</v>
      </c>
      <c r="D319" s="48" t="s">
        <v>4937</v>
      </c>
      <c r="E319" s="48" t="s">
        <v>5195</v>
      </c>
      <c r="F319" s="14">
        <v>1.35123963346944E-5</v>
      </c>
      <c r="G319" s="48" t="s">
        <v>5260</v>
      </c>
      <c r="H319" s="49"/>
      <c r="I319" s="22"/>
      <c r="O319" s="21"/>
    </row>
    <row r="320" spans="1:15" customFormat="1" ht="15" x14ac:dyDescent="0.25">
      <c r="A320" s="48" t="str">
        <f t="shared" si="12"/>
        <v>dpi_vdd_dyn_SVGA_|_800x600x60_fps_24b_|_3p3V</v>
      </c>
      <c r="B320" s="48" t="s">
        <v>5264</v>
      </c>
      <c r="C320" s="48" t="s">
        <v>5255</v>
      </c>
      <c r="D320" s="48" t="s">
        <v>4938</v>
      </c>
      <c r="E320" s="48" t="s">
        <v>5195</v>
      </c>
      <c r="F320" s="14">
        <v>1.35123963346944E-5</v>
      </c>
      <c r="G320" s="48" t="s">
        <v>5260</v>
      </c>
      <c r="H320" s="49"/>
      <c r="I320" s="22"/>
      <c r="O320" s="21"/>
    </row>
    <row r="321" spans="1:15" customFormat="1" ht="15" x14ac:dyDescent="0.25">
      <c r="A321" s="48" t="str">
        <f t="shared" si="12"/>
        <v>dpi_vdd_dyn_SVGA_|_800x600x60_fps_24b_|_3p3V</v>
      </c>
      <c r="B321" s="48" t="s">
        <v>5264</v>
      </c>
      <c r="C321" s="48" t="s">
        <v>5255</v>
      </c>
      <c r="D321" s="48" t="s">
        <v>4938</v>
      </c>
      <c r="E321" s="48" t="s">
        <v>5195</v>
      </c>
      <c r="F321" s="14">
        <v>1.35123963346944E-5</v>
      </c>
      <c r="G321" s="48" t="s">
        <v>5260</v>
      </c>
      <c r="H321" s="49"/>
      <c r="I321" s="22"/>
      <c r="O321" s="21"/>
    </row>
    <row r="322" spans="1:15" customFormat="1" ht="15" x14ac:dyDescent="0.25">
      <c r="A322" s="48" t="str">
        <f t="shared" si="12"/>
        <v>dpi_vdd_dyn_SXGA_|_1280x1024x30_fps_12b_|_1p8V</v>
      </c>
      <c r="B322" s="48" t="s">
        <v>5264</v>
      </c>
      <c r="C322" s="48" t="s">
        <v>5255</v>
      </c>
      <c r="D322" s="48" t="s">
        <v>4977</v>
      </c>
      <c r="E322" s="48" t="s">
        <v>5195</v>
      </c>
      <c r="F322" s="14">
        <v>2.9522840098752001E-5</v>
      </c>
      <c r="G322" s="48" t="s">
        <v>5260</v>
      </c>
      <c r="H322" s="49"/>
      <c r="I322" s="22"/>
      <c r="O322" s="21"/>
    </row>
    <row r="323" spans="1:15" customFormat="1" ht="15" x14ac:dyDescent="0.25">
      <c r="A323" s="48" t="str">
        <f t="shared" si="12"/>
        <v>dpi_vdd_dyn_SXGA_|_1280x1024x30_fps_12b_|_3p3V</v>
      </c>
      <c r="B323" s="48" t="s">
        <v>5264</v>
      </c>
      <c r="C323" s="48" t="s">
        <v>5255</v>
      </c>
      <c r="D323" s="48" t="s">
        <v>4978</v>
      </c>
      <c r="E323" s="48" t="s">
        <v>5195</v>
      </c>
      <c r="F323" s="14">
        <v>1.4959161724320003E-5</v>
      </c>
      <c r="G323" s="48" t="s">
        <v>5260</v>
      </c>
      <c r="H323" s="49"/>
      <c r="I323" s="22"/>
      <c r="O323" s="21"/>
    </row>
    <row r="324" spans="1:15" customFormat="1" ht="15" x14ac:dyDescent="0.25">
      <c r="A324" s="48" t="str">
        <f t="shared" si="12"/>
        <v>dpi_vdd_dyn_SXGA_|_1280x1024x30_fps_16b_|_1p8V</v>
      </c>
      <c r="B324" s="48" t="s">
        <v>5264</v>
      </c>
      <c r="C324" s="48" t="s">
        <v>5255</v>
      </c>
      <c r="D324" s="48" t="s">
        <v>4979</v>
      </c>
      <c r="E324" s="48" t="s">
        <v>5195</v>
      </c>
      <c r="F324" s="14">
        <v>1.4959161724320003E-5</v>
      </c>
      <c r="G324" s="48" t="s">
        <v>5260</v>
      </c>
      <c r="H324" s="49"/>
      <c r="I324" s="22"/>
      <c r="O324" s="21"/>
    </row>
    <row r="325" spans="1:15" customFormat="1" ht="15" x14ac:dyDescent="0.25">
      <c r="A325" s="48" t="str">
        <f t="shared" si="12"/>
        <v>dpi_vdd_dyn_SXGA_|_1280x1024x30_fps_16b_|_3p3V</v>
      </c>
      <c r="B325" s="48" t="s">
        <v>5264</v>
      </c>
      <c r="C325" s="48" t="s">
        <v>5255</v>
      </c>
      <c r="D325" s="48" t="s">
        <v>4980</v>
      </c>
      <c r="E325" s="48" t="s">
        <v>5195</v>
      </c>
      <c r="F325" s="14">
        <v>1.4959161724320003E-5</v>
      </c>
      <c r="G325" s="48" t="s">
        <v>5260</v>
      </c>
      <c r="H325" s="49"/>
      <c r="I325" s="22"/>
      <c r="O325" s="21"/>
    </row>
    <row r="326" spans="1:15" customFormat="1" ht="15" x14ac:dyDescent="0.25">
      <c r="A326" s="48" t="str">
        <f t="shared" si="12"/>
        <v>dpi_vdd_dyn_SXGA_|_1280x1024x30_fps_18b_|_1p8V</v>
      </c>
      <c r="B326" s="48" t="s">
        <v>5264</v>
      </c>
      <c r="C326" s="48" t="s">
        <v>5255</v>
      </c>
      <c r="D326" s="48" t="s">
        <v>4981</v>
      </c>
      <c r="E326" s="48" t="s">
        <v>5195</v>
      </c>
      <c r="F326" s="14">
        <v>1.4959161724320003E-5</v>
      </c>
      <c r="G326" s="48" t="s">
        <v>5260</v>
      </c>
      <c r="H326" s="49"/>
      <c r="I326" s="22"/>
      <c r="O326" s="21"/>
    </row>
    <row r="327" spans="1:15" customFormat="1" ht="15" x14ac:dyDescent="0.25">
      <c r="A327" s="48" t="str">
        <f t="shared" si="12"/>
        <v>dpi_vdd_dyn_SXGA_|_1280x1024x30_fps_18b_|_3p3V</v>
      </c>
      <c r="B327" s="48" t="s">
        <v>5264</v>
      </c>
      <c r="C327" s="48" t="s">
        <v>5255</v>
      </c>
      <c r="D327" s="48" t="s">
        <v>4982</v>
      </c>
      <c r="E327" s="48" t="s">
        <v>5195</v>
      </c>
      <c r="F327" s="14">
        <v>1.9242205923283199E-5</v>
      </c>
      <c r="G327" s="48" t="s">
        <v>5260</v>
      </c>
      <c r="H327" s="49"/>
      <c r="I327" s="22"/>
      <c r="O327" s="21"/>
    </row>
    <row r="328" spans="1:15" customFormat="1" ht="15" x14ac:dyDescent="0.25">
      <c r="A328" s="48" t="str">
        <f t="shared" si="12"/>
        <v>dpi_vdd_dyn_SXGA_|_1280x1024x30_fps_24b_|_1p8V</v>
      </c>
      <c r="B328" s="48" t="s">
        <v>5264</v>
      </c>
      <c r="C328" s="48" t="s">
        <v>5255</v>
      </c>
      <c r="D328" s="48" t="s">
        <v>4983</v>
      </c>
      <c r="E328" s="48" t="s">
        <v>5195</v>
      </c>
      <c r="F328" s="14">
        <v>1.9242205923283199E-5</v>
      </c>
      <c r="G328" s="48" t="s">
        <v>5260</v>
      </c>
      <c r="H328" s="49"/>
      <c r="I328" s="22"/>
      <c r="O328" s="21"/>
    </row>
    <row r="329" spans="1:15" customFormat="1" ht="15" x14ac:dyDescent="0.25">
      <c r="A329" s="48" t="str">
        <f t="shared" si="12"/>
        <v>dpi_vdd_dyn_SXGA_|_1280x1024x30_fps_24b_|_3p3V</v>
      </c>
      <c r="B329" s="48" t="s">
        <v>5264</v>
      </c>
      <c r="C329" s="48" t="s">
        <v>5255</v>
      </c>
      <c r="D329" s="48" t="s">
        <v>4984</v>
      </c>
      <c r="E329" s="48" t="s">
        <v>5195</v>
      </c>
      <c r="F329" s="14">
        <v>1.9242205923283199E-5</v>
      </c>
      <c r="G329" s="48" t="s">
        <v>5260</v>
      </c>
      <c r="H329" s="49"/>
      <c r="I329" s="22"/>
      <c r="O329" s="21"/>
    </row>
    <row r="330" spans="1:15" customFormat="1" ht="15" x14ac:dyDescent="0.25">
      <c r="A330" s="48" t="str">
        <f t="shared" si="12"/>
        <v>dpi_vdd_dyn_SXGA_|_1280x1024x60_fps_12b_|_1p8V</v>
      </c>
      <c r="B330" s="48" t="s">
        <v>5264</v>
      </c>
      <c r="C330" s="48" t="s">
        <v>5255</v>
      </c>
      <c r="D330" s="48" t="s">
        <v>4985</v>
      </c>
      <c r="E330" s="48" t="s">
        <v>5195</v>
      </c>
      <c r="F330" s="14">
        <v>1.9242205923283199E-5</v>
      </c>
      <c r="G330" s="48" t="s">
        <v>5260</v>
      </c>
      <c r="H330" s="49"/>
      <c r="I330" s="22"/>
      <c r="O330" s="21"/>
    </row>
    <row r="331" spans="1:15" customFormat="1" ht="15" x14ac:dyDescent="0.25">
      <c r="A331" s="48" t="str">
        <f t="shared" si="12"/>
        <v>dpi_vdd_dyn_SXGA_|_1280x1024x60_fps_12b_|_3p3V</v>
      </c>
      <c r="B331" s="48" t="s">
        <v>5264</v>
      </c>
      <c r="C331" s="48" t="s">
        <v>5255</v>
      </c>
      <c r="D331" s="48" t="s">
        <v>4986</v>
      </c>
      <c r="E331" s="48" t="s">
        <v>5195</v>
      </c>
      <c r="F331" s="14">
        <v>2.9918323448640007E-5</v>
      </c>
      <c r="G331" s="48" t="s">
        <v>5260</v>
      </c>
      <c r="H331" s="49"/>
      <c r="I331" s="22"/>
      <c r="O331" s="21"/>
    </row>
    <row r="332" spans="1:15" customFormat="1" ht="15" x14ac:dyDescent="0.25">
      <c r="A332" s="48" t="str">
        <f t="shared" si="12"/>
        <v>dpi_vdd_dyn_SXGA_|_1280x1024x60_fps_16b_|_1p8V</v>
      </c>
      <c r="B332" s="48" t="s">
        <v>5264</v>
      </c>
      <c r="C332" s="48" t="s">
        <v>5255</v>
      </c>
      <c r="D332" s="48" t="s">
        <v>4987</v>
      </c>
      <c r="E332" s="48" t="s">
        <v>5195</v>
      </c>
      <c r="F332" s="14">
        <v>2.9918323448640007E-5</v>
      </c>
      <c r="G332" s="48" t="s">
        <v>5260</v>
      </c>
      <c r="H332" s="49"/>
      <c r="I332" s="22"/>
      <c r="O332" s="21"/>
    </row>
    <row r="333" spans="1:15" customFormat="1" ht="15" x14ac:dyDescent="0.25">
      <c r="A333" s="48" t="str">
        <f t="shared" si="12"/>
        <v>dpi_vdd_dyn_SXGA_|_1280x1024x60_fps_16b_|_3p3V</v>
      </c>
      <c r="B333" s="48" t="s">
        <v>5264</v>
      </c>
      <c r="C333" s="48" t="s">
        <v>5255</v>
      </c>
      <c r="D333" s="48" t="s">
        <v>4988</v>
      </c>
      <c r="E333" s="48" t="s">
        <v>5195</v>
      </c>
      <c r="F333" s="14">
        <v>2.9918323448640007E-5</v>
      </c>
      <c r="G333" s="48" t="s">
        <v>5260</v>
      </c>
      <c r="H333" s="49"/>
      <c r="I333" s="22"/>
      <c r="O333" s="21"/>
    </row>
    <row r="334" spans="1:15" customFormat="1" ht="15" x14ac:dyDescent="0.25">
      <c r="A334" s="48" t="str">
        <f t="shared" si="12"/>
        <v>dpi_vdd_dyn_SXGA_|_1280x1024x60_fps_18b_|_1p8V</v>
      </c>
      <c r="B334" s="48" t="s">
        <v>5264</v>
      </c>
      <c r="C334" s="48" t="s">
        <v>5255</v>
      </c>
      <c r="D334" s="48" t="s">
        <v>4989</v>
      </c>
      <c r="E334" s="48" t="s">
        <v>5195</v>
      </c>
      <c r="F334" s="14">
        <v>2.9918323448640007E-5</v>
      </c>
      <c r="G334" s="48" t="s">
        <v>5260</v>
      </c>
      <c r="H334" s="49"/>
      <c r="I334" s="22"/>
      <c r="O334" s="21"/>
    </row>
    <row r="335" spans="1:15" customFormat="1" ht="15" x14ac:dyDescent="0.25">
      <c r="A335" s="48" t="str">
        <f t="shared" si="12"/>
        <v>dpi_vdd_dyn_SXGA_|_1280x1024x60_fps_18b_|_3p3V</v>
      </c>
      <c r="B335" s="48" t="s">
        <v>5264</v>
      </c>
      <c r="C335" s="48" t="s">
        <v>5255</v>
      </c>
      <c r="D335" s="48" t="s">
        <v>4990</v>
      </c>
      <c r="E335" s="48" t="s">
        <v>5195</v>
      </c>
      <c r="F335" s="14">
        <v>3.8484411846566399E-5</v>
      </c>
      <c r="G335" s="48" t="s">
        <v>5260</v>
      </c>
      <c r="H335" s="49"/>
      <c r="I335" s="22"/>
      <c r="O335" s="21"/>
    </row>
    <row r="336" spans="1:15" customFormat="1" ht="15" x14ac:dyDescent="0.25">
      <c r="A336" s="48" t="str">
        <f t="shared" si="12"/>
        <v>dpi_vdd_dyn_SXGA_|_1280x1024x60_fps_24b_|_1p8V</v>
      </c>
      <c r="B336" s="48" t="s">
        <v>5264</v>
      </c>
      <c r="C336" s="48" t="s">
        <v>5255</v>
      </c>
      <c r="D336" s="48" t="s">
        <v>4991</v>
      </c>
      <c r="E336" s="48" t="s">
        <v>5195</v>
      </c>
      <c r="F336" s="14">
        <v>3.8484411846566399E-5</v>
      </c>
      <c r="G336" s="48" t="s">
        <v>5260</v>
      </c>
      <c r="H336" s="49"/>
      <c r="I336" s="22"/>
      <c r="O336" s="21"/>
    </row>
    <row r="337" spans="1:15" customFormat="1" ht="15" x14ac:dyDescent="0.25">
      <c r="A337" s="48" t="str">
        <f t="shared" si="12"/>
        <v>dpi_vdd_dyn_SXGA_|_1280x1024x60_fps_24b_|_3p3V</v>
      </c>
      <c r="B337" s="48" t="s">
        <v>5264</v>
      </c>
      <c r="C337" s="48" t="s">
        <v>5255</v>
      </c>
      <c r="D337" s="48" t="s">
        <v>4992</v>
      </c>
      <c r="E337" s="48" t="s">
        <v>5195</v>
      </c>
      <c r="F337" s="14">
        <v>3.8484411846566399E-5</v>
      </c>
      <c r="G337" s="48" t="s">
        <v>5260</v>
      </c>
      <c r="H337" s="49"/>
      <c r="I337" s="22"/>
      <c r="O337" s="21"/>
    </row>
    <row r="338" spans="1:15" customFormat="1" ht="15" x14ac:dyDescent="0.25">
      <c r="A338" s="48" t="str">
        <f t="shared" si="12"/>
        <v>dpi_vdd_dyn_SXGA+_|_1400x1050x60_fps_12b_|_1p8V</v>
      </c>
      <c r="B338" s="48" t="s">
        <v>5264</v>
      </c>
      <c r="C338" s="48" t="s">
        <v>5255</v>
      </c>
      <c r="D338" s="48" t="s">
        <v>4993</v>
      </c>
      <c r="E338" s="48" t="s">
        <v>5195</v>
      </c>
      <c r="F338" s="14">
        <v>3.8484411846566399E-5</v>
      </c>
      <c r="G338" s="48" t="s">
        <v>5260</v>
      </c>
      <c r="H338" s="49"/>
      <c r="I338" s="22"/>
      <c r="O338" s="21"/>
    </row>
    <row r="339" spans="1:15" customFormat="1" ht="15" x14ac:dyDescent="0.25">
      <c r="A339" s="48" t="str">
        <f t="shared" si="12"/>
        <v>dpi_vdd_dyn_SXGA+_|_1400x1050x60_fps_12b_|_3p3V</v>
      </c>
      <c r="B339" s="48" t="s">
        <v>5264</v>
      </c>
      <c r="C339" s="48" t="s">
        <v>5255</v>
      </c>
      <c r="D339" s="48" t="s">
        <v>4994</v>
      </c>
      <c r="E339" s="48" t="s">
        <v>5195</v>
      </c>
      <c r="F339" s="14">
        <v>3.3371368446239999E-5</v>
      </c>
      <c r="G339" s="48" t="s">
        <v>5260</v>
      </c>
      <c r="H339" s="49"/>
      <c r="I339" s="22"/>
      <c r="O339" s="21"/>
    </row>
    <row r="340" spans="1:15" customFormat="1" ht="15" x14ac:dyDescent="0.25">
      <c r="A340" s="48" t="str">
        <f t="shared" si="12"/>
        <v>dpi_vdd_dyn_SXGA+_|_1400x1050x60_fps_16b_|_1p8V</v>
      </c>
      <c r="B340" s="48" t="s">
        <v>5264</v>
      </c>
      <c r="C340" s="48" t="s">
        <v>5255</v>
      </c>
      <c r="D340" s="48" t="s">
        <v>4995</v>
      </c>
      <c r="E340" s="48" t="s">
        <v>5195</v>
      </c>
      <c r="F340" s="14">
        <v>3.3371368446239999E-5</v>
      </c>
      <c r="G340" s="48" t="s">
        <v>5260</v>
      </c>
      <c r="H340" s="49"/>
      <c r="I340" s="22"/>
      <c r="O340" s="21"/>
    </row>
    <row r="341" spans="1:15" customFormat="1" ht="15" x14ac:dyDescent="0.25">
      <c r="A341" s="48" t="str">
        <f t="shared" si="12"/>
        <v>dpi_vdd_dyn_SXGA+_|_1400x1050x60_fps_16b_|_3p3V</v>
      </c>
      <c r="B341" s="48" t="s">
        <v>5264</v>
      </c>
      <c r="C341" s="48" t="s">
        <v>5255</v>
      </c>
      <c r="D341" s="48" t="s">
        <v>4996</v>
      </c>
      <c r="E341" s="48" t="s">
        <v>5195</v>
      </c>
      <c r="F341" s="14">
        <v>3.3371368446239999E-5</v>
      </c>
      <c r="G341" s="48" t="s">
        <v>5260</v>
      </c>
      <c r="H341" s="49"/>
      <c r="I341" s="22"/>
      <c r="O341" s="21"/>
    </row>
    <row r="342" spans="1:15" customFormat="1" ht="15" x14ac:dyDescent="0.25">
      <c r="A342" s="48" t="str">
        <f t="shared" si="12"/>
        <v>dpi_vdd_dyn_SXGA+_|_1400x1050x60_fps_18b_|_1p8V</v>
      </c>
      <c r="B342" s="48" t="s">
        <v>5264</v>
      </c>
      <c r="C342" s="48" t="s">
        <v>5255</v>
      </c>
      <c r="D342" s="48" t="s">
        <v>4997</v>
      </c>
      <c r="E342" s="48" t="s">
        <v>5195</v>
      </c>
      <c r="F342" s="14">
        <v>3.3371368446239999E-5</v>
      </c>
      <c r="G342" s="48" t="s">
        <v>5260</v>
      </c>
      <c r="H342" s="49"/>
      <c r="I342" s="22"/>
      <c r="O342" s="21"/>
    </row>
    <row r="343" spans="1:15" customFormat="1" ht="15" x14ac:dyDescent="0.25">
      <c r="A343" s="48" t="str">
        <f t="shared" si="12"/>
        <v>dpi_vdd_dyn_SXGA+_|_1400x1050x60_fps_18b_|_3p3V</v>
      </c>
      <c r="B343" s="48" t="s">
        <v>5264</v>
      </c>
      <c r="C343" s="48" t="s">
        <v>5255</v>
      </c>
      <c r="D343" s="48" t="s">
        <v>4998</v>
      </c>
      <c r="E343" s="48" t="s">
        <v>5195</v>
      </c>
      <c r="F343" s="14">
        <v>4.2926118148742392E-5</v>
      </c>
      <c r="G343" s="48" t="s">
        <v>5260</v>
      </c>
      <c r="H343" s="49"/>
      <c r="I343" s="22"/>
      <c r="O343" s="21"/>
    </row>
    <row r="344" spans="1:15" customFormat="1" ht="15" x14ac:dyDescent="0.25">
      <c r="A344" s="48" t="str">
        <f t="shared" si="12"/>
        <v>dpi_vdd_dyn_SXGA+_|_1400x1050x60_fps_24b_|_1p8V</v>
      </c>
      <c r="B344" s="48" t="s">
        <v>5264</v>
      </c>
      <c r="C344" s="48" t="s">
        <v>5255</v>
      </c>
      <c r="D344" s="48" t="s">
        <v>4999</v>
      </c>
      <c r="E344" s="48" t="s">
        <v>5195</v>
      </c>
      <c r="F344" s="14">
        <v>4.2926118148742392E-5</v>
      </c>
      <c r="G344" s="48" t="s">
        <v>5260</v>
      </c>
      <c r="H344" s="49"/>
      <c r="I344" s="22"/>
      <c r="O344" s="21"/>
    </row>
    <row r="345" spans="1:15" customFormat="1" ht="15" x14ac:dyDescent="0.25">
      <c r="A345" s="48" t="str">
        <f t="shared" si="12"/>
        <v>dpi_vdd_dyn_SXGA+_|_1400x1050x60_fps_24b_|_3p3V</v>
      </c>
      <c r="B345" s="48" t="s">
        <v>5264</v>
      </c>
      <c r="C345" s="48" t="s">
        <v>5255</v>
      </c>
      <c r="D345" s="48" t="s">
        <v>5000</v>
      </c>
      <c r="E345" s="48" t="s">
        <v>5195</v>
      </c>
      <c r="F345" s="14">
        <v>3.5760055871865602E-5</v>
      </c>
      <c r="G345" s="48" t="s">
        <v>5260</v>
      </c>
      <c r="H345" s="49"/>
      <c r="I345" s="22"/>
      <c r="O345" s="21"/>
    </row>
    <row r="346" spans="1:15" customFormat="1" ht="15" x14ac:dyDescent="0.25">
      <c r="A346" s="48" t="str">
        <f t="shared" si="12"/>
        <v>dpi_vdd_dyn_UXGA_|_1600x1200x30_fps_12b_|_1p8V</v>
      </c>
      <c r="B346" s="48" t="s">
        <v>5264</v>
      </c>
      <c r="C346" s="48" t="s">
        <v>5255</v>
      </c>
      <c r="D346" s="48" t="s">
        <v>5016</v>
      </c>
      <c r="E346" s="48" t="s">
        <v>5195</v>
      </c>
      <c r="F346" s="14">
        <v>3.4750830728908804E-5</v>
      </c>
      <c r="G346" s="48" t="s">
        <v>5260</v>
      </c>
      <c r="H346" s="49"/>
      <c r="I346" s="22"/>
      <c r="O346" s="21"/>
    </row>
    <row r="347" spans="1:15" customFormat="1" ht="15" x14ac:dyDescent="0.25">
      <c r="A347" s="48" t="str">
        <f t="shared" si="12"/>
        <v>dpi_vdd_dyn_UXGA_|_1600x1200x30_fps_12b_|_3p3V</v>
      </c>
      <c r="B347" s="48" t="s">
        <v>5264</v>
      </c>
      <c r="C347" s="48" t="s">
        <v>5255</v>
      </c>
      <c r="D347" s="48" t="s">
        <v>5017</v>
      </c>
      <c r="E347" s="48" t="s">
        <v>5195</v>
      </c>
      <c r="F347" s="14">
        <v>2.2105143324000003E-5</v>
      </c>
      <c r="G347" s="48" t="s">
        <v>5260</v>
      </c>
      <c r="H347" s="49"/>
      <c r="I347" s="22"/>
      <c r="O347" s="21"/>
    </row>
    <row r="348" spans="1:15" customFormat="1" ht="15" x14ac:dyDescent="0.25">
      <c r="A348" s="48" t="str">
        <f t="shared" si="12"/>
        <v>dpi_vdd_dyn_UXGA_|_1600x1200x30_fps_16b_|_1p8V</v>
      </c>
      <c r="B348" s="48" t="s">
        <v>5264</v>
      </c>
      <c r="C348" s="48" t="s">
        <v>5255</v>
      </c>
      <c r="D348" s="48" t="s">
        <v>5018</v>
      </c>
      <c r="E348" s="48" t="s">
        <v>5195</v>
      </c>
      <c r="F348" s="14">
        <v>2.2105143324000003E-5</v>
      </c>
      <c r="G348" s="48" t="s">
        <v>5260</v>
      </c>
      <c r="H348" s="49"/>
      <c r="I348" s="22"/>
      <c r="O348" s="21"/>
    </row>
    <row r="349" spans="1:15" customFormat="1" ht="15" x14ac:dyDescent="0.25">
      <c r="A349" s="48" t="str">
        <f t="shared" si="12"/>
        <v>dpi_vdd_dyn_UXGA_|_1600x1200x30_fps_16b_|_3p3V</v>
      </c>
      <c r="B349" s="48" t="s">
        <v>5264</v>
      </c>
      <c r="C349" s="48" t="s">
        <v>5255</v>
      </c>
      <c r="D349" s="48" t="s">
        <v>5019</v>
      </c>
      <c r="E349" s="48" t="s">
        <v>5195</v>
      </c>
      <c r="F349" s="14">
        <v>2.2105143324000003E-5</v>
      </c>
      <c r="G349" s="48" t="s">
        <v>5260</v>
      </c>
      <c r="H349" s="49"/>
      <c r="I349" s="22"/>
      <c r="O349" s="21"/>
    </row>
    <row r="350" spans="1:15" customFormat="1" ht="15" x14ac:dyDescent="0.25">
      <c r="A350" s="48" t="str">
        <f t="shared" si="12"/>
        <v>dpi_vdd_dyn_UXGA_|_1600x1200x30_fps_18b_|_1p8V</v>
      </c>
      <c r="B350" s="48" t="s">
        <v>5264</v>
      </c>
      <c r="C350" s="48" t="s">
        <v>5255</v>
      </c>
      <c r="D350" s="48" t="s">
        <v>5020</v>
      </c>
      <c r="E350" s="48" t="s">
        <v>5195</v>
      </c>
      <c r="F350" s="14">
        <v>2.2105143324000003E-5</v>
      </c>
      <c r="G350" s="48" t="s">
        <v>5260</v>
      </c>
      <c r="H350" s="49"/>
      <c r="I350" s="22"/>
      <c r="O350" s="21"/>
    </row>
    <row r="351" spans="1:15" customFormat="1" ht="15" x14ac:dyDescent="0.25">
      <c r="A351" s="48" t="str">
        <f t="shared" si="12"/>
        <v>dpi_vdd_dyn_UXGA_|_1600x1200x30_fps_18b_|_3p3V</v>
      </c>
      <c r="B351" s="48" t="s">
        <v>5264</v>
      </c>
      <c r="C351" s="48" t="s">
        <v>5255</v>
      </c>
      <c r="D351" s="48" t="s">
        <v>5021</v>
      </c>
      <c r="E351" s="48" t="s">
        <v>5195</v>
      </c>
      <c r="F351" s="14">
        <v>2.3687406214560001E-5</v>
      </c>
      <c r="G351" s="48" t="s">
        <v>5260</v>
      </c>
      <c r="H351" s="49"/>
      <c r="I351" s="22"/>
      <c r="O351" s="21"/>
    </row>
    <row r="352" spans="1:15" customFormat="1" ht="15" x14ac:dyDescent="0.25">
      <c r="A352" s="48" t="str">
        <f t="shared" si="12"/>
        <v>dpi_vdd_dyn_UXGA_|_1600x1200x30_fps_24b_|_1p8V</v>
      </c>
      <c r="B352" s="48" t="s">
        <v>5264</v>
      </c>
      <c r="C352" s="48" t="s">
        <v>5255</v>
      </c>
      <c r="D352" s="48" t="s">
        <v>5022</v>
      </c>
      <c r="E352" s="48" t="s">
        <v>5195</v>
      </c>
      <c r="F352" s="14">
        <v>2.3687406214560001E-5</v>
      </c>
      <c r="G352" s="48" t="s">
        <v>5260</v>
      </c>
      <c r="H352" s="49"/>
      <c r="I352" s="22"/>
      <c r="O352" s="21"/>
    </row>
    <row r="353" spans="1:15" customFormat="1" ht="15" x14ac:dyDescent="0.25">
      <c r="A353" s="48" t="str">
        <f t="shared" si="12"/>
        <v>dpi_vdd_dyn_UXGA_|_1600x1200x30_fps_24b_|_3p3V</v>
      </c>
      <c r="B353" s="48" t="s">
        <v>5264</v>
      </c>
      <c r="C353" s="48" t="s">
        <v>5255</v>
      </c>
      <c r="D353" s="48" t="s">
        <v>5023</v>
      </c>
      <c r="E353" s="48" t="s">
        <v>5195</v>
      </c>
      <c r="F353" s="14">
        <v>2.3687406214560001E-5</v>
      </c>
      <c r="G353" s="48" t="s">
        <v>5260</v>
      </c>
      <c r="H353" s="49"/>
      <c r="I353" s="22"/>
      <c r="O353" s="21"/>
    </row>
    <row r="354" spans="1:15" customFormat="1" ht="15" x14ac:dyDescent="0.25">
      <c r="A354" s="48" t="str">
        <f t="shared" si="12"/>
        <v>dpi_vdd_dyn_UXGA_|_1600x1200x60_fps_12b_|_1p8V</v>
      </c>
      <c r="B354" s="48" t="s">
        <v>5264</v>
      </c>
      <c r="C354" s="48" t="s">
        <v>5255</v>
      </c>
      <c r="D354" s="48" t="s">
        <v>5024</v>
      </c>
      <c r="E354" s="48" t="s">
        <v>5195</v>
      </c>
      <c r="F354" s="14">
        <v>2.3687406214560001E-5</v>
      </c>
      <c r="G354" s="48" t="s">
        <v>5260</v>
      </c>
      <c r="H354" s="49"/>
      <c r="I354" s="22"/>
      <c r="O354" s="21"/>
    </row>
    <row r="355" spans="1:15" customFormat="1" ht="15" x14ac:dyDescent="0.25">
      <c r="A355" s="48" t="str">
        <f t="shared" si="12"/>
        <v>dpi_vdd_dyn_UXGA_|_1600x1200x60_fps_12b_|_3p3V</v>
      </c>
      <c r="B355" s="48" t="s">
        <v>5264</v>
      </c>
      <c r="C355" s="48" t="s">
        <v>5255</v>
      </c>
      <c r="D355" s="48" t="s">
        <v>5025</v>
      </c>
      <c r="E355" s="48" t="s">
        <v>5195</v>
      </c>
      <c r="F355" s="14">
        <v>4.4210286648000006E-5</v>
      </c>
      <c r="G355" s="48" t="s">
        <v>5260</v>
      </c>
      <c r="H355" s="49"/>
      <c r="I355" s="22"/>
      <c r="O355" s="21"/>
    </row>
    <row r="356" spans="1:15" customFormat="1" ht="15" x14ac:dyDescent="0.25">
      <c r="A356" s="48" t="str">
        <f t="shared" si="12"/>
        <v>dpi_vdd_dyn_UXGA_|_1600x1200x60_fps_16b_|_1p8V</v>
      </c>
      <c r="B356" s="48" t="s">
        <v>5264</v>
      </c>
      <c r="C356" s="48" t="s">
        <v>5255</v>
      </c>
      <c r="D356" s="48" t="s">
        <v>5026</v>
      </c>
      <c r="E356" s="48" t="s">
        <v>5195</v>
      </c>
      <c r="F356" s="14">
        <v>4.4210286648000006E-5</v>
      </c>
      <c r="G356" s="48" t="s">
        <v>5260</v>
      </c>
      <c r="H356" s="49"/>
      <c r="I356" s="22"/>
      <c r="O356" s="21"/>
    </row>
    <row r="357" spans="1:15" customFormat="1" ht="15" x14ac:dyDescent="0.25">
      <c r="A357" s="48" t="str">
        <f t="shared" si="12"/>
        <v>dpi_vdd_dyn_UXGA_|_1600x1200x60_fps_16b_|_3p3V</v>
      </c>
      <c r="B357" s="48" t="s">
        <v>5264</v>
      </c>
      <c r="C357" s="48" t="s">
        <v>5255</v>
      </c>
      <c r="D357" s="48" t="s">
        <v>5027</v>
      </c>
      <c r="E357" s="48" t="s">
        <v>5195</v>
      </c>
      <c r="F357" s="14">
        <v>4.4210286648000006E-5</v>
      </c>
      <c r="G357" s="48" t="s">
        <v>5260</v>
      </c>
      <c r="H357" s="49"/>
      <c r="I357" s="22"/>
      <c r="O357" s="21"/>
    </row>
    <row r="358" spans="1:15" customFormat="1" ht="15" x14ac:dyDescent="0.25">
      <c r="A358" s="48" t="str">
        <f t="shared" si="12"/>
        <v>dpi_vdd_dyn_UXGA_|_1600x1200x60_fps_18b_|_1p8V</v>
      </c>
      <c r="B358" s="48" t="s">
        <v>5264</v>
      </c>
      <c r="C358" s="48" t="s">
        <v>5255</v>
      </c>
      <c r="D358" s="48" t="s">
        <v>5028</v>
      </c>
      <c r="E358" s="48" t="s">
        <v>5195</v>
      </c>
      <c r="F358" s="14">
        <v>4.4210286648000006E-5</v>
      </c>
      <c r="G358" s="48" t="s">
        <v>5260</v>
      </c>
      <c r="H358" s="49"/>
      <c r="I358" s="22"/>
      <c r="O358" s="21"/>
    </row>
    <row r="359" spans="1:15" customFormat="1" ht="15" x14ac:dyDescent="0.25">
      <c r="A359" s="48" t="str">
        <f t="shared" si="12"/>
        <v>dpi_vdd_dyn_UXGA_|_1600x1200x60_fps_18b_|_3p3V</v>
      </c>
      <c r="B359" s="48" t="s">
        <v>5264</v>
      </c>
      <c r="C359" s="48" t="s">
        <v>5255</v>
      </c>
      <c r="D359" s="48" t="s">
        <v>5029</v>
      </c>
      <c r="E359" s="48" t="s">
        <v>5195</v>
      </c>
      <c r="F359" s="14">
        <v>4.7374812429120002E-5</v>
      </c>
      <c r="G359" s="48" t="s">
        <v>5260</v>
      </c>
      <c r="H359" s="49"/>
      <c r="I359" s="22"/>
      <c r="O359" s="21"/>
    </row>
    <row r="360" spans="1:15" customFormat="1" ht="15" x14ac:dyDescent="0.25">
      <c r="A360" s="48" t="str">
        <f t="shared" ref="A360:A423" si="13">B360&amp;"_"&amp;C360&amp;"_"&amp;D360</f>
        <v>dpi_vdd_dyn_UXGA_|_1600x1200x60_fps_24b_|_1p8V</v>
      </c>
      <c r="B360" s="48" t="s">
        <v>5264</v>
      </c>
      <c r="C360" s="48" t="s">
        <v>5255</v>
      </c>
      <c r="D360" s="48" t="s">
        <v>5030</v>
      </c>
      <c r="E360" s="48" t="s">
        <v>5195</v>
      </c>
      <c r="F360" s="14">
        <v>4.7374812429120002E-5</v>
      </c>
      <c r="G360" s="48" t="s">
        <v>5260</v>
      </c>
      <c r="H360" s="49"/>
      <c r="I360" s="22"/>
      <c r="O360" s="21"/>
    </row>
    <row r="361" spans="1:15" customFormat="1" ht="15" x14ac:dyDescent="0.25">
      <c r="A361" s="48" t="str">
        <f t="shared" si="13"/>
        <v>dpi_vdd_dyn_UXGA_|_1600x1200x60_fps_24b_|_3p3V</v>
      </c>
      <c r="B361" s="48" t="s">
        <v>5264</v>
      </c>
      <c r="C361" s="48" t="s">
        <v>5255</v>
      </c>
      <c r="D361" s="48" t="s">
        <v>5031</v>
      </c>
      <c r="E361" s="48" t="s">
        <v>5195</v>
      </c>
      <c r="F361" s="14">
        <v>4.7374812429120002E-5</v>
      </c>
      <c r="G361" s="48" t="s">
        <v>5260</v>
      </c>
      <c r="H361" s="49"/>
      <c r="I361" s="22"/>
      <c r="O361" s="21"/>
    </row>
    <row r="362" spans="1:15" customFormat="1" ht="15" x14ac:dyDescent="0.25">
      <c r="A362" s="48" t="str">
        <f t="shared" si="13"/>
        <v>dpi_vdd_dyn_WVGA_|_854x480x60_fps_12b_|_1p8V</v>
      </c>
      <c r="B362" s="48" t="s">
        <v>5264</v>
      </c>
      <c r="C362" s="48" t="s">
        <v>5255</v>
      </c>
      <c r="D362" s="48" t="s">
        <v>4939</v>
      </c>
      <c r="E362" s="48" t="s">
        <v>5195</v>
      </c>
      <c r="F362" s="14">
        <v>1.35123963346944E-5</v>
      </c>
      <c r="G362" s="48" t="s">
        <v>5260</v>
      </c>
      <c r="H362" s="49"/>
      <c r="I362" s="22"/>
      <c r="O362" s="21"/>
    </row>
    <row r="363" spans="1:15" customFormat="1" ht="15" x14ac:dyDescent="0.25">
      <c r="A363" s="48" t="str">
        <f t="shared" si="13"/>
        <v>dpi_vdd_dyn_WVGA_|_854x480x60_fps_12b_|_3p3V</v>
      </c>
      <c r="B363" s="48" t="s">
        <v>5264</v>
      </c>
      <c r="C363" s="48" t="s">
        <v>5255</v>
      </c>
      <c r="D363" s="48" t="s">
        <v>4940</v>
      </c>
      <c r="E363" s="48" t="s">
        <v>5195</v>
      </c>
      <c r="F363" s="14">
        <v>9.301614220800001E-6</v>
      </c>
      <c r="G363" s="48" t="s">
        <v>5260</v>
      </c>
      <c r="H363" s="49"/>
      <c r="I363" s="22"/>
      <c r="O363" s="21"/>
    </row>
    <row r="364" spans="1:15" customFormat="1" ht="15" x14ac:dyDescent="0.25">
      <c r="A364" s="48" t="str">
        <f t="shared" si="13"/>
        <v>dpi_vdd_dyn_WVGA_|_854x480x60_fps_16b_|_1p8V</v>
      </c>
      <c r="B364" s="48" t="s">
        <v>5264</v>
      </c>
      <c r="C364" s="48" t="s">
        <v>5255</v>
      </c>
      <c r="D364" s="48" t="s">
        <v>4941</v>
      </c>
      <c r="E364" s="48" t="s">
        <v>5195</v>
      </c>
      <c r="F364" s="14">
        <v>9.301614220800001E-6</v>
      </c>
      <c r="G364" s="48" t="s">
        <v>5260</v>
      </c>
      <c r="H364" s="49"/>
      <c r="I364" s="22"/>
      <c r="O364" s="21"/>
    </row>
    <row r="365" spans="1:15" customFormat="1" ht="15" x14ac:dyDescent="0.25">
      <c r="A365" s="48" t="str">
        <f t="shared" si="13"/>
        <v>dpi_vdd_dyn_WVGA_|_854x480x60_fps_16b_|_3p3V</v>
      </c>
      <c r="B365" s="48" t="s">
        <v>5264</v>
      </c>
      <c r="C365" s="48" t="s">
        <v>5255</v>
      </c>
      <c r="D365" s="48" t="s">
        <v>4942</v>
      </c>
      <c r="E365" s="48" t="s">
        <v>5195</v>
      </c>
      <c r="F365" s="14">
        <v>8.6802883200000022E-6</v>
      </c>
      <c r="G365" s="48" t="s">
        <v>5260</v>
      </c>
      <c r="H365" s="49"/>
      <c r="I365" s="22"/>
      <c r="O365" s="21"/>
    </row>
    <row r="366" spans="1:15" customFormat="1" ht="15" x14ac:dyDescent="0.25">
      <c r="A366" s="48" t="str">
        <f t="shared" si="13"/>
        <v>dpi_vdd_dyn_WVGA_|_854x480x60_fps_24b_|_1p8V</v>
      </c>
      <c r="B366" s="48" t="s">
        <v>5264</v>
      </c>
      <c r="C366" s="48" t="s">
        <v>5255</v>
      </c>
      <c r="D366" s="48" t="s">
        <v>4943</v>
      </c>
      <c r="E366" s="48" t="s">
        <v>5195</v>
      </c>
      <c r="F366" s="14">
        <v>8.6802883200000022E-6</v>
      </c>
      <c r="G366" s="48" t="s">
        <v>5260</v>
      </c>
      <c r="H366" s="49"/>
      <c r="I366" s="22"/>
      <c r="O366" s="21"/>
    </row>
    <row r="367" spans="1:15" customFormat="1" ht="15" x14ac:dyDescent="0.25">
      <c r="A367" s="48" t="str">
        <f t="shared" si="13"/>
        <v>dpi_vdd_dyn_WVGA_|_854x480x60_fps_24b_|_1p8V</v>
      </c>
      <c r="B367" s="48" t="s">
        <v>5264</v>
      </c>
      <c r="C367" s="48" t="s">
        <v>5255</v>
      </c>
      <c r="D367" s="48" t="s">
        <v>4943</v>
      </c>
      <c r="E367" s="48" t="s">
        <v>5195</v>
      </c>
      <c r="F367" s="14">
        <v>1.11655919232E-5</v>
      </c>
      <c r="G367" s="48" t="s">
        <v>5260</v>
      </c>
      <c r="H367" s="49"/>
      <c r="I367" s="22"/>
      <c r="O367" s="21"/>
    </row>
    <row r="368" spans="1:15" customFormat="1" ht="15" x14ac:dyDescent="0.25">
      <c r="A368" s="48" t="str">
        <f t="shared" si="13"/>
        <v>dpi_vdd_dyn_WVGA_|_854x480x60_fps_24b_|_3p3V</v>
      </c>
      <c r="B368" s="48" t="s">
        <v>5264</v>
      </c>
      <c r="C368" s="48" t="s">
        <v>5255</v>
      </c>
      <c r="D368" s="48" t="s">
        <v>4944</v>
      </c>
      <c r="E368" s="48" t="s">
        <v>5195</v>
      </c>
      <c r="F368" s="14">
        <v>1.11655919232E-5</v>
      </c>
      <c r="G368" s="48" t="s">
        <v>5260</v>
      </c>
      <c r="H368" s="49"/>
      <c r="I368" s="22"/>
      <c r="O368" s="21"/>
    </row>
    <row r="369" spans="1:15" customFormat="1" ht="15" x14ac:dyDescent="0.25">
      <c r="A369" s="48" t="str">
        <f t="shared" si="13"/>
        <v>dpi_vdd_dyn_WVGA_|_854x480x60_fps_24b_|_3p3V</v>
      </c>
      <c r="B369" s="48" t="s">
        <v>5264</v>
      </c>
      <c r="C369" s="48" t="s">
        <v>5255</v>
      </c>
      <c r="D369" s="48" t="s">
        <v>4944</v>
      </c>
      <c r="E369" s="48" t="s">
        <v>5195</v>
      </c>
      <c r="F369" s="14">
        <v>1.11655919232E-5</v>
      </c>
      <c r="G369" s="48" t="s">
        <v>5260</v>
      </c>
      <c r="H369" s="49"/>
      <c r="I369" s="22"/>
      <c r="O369" s="21"/>
    </row>
    <row r="370" spans="1:15" customFormat="1" ht="15" x14ac:dyDescent="0.25">
      <c r="A370" s="48" t="str">
        <f t="shared" si="13"/>
        <v>dpi_vdd_dyn_WXGA_|_1280x800x30_fps_12b_|_1p8V</v>
      </c>
      <c r="B370" s="48" t="s">
        <v>5264</v>
      </c>
      <c r="C370" s="48" t="s">
        <v>5255</v>
      </c>
      <c r="D370" s="48" t="s">
        <v>4963</v>
      </c>
      <c r="E370" s="48" t="s">
        <v>5195</v>
      </c>
      <c r="F370" s="14">
        <v>2.6321022026956794E-5</v>
      </c>
      <c r="G370" s="48" t="s">
        <v>5260</v>
      </c>
      <c r="H370" s="49"/>
      <c r="I370" s="22"/>
      <c r="O370" s="21"/>
    </row>
    <row r="371" spans="1:15" customFormat="1" ht="15" x14ac:dyDescent="0.25">
      <c r="A371" s="48" t="str">
        <f t="shared" si="13"/>
        <v>dpi_vdd_dyn_WXGA_|_1280x800x30_fps_12b_|_3p3V</v>
      </c>
      <c r="B371" s="48" t="s">
        <v>5264</v>
      </c>
      <c r="C371" s="48" t="s">
        <v>5255</v>
      </c>
      <c r="D371" s="48" t="s">
        <v>4964</v>
      </c>
      <c r="E371" s="48" t="s">
        <v>5195</v>
      </c>
      <c r="F371" s="14">
        <v>1.1475735717600003E-5</v>
      </c>
      <c r="G371" s="48" t="s">
        <v>5260</v>
      </c>
      <c r="H371" s="49"/>
      <c r="I371" s="22"/>
      <c r="O371" s="21"/>
    </row>
    <row r="372" spans="1:15" customFormat="1" ht="15" x14ac:dyDescent="0.25">
      <c r="A372" s="48" t="str">
        <f t="shared" si="13"/>
        <v>dpi_vdd_dyn_WXGA_|_1280x800x30_fps_16b_|_1p8V</v>
      </c>
      <c r="B372" s="48" t="s">
        <v>5264</v>
      </c>
      <c r="C372" s="48" t="s">
        <v>5255</v>
      </c>
      <c r="D372" s="48" t="s">
        <v>4965</v>
      </c>
      <c r="E372" s="48" t="s">
        <v>5195</v>
      </c>
      <c r="F372" s="14">
        <v>1.1475735717600003E-5</v>
      </c>
      <c r="G372" s="48" t="s">
        <v>5260</v>
      </c>
      <c r="H372" s="49"/>
      <c r="I372" s="22"/>
      <c r="O372" s="21"/>
    </row>
    <row r="373" spans="1:15" customFormat="1" ht="15" x14ac:dyDescent="0.25">
      <c r="A373" s="48" t="str">
        <f t="shared" si="13"/>
        <v>dpi_vdd_dyn_WXGA_|_1280x800x30_fps_16b_|_3p3V</v>
      </c>
      <c r="B373" s="48" t="s">
        <v>5264</v>
      </c>
      <c r="C373" s="48" t="s">
        <v>5255</v>
      </c>
      <c r="D373" s="48" t="s">
        <v>4966</v>
      </c>
      <c r="E373" s="48" t="s">
        <v>5195</v>
      </c>
      <c r="F373" s="14">
        <v>1.1475735717600003E-5</v>
      </c>
      <c r="G373" s="48" t="s">
        <v>5260</v>
      </c>
      <c r="H373" s="49"/>
      <c r="I373" s="22"/>
      <c r="O373" s="21"/>
    </row>
    <row r="374" spans="1:15" customFormat="1" ht="15" x14ac:dyDescent="0.25">
      <c r="A374" s="48" t="str">
        <f t="shared" si="13"/>
        <v>dpi_vdd_dyn_WXGA_|_1280x800x30_fps_24b_|_1p8V</v>
      </c>
      <c r="B374" s="48" t="s">
        <v>5264</v>
      </c>
      <c r="C374" s="48" t="s">
        <v>5255</v>
      </c>
      <c r="D374" s="48" t="s">
        <v>4967</v>
      </c>
      <c r="E374" s="48" t="s">
        <v>5195</v>
      </c>
      <c r="F374" s="14">
        <v>1.1475735717600003E-5</v>
      </c>
      <c r="G374" s="48" t="s">
        <v>5260</v>
      </c>
      <c r="H374" s="49"/>
      <c r="I374" s="22"/>
      <c r="O374" s="21"/>
    </row>
    <row r="375" spans="1:15" customFormat="1" ht="15" x14ac:dyDescent="0.25">
      <c r="A375" s="48" t="str">
        <f t="shared" si="13"/>
        <v>dpi_vdd_dyn_WXGA_|_1280x800x30_fps_24b_|_1p8V</v>
      </c>
      <c r="B375" s="48" t="s">
        <v>5264</v>
      </c>
      <c r="C375" s="48" t="s">
        <v>5255</v>
      </c>
      <c r="D375" s="48" t="s">
        <v>4967</v>
      </c>
      <c r="E375" s="48" t="s">
        <v>5195</v>
      </c>
      <c r="F375" s="14">
        <v>1.4761420049376E-5</v>
      </c>
      <c r="G375" s="48" t="s">
        <v>5260</v>
      </c>
      <c r="H375" s="49"/>
      <c r="I375" s="22"/>
      <c r="O375" s="21"/>
    </row>
    <row r="376" spans="1:15" customFormat="1" ht="15" x14ac:dyDescent="0.25">
      <c r="A376" s="48" t="str">
        <f t="shared" si="13"/>
        <v>dpi_vdd_dyn_WXGA_|_1280x800x30_fps_24b_|_3p3V</v>
      </c>
      <c r="B376" s="48" t="s">
        <v>5264</v>
      </c>
      <c r="C376" s="48" t="s">
        <v>5255</v>
      </c>
      <c r="D376" s="48" t="s">
        <v>4968</v>
      </c>
      <c r="E376" s="48" t="s">
        <v>5195</v>
      </c>
      <c r="F376" s="14">
        <v>1.4761420049376E-5</v>
      </c>
      <c r="G376" s="48" t="s">
        <v>5260</v>
      </c>
      <c r="H376" s="49"/>
      <c r="I376" s="22"/>
      <c r="O376" s="21"/>
    </row>
    <row r="377" spans="1:15" customFormat="1" ht="15" x14ac:dyDescent="0.25">
      <c r="A377" s="48" t="str">
        <f t="shared" si="13"/>
        <v>dpi_vdd_dyn_WXGA_|_1280x800x30_fps_24b_|_3p3V</v>
      </c>
      <c r="B377" s="48" t="s">
        <v>5264</v>
      </c>
      <c r="C377" s="48" t="s">
        <v>5255</v>
      </c>
      <c r="D377" s="48" t="s">
        <v>4968</v>
      </c>
      <c r="E377" s="48" t="s">
        <v>5195</v>
      </c>
      <c r="F377" s="14">
        <v>1.4761420049376E-5</v>
      </c>
      <c r="G377" s="48" t="s">
        <v>5260</v>
      </c>
      <c r="H377" s="49"/>
      <c r="I377" s="22"/>
      <c r="O377" s="21"/>
    </row>
    <row r="378" spans="1:15" customFormat="1" ht="15" x14ac:dyDescent="0.25">
      <c r="A378" s="48" t="str">
        <f t="shared" si="13"/>
        <v>dpi_vdd_dyn_WXGA_|_1280x800x60_fps_12b_|_1p8V</v>
      </c>
      <c r="B378" s="48" t="s">
        <v>5264</v>
      </c>
      <c r="C378" s="48" t="s">
        <v>5255</v>
      </c>
      <c r="D378" s="48" t="s">
        <v>4969</v>
      </c>
      <c r="E378" s="48" t="s">
        <v>5195</v>
      </c>
      <c r="F378" s="14">
        <v>1.4761420049376E-5</v>
      </c>
      <c r="G378" s="48" t="s">
        <v>5260</v>
      </c>
      <c r="H378" s="49"/>
      <c r="I378" s="22"/>
      <c r="O378" s="21"/>
    </row>
    <row r="379" spans="1:15" customFormat="1" ht="15" x14ac:dyDescent="0.25">
      <c r="A379" s="48" t="str">
        <f t="shared" si="13"/>
        <v>dpi_vdd_dyn_WXGA_|_1280x800x60_fps_12b_|_3p3V</v>
      </c>
      <c r="B379" s="48" t="s">
        <v>5264</v>
      </c>
      <c r="C379" s="48" t="s">
        <v>5255</v>
      </c>
      <c r="D379" s="48" t="s">
        <v>4970</v>
      </c>
      <c r="E379" s="48" t="s">
        <v>5195</v>
      </c>
      <c r="F379" s="14">
        <v>2.2951471435200005E-5</v>
      </c>
      <c r="G379" s="48" t="s">
        <v>5260</v>
      </c>
      <c r="H379" s="49"/>
      <c r="I379" s="22"/>
      <c r="O379" s="21"/>
    </row>
    <row r="380" spans="1:15" customFormat="1" ht="15" x14ac:dyDescent="0.25">
      <c r="A380" s="48" t="str">
        <f t="shared" si="13"/>
        <v>dpi_vdd_dyn_WXGA_|_1280x800x60_fps_16b_|_1p8V</v>
      </c>
      <c r="B380" s="48" t="s">
        <v>5264</v>
      </c>
      <c r="C380" s="48" t="s">
        <v>5255</v>
      </c>
      <c r="D380" s="48" t="s">
        <v>4971</v>
      </c>
      <c r="E380" s="48" t="s">
        <v>5195</v>
      </c>
      <c r="F380" s="14">
        <v>2.2951471435200005E-5</v>
      </c>
      <c r="G380" s="48" t="s">
        <v>5260</v>
      </c>
      <c r="H380" s="49"/>
      <c r="I380" s="22"/>
      <c r="O380" s="21"/>
    </row>
    <row r="381" spans="1:15" customFormat="1" ht="15" x14ac:dyDescent="0.25">
      <c r="A381" s="48" t="str">
        <f t="shared" si="13"/>
        <v>dpi_vdd_dyn_WXGA_|_1280x800x60_fps_16b_|_3p3V</v>
      </c>
      <c r="B381" s="48" t="s">
        <v>5264</v>
      </c>
      <c r="C381" s="48" t="s">
        <v>5255</v>
      </c>
      <c r="D381" s="48" t="s">
        <v>4972</v>
      </c>
      <c r="E381" s="48" t="s">
        <v>5195</v>
      </c>
      <c r="F381" s="14">
        <v>2.2951471435200005E-5</v>
      </c>
      <c r="G381" s="48" t="s">
        <v>5260</v>
      </c>
      <c r="H381" s="49"/>
      <c r="I381" s="22"/>
      <c r="O381" s="21"/>
    </row>
    <row r="382" spans="1:15" customFormat="1" ht="15" x14ac:dyDescent="0.25">
      <c r="A382" s="48" t="str">
        <f t="shared" si="13"/>
        <v>dpi_vdd_dyn_WXGA_|_1280x800x60_fps_18b_|_1p8V</v>
      </c>
      <c r="B382" s="48" t="s">
        <v>5264</v>
      </c>
      <c r="C382" s="48" t="s">
        <v>5255</v>
      </c>
      <c r="D382" s="48" t="s">
        <v>4973</v>
      </c>
      <c r="E382" s="48" t="s">
        <v>5195</v>
      </c>
      <c r="F382" s="14">
        <v>2.2951471435200005E-5</v>
      </c>
      <c r="G382" s="48" t="s">
        <v>5260</v>
      </c>
      <c r="H382" s="49"/>
      <c r="I382" s="22"/>
      <c r="O382" s="21"/>
    </row>
    <row r="383" spans="1:15" customFormat="1" ht="15" x14ac:dyDescent="0.25">
      <c r="A383" s="48" t="str">
        <f t="shared" si="13"/>
        <v>dpi_vdd_dyn_WXGA_|_1280x800x60_fps_18b_|_3p3V</v>
      </c>
      <c r="B383" s="48" t="s">
        <v>5264</v>
      </c>
      <c r="C383" s="48" t="s">
        <v>5255</v>
      </c>
      <c r="D383" s="48" t="s">
        <v>4974</v>
      </c>
      <c r="E383" s="48" t="s">
        <v>5195</v>
      </c>
      <c r="F383" s="14">
        <v>2.9522840098752001E-5</v>
      </c>
      <c r="G383" s="48" t="s">
        <v>5260</v>
      </c>
      <c r="H383" s="49"/>
      <c r="I383" s="22"/>
      <c r="O383" s="21"/>
    </row>
    <row r="384" spans="1:15" customFormat="1" ht="15" x14ac:dyDescent="0.25">
      <c r="A384" s="48" t="str">
        <f t="shared" si="13"/>
        <v>dpi_vdd_dyn_WXGA_|_1280x800x60_fps_24b_|_1p8V</v>
      </c>
      <c r="B384" s="48" t="s">
        <v>5264</v>
      </c>
      <c r="C384" s="48" t="s">
        <v>5255</v>
      </c>
      <c r="D384" s="48" t="s">
        <v>4975</v>
      </c>
      <c r="E384" s="48" t="s">
        <v>5195</v>
      </c>
      <c r="F384" s="14">
        <v>2.9522840098752001E-5</v>
      </c>
      <c r="G384" s="48" t="s">
        <v>5260</v>
      </c>
      <c r="H384" s="49"/>
      <c r="I384" s="22"/>
      <c r="O384" s="21"/>
    </row>
    <row r="385" spans="1:15" customFormat="1" ht="15" x14ac:dyDescent="0.25">
      <c r="A385" s="48" t="str">
        <f t="shared" si="13"/>
        <v>dpi_vdd_dyn_WXGA_|_1280x800x60_fps_24b_|_3p3V</v>
      </c>
      <c r="B385" s="48" t="s">
        <v>5264</v>
      </c>
      <c r="C385" s="48" t="s">
        <v>5255</v>
      </c>
      <c r="D385" s="48" t="s">
        <v>4976</v>
      </c>
      <c r="E385" s="48" t="s">
        <v>5195</v>
      </c>
      <c r="F385" s="14">
        <v>2.9522840098752001E-5</v>
      </c>
      <c r="G385" s="48" t="s">
        <v>5260</v>
      </c>
      <c r="H385" s="49"/>
      <c r="I385" s="22"/>
      <c r="O385" s="21"/>
    </row>
    <row r="386" spans="1:15" customFormat="1" ht="15" x14ac:dyDescent="0.25">
      <c r="A386" s="48" t="str">
        <f t="shared" si="13"/>
        <v>dpi_vdd_dyn_XGA_|_1024x768x60_fps_12b_|_1p8V</v>
      </c>
      <c r="B386" s="48" t="s">
        <v>5264</v>
      </c>
      <c r="C386" s="48" t="s">
        <v>5255</v>
      </c>
      <c r="D386" s="48" t="s">
        <v>4945</v>
      </c>
      <c r="E386" s="48" t="s">
        <v>5195</v>
      </c>
      <c r="F386" s="14">
        <v>1.11655919232E-5</v>
      </c>
      <c r="G386" s="48" t="s">
        <v>5260</v>
      </c>
      <c r="H386" s="49"/>
      <c r="I386" s="22"/>
      <c r="O386" s="21"/>
    </row>
    <row r="387" spans="1:15" customFormat="1" ht="15" x14ac:dyDescent="0.25">
      <c r="A387" s="48" t="str">
        <f t="shared" si="13"/>
        <v>dpi_vdd_dyn_XGA_|_1024x768x60_fps_12b_|_3p3V</v>
      </c>
      <c r="B387" s="48" t="s">
        <v>5264</v>
      </c>
      <c r="C387" s="48" t="s">
        <v>5255</v>
      </c>
      <c r="D387" s="48" t="s">
        <v>4946</v>
      </c>
      <c r="E387" s="48" t="s">
        <v>5195</v>
      </c>
      <c r="F387" s="14">
        <v>1.7422127775360002E-5</v>
      </c>
      <c r="G387" s="48" t="s">
        <v>5260</v>
      </c>
      <c r="H387" s="49"/>
      <c r="I387" s="22"/>
      <c r="O387" s="21"/>
    </row>
    <row r="388" spans="1:15" customFormat="1" ht="15" x14ac:dyDescent="0.25">
      <c r="A388" s="48" t="str">
        <f t="shared" si="13"/>
        <v>dpi_vdd_dyn_XGA_|_1024x768x60_fps_16b_|_1p8V</v>
      </c>
      <c r="B388" s="48" t="s">
        <v>5264</v>
      </c>
      <c r="C388" s="48" t="s">
        <v>5255</v>
      </c>
      <c r="D388" s="48" t="s">
        <v>4947</v>
      </c>
      <c r="E388" s="48" t="s">
        <v>5195</v>
      </c>
      <c r="F388" s="14">
        <v>1.7422127775360002E-5</v>
      </c>
      <c r="G388" s="48" t="s">
        <v>5260</v>
      </c>
      <c r="H388" s="49"/>
      <c r="I388" s="22"/>
      <c r="O388" s="21"/>
    </row>
    <row r="389" spans="1:15" customFormat="1" ht="15" x14ac:dyDescent="0.25">
      <c r="A389" s="48" t="str">
        <f t="shared" si="13"/>
        <v>dpi_vdd_dyn_XGA_|_1024x768x60_fps_16b_|_3p3V</v>
      </c>
      <c r="B389" s="48" t="s">
        <v>5264</v>
      </c>
      <c r="C389" s="48" t="s">
        <v>5255</v>
      </c>
      <c r="D389" s="48" t="s">
        <v>4948</v>
      </c>
      <c r="E389" s="48" t="s">
        <v>5195</v>
      </c>
      <c r="F389" s="14">
        <v>1.7422127775360002E-5</v>
      </c>
      <c r="G389" s="48" t="s">
        <v>5260</v>
      </c>
      <c r="H389" s="49"/>
      <c r="I389" s="22"/>
      <c r="O389" s="21"/>
    </row>
    <row r="390" spans="1:15" customFormat="1" ht="15" x14ac:dyDescent="0.25">
      <c r="A390" s="48" t="str">
        <f t="shared" si="13"/>
        <v>dpi_vdd_dyn_XGA_|_1024x768x60_fps_24b_|_1p8V</v>
      </c>
      <c r="B390" s="48" t="s">
        <v>5264</v>
      </c>
      <c r="C390" s="48" t="s">
        <v>5255</v>
      </c>
      <c r="D390" s="48" t="s">
        <v>4949</v>
      </c>
      <c r="E390" s="48" t="s">
        <v>5195</v>
      </c>
      <c r="F390" s="14">
        <v>1.7422127775360002E-5</v>
      </c>
      <c r="G390" s="48" t="s">
        <v>5260</v>
      </c>
      <c r="H390" s="49"/>
      <c r="I390" s="22"/>
      <c r="O390" s="21"/>
    </row>
    <row r="391" spans="1:15" customFormat="1" ht="15" x14ac:dyDescent="0.25">
      <c r="A391" s="48" t="str">
        <f t="shared" si="13"/>
        <v>dpi_vdd_dyn_XGA_|_1024x768x60_fps_24b_|_1p8V</v>
      </c>
      <c r="B391" s="48" t="s">
        <v>5264</v>
      </c>
      <c r="C391" s="48" t="s">
        <v>5255</v>
      </c>
      <c r="D391" s="48" t="s">
        <v>4949</v>
      </c>
      <c r="E391" s="48" t="s">
        <v>5195</v>
      </c>
      <c r="F391" s="14">
        <v>2.2410358043673598E-5</v>
      </c>
      <c r="G391" s="48" t="s">
        <v>5260</v>
      </c>
      <c r="H391" s="49"/>
      <c r="I391" s="22"/>
      <c r="O391" s="21"/>
    </row>
    <row r="392" spans="1:15" customFormat="1" ht="15" x14ac:dyDescent="0.25">
      <c r="A392" s="48" t="str">
        <f t="shared" si="13"/>
        <v>dpi_vdd_dyn_XGA_|_1024x768x60_fps_24b_|_3p3V</v>
      </c>
      <c r="B392" s="48" t="s">
        <v>5264</v>
      </c>
      <c r="C392" s="48" t="s">
        <v>5255</v>
      </c>
      <c r="D392" s="48" t="s">
        <v>4950</v>
      </c>
      <c r="E392" s="48" t="s">
        <v>5195</v>
      </c>
      <c r="F392" s="14">
        <v>2.2410358043673598E-5</v>
      </c>
      <c r="G392" s="48" t="s">
        <v>5260</v>
      </c>
      <c r="H392" s="49"/>
      <c r="I392" s="22"/>
      <c r="O392" s="21"/>
    </row>
    <row r="393" spans="1:15" customFormat="1" ht="15" x14ac:dyDescent="0.25">
      <c r="A393" s="48" t="str">
        <f t="shared" si="13"/>
        <v>dpi_vdd_dyn_XGA_|_1024x768x60_fps_24b_|_3p3V</v>
      </c>
      <c r="B393" s="48" t="s">
        <v>5264</v>
      </c>
      <c r="C393" s="48" t="s">
        <v>5255</v>
      </c>
      <c r="D393" s="48" t="s">
        <v>4950</v>
      </c>
      <c r="E393" s="48" t="s">
        <v>5195</v>
      </c>
      <c r="F393" s="14">
        <v>2.2410358043673598E-5</v>
      </c>
      <c r="G393" s="48" t="s">
        <v>5260</v>
      </c>
      <c r="H393" s="49"/>
      <c r="I393" s="22"/>
      <c r="O393" s="21"/>
    </row>
    <row r="394" spans="1:15" customFormat="1" ht="15" x14ac:dyDescent="0.25">
      <c r="A394" s="48" t="str">
        <f t="shared" si="13"/>
        <v>dpi_vddh1_dyn_2K_|_2048x1080x30_fps_18b_|_1p8V</v>
      </c>
      <c r="B394" s="48" t="s">
        <v>5264</v>
      </c>
      <c r="C394" s="48" t="s">
        <v>5256</v>
      </c>
      <c r="D394" s="48" t="s">
        <v>5064</v>
      </c>
      <c r="E394" s="48" t="s">
        <v>5195</v>
      </c>
      <c r="F394" s="14">
        <v>11.07785693952</v>
      </c>
      <c r="G394" s="48" t="s">
        <v>5260</v>
      </c>
      <c r="H394" s="49"/>
      <c r="I394" s="22"/>
      <c r="O394" s="21"/>
    </row>
    <row r="395" spans="1:15" customFormat="1" ht="15" x14ac:dyDescent="0.25">
      <c r="A395" s="48" t="str">
        <f t="shared" si="13"/>
        <v>dpi_vddh1_dyn_2K_|_2048x1080x30_fps_24b_|_1p8V</v>
      </c>
      <c r="B395" s="48" t="s">
        <v>5264</v>
      </c>
      <c r="C395" s="48" t="s">
        <v>5256</v>
      </c>
      <c r="D395" s="48" t="s">
        <v>5066</v>
      </c>
      <c r="E395" s="48" t="s">
        <v>5195</v>
      </c>
      <c r="F395" s="14">
        <v>11.07785693952</v>
      </c>
      <c r="G395" s="48" t="s">
        <v>5260</v>
      </c>
      <c r="H395" s="49"/>
      <c r="I395" s="22"/>
      <c r="O395" s="21"/>
    </row>
    <row r="396" spans="1:15" customFormat="1" ht="15" x14ac:dyDescent="0.25">
      <c r="A396" s="48" t="str">
        <f t="shared" si="13"/>
        <v>dpi_vddh1_dyn_2K_|_2048x1080x60_fps_18b_|_1p8V</v>
      </c>
      <c r="B396" s="48" t="s">
        <v>5264</v>
      </c>
      <c r="C396" s="48" t="s">
        <v>5256</v>
      </c>
      <c r="D396" s="48" t="s">
        <v>5068</v>
      </c>
      <c r="E396" s="48" t="s">
        <v>5195</v>
      </c>
      <c r="F396" s="14">
        <v>22.15571387904</v>
      </c>
      <c r="G396" s="48" t="s">
        <v>5260</v>
      </c>
      <c r="H396" s="49"/>
      <c r="I396" s="22"/>
      <c r="O396" s="21"/>
    </row>
    <row r="397" spans="1:15" customFormat="1" ht="15" x14ac:dyDescent="0.25">
      <c r="A397" s="48" t="str">
        <f t="shared" si="13"/>
        <v>dpi_vddh1_dyn_2K_|_2048x1080x60_fps_24b_|_1p8V</v>
      </c>
      <c r="B397" s="48" t="s">
        <v>5264</v>
      </c>
      <c r="C397" s="48" t="s">
        <v>5256</v>
      </c>
      <c r="D397" s="48" t="s">
        <v>5070</v>
      </c>
      <c r="E397" s="48" t="s">
        <v>5195</v>
      </c>
      <c r="F397" s="14">
        <v>22.15571387904</v>
      </c>
      <c r="G397" s="48" t="s">
        <v>5260</v>
      </c>
      <c r="H397" s="49"/>
      <c r="I397" s="22"/>
      <c r="O397" s="21"/>
    </row>
    <row r="398" spans="1:15" customFormat="1" ht="15" x14ac:dyDescent="0.25">
      <c r="A398" s="48" t="str">
        <f t="shared" si="13"/>
        <v>dpi_vddh1_dyn_Full_HD_|_1920x1080x30_fps_12b_|_1p8V</v>
      </c>
      <c r="B398" s="48" t="s">
        <v>5264</v>
      </c>
      <c r="C398" s="48" t="s">
        <v>5256</v>
      </c>
      <c r="D398" s="48" t="s">
        <v>5048</v>
      </c>
      <c r="E398" s="48" t="s">
        <v>5195</v>
      </c>
      <c r="F398" s="14">
        <v>10.430029048320002</v>
      </c>
      <c r="G398" s="48" t="s">
        <v>5260</v>
      </c>
      <c r="H398" s="49"/>
      <c r="I398" s="22"/>
      <c r="O398" s="21"/>
    </row>
    <row r="399" spans="1:15" customFormat="1" ht="15" x14ac:dyDescent="0.25">
      <c r="A399" s="48" t="str">
        <f t="shared" si="13"/>
        <v>dpi_vddh1_dyn_Full_HD_|_1920x1080x30_fps_16b_|_1p8V</v>
      </c>
      <c r="B399" s="48" t="s">
        <v>5264</v>
      </c>
      <c r="C399" s="48" t="s">
        <v>5256</v>
      </c>
      <c r="D399" s="48" t="s">
        <v>5050</v>
      </c>
      <c r="E399" s="48" t="s">
        <v>5195</v>
      </c>
      <c r="F399" s="14">
        <v>10.430029048320002</v>
      </c>
      <c r="G399" s="48" t="s">
        <v>5260</v>
      </c>
      <c r="H399" s="49"/>
      <c r="I399" s="22"/>
      <c r="O399" s="21"/>
    </row>
    <row r="400" spans="1:15" customFormat="1" ht="15" x14ac:dyDescent="0.25">
      <c r="A400" s="48" t="str">
        <f t="shared" si="13"/>
        <v>dpi_vddh1_dyn_Full_HD_|_1920x1080x30_fps_18b_|_1p8V</v>
      </c>
      <c r="B400" s="48" t="s">
        <v>5264</v>
      </c>
      <c r="C400" s="48" t="s">
        <v>5256</v>
      </c>
      <c r="D400" s="48" t="s">
        <v>5052</v>
      </c>
      <c r="E400" s="48" t="s">
        <v>5195</v>
      </c>
      <c r="F400" s="14">
        <v>11.176599548620802</v>
      </c>
      <c r="G400" s="48" t="s">
        <v>5260</v>
      </c>
      <c r="H400" s="49"/>
      <c r="I400" s="22"/>
      <c r="O400" s="21"/>
    </row>
    <row r="401" spans="1:15" customFormat="1" ht="15" x14ac:dyDescent="0.25">
      <c r="A401" s="48" t="str">
        <f t="shared" si="13"/>
        <v>dpi_vddh1_dyn_Full_HD_|_1920x1080x30_fps_24b_|_1p8V</v>
      </c>
      <c r="B401" s="48" t="s">
        <v>5264</v>
      </c>
      <c r="C401" s="48" t="s">
        <v>5256</v>
      </c>
      <c r="D401" s="48" t="s">
        <v>5054</v>
      </c>
      <c r="E401" s="48" t="s">
        <v>5195</v>
      </c>
      <c r="F401" s="14">
        <v>11.176599548620802</v>
      </c>
      <c r="G401" s="48" t="s">
        <v>5260</v>
      </c>
      <c r="H401" s="49"/>
      <c r="I401" s="22"/>
      <c r="O401" s="21"/>
    </row>
    <row r="402" spans="1:15" customFormat="1" ht="15" x14ac:dyDescent="0.25">
      <c r="A402" s="48" t="str">
        <f t="shared" si="13"/>
        <v>dpi_vddh1_dyn_Full_HD_|_1920x1080x60_fps_12b_|_1p8V</v>
      </c>
      <c r="B402" s="48" t="s">
        <v>5264</v>
      </c>
      <c r="C402" s="48" t="s">
        <v>5256</v>
      </c>
      <c r="D402" s="48" t="s">
        <v>5056</v>
      </c>
      <c r="E402" s="48" t="s">
        <v>5195</v>
      </c>
      <c r="F402" s="14">
        <v>20.860058096640003</v>
      </c>
      <c r="G402" s="48" t="s">
        <v>5260</v>
      </c>
      <c r="H402" s="49"/>
      <c r="I402" s="22"/>
      <c r="O402" s="21"/>
    </row>
    <row r="403" spans="1:15" customFormat="1" ht="15" x14ac:dyDescent="0.25">
      <c r="A403" s="48" t="str">
        <f t="shared" si="13"/>
        <v>dpi_vddh1_dyn_Full_HD_|_1920x1080x60_fps_16b_|_1p8V</v>
      </c>
      <c r="B403" s="48" t="s">
        <v>5264</v>
      </c>
      <c r="C403" s="48" t="s">
        <v>5256</v>
      </c>
      <c r="D403" s="48" t="s">
        <v>5058</v>
      </c>
      <c r="E403" s="48" t="s">
        <v>5195</v>
      </c>
      <c r="F403" s="14">
        <v>20.860058096640003</v>
      </c>
      <c r="G403" s="48" t="s">
        <v>5260</v>
      </c>
      <c r="H403" s="49"/>
      <c r="I403" s="22"/>
      <c r="O403" s="21"/>
    </row>
    <row r="404" spans="1:15" customFormat="1" ht="15" x14ac:dyDescent="0.25">
      <c r="A404" s="48" t="str">
        <f t="shared" si="13"/>
        <v>dpi_vddh1_dyn_Full_HD_|_1920x1080x60_fps_18b_|_1p8V</v>
      </c>
      <c r="B404" s="48" t="s">
        <v>5264</v>
      </c>
      <c r="C404" s="48" t="s">
        <v>5256</v>
      </c>
      <c r="D404" s="48" t="s">
        <v>5060</v>
      </c>
      <c r="E404" s="48" t="s">
        <v>5195</v>
      </c>
      <c r="F404" s="14">
        <v>22.353199097241603</v>
      </c>
      <c r="G404" s="48" t="s">
        <v>5260</v>
      </c>
      <c r="H404" s="49"/>
      <c r="I404" s="22"/>
      <c r="O404" s="21"/>
    </row>
    <row r="405" spans="1:15" s="22" customFormat="1" ht="15" x14ac:dyDescent="0.25">
      <c r="A405" s="48" t="str">
        <f t="shared" si="13"/>
        <v>dpi_vddh1_dyn_Full_HD_|_1920x1080x60_fps_24b_|_1p8V</v>
      </c>
      <c r="B405" s="48" t="s">
        <v>5264</v>
      </c>
      <c r="C405" s="48" t="s">
        <v>5256</v>
      </c>
      <c r="D405" s="48" t="s">
        <v>5062</v>
      </c>
      <c r="E405" s="48" t="s">
        <v>5195</v>
      </c>
      <c r="F405" s="14">
        <v>22.353199097241603</v>
      </c>
      <c r="G405" s="48" t="s">
        <v>5260</v>
      </c>
      <c r="H405" s="49"/>
      <c r="O405" s="21"/>
    </row>
    <row r="406" spans="1:15" s="22" customFormat="1" ht="15" x14ac:dyDescent="0.25">
      <c r="A406" s="48" t="str">
        <f t="shared" si="13"/>
        <v>dpi_vddh1_dyn_Full_HD_|_1920x720x30_fps_12b_|_1p8V</v>
      </c>
      <c r="B406" s="48" t="s">
        <v>5264</v>
      </c>
      <c r="C406" s="48" t="s">
        <v>5256</v>
      </c>
      <c r="D406" s="48" t="s">
        <v>5032</v>
      </c>
      <c r="E406" s="48" t="s">
        <v>5195</v>
      </c>
      <c r="F406" s="14">
        <v>6.7494411578880023</v>
      </c>
      <c r="G406" s="48" t="s">
        <v>5260</v>
      </c>
      <c r="H406" s="49"/>
      <c r="O406" s="21"/>
    </row>
    <row r="407" spans="1:15" s="22" customFormat="1" ht="15" x14ac:dyDescent="0.25">
      <c r="A407" s="48" t="str">
        <f t="shared" si="13"/>
        <v>dpi_vddh1_dyn_Full_HD_|_1920x720x30_fps_16b_|_1p8V</v>
      </c>
      <c r="B407" s="48" t="s">
        <v>5264</v>
      </c>
      <c r="C407" s="48" t="s">
        <v>5256</v>
      </c>
      <c r="D407" s="48" t="s">
        <v>5034</v>
      </c>
      <c r="E407" s="48" t="s">
        <v>5195</v>
      </c>
      <c r="F407" s="14">
        <v>6.7494411578880023</v>
      </c>
      <c r="G407" s="48" t="s">
        <v>5260</v>
      </c>
      <c r="H407" s="49"/>
      <c r="O407" s="21"/>
    </row>
    <row r="408" spans="1:15" s="22" customFormat="1" ht="15" x14ac:dyDescent="0.25">
      <c r="A408" s="48" t="str">
        <f t="shared" si="13"/>
        <v>dpi_vddh1_dyn_Full_HD_|_1920x720x30_fps_18b_|_1p8V</v>
      </c>
      <c r="B408" s="48" t="s">
        <v>5264</v>
      </c>
      <c r="C408" s="48" t="s">
        <v>5256</v>
      </c>
      <c r="D408" s="48" t="s">
        <v>5036</v>
      </c>
      <c r="E408" s="48" t="s">
        <v>5195</v>
      </c>
      <c r="F408" s="14">
        <v>7.2325590512947224</v>
      </c>
      <c r="G408" s="48" t="s">
        <v>5260</v>
      </c>
      <c r="H408" s="49"/>
      <c r="O408" s="21"/>
    </row>
    <row r="409" spans="1:15" s="22" customFormat="1" ht="15" x14ac:dyDescent="0.25">
      <c r="A409" s="48" t="str">
        <f t="shared" si="13"/>
        <v>dpi_vddh1_dyn_Full_HD_|_1920x720x30_fps_24b_|_1p8V</v>
      </c>
      <c r="B409" s="48" t="s">
        <v>5264</v>
      </c>
      <c r="C409" s="48" t="s">
        <v>5256</v>
      </c>
      <c r="D409" s="48" t="s">
        <v>5038</v>
      </c>
      <c r="E409" s="48" t="s">
        <v>5195</v>
      </c>
      <c r="F409" s="14">
        <v>7.2325590512947224</v>
      </c>
      <c r="G409" s="48" t="s">
        <v>5260</v>
      </c>
      <c r="H409" s="49"/>
      <c r="O409" s="21"/>
    </row>
    <row r="410" spans="1:15" customFormat="1" ht="15" x14ac:dyDescent="0.25">
      <c r="A410" s="48" t="str">
        <f t="shared" si="13"/>
        <v>dpi_vddh1_dyn_Full_HD_|_1920x720x60_fps_12b_|_1p8V</v>
      </c>
      <c r="B410" s="48" t="s">
        <v>5264</v>
      </c>
      <c r="C410" s="48" t="s">
        <v>5256</v>
      </c>
      <c r="D410" s="48" t="s">
        <v>5040</v>
      </c>
      <c r="E410" s="48" t="s">
        <v>5195</v>
      </c>
      <c r="F410" s="14">
        <v>13.498882315776005</v>
      </c>
      <c r="G410" s="48" t="s">
        <v>5260</v>
      </c>
      <c r="H410" s="49"/>
      <c r="I410" s="22"/>
      <c r="O410" s="21"/>
    </row>
    <row r="411" spans="1:15" customFormat="1" ht="15" x14ac:dyDescent="0.25">
      <c r="A411" s="48" t="str">
        <f t="shared" si="13"/>
        <v>dpi_vddh1_dyn_Full_HD_|_1920x720x60_fps_16b_|_1p8V</v>
      </c>
      <c r="B411" s="48" t="s">
        <v>5264</v>
      </c>
      <c r="C411" s="48" t="s">
        <v>5256</v>
      </c>
      <c r="D411" s="48" t="s">
        <v>5042</v>
      </c>
      <c r="E411" s="48" t="s">
        <v>5195</v>
      </c>
      <c r="F411" s="14">
        <v>13.498882315776005</v>
      </c>
      <c r="G411" s="48" t="s">
        <v>5260</v>
      </c>
      <c r="H411" s="49"/>
      <c r="I411" s="22"/>
      <c r="O411" s="21"/>
    </row>
    <row r="412" spans="1:15" customFormat="1" ht="15" x14ac:dyDescent="0.25">
      <c r="A412" s="48" t="str">
        <f t="shared" si="13"/>
        <v>dpi_vddh1_dyn_Full_HD_|_1920x720x60_fps_18b_|_1p8V</v>
      </c>
      <c r="B412" s="48" t="s">
        <v>5264</v>
      </c>
      <c r="C412" s="48" t="s">
        <v>5256</v>
      </c>
      <c r="D412" s="48" t="s">
        <v>5044</v>
      </c>
      <c r="E412" s="48" t="s">
        <v>5195</v>
      </c>
      <c r="F412" s="14">
        <v>14.465118102589445</v>
      </c>
      <c r="G412" s="48" t="s">
        <v>5260</v>
      </c>
      <c r="H412" s="49"/>
      <c r="I412" s="22"/>
      <c r="O412" s="21"/>
    </row>
    <row r="413" spans="1:15" customFormat="1" ht="15" x14ac:dyDescent="0.25">
      <c r="A413" s="48" t="str">
        <f t="shared" si="13"/>
        <v>dpi_vddh1_dyn_Full_HD_|_1920x720x60_fps_24b_|_1p8V</v>
      </c>
      <c r="B413" s="48" t="s">
        <v>5264</v>
      </c>
      <c r="C413" s="48" t="s">
        <v>5256</v>
      </c>
      <c r="D413" s="48" t="s">
        <v>5046</v>
      </c>
      <c r="E413" s="48" t="s">
        <v>5195</v>
      </c>
      <c r="F413" s="14">
        <v>14.465118102589445</v>
      </c>
      <c r="G413" s="48" t="s">
        <v>5260</v>
      </c>
      <c r="H413" s="49"/>
      <c r="I413" s="22"/>
      <c r="O413" s="21"/>
    </row>
    <row r="414" spans="1:15" customFormat="1" ht="15" x14ac:dyDescent="0.25">
      <c r="A414" s="48" t="str">
        <f t="shared" si="13"/>
        <v>dpi_vddh1_dyn_HD_|_1280x720x30_fps_12b_|_1p8V</v>
      </c>
      <c r="B414" s="48" t="s">
        <v>5264</v>
      </c>
      <c r="C414" s="48" t="s">
        <v>5256</v>
      </c>
      <c r="D414" s="48" t="s">
        <v>4951</v>
      </c>
      <c r="E414" s="48" t="s">
        <v>5195</v>
      </c>
      <c r="F414" s="14">
        <v>4.4996274385920012</v>
      </c>
      <c r="G414" s="48" t="s">
        <v>5260</v>
      </c>
      <c r="H414" s="49"/>
      <c r="I414" s="22"/>
      <c r="O414" s="21"/>
    </row>
    <row r="415" spans="1:15" customFormat="1" ht="15" x14ac:dyDescent="0.25">
      <c r="A415" s="48" t="str">
        <f t="shared" si="13"/>
        <v>dpi_vddh1_dyn_HD_|_1280x720x30_fps_16b_|_1p8V</v>
      </c>
      <c r="B415" s="48" t="s">
        <v>5264</v>
      </c>
      <c r="C415" s="48" t="s">
        <v>5256</v>
      </c>
      <c r="D415" s="48" t="s">
        <v>4953</v>
      </c>
      <c r="E415" s="48" t="s">
        <v>5195</v>
      </c>
      <c r="F415" s="14">
        <v>4.4996274385920012</v>
      </c>
      <c r="G415" s="48" t="s">
        <v>5260</v>
      </c>
      <c r="H415" s="49"/>
      <c r="I415" s="22"/>
      <c r="O415" s="21"/>
    </row>
    <row r="416" spans="1:15" customFormat="1" ht="15" x14ac:dyDescent="0.25">
      <c r="A416" s="48" t="str">
        <f t="shared" si="13"/>
        <v>dpi_vddh1_dyn_HD_|_1280x720x30_fps_24b_|_1p8V</v>
      </c>
      <c r="B416" s="48" t="s">
        <v>5264</v>
      </c>
      <c r="C416" s="48" t="s">
        <v>5256</v>
      </c>
      <c r="D416" s="48" t="s">
        <v>4955</v>
      </c>
      <c r="E416" s="48" t="s">
        <v>5195</v>
      </c>
      <c r="F416" s="14">
        <v>5.7879418210099205</v>
      </c>
      <c r="G416" s="48" t="s">
        <v>5260</v>
      </c>
      <c r="H416" s="49"/>
      <c r="I416" s="22"/>
      <c r="O416" s="21"/>
    </row>
    <row r="417" spans="1:15" customFormat="1" ht="15" x14ac:dyDescent="0.25">
      <c r="A417" s="48" t="str">
        <f t="shared" si="13"/>
        <v>dpi_vddh1_dyn_HD_|_1280x720x30_fps_24b_|_1p8V</v>
      </c>
      <c r="B417" s="48" t="s">
        <v>5264</v>
      </c>
      <c r="C417" s="48" t="s">
        <v>5256</v>
      </c>
      <c r="D417" s="48" t="s">
        <v>4955</v>
      </c>
      <c r="E417" s="48" t="s">
        <v>5195</v>
      </c>
      <c r="F417" s="14">
        <v>5.7879418210099205</v>
      </c>
      <c r="G417" s="48" t="s">
        <v>5260</v>
      </c>
      <c r="H417" s="49"/>
      <c r="I417" s="22"/>
      <c r="O417" s="21"/>
    </row>
    <row r="418" spans="1:15" customFormat="1" ht="15" x14ac:dyDescent="0.25">
      <c r="A418" s="48" t="str">
        <f t="shared" si="13"/>
        <v>dpi_vddh1_dyn_HD_|_1280x720x60_fps_12b_|_1p8V</v>
      </c>
      <c r="B418" s="48" t="s">
        <v>5264</v>
      </c>
      <c r="C418" s="48" t="s">
        <v>5256</v>
      </c>
      <c r="D418" s="48" t="s">
        <v>4957</v>
      </c>
      <c r="E418" s="48" t="s">
        <v>5195</v>
      </c>
      <c r="F418" s="14">
        <v>8.9992548771840024</v>
      </c>
      <c r="G418" s="48" t="s">
        <v>5260</v>
      </c>
      <c r="H418" s="49"/>
      <c r="I418" s="22"/>
      <c r="O418" s="21"/>
    </row>
    <row r="419" spans="1:15" customFormat="1" ht="15" x14ac:dyDescent="0.25">
      <c r="A419" s="48" t="str">
        <f t="shared" si="13"/>
        <v>dpi_vddh1_dyn_HD_|_1280x720x60_fps_16b_|_1p8V</v>
      </c>
      <c r="B419" s="48" t="s">
        <v>5264</v>
      </c>
      <c r="C419" s="48" t="s">
        <v>5256</v>
      </c>
      <c r="D419" s="48" t="s">
        <v>4959</v>
      </c>
      <c r="E419" s="48" t="s">
        <v>5195</v>
      </c>
      <c r="F419" s="14">
        <v>8.9992548771840024</v>
      </c>
      <c r="G419" s="48" t="s">
        <v>5260</v>
      </c>
      <c r="H419" s="49"/>
      <c r="I419" s="22"/>
      <c r="O419" s="21"/>
    </row>
    <row r="420" spans="1:15" customFormat="1" ht="15" x14ac:dyDescent="0.25">
      <c r="A420" s="48" t="str">
        <f t="shared" si="13"/>
        <v>dpi_vddh1_dyn_HD_|_1280x720x60_fps_24b_|_1p8V</v>
      </c>
      <c r="B420" s="48" t="s">
        <v>5264</v>
      </c>
      <c r="C420" s="48" t="s">
        <v>5256</v>
      </c>
      <c r="D420" s="48" t="s">
        <v>4961</v>
      </c>
      <c r="E420" s="48" t="s">
        <v>5195</v>
      </c>
      <c r="F420" s="14">
        <v>11.575883642019841</v>
      </c>
      <c r="G420" s="48" t="s">
        <v>5260</v>
      </c>
      <c r="H420" s="49"/>
      <c r="I420" s="22"/>
      <c r="O420" s="21"/>
    </row>
    <row r="421" spans="1:15" customFormat="1" ht="15" x14ac:dyDescent="0.25">
      <c r="A421" s="48" t="str">
        <f t="shared" si="13"/>
        <v>dpi_vddh1_dyn_HD_|_1280x720x60_fps_24b_|_1p8V</v>
      </c>
      <c r="B421" s="48" t="s">
        <v>5264</v>
      </c>
      <c r="C421" s="48" t="s">
        <v>5256</v>
      </c>
      <c r="D421" s="48" t="s">
        <v>4961</v>
      </c>
      <c r="E421" s="48" t="s">
        <v>5195</v>
      </c>
      <c r="F421" s="14">
        <v>11.575883642019841</v>
      </c>
      <c r="G421" s="48" t="s">
        <v>5260</v>
      </c>
      <c r="H421" s="49"/>
      <c r="I421" s="22"/>
      <c r="O421" s="21"/>
    </row>
    <row r="422" spans="1:15" customFormat="1" ht="15" x14ac:dyDescent="0.25">
      <c r="A422" s="48" t="str">
        <f t="shared" si="13"/>
        <v>dpi_vddh1_dyn_HD+_|_1600x900x30_fps_12b_|_1p8V</v>
      </c>
      <c r="B422" s="48" t="s">
        <v>5264</v>
      </c>
      <c r="C422" s="48" t="s">
        <v>5256</v>
      </c>
      <c r="D422" s="48" t="s">
        <v>5001</v>
      </c>
      <c r="E422" s="48" t="s">
        <v>5195</v>
      </c>
      <c r="F422" s="14">
        <v>7.1311968794880016</v>
      </c>
      <c r="G422" s="48" t="s">
        <v>5260</v>
      </c>
      <c r="H422" s="49"/>
      <c r="I422" s="22"/>
      <c r="O422" s="21"/>
    </row>
    <row r="423" spans="1:15" customFormat="1" ht="15" x14ac:dyDescent="0.25">
      <c r="A423" s="48" t="str">
        <f t="shared" si="13"/>
        <v>dpi_vddh1_dyn_HD+_|_1600x900x30_fps_16b_|_1p8V</v>
      </c>
      <c r="B423" s="48" t="s">
        <v>5264</v>
      </c>
      <c r="C423" s="48" t="s">
        <v>5256</v>
      </c>
      <c r="D423" s="48" t="s">
        <v>5003</v>
      </c>
      <c r="E423" s="48" t="s">
        <v>5195</v>
      </c>
      <c r="F423" s="14">
        <v>7.1311968794880016</v>
      </c>
      <c r="G423" s="48" t="s">
        <v>5260</v>
      </c>
      <c r="H423" s="49"/>
      <c r="I423" s="22"/>
      <c r="O423" s="21"/>
    </row>
    <row r="424" spans="1:15" customFormat="1" ht="15" x14ac:dyDescent="0.25">
      <c r="A424" s="48" t="str">
        <f t="shared" ref="A424:A487" si="14">B424&amp;"_"&amp;C424&amp;"_"&amp;D424</f>
        <v>dpi_vddh1_dyn_HD+_|_1600x900x30_fps_18b_|_1p8V</v>
      </c>
      <c r="B424" s="48" t="s">
        <v>5264</v>
      </c>
      <c r="C424" s="48" t="s">
        <v>5256</v>
      </c>
      <c r="D424" s="48" t="s">
        <v>5005</v>
      </c>
      <c r="E424" s="48" t="s">
        <v>5195</v>
      </c>
      <c r="F424" s="14">
        <v>7.6416404455987212</v>
      </c>
      <c r="G424" s="48" t="s">
        <v>5260</v>
      </c>
      <c r="H424" s="49"/>
      <c r="I424" s="22"/>
      <c r="O424" s="21"/>
    </row>
    <row r="425" spans="1:15" customFormat="1" ht="15" x14ac:dyDescent="0.25">
      <c r="A425" s="48" t="str">
        <f t="shared" si="14"/>
        <v>dpi_vddh1_dyn_HD+_|_1600x900x30_fps_24b_|_1p8V</v>
      </c>
      <c r="B425" s="48" t="s">
        <v>5264</v>
      </c>
      <c r="C425" s="48" t="s">
        <v>5256</v>
      </c>
      <c r="D425" s="48" t="s">
        <v>5007</v>
      </c>
      <c r="E425" s="48" t="s">
        <v>5195</v>
      </c>
      <c r="F425" s="14">
        <v>7.6416404455987212</v>
      </c>
      <c r="G425" s="48" t="s">
        <v>5260</v>
      </c>
      <c r="H425" s="49"/>
      <c r="I425" s="22"/>
      <c r="O425" s="21"/>
    </row>
    <row r="426" spans="1:15" customFormat="1" ht="15" x14ac:dyDescent="0.25">
      <c r="A426" s="48" t="str">
        <f t="shared" si="14"/>
        <v>dpi_vddh1_dyn_HD+_|_1600x900x60_fps_12b_|_1p8V</v>
      </c>
      <c r="B426" s="48" t="s">
        <v>5264</v>
      </c>
      <c r="C426" s="48" t="s">
        <v>5256</v>
      </c>
      <c r="D426" s="48" t="s">
        <v>5009</v>
      </c>
      <c r="E426" s="48" t="s">
        <v>5195</v>
      </c>
      <c r="F426" s="14">
        <v>14.262393758976003</v>
      </c>
      <c r="G426" s="48" t="s">
        <v>5260</v>
      </c>
      <c r="H426" s="49"/>
      <c r="I426" s="22"/>
      <c r="O426" s="21"/>
    </row>
    <row r="427" spans="1:15" customFormat="1" ht="15" x14ac:dyDescent="0.25">
      <c r="A427" s="48" t="str">
        <f t="shared" si="14"/>
        <v>dpi_vddh1_dyn_HD+_|_1600x900x60_fps_16b_|_1p8V</v>
      </c>
      <c r="B427" s="48" t="s">
        <v>5264</v>
      </c>
      <c r="C427" s="48" t="s">
        <v>5256</v>
      </c>
      <c r="D427" s="48" t="s">
        <v>5011</v>
      </c>
      <c r="E427" s="48" t="s">
        <v>5195</v>
      </c>
      <c r="F427" s="14">
        <v>14.262393758976003</v>
      </c>
      <c r="G427" s="48" t="s">
        <v>5260</v>
      </c>
      <c r="H427" s="49"/>
      <c r="I427" s="22"/>
      <c r="O427" s="21"/>
    </row>
    <row r="428" spans="1:15" customFormat="1" ht="15" x14ac:dyDescent="0.25">
      <c r="A428" s="48" t="str">
        <f t="shared" si="14"/>
        <v>dpi_vddh1_dyn_HD+_|_1600x900x60_fps_18b_|_1p8V</v>
      </c>
      <c r="B428" s="48" t="s">
        <v>5264</v>
      </c>
      <c r="C428" s="48" t="s">
        <v>5256</v>
      </c>
      <c r="D428" s="48" t="s">
        <v>5013</v>
      </c>
      <c r="E428" s="48" t="s">
        <v>5195</v>
      </c>
      <c r="F428" s="14">
        <v>15.283280891197442</v>
      </c>
      <c r="G428" s="48" t="s">
        <v>5260</v>
      </c>
      <c r="H428" s="49"/>
      <c r="I428" s="22"/>
      <c r="O428" s="21"/>
    </row>
    <row r="429" spans="1:15" customFormat="1" ht="15" x14ac:dyDescent="0.25">
      <c r="A429" s="48" t="str">
        <f t="shared" si="14"/>
        <v>dpi_vddh1_dyn_HD+_|_1600x900x60_fps_18b_|_1p8V</v>
      </c>
      <c r="B429" s="48" t="s">
        <v>5264</v>
      </c>
      <c r="C429" s="48" t="s">
        <v>5256</v>
      </c>
      <c r="D429" s="48" t="s">
        <v>5013</v>
      </c>
      <c r="E429" s="48" t="s">
        <v>5195</v>
      </c>
      <c r="F429" s="14">
        <v>15.283280891197442</v>
      </c>
      <c r="G429" s="48" t="s">
        <v>5260</v>
      </c>
      <c r="H429" s="49"/>
      <c r="I429" s="22"/>
      <c r="O429" s="21"/>
    </row>
    <row r="430" spans="1:15" customFormat="1" ht="15" x14ac:dyDescent="0.25">
      <c r="A430" s="48" t="str">
        <f t="shared" si="14"/>
        <v>dpi_vddh1_dyn_SD_|_640x480x60_fps_12b_|_1p8V</v>
      </c>
      <c r="B430" s="48" t="s">
        <v>5264</v>
      </c>
      <c r="C430" s="48" t="s">
        <v>5256</v>
      </c>
      <c r="D430" s="48" t="s">
        <v>4927</v>
      </c>
      <c r="E430" s="48" t="s">
        <v>5195</v>
      </c>
      <c r="F430" s="14">
        <v>3.099101472000001</v>
      </c>
      <c r="G430" s="48" t="s">
        <v>5260</v>
      </c>
      <c r="H430" s="49"/>
      <c r="I430" s="22"/>
      <c r="O430" s="21"/>
    </row>
    <row r="431" spans="1:15" customFormat="1" ht="15" x14ac:dyDescent="0.25">
      <c r="A431" s="48" t="str">
        <f t="shared" si="14"/>
        <v>dpi_vddh1_dyn_SD_|_640x480x60_fps_16b_|_1p8V</v>
      </c>
      <c r="B431" s="48" t="s">
        <v>5264</v>
      </c>
      <c r="C431" s="48" t="s">
        <v>5256</v>
      </c>
      <c r="D431" s="48" t="s">
        <v>4929</v>
      </c>
      <c r="E431" s="48" t="s">
        <v>5195</v>
      </c>
      <c r="F431" s="14">
        <v>3.099101472000001</v>
      </c>
      <c r="G431" s="48" t="s">
        <v>5260</v>
      </c>
      <c r="H431" s="49"/>
      <c r="I431" s="22"/>
      <c r="O431" s="21"/>
    </row>
    <row r="432" spans="1:15" customFormat="1" ht="15" x14ac:dyDescent="0.25">
      <c r="A432" s="48" t="str">
        <f t="shared" si="14"/>
        <v>dpi_vddh1_dyn_SD_|_640x480x60_fps_24b_|_1p8V</v>
      </c>
      <c r="B432" s="48" t="s">
        <v>5264</v>
      </c>
      <c r="C432" s="48" t="s">
        <v>5256</v>
      </c>
      <c r="D432" s="48" t="s">
        <v>4931</v>
      </c>
      <c r="E432" s="48" t="s">
        <v>5195</v>
      </c>
      <c r="F432" s="14">
        <v>3.7201394880000009</v>
      </c>
      <c r="G432" s="48" t="s">
        <v>5260</v>
      </c>
      <c r="H432" s="49"/>
      <c r="I432" s="22"/>
      <c r="O432" s="21"/>
    </row>
    <row r="433" spans="1:15" customFormat="1" ht="15" x14ac:dyDescent="0.25">
      <c r="A433" s="48" t="str">
        <f t="shared" si="14"/>
        <v>dpi_vddh1_dyn_SD_|_640x480x60_fps_24b_|_1p8V</v>
      </c>
      <c r="B433" s="48" t="s">
        <v>5264</v>
      </c>
      <c r="C433" s="48" t="s">
        <v>5256</v>
      </c>
      <c r="D433" s="48" t="s">
        <v>4931</v>
      </c>
      <c r="E433" s="48" t="s">
        <v>5195</v>
      </c>
      <c r="F433" s="14">
        <v>3.7201394880000009</v>
      </c>
      <c r="G433" s="48" t="s">
        <v>5260</v>
      </c>
      <c r="H433" s="49"/>
      <c r="I433" s="22"/>
      <c r="O433" s="21"/>
    </row>
    <row r="434" spans="1:15" customFormat="1" ht="15" x14ac:dyDescent="0.25">
      <c r="A434" s="48" t="str">
        <f t="shared" si="14"/>
        <v>dpi_vddh1_dyn_SVGA_|_800x600x60_fps_12b_|_1p8V</v>
      </c>
      <c r="B434" s="48" t="s">
        <v>5264</v>
      </c>
      <c r="C434" s="48" t="s">
        <v>5256</v>
      </c>
      <c r="D434" s="48" t="s">
        <v>4933</v>
      </c>
      <c r="E434" s="48" t="s">
        <v>5195</v>
      </c>
      <c r="F434" s="14">
        <v>4.9506286554316805</v>
      </c>
      <c r="G434" s="48" t="s">
        <v>5260</v>
      </c>
      <c r="H434" s="49"/>
      <c r="I434" s="22"/>
      <c r="O434" s="21"/>
    </row>
    <row r="435" spans="1:15" customFormat="1" ht="15" x14ac:dyDescent="0.25">
      <c r="A435" s="48" t="str">
        <f t="shared" si="14"/>
        <v>dpi_vddh1_dyn_SVGA_|_800x600x60_fps_16b_|_1p8V</v>
      </c>
      <c r="B435" s="48" t="s">
        <v>5264</v>
      </c>
      <c r="C435" s="48" t="s">
        <v>5256</v>
      </c>
      <c r="D435" s="48" t="s">
        <v>4935</v>
      </c>
      <c r="E435" s="48" t="s">
        <v>5195</v>
      </c>
      <c r="F435" s="14">
        <v>4.9506286554316805</v>
      </c>
      <c r="G435" s="48" t="s">
        <v>5260</v>
      </c>
      <c r="H435" s="49"/>
      <c r="I435" s="22"/>
      <c r="O435" s="21"/>
    </row>
    <row r="436" spans="1:15" customFormat="1" ht="15" x14ac:dyDescent="0.25">
      <c r="A436" s="48" t="str">
        <f t="shared" si="14"/>
        <v>dpi_vddh1_dyn_SVGA_|_800x600x60_fps_24b_|_1p8V</v>
      </c>
      <c r="B436" s="48" t="s">
        <v>5264</v>
      </c>
      <c r="C436" s="48" t="s">
        <v>5256</v>
      </c>
      <c r="D436" s="48" t="s">
        <v>4937</v>
      </c>
      <c r="E436" s="48" t="s">
        <v>5195</v>
      </c>
      <c r="F436" s="14">
        <v>5.9426996237107206</v>
      </c>
      <c r="G436" s="48" t="s">
        <v>5260</v>
      </c>
      <c r="H436" s="49"/>
      <c r="I436" s="22"/>
      <c r="O436" s="21"/>
    </row>
    <row r="437" spans="1:15" customFormat="1" ht="15" x14ac:dyDescent="0.25">
      <c r="A437" s="48" t="str">
        <f t="shared" si="14"/>
        <v>dpi_vddh1_dyn_SVGA_|_800x600x60_fps_24b_|_1p8V</v>
      </c>
      <c r="B437" s="48" t="s">
        <v>5264</v>
      </c>
      <c r="C437" s="48" t="s">
        <v>5256</v>
      </c>
      <c r="D437" s="48" t="s">
        <v>4937</v>
      </c>
      <c r="E437" s="48" t="s">
        <v>5195</v>
      </c>
      <c r="F437" s="14">
        <v>5.9426996237107206</v>
      </c>
      <c r="G437" s="48" t="s">
        <v>5260</v>
      </c>
      <c r="H437" s="49"/>
      <c r="I437" s="22"/>
      <c r="O437" s="21"/>
    </row>
    <row r="438" spans="1:15" customFormat="1" ht="15" x14ac:dyDescent="0.25">
      <c r="A438" s="48" t="str">
        <f t="shared" si="14"/>
        <v>dpi_vddh1_dyn_SXGA_|_1280x1024x30_fps_12b_|_1p8V</v>
      </c>
      <c r="B438" s="48" t="s">
        <v>5264</v>
      </c>
      <c r="C438" s="48" t="s">
        <v>5256</v>
      </c>
      <c r="D438" s="48" t="s">
        <v>4977</v>
      </c>
      <c r="E438" s="48" t="s">
        <v>5195</v>
      </c>
      <c r="F438" s="14">
        <v>6.5789814440160024</v>
      </c>
      <c r="G438" s="48" t="s">
        <v>5260</v>
      </c>
      <c r="H438" s="49"/>
      <c r="I438" s="22"/>
      <c r="O438" s="21"/>
    </row>
    <row r="439" spans="1:15" customFormat="1" ht="15" x14ac:dyDescent="0.25">
      <c r="A439" s="48" t="str">
        <f t="shared" si="14"/>
        <v>dpi_vddh1_dyn_SXGA_|_1280x1024x30_fps_16b_|_1p8V</v>
      </c>
      <c r="B439" s="48" t="s">
        <v>5264</v>
      </c>
      <c r="C439" s="48" t="s">
        <v>5256</v>
      </c>
      <c r="D439" s="48" t="s">
        <v>4979</v>
      </c>
      <c r="E439" s="48" t="s">
        <v>5195</v>
      </c>
      <c r="F439" s="14">
        <v>6.5789814440160024</v>
      </c>
      <c r="G439" s="48" t="s">
        <v>5260</v>
      </c>
      <c r="H439" s="49"/>
      <c r="I439" s="22"/>
      <c r="O439" s="21"/>
    </row>
    <row r="440" spans="1:15" customFormat="1" ht="15" x14ac:dyDescent="0.25">
      <c r="A440" s="48" t="str">
        <f t="shared" si="14"/>
        <v>dpi_vddh1_dyn_SXGA_|_1280x1024x30_fps_18b_|_1p8V</v>
      </c>
      <c r="B440" s="48" t="s">
        <v>5264</v>
      </c>
      <c r="C440" s="48" t="s">
        <v>5256</v>
      </c>
      <c r="D440" s="48" t="s">
        <v>4981</v>
      </c>
      <c r="E440" s="48" t="s">
        <v>5195</v>
      </c>
      <c r="F440" s="14">
        <v>8.4626477100921615</v>
      </c>
      <c r="G440" s="48" t="s">
        <v>5260</v>
      </c>
      <c r="H440" s="49"/>
      <c r="I440" s="22"/>
      <c r="O440" s="21"/>
    </row>
    <row r="441" spans="1:15" customFormat="1" ht="15" x14ac:dyDescent="0.25">
      <c r="A441" s="48" t="str">
        <f t="shared" si="14"/>
        <v>dpi_vddh1_dyn_SXGA_|_1280x1024x30_fps_24b_|_1p8V</v>
      </c>
      <c r="B441" s="48" t="s">
        <v>5264</v>
      </c>
      <c r="C441" s="48" t="s">
        <v>5256</v>
      </c>
      <c r="D441" s="48" t="s">
        <v>4983</v>
      </c>
      <c r="E441" s="48" t="s">
        <v>5195</v>
      </c>
      <c r="F441" s="14">
        <v>8.4626477100921615</v>
      </c>
      <c r="G441" s="48" t="s">
        <v>5260</v>
      </c>
      <c r="H441" s="49"/>
      <c r="I441" s="22"/>
      <c r="O441" s="21"/>
    </row>
    <row r="442" spans="1:15" customFormat="1" ht="15" x14ac:dyDescent="0.25">
      <c r="A442" s="48" t="str">
        <f t="shared" si="14"/>
        <v>dpi_vddh1_dyn_SXGA_|_1280x1024x60_fps_12b_|_1p8V</v>
      </c>
      <c r="B442" s="48" t="s">
        <v>5264</v>
      </c>
      <c r="C442" s="48" t="s">
        <v>5256</v>
      </c>
      <c r="D442" s="48" t="s">
        <v>4985</v>
      </c>
      <c r="E442" s="48" t="s">
        <v>5195</v>
      </c>
      <c r="F442" s="14">
        <v>13.157962888032005</v>
      </c>
      <c r="G442" s="48" t="s">
        <v>5260</v>
      </c>
      <c r="H442" s="49"/>
      <c r="I442" s="22"/>
      <c r="O442" s="21"/>
    </row>
    <row r="443" spans="1:15" customFormat="1" ht="15" x14ac:dyDescent="0.25">
      <c r="A443" s="48" t="str">
        <f t="shared" si="14"/>
        <v>dpi_vddh1_dyn_SXGA_|_1280x1024x60_fps_16b_|_1p8V</v>
      </c>
      <c r="B443" s="48" t="s">
        <v>5264</v>
      </c>
      <c r="C443" s="48" t="s">
        <v>5256</v>
      </c>
      <c r="D443" s="48" t="s">
        <v>4987</v>
      </c>
      <c r="E443" s="48" t="s">
        <v>5195</v>
      </c>
      <c r="F443" s="14">
        <v>13.157962888032005</v>
      </c>
      <c r="G443" s="48" t="s">
        <v>5260</v>
      </c>
      <c r="H443" s="49"/>
      <c r="I443" s="22"/>
      <c r="O443" s="21"/>
    </row>
    <row r="444" spans="1:15" customFormat="1" ht="15" x14ac:dyDescent="0.25">
      <c r="A444" s="48" t="str">
        <f t="shared" si="14"/>
        <v>dpi_vddh1_dyn_SXGA_|_1280x1024x60_fps_18b_|_1p8V</v>
      </c>
      <c r="B444" s="48" t="s">
        <v>5264</v>
      </c>
      <c r="C444" s="48" t="s">
        <v>5256</v>
      </c>
      <c r="D444" s="48" t="s">
        <v>4989</v>
      </c>
      <c r="E444" s="48" t="s">
        <v>5195</v>
      </c>
      <c r="F444" s="14">
        <v>16.925295420184323</v>
      </c>
      <c r="G444" s="48" t="s">
        <v>5260</v>
      </c>
      <c r="H444" s="49"/>
      <c r="I444" s="22"/>
      <c r="O444" s="21"/>
    </row>
    <row r="445" spans="1:15" customFormat="1" ht="15" x14ac:dyDescent="0.25">
      <c r="A445" s="48" t="str">
        <f t="shared" si="14"/>
        <v>dpi_vddh1_dyn_SXGA_|_1280x1024x60_fps_24b_|_1p8V</v>
      </c>
      <c r="B445" s="48" t="s">
        <v>5264</v>
      </c>
      <c r="C445" s="48" t="s">
        <v>5256</v>
      </c>
      <c r="D445" s="48" t="s">
        <v>4991</v>
      </c>
      <c r="E445" s="48" t="s">
        <v>5195</v>
      </c>
      <c r="F445" s="14">
        <v>16.925295420184323</v>
      </c>
      <c r="G445" s="48" t="s">
        <v>5260</v>
      </c>
      <c r="H445" s="49"/>
      <c r="I445" s="22"/>
      <c r="O445" s="21"/>
    </row>
    <row r="446" spans="1:15" customFormat="1" ht="15" x14ac:dyDescent="0.25">
      <c r="A446" s="48" t="str">
        <f t="shared" si="14"/>
        <v>dpi_vddh1_dyn_SXGA+_|_1400x1050x60_fps_12b_|_1p8V</v>
      </c>
      <c r="B446" s="48" t="s">
        <v>5264</v>
      </c>
      <c r="C446" s="48" t="s">
        <v>5256</v>
      </c>
      <c r="D446" s="48" t="s">
        <v>4993</v>
      </c>
      <c r="E446" s="48" t="s">
        <v>5195</v>
      </c>
      <c r="F446" s="14">
        <v>14.676598716912006</v>
      </c>
      <c r="G446" s="48" t="s">
        <v>5260</v>
      </c>
      <c r="H446" s="49"/>
      <c r="I446" s="22"/>
      <c r="O446" s="21"/>
    </row>
    <row r="447" spans="1:15" customFormat="1" ht="15" x14ac:dyDescent="0.25">
      <c r="A447" s="48" t="str">
        <f t="shared" si="14"/>
        <v>dpi_vddh1_dyn_SXGA+_|_1400x1050x60_fps_16b_|_1p8V</v>
      </c>
      <c r="B447" s="48" t="s">
        <v>5264</v>
      </c>
      <c r="C447" s="48" t="s">
        <v>5256</v>
      </c>
      <c r="D447" s="48" t="s">
        <v>4995</v>
      </c>
      <c r="E447" s="48" t="s">
        <v>5195</v>
      </c>
      <c r="F447" s="14">
        <v>14.676598716912006</v>
      </c>
      <c r="G447" s="48" t="s">
        <v>5260</v>
      </c>
      <c r="H447" s="49"/>
      <c r="I447" s="22"/>
      <c r="O447" s="21"/>
    </row>
    <row r="448" spans="1:15" customFormat="1" ht="15" x14ac:dyDescent="0.25">
      <c r="A448" s="48" t="str">
        <f t="shared" si="14"/>
        <v>dpi_vddh1_dyn_SXGA+_|_1400x1050x60_fps_18b_|_1p8V</v>
      </c>
      <c r="B448" s="48" t="s">
        <v>5264</v>
      </c>
      <c r="C448" s="48" t="s">
        <v>5256</v>
      </c>
      <c r="D448" s="48" t="s">
        <v>4997</v>
      </c>
      <c r="E448" s="48" t="s">
        <v>5195</v>
      </c>
      <c r="F448" s="14">
        <v>18.878740665333122</v>
      </c>
      <c r="G448" s="48" t="s">
        <v>5260</v>
      </c>
      <c r="H448" s="49"/>
      <c r="I448" s="22"/>
      <c r="O448" s="21"/>
    </row>
    <row r="449" spans="1:15" customFormat="1" ht="15" x14ac:dyDescent="0.25">
      <c r="A449" s="48" t="str">
        <f t="shared" si="14"/>
        <v>dpi_vddh1_dyn_SXGA+_|_1400x1050x60_fps_24b_|_1p8V</v>
      </c>
      <c r="B449" s="48" t="s">
        <v>5264</v>
      </c>
      <c r="C449" s="48" t="s">
        <v>5256</v>
      </c>
      <c r="D449" s="48" t="s">
        <v>4999</v>
      </c>
      <c r="E449" s="48" t="s">
        <v>5195</v>
      </c>
      <c r="F449" s="14">
        <v>15.727134204017284</v>
      </c>
      <c r="G449" s="48" t="s">
        <v>5260</v>
      </c>
      <c r="H449" s="49"/>
      <c r="I449" s="22"/>
      <c r="O449" s="21"/>
    </row>
    <row r="450" spans="1:15" customFormat="1" ht="15" x14ac:dyDescent="0.25">
      <c r="A450" s="48" t="str">
        <f t="shared" si="14"/>
        <v>dpi_vddh1_dyn_UXGA_|_1600x1200x30_fps_12b_|_1p8V</v>
      </c>
      <c r="B450" s="48" t="s">
        <v>5264</v>
      </c>
      <c r="C450" s="48" t="s">
        <v>5256</v>
      </c>
      <c r="D450" s="48" t="s">
        <v>5016</v>
      </c>
      <c r="E450" s="48" t="s">
        <v>5195</v>
      </c>
      <c r="F450" s="14">
        <v>9.7217565012000016</v>
      </c>
      <c r="G450" s="48" t="s">
        <v>5260</v>
      </c>
      <c r="H450" s="49"/>
      <c r="I450" s="22"/>
      <c r="O450" s="21"/>
    </row>
    <row r="451" spans="1:15" customFormat="1" ht="15" x14ac:dyDescent="0.25">
      <c r="A451" s="48" t="str">
        <f t="shared" si="14"/>
        <v>dpi_vddh1_dyn_UXGA_|_1600x1200x30_fps_16b_|_1p8V</v>
      </c>
      <c r="B451" s="48" t="s">
        <v>5264</v>
      </c>
      <c r="C451" s="48" t="s">
        <v>5256</v>
      </c>
      <c r="D451" s="48" t="s">
        <v>5018</v>
      </c>
      <c r="E451" s="48" t="s">
        <v>5195</v>
      </c>
      <c r="F451" s="14">
        <v>9.7217565012000016</v>
      </c>
      <c r="G451" s="48" t="s">
        <v>5260</v>
      </c>
      <c r="H451" s="49"/>
      <c r="I451" s="22"/>
      <c r="O451" s="21"/>
    </row>
    <row r="452" spans="1:15" customFormat="1" ht="15" x14ac:dyDescent="0.25">
      <c r="A452" s="48" t="str">
        <f t="shared" si="14"/>
        <v>dpi_vddh1_dyn_UXGA_|_1600x1200x30_fps_18b_|_1p8V</v>
      </c>
      <c r="B452" s="48" t="s">
        <v>5264</v>
      </c>
      <c r="C452" s="48" t="s">
        <v>5256</v>
      </c>
      <c r="D452" s="48" t="s">
        <v>5020</v>
      </c>
      <c r="E452" s="48" t="s">
        <v>5195</v>
      </c>
      <c r="F452" s="14">
        <v>10.417629598128002</v>
      </c>
      <c r="G452" s="48" t="s">
        <v>5260</v>
      </c>
      <c r="H452" s="49"/>
      <c r="I452" s="22"/>
      <c r="O452" s="21"/>
    </row>
    <row r="453" spans="1:15" customFormat="1" ht="15" x14ac:dyDescent="0.25">
      <c r="A453" s="48" t="str">
        <f t="shared" si="14"/>
        <v>dpi_vddh1_dyn_UXGA_|_1600x1200x30_fps_24b_|_1p8V</v>
      </c>
      <c r="B453" s="48" t="s">
        <v>5264</v>
      </c>
      <c r="C453" s="48" t="s">
        <v>5256</v>
      </c>
      <c r="D453" s="48" t="s">
        <v>5022</v>
      </c>
      <c r="E453" s="48" t="s">
        <v>5195</v>
      </c>
      <c r="F453" s="14">
        <v>10.417629598128002</v>
      </c>
      <c r="G453" s="48" t="s">
        <v>5260</v>
      </c>
      <c r="H453" s="49"/>
      <c r="I453" s="22"/>
      <c r="O453" s="21"/>
    </row>
    <row r="454" spans="1:15" customFormat="1" ht="15" x14ac:dyDescent="0.25">
      <c r="A454" s="48" t="str">
        <f t="shared" si="14"/>
        <v>dpi_vddh1_dyn_UXGA_|_1600x1200x60_fps_12b_|_1p8V</v>
      </c>
      <c r="B454" s="48" t="s">
        <v>5264</v>
      </c>
      <c r="C454" s="48" t="s">
        <v>5256</v>
      </c>
      <c r="D454" s="48" t="s">
        <v>5024</v>
      </c>
      <c r="E454" s="48" t="s">
        <v>5195</v>
      </c>
      <c r="F454" s="14">
        <v>19.443513002400003</v>
      </c>
      <c r="G454" s="48" t="s">
        <v>5260</v>
      </c>
      <c r="H454" s="49"/>
      <c r="I454" s="22"/>
      <c r="O454" s="21"/>
    </row>
    <row r="455" spans="1:15" customFormat="1" ht="15" x14ac:dyDescent="0.25">
      <c r="A455" s="48" t="str">
        <f t="shared" si="14"/>
        <v>dpi_vddh1_dyn_UXGA_|_1600x1200x60_fps_16b_|_1p8V</v>
      </c>
      <c r="B455" s="48" t="s">
        <v>5264</v>
      </c>
      <c r="C455" s="48" t="s">
        <v>5256</v>
      </c>
      <c r="D455" s="48" t="s">
        <v>5026</v>
      </c>
      <c r="E455" s="48" t="s">
        <v>5195</v>
      </c>
      <c r="F455" s="14">
        <v>19.443513002400003</v>
      </c>
      <c r="G455" s="48" t="s">
        <v>5260</v>
      </c>
      <c r="H455" s="49"/>
      <c r="I455" s="22"/>
      <c r="O455" s="21"/>
    </row>
    <row r="456" spans="1:15" customFormat="1" ht="15" x14ac:dyDescent="0.25">
      <c r="A456" s="48" t="str">
        <f t="shared" si="14"/>
        <v>dpi_vddh1_dyn_UXGA_|_1600x1200x60_fps_18b_|_1p8V</v>
      </c>
      <c r="B456" s="48" t="s">
        <v>5264</v>
      </c>
      <c r="C456" s="48" t="s">
        <v>5256</v>
      </c>
      <c r="D456" s="48" t="s">
        <v>5028</v>
      </c>
      <c r="E456" s="48" t="s">
        <v>5195</v>
      </c>
      <c r="F456" s="14">
        <v>20.835259196256004</v>
      </c>
      <c r="G456" s="48" t="s">
        <v>5260</v>
      </c>
      <c r="H456" s="49"/>
      <c r="I456" s="22"/>
      <c r="O456" s="21"/>
    </row>
    <row r="457" spans="1:15" customFormat="1" ht="15" x14ac:dyDescent="0.25">
      <c r="A457" s="48" t="str">
        <f t="shared" si="14"/>
        <v>dpi_vddh1_dyn_UXGA_|_1600x1200x60_fps_24b_|_1p8V</v>
      </c>
      <c r="B457" s="48" t="s">
        <v>5264</v>
      </c>
      <c r="C457" s="48" t="s">
        <v>5256</v>
      </c>
      <c r="D457" s="48" t="s">
        <v>5030</v>
      </c>
      <c r="E457" s="48" t="s">
        <v>5195</v>
      </c>
      <c r="F457" s="14">
        <v>20.835259196256004</v>
      </c>
      <c r="G457" s="48" t="s">
        <v>5260</v>
      </c>
      <c r="H457" s="49"/>
      <c r="I457" s="22"/>
      <c r="O457" s="21"/>
    </row>
    <row r="458" spans="1:15" customFormat="1" ht="15" x14ac:dyDescent="0.25">
      <c r="A458" s="48" t="str">
        <f t="shared" si="14"/>
        <v>dpi_vddh1_dyn_WVGA_|_854x480x60_fps_12b_|_1p8V</v>
      </c>
      <c r="B458" s="48" t="s">
        <v>5264</v>
      </c>
      <c r="C458" s="48" t="s">
        <v>5256</v>
      </c>
      <c r="D458" s="48" t="s">
        <v>4939</v>
      </c>
      <c r="E458" s="48" t="s">
        <v>5195</v>
      </c>
      <c r="F458" s="14">
        <v>4.0908139430400006</v>
      </c>
      <c r="G458" s="48" t="s">
        <v>5260</v>
      </c>
      <c r="H458" s="49"/>
      <c r="I458" s="22"/>
      <c r="O458" s="21"/>
    </row>
    <row r="459" spans="1:15" customFormat="1" ht="15" x14ac:dyDescent="0.25">
      <c r="A459" s="48" t="str">
        <f t="shared" si="14"/>
        <v>dpi_vddh1_dyn_WVGA_|_854x480x60_fps_16b_|_1p8V</v>
      </c>
      <c r="B459" s="48" t="s">
        <v>5264</v>
      </c>
      <c r="C459" s="48" t="s">
        <v>5256</v>
      </c>
      <c r="D459" s="48" t="s">
        <v>4941</v>
      </c>
      <c r="E459" s="48" t="s">
        <v>5195</v>
      </c>
      <c r="F459" s="14">
        <v>3.8175572160000009</v>
      </c>
      <c r="G459" s="48" t="s">
        <v>5260</v>
      </c>
      <c r="H459" s="49"/>
      <c r="I459" s="22"/>
      <c r="O459" s="21"/>
    </row>
    <row r="460" spans="1:15" customFormat="1" ht="15" x14ac:dyDescent="0.25">
      <c r="A460" s="48" t="str">
        <f t="shared" si="14"/>
        <v>dpi_vddh1_dyn_WVGA_|_854x480x60_fps_24b_|_1p8V</v>
      </c>
      <c r="B460" s="48" t="s">
        <v>5264</v>
      </c>
      <c r="C460" s="48" t="s">
        <v>5256</v>
      </c>
      <c r="D460" s="48" t="s">
        <v>4943</v>
      </c>
      <c r="E460" s="48" t="s">
        <v>5195</v>
      </c>
      <c r="F460" s="14">
        <v>4.9105841241600006</v>
      </c>
      <c r="G460" s="48" t="s">
        <v>5260</v>
      </c>
      <c r="H460" s="49"/>
      <c r="I460" s="22"/>
      <c r="O460" s="21"/>
    </row>
    <row r="461" spans="1:15" customFormat="1" ht="15" x14ac:dyDescent="0.25">
      <c r="A461" s="48" t="str">
        <f t="shared" si="14"/>
        <v>dpi_vddh1_dyn_WVGA_|_854x480x60_fps_24b_|_1p8V</v>
      </c>
      <c r="B461" s="48" t="s">
        <v>5264</v>
      </c>
      <c r="C461" s="48" t="s">
        <v>5256</v>
      </c>
      <c r="D461" s="48" t="s">
        <v>4943</v>
      </c>
      <c r="E461" s="48" t="s">
        <v>5195</v>
      </c>
      <c r="F461" s="14">
        <v>4.9105841241600006</v>
      </c>
      <c r="G461" s="48" t="s">
        <v>5260</v>
      </c>
      <c r="H461" s="49"/>
      <c r="I461" s="22"/>
      <c r="O461" s="21"/>
    </row>
    <row r="462" spans="1:15" customFormat="1" ht="15" x14ac:dyDescent="0.25">
      <c r="A462" s="48" t="str">
        <f t="shared" si="14"/>
        <v>dpi_vddh1_dyn_WXGA_|_1280x800x30_fps_12b_|_1p8V</v>
      </c>
      <c r="B462" s="48" t="s">
        <v>5264</v>
      </c>
      <c r="C462" s="48" t="s">
        <v>5256</v>
      </c>
      <c r="D462" s="48" t="s">
        <v>4963</v>
      </c>
      <c r="E462" s="48" t="s">
        <v>5195</v>
      </c>
      <c r="F462" s="14">
        <v>5.0469841648800005</v>
      </c>
      <c r="G462" s="48" t="s">
        <v>5260</v>
      </c>
      <c r="H462" s="49"/>
      <c r="I462" s="22"/>
      <c r="O462" s="21"/>
    </row>
    <row r="463" spans="1:15" customFormat="1" ht="15" x14ac:dyDescent="0.25">
      <c r="A463" s="48" t="str">
        <f t="shared" si="14"/>
        <v>dpi_vddh1_dyn_WXGA_|_1280x800x30_fps_16b_|_1p8V</v>
      </c>
      <c r="B463" s="48" t="s">
        <v>5264</v>
      </c>
      <c r="C463" s="48" t="s">
        <v>5256</v>
      </c>
      <c r="D463" s="48" t="s">
        <v>4965</v>
      </c>
      <c r="E463" s="48" t="s">
        <v>5195</v>
      </c>
      <c r="F463" s="14">
        <v>5.0469841648800005</v>
      </c>
      <c r="G463" s="48" t="s">
        <v>5260</v>
      </c>
      <c r="H463" s="49"/>
      <c r="I463" s="22"/>
      <c r="O463" s="21"/>
    </row>
    <row r="464" spans="1:15" customFormat="1" ht="15" x14ac:dyDescent="0.25">
      <c r="A464" s="48" t="str">
        <f t="shared" si="14"/>
        <v>dpi_vddh1_dyn_WXGA_|_1280x800x30_fps_24b_|_1p8V</v>
      </c>
      <c r="B464" s="48" t="s">
        <v>5264</v>
      </c>
      <c r="C464" s="48" t="s">
        <v>5256</v>
      </c>
      <c r="D464" s="48" t="s">
        <v>4967</v>
      </c>
      <c r="E464" s="48" t="s">
        <v>5195</v>
      </c>
      <c r="F464" s="14">
        <v>6.4920154205087997</v>
      </c>
      <c r="G464" s="48" t="s">
        <v>5260</v>
      </c>
      <c r="H464" s="49"/>
      <c r="I464" s="22"/>
      <c r="O464" s="21"/>
    </row>
    <row r="465" spans="1:15" customFormat="1" ht="15" x14ac:dyDescent="0.25">
      <c r="A465" s="48" t="str">
        <f t="shared" si="14"/>
        <v>dpi_vddh1_dyn_WXGA_|_1280x800x30_fps_24b_|_1p8V</v>
      </c>
      <c r="B465" s="48" t="s">
        <v>5264</v>
      </c>
      <c r="C465" s="48" t="s">
        <v>5256</v>
      </c>
      <c r="D465" s="48" t="s">
        <v>4967</v>
      </c>
      <c r="E465" s="48" t="s">
        <v>5195</v>
      </c>
      <c r="F465" s="14">
        <v>6.4920154205087997</v>
      </c>
      <c r="G465" s="48" t="s">
        <v>5260</v>
      </c>
      <c r="H465" s="49"/>
      <c r="I465" s="22"/>
      <c r="O465" s="21"/>
    </row>
    <row r="466" spans="1:15" customFormat="1" ht="15" x14ac:dyDescent="0.25">
      <c r="A466" s="48" t="str">
        <f t="shared" si="14"/>
        <v>dpi_vddh1_dyn_WXGA_|_1280x800x60_fps_12b_|_1p8V</v>
      </c>
      <c r="B466" s="48" t="s">
        <v>5264</v>
      </c>
      <c r="C466" s="48" t="s">
        <v>5256</v>
      </c>
      <c r="D466" s="48" t="s">
        <v>4969</v>
      </c>
      <c r="E466" s="48" t="s">
        <v>5195</v>
      </c>
      <c r="F466" s="14">
        <v>10.093968329760001</v>
      </c>
      <c r="G466" s="48" t="s">
        <v>5260</v>
      </c>
      <c r="H466" s="49"/>
      <c r="I466" s="22"/>
      <c r="O466" s="21"/>
    </row>
    <row r="467" spans="1:15" customFormat="1" ht="15" x14ac:dyDescent="0.25">
      <c r="A467" s="48" t="str">
        <f t="shared" si="14"/>
        <v>dpi_vddh1_dyn_WXGA_|_1280x800x60_fps_16b_|_1p8V</v>
      </c>
      <c r="B467" s="48" t="s">
        <v>5264</v>
      </c>
      <c r="C467" s="48" t="s">
        <v>5256</v>
      </c>
      <c r="D467" s="48" t="s">
        <v>4971</v>
      </c>
      <c r="E467" s="48" t="s">
        <v>5195</v>
      </c>
      <c r="F467" s="14">
        <v>10.093968329760001</v>
      </c>
      <c r="G467" s="48" t="s">
        <v>5260</v>
      </c>
      <c r="H467" s="49"/>
      <c r="I467" s="22"/>
      <c r="O467" s="21"/>
    </row>
    <row r="468" spans="1:15" customFormat="1" ht="15" x14ac:dyDescent="0.25">
      <c r="A468" s="48" t="str">
        <f t="shared" si="14"/>
        <v>dpi_vddh1_dyn_WXGA_|_1280x800x60_fps_18b_|_1p8V</v>
      </c>
      <c r="B468" s="48" t="s">
        <v>5264</v>
      </c>
      <c r="C468" s="48" t="s">
        <v>5256</v>
      </c>
      <c r="D468" s="48" t="s">
        <v>4973</v>
      </c>
      <c r="E468" s="48" t="s">
        <v>5195</v>
      </c>
      <c r="F468" s="14">
        <v>12.984030841017599</v>
      </c>
      <c r="G468" s="48" t="s">
        <v>5260</v>
      </c>
      <c r="H468" s="49"/>
      <c r="I468" s="22"/>
      <c r="O468" s="21"/>
    </row>
    <row r="469" spans="1:15" customFormat="1" ht="15" x14ac:dyDescent="0.25">
      <c r="A469" s="48" t="str">
        <f t="shared" si="14"/>
        <v>dpi_vddh1_dyn_WXGA_|_1280x800x60_fps_24b_|_1p8V</v>
      </c>
      <c r="B469" s="48" t="s">
        <v>5264</v>
      </c>
      <c r="C469" s="48" t="s">
        <v>5256</v>
      </c>
      <c r="D469" s="48" t="s">
        <v>4975</v>
      </c>
      <c r="E469" s="48" t="s">
        <v>5195</v>
      </c>
      <c r="F469" s="14">
        <v>12.984030841017599</v>
      </c>
      <c r="G469" s="48" t="s">
        <v>5260</v>
      </c>
      <c r="H469" s="49"/>
      <c r="I469" s="22"/>
      <c r="O469" s="21"/>
    </row>
    <row r="470" spans="1:15" customFormat="1" ht="15" x14ac:dyDescent="0.25">
      <c r="A470" s="48" t="str">
        <f t="shared" si="14"/>
        <v>dpi_vddh1_dyn_XGA_|_1024x768x60_fps_12b_|_1p8V</v>
      </c>
      <c r="B470" s="48" t="s">
        <v>5264</v>
      </c>
      <c r="C470" s="48" t="s">
        <v>5256</v>
      </c>
      <c r="D470" s="48" t="s">
        <v>4945</v>
      </c>
      <c r="E470" s="48" t="s">
        <v>5195</v>
      </c>
      <c r="F470" s="14">
        <v>7.6621843831680012</v>
      </c>
      <c r="G470" s="48" t="s">
        <v>5260</v>
      </c>
      <c r="H470" s="49"/>
      <c r="I470" s="22"/>
      <c r="O470" s="21"/>
    </row>
    <row r="471" spans="1:15" customFormat="1" ht="15" x14ac:dyDescent="0.25">
      <c r="A471" s="48" t="str">
        <f t="shared" si="14"/>
        <v>dpi_vddh1_dyn_XGA_|_1024x768x60_fps_16b_|_1p8V</v>
      </c>
      <c r="B471" s="48" t="s">
        <v>5264</v>
      </c>
      <c r="C471" s="48" t="s">
        <v>5256</v>
      </c>
      <c r="D471" s="48" t="s">
        <v>4947</v>
      </c>
      <c r="E471" s="48" t="s">
        <v>5195</v>
      </c>
      <c r="F471" s="14">
        <v>7.6621843831680012</v>
      </c>
      <c r="G471" s="48" t="s">
        <v>5260</v>
      </c>
      <c r="H471" s="49"/>
      <c r="I471" s="22"/>
      <c r="O471" s="21"/>
    </row>
    <row r="472" spans="1:15" customFormat="1" ht="15" x14ac:dyDescent="0.25">
      <c r="A472" s="48" t="str">
        <f t="shared" si="14"/>
        <v>dpi_vddh1_dyn_XGA_|_1024x768x60_fps_24b_|_1p8V</v>
      </c>
      <c r="B472" s="48" t="s">
        <v>5264</v>
      </c>
      <c r="C472" s="48" t="s">
        <v>5256</v>
      </c>
      <c r="D472" s="48" t="s">
        <v>4949</v>
      </c>
      <c r="E472" s="48" t="s">
        <v>5195</v>
      </c>
      <c r="F472" s="14">
        <v>9.8559887539276794</v>
      </c>
      <c r="G472" s="48" t="s">
        <v>5260</v>
      </c>
      <c r="H472" s="49"/>
      <c r="I472" s="22"/>
      <c r="O472" s="21"/>
    </row>
    <row r="473" spans="1:15" customFormat="1" ht="15" x14ac:dyDescent="0.25">
      <c r="A473" s="48" t="str">
        <f t="shared" si="14"/>
        <v>dpi_vddh1_dyn_XGA_|_1024x768x60_fps_24b_|_1p8V</v>
      </c>
      <c r="B473" s="48" t="s">
        <v>5264</v>
      </c>
      <c r="C473" s="48" t="s">
        <v>5256</v>
      </c>
      <c r="D473" s="48" t="s">
        <v>4949</v>
      </c>
      <c r="E473" s="48" t="s">
        <v>5195</v>
      </c>
      <c r="F473" s="14">
        <v>9.8559887539276794</v>
      </c>
      <c r="G473" s="48" t="s">
        <v>5260</v>
      </c>
      <c r="H473" s="49"/>
      <c r="I473" s="22"/>
      <c r="O473" s="21"/>
    </row>
    <row r="474" spans="1:15" customFormat="1" ht="15" x14ac:dyDescent="0.25">
      <c r="A474" s="48" t="str">
        <f t="shared" si="14"/>
        <v>dpi_vddh2_dyn_2K_|_2048x1080x30_fps_18b_|_3p3V</v>
      </c>
      <c r="B474" s="48" t="s">
        <v>5264</v>
      </c>
      <c r="C474" s="48" t="s">
        <v>5262</v>
      </c>
      <c r="D474" s="48" t="s">
        <v>5065</v>
      </c>
      <c r="E474" s="48" t="s">
        <v>5195</v>
      </c>
      <c r="F474" s="14">
        <v>57.063460608000007</v>
      </c>
      <c r="G474" s="48" t="s">
        <v>5260</v>
      </c>
      <c r="H474" s="49"/>
      <c r="I474" s="22"/>
      <c r="O474" s="21"/>
    </row>
    <row r="475" spans="1:15" customFormat="1" ht="15" x14ac:dyDescent="0.25">
      <c r="A475" s="48" t="str">
        <f t="shared" si="14"/>
        <v>dpi_vddh2_dyn_2K_|_2048x1080x30_fps_24b_|_3p3V</v>
      </c>
      <c r="B475" s="48" t="s">
        <v>5264</v>
      </c>
      <c r="C475" s="48" t="s">
        <v>5262</v>
      </c>
      <c r="D475" s="48" t="s">
        <v>5067</v>
      </c>
      <c r="E475" s="48" t="s">
        <v>5195</v>
      </c>
      <c r="F475" s="14">
        <v>57.063460608000007</v>
      </c>
      <c r="G475" s="48" t="s">
        <v>5260</v>
      </c>
      <c r="H475" s="49"/>
      <c r="I475" s="22"/>
      <c r="O475" s="21"/>
    </row>
    <row r="476" spans="1:15" customFormat="1" ht="15" x14ac:dyDescent="0.25">
      <c r="A476" s="48" t="str">
        <f t="shared" si="14"/>
        <v>dpi_vddh2_dyn_2K_|_2048x1080x60_fps_18b_|_3p3V</v>
      </c>
      <c r="B476" s="48" t="s">
        <v>5264</v>
      </c>
      <c r="C476" s="48" t="s">
        <v>5262</v>
      </c>
      <c r="D476" s="48" t="s">
        <v>5069</v>
      </c>
      <c r="E476" s="48" t="s">
        <v>5195</v>
      </c>
      <c r="F476" s="14">
        <v>114.12692121600001</v>
      </c>
      <c r="G476" s="48" t="s">
        <v>5260</v>
      </c>
      <c r="H476" s="49"/>
      <c r="I476" s="22"/>
      <c r="O476" s="21"/>
    </row>
    <row r="477" spans="1:15" customFormat="1" ht="15" x14ac:dyDescent="0.25">
      <c r="A477" s="48" t="str">
        <f t="shared" si="14"/>
        <v>dpi_vddh2_dyn_2K_|_2048x1080x60_fps_24b_|_3p3V</v>
      </c>
      <c r="B477" s="48" t="s">
        <v>5264</v>
      </c>
      <c r="C477" s="48" t="s">
        <v>5262</v>
      </c>
      <c r="D477" s="48" t="s">
        <v>5071</v>
      </c>
      <c r="E477" s="48" t="s">
        <v>5195</v>
      </c>
      <c r="F477" s="14">
        <v>114.12692121600001</v>
      </c>
      <c r="G477" s="48" t="s">
        <v>5260</v>
      </c>
      <c r="H477" s="49"/>
      <c r="I477" s="22"/>
      <c r="O477" s="21"/>
    </row>
    <row r="478" spans="1:15" customFormat="1" ht="15" x14ac:dyDescent="0.25">
      <c r="A478" s="48" t="str">
        <f t="shared" si="14"/>
        <v>dpi_vddh2_dyn_Full_HD_|_1920x1080x30_fps_12b_|_3p3V</v>
      </c>
      <c r="B478" s="48" t="s">
        <v>5264</v>
      </c>
      <c r="C478" s="48" t="s">
        <v>5262</v>
      </c>
      <c r="D478" s="48" t="s">
        <v>5049</v>
      </c>
      <c r="E478" s="48" t="s">
        <v>5195</v>
      </c>
      <c r="F478" s="14">
        <v>53.726416128000011</v>
      </c>
      <c r="G478" s="48" t="s">
        <v>5260</v>
      </c>
      <c r="H478" s="49"/>
      <c r="I478" s="22"/>
      <c r="O478" s="21"/>
    </row>
    <row r="479" spans="1:15" customFormat="1" ht="15" x14ac:dyDescent="0.25">
      <c r="A479" s="48" t="str">
        <f t="shared" si="14"/>
        <v>dpi_vddh2_dyn_Full_HD_|_1920x1080x30_fps_16b_|_3p3V</v>
      </c>
      <c r="B479" s="48" t="s">
        <v>5264</v>
      </c>
      <c r="C479" s="48" t="s">
        <v>5262</v>
      </c>
      <c r="D479" s="48" t="s">
        <v>5051</v>
      </c>
      <c r="E479" s="48" t="s">
        <v>5195</v>
      </c>
      <c r="F479" s="14">
        <v>53.726416128000011</v>
      </c>
      <c r="G479" s="48" t="s">
        <v>5260</v>
      </c>
      <c r="H479" s="49"/>
      <c r="I479" s="22"/>
      <c r="O479" s="21"/>
    </row>
    <row r="480" spans="1:15" customFormat="1" ht="15" x14ac:dyDescent="0.25">
      <c r="A480" s="48" t="str">
        <f t="shared" si="14"/>
        <v>dpi_vddh2_dyn_Full_HD_|_1920x1080x30_fps_18b_|_3p3V</v>
      </c>
      <c r="B480" s="48" t="s">
        <v>5264</v>
      </c>
      <c r="C480" s="48" t="s">
        <v>5262</v>
      </c>
      <c r="D480" s="48" t="s">
        <v>5053</v>
      </c>
      <c r="E480" s="48" t="s">
        <v>5195</v>
      </c>
      <c r="F480" s="14">
        <v>57.57209644032001</v>
      </c>
      <c r="G480" s="48" t="s">
        <v>5260</v>
      </c>
      <c r="H480" s="49"/>
      <c r="I480" s="22"/>
      <c r="O480" s="21"/>
    </row>
    <row r="481" spans="1:15" customFormat="1" ht="15" x14ac:dyDescent="0.25">
      <c r="A481" s="48" t="str">
        <f t="shared" si="14"/>
        <v>dpi_vddh2_dyn_Full_HD_|_1920x1080x30_fps_24b_|_3p3V</v>
      </c>
      <c r="B481" s="48" t="s">
        <v>5264</v>
      </c>
      <c r="C481" s="48" t="s">
        <v>5262</v>
      </c>
      <c r="D481" s="48" t="s">
        <v>5055</v>
      </c>
      <c r="E481" s="48" t="s">
        <v>5195</v>
      </c>
      <c r="F481" s="14">
        <v>57.57209644032001</v>
      </c>
      <c r="G481" s="48" t="s">
        <v>5260</v>
      </c>
      <c r="H481" s="49"/>
      <c r="I481" s="22"/>
      <c r="O481" s="21"/>
    </row>
    <row r="482" spans="1:15" customFormat="1" ht="15" x14ac:dyDescent="0.25">
      <c r="A482" s="48" t="str">
        <f t="shared" si="14"/>
        <v>dpi_vddh2_dyn_Full_HD_|_1920x1080x60_fps_12b_|_3p3V</v>
      </c>
      <c r="B482" s="48" t="s">
        <v>5264</v>
      </c>
      <c r="C482" s="48" t="s">
        <v>5262</v>
      </c>
      <c r="D482" s="48" t="s">
        <v>5057</v>
      </c>
      <c r="E482" s="48" t="s">
        <v>5195</v>
      </c>
      <c r="F482" s="14">
        <v>107.45283225600002</v>
      </c>
      <c r="G482" s="48" t="s">
        <v>5260</v>
      </c>
      <c r="H482" s="49"/>
      <c r="I482" s="22"/>
      <c r="O482" s="21"/>
    </row>
    <row r="483" spans="1:15" customFormat="1" ht="15" x14ac:dyDescent="0.25">
      <c r="A483" s="48" t="str">
        <f t="shared" si="14"/>
        <v>dpi_vddh2_dyn_Full_HD_|_1920x1080x60_fps_16b_|_3p3V</v>
      </c>
      <c r="B483" s="48" t="s">
        <v>5264</v>
      </c>
      <c r="C483" s="48" t="s">
        <v>5262</v>
      </c>
      <c r="D483" s="48" t="s">
        <v>5059</v>
      </c>
      <c r="E483" s="48" t="s">
        <v>5195</v>
      </c>
      <c r="F483" s="14">
        <v>107.45283225600002</v>
      </c>
      <c r="G483" s="48" t="s">
        <v>5260</v>
      </c>
      <c r="H483" s="49"/>
      <c r="I483" s="22"/>
      <c r="O483" s="21"/>
    </row>
    <row r="484" spans="1:15" customFormat="1" ht="15" x14ac:dyDescent="0.25">
      <c r="A484" s="48" t="str">
        <f t="shared" si="14"/>
        <v>dpi_vddh2_dyn_Full_HD_|_1920x1080x60_fps_18b_|_3p3V</v>
      </c>
      <c r="B484" s="48" t="s">
        <v>5264</v>
      </c>
      <c r="C484" s="48" t="s">
        <v>5262</v>
      </c>
      <c r="D484" s="48" t="s">
        <v>5061</v>
      </c>
      <c r="E484" s="48" t="s">
        <v>5195</v>
      </c>
      <c r="F484" s="14">
        <v>115.14419288064002</v>
      </c>
      <c r="G484" s="48" t="s">
        <v>5260</v>
      </c>
      <c r="H484" s="49"/>
      <c r="I484" s="22"/>
      <c r="O484" s="21"/>
    </row>
    <row r="485" spans="1:15" customFormat="1" ht="15" x14ac:dyDescent="0.25">
      <c r="A485" s="48" t="str">
        <f t="shared" si="14"/>
        <v>dpi_vddh2_dyn_Full_HD_|_1920x1080x60_fps_24b_|_3p3V</v>
      </c>
      <c r="B485" s="48" t="s">
        <v>5264</v>
      </c>
      <c r="C485" s="48" t="s">
        <v>5262</v>
      </c>
      <c r="D485" s="48" t="s">
        <v>5063</v>
      </c>
      <c r="E485" s="48" t="s">
        <v>5195</v>
      </c>
      <c r="F485" s="14">
        <v>115.14419288064002</v>
      </c>
      <c r="G485" s="48" t="s">
        <v>5260</v>
      </c>
      <c r="H485" s="49"/>
      <c r="I485" s="22"/>
      <c r="O485" s="21"/>
    </row>
    <row r="486" spans="1:15" customFormat="1" ht="15" x14ac:dyDescent="0.25">
      <c r="A486" s="48" t="str">
        <f t="shared" si="14"/>
        <v>dpi_vddh2_dyn_Full_HD_|_1920x720x30_fps_12b_|_3p3V</v>
      </c>
      <c r="B486" s="48" t="s">
        <v>5264</v>
      </c>
      <c r="C486" s="48" t="s">
        <v>5262</v>
      </c>
      <c r="D486" s="48" t="s">
        <v>5033</v>
      </c>
      <c r="E486" s="48" t="s">
        <v>5195</v>
      </c>
      <c r="F486" s="14">
        <v>34.767236275200005</v>
      </c>
      <c r="G486" s="48" t="s">
        <v>5260</v>
      </c>
      <c r="H486" s="49"/>
      <c r="I486" s="22"/>
      <c r="O486" s="21"/>
    </row>
    <row r="487" spans="1:15" customFormat="1" ht="15" x14ac:dyDescent="0.25">
      <c r="A487" s="48" t="str">
        <f t="shared" si="14"/>
        <v>dpi_vddh2_dyn_Full_HD_|_1920x720x30_fps_16b_|_3p3V</v>
      </c>
      <c r="B487" s="48" t="s">
        <v>5264</v>
      </c>
      <c r="C487" s="48" t="s">
        <v>5262</v>
      </c>
      <c r="D487" s="48" t="s">
        <v>5035</v>
      </c>
      <c r="E487" s="48" t="s">
        <v>5195</v>
      </c>
      <c r="F487" s="14">
        <v>34.767236275200005</v>
      </c>
      <c r="G487" s="48" t="s">
        <v>5260</v>
      </c>
      <c r="H487" s="49"/>
      <c r="I487" s="22"/>
      <c r="O487" s="21"/>
    </row>
    <row r="488" spans="1:15" customFormat="1" ht="15" x14ac:dyDescent="0.25">
      <c r="A488" s="48" t="str">
        <f t="shared" ref="A488:A551" si="15">B488&amp;"_"&amp;C488&amp;"_"&amp;D488</f>
        <v>dpi_vddh2_dyn_Full_HD_|_1920x720x30_fps_18b_|_3p3V</v>
      </c>
      <c r="B488" s="48" t="s">
        <v>5264</v>
      </c>
      <c r="C488" s="48" t="s">
        <v>5262</v>
      </c>
      <c r="D488" s="48" t="s">
        <v>5037</v>
      </c>
      <c r="E488" s="48" t="s">
        <v>5195</v>
      </c>
      <c r="F488" s="14">
        <v>37.255838450688003</v>
      </c>
      <c r="G488" s="48" t="s">
        <v>5260</v>
      </c>
      <c r="H488" s="49"/>
      <c r="I488" s="22"/>
      <c r="O488" s="21"/>
    </row>
    <row r="489" spans="1:15" customFormat="1" ht="15" x14ac:dyDescent="0.25">
      <c r="A489" s="48" t="str">
        <f t="shared" si="15"/>
        <v>dpi_vddh2_dyn_Full_HD_|_1920x720x30_fps_24b_|_3p3V</v>
      </c>
      <c r="B489" s="48" t="s">
        <v>5264</v>
      </c>
      <c r="C489" s="48" t="s">
        <v>5262</v>
      </c>
      <c r="D489" s="48" t="s">
        <v>5039</v>
      </c>
      <c r="E489" s="48" t="s">
        <v>5195</v>
      </c>
      <c r="F489" s="14">
        <v>37.255838450688003</v>
      </c>
      <c r="G489" s="48" t="s">
        <v>5260</v>
      </c>
      <c r="H489" s="49"/>
      <c r="I489" s="22"/>
      <c r="O489" s="21"/>
    </row>
    <row r="490" spans="1:15" customFormat="1" ht="15" x14ac:dyDescent="0.25">
      <c r="A490" s="48" t="str">
        <f t="shared" si="15"/>
        <v>dpi_vddh2_dyn_Full_HD_|_1920x720x60_fps_12b_|_3p3V</v>
      </c>
      <c r="B490" s="48" t="s">
        <v>5264</v>
      </c>
      <c r="C490" s="48" t="s">
        <v>5262</v>
      </c>
      <c r="D490" s="48" t="s">
        <v>5041</v>
      </c>
      <c r="E490" s="48" t="s">
        <v>5195</v>
      </c>
      <c r="F490" s="14">
        <v>69.534472550400011</v>
      </c>
      <c r="G490" s="48" t="s">
        <v>5260</v>
      </c>
      <c r="H490" s="49"/>
      <c r="I490" s="22"/>
      <c r="O490" s="21"/>
    </row>
    <row r="491" spans="1:15" customFormat="1" ht="15" x14ac:dyDescent="0.25">
      <c r="A491" s="48" t="str">
        <f t="shared" si="15"/>
        <v>dpi_vddh2_dyn_Full_HD_|_1920x720x60_fps_16b_|_3p3V</v>
      </c>
      <c r="B491" s="48" t="s">
        <v>5264</v>
      </c>
      <c r="C491" s="48" t="s">
        <v>5262</v>
      </c>
      <c r="D491" s="48" t="s">
        <v>5043</v>
      </c>
      <c r="E491" s="48" t="s">
        <v>5195</v>
      </c>
      <c r="F491" s="14">
        <v>69.534472550400011</v>
      </c>
      <c r="G491" s="48" t="s">
        <v>5260</v>
      </c>
      <c r="H491" s="49"/>
      <c r="I491" s="22"/>
      <c r="O491" s="21"/>
    </row>
    <row r="492" spans="1:15" customFormat="1" ht="15" x14ac:dyDescent="0.25">
      <c r="A492" s="48" t="str">
        <f t="shared" si="15"/>
        <v>dpi_vddh2_dyn_Full_HD_|_1920x720x60_fps_18b_|_3p3V</v>
      </c>
      <c r="B492" s="48" t="s">
        <v>5264</v>
      </c>
      <c r="C492" s="48" t="s">
        <v>5262</v>
      </c>
      <c r="D492" s="48" t="s">
        <v>5045</v>
      </c>
      <c r="E492" s="48" t="s">
        <v>5195</v>
      </c>
      <c r="F492" s="14">
        <v>74.511676901376006</v>
      </c>
      <c r="G492" s="48" t="s">
        <v>5260</v>
      </c>
      <c r="H492" s="49"/>
      <c r="I492" s="22"/>
      <c r="O492" s="21"/>
    </row>
    <row r="493" spans="1:15" customFormat="1" ht="15" x14ac:dyDescent="0.25">
      <c r="A493" s="48" t="str">
        <f t="shared" si="15"/>
        <v>dpi_vddh2_dyn_Full_HD_|_1920x720x60_fps_24b_|_3p3V</v>
      </c>
      <c r="B493" s="48" t="s">
        <v>5264</v>
      </c>
      <c r="C493" s="48" t="s">
        <v>5262</v>
      </c>
      <c r="D493" s="48" t="s">
        <v>5047</v>
      </c>
      <c r="E493" s="48" t="s">
        <v>5195</v>
      </c>
      <c r="F493" s="14">
        <v>74.511676901376006</v>
      </c>
      <c r="G493" s="48" t="s">
        <v>5260</v>
      </c>
      <c r="H493" s="49"/>
      <c r="I493" s="22"/>
      <c r="O493" s="21"/>
    </row>
    <row r="494" spans="1:15" customFormat="1" ht="15" x14ac:dyDescent="0.25">
      <c r="A494" s="48" t="str">
        <f t="shared" si="15"/>
        <v>dpi_vddh2_dyn_HD_|_1280x720x30_fps_12b_|_3p3V</v>
      </c>
      <c r="B494" s="48" t="s">
        <v>5264</v>
      </c>
      <c r="C494" s="48" t="s">
        <v>5262</v>
      </c>
      <c r="D494" s="48" t="s">
        <v>4952</v>
      </c>
      <c r="E494" s="48" t="s">
        <v>5195</v>
      </c>
      <c r="F494" s="14">
        <v>23.178157516799999</v>
      </c>
      <c r="G494" s="48" t="s">
        <v>5260</v>
      </c>
      <c r="H494" s="49"/>
      <c r="I494" s="22"/>
      <c r="O494" s="21"/>
    </row>
    <row r="495" spans="1:15" customFormat="1" ht="15" x14ac:dyDescent="0.25">
      <c r="A495" s="48" t="str">
        <f t="shared" si="15"/>
        <v>dpi_vddh2_dyn_HD_|_1280x720x30_fps_16b_|_3p3V</v>
      </c>
      <c r="B495" s="48" t="s">
        <v>5264</v>
      </c>
      <c r="C495" s="48" t="s">
        <v>5262</v>
      </c>
      <c r="D495" s="48" t="s">
        <v>4954</v>
      </c>
      <c r="E495" s="48" t="s">
        <v>5195</v>
      </c>
      <c r="F495" s="14">
        <v>23.178157516799999</v>
      </c>
      <c r="G495" s="48" t="s">
        <v>5260</v>
      </c>
      <c r="H495" s="49"/>
      <c r="I495" s="22"/>
      <c r="O495" s="21"/>
    </row>
    <row r="496" spans="1:15" customFormat="1" ht="15" x14ac:dyDescent="0.25">
      <c r="A496" s="48" t="str">
        <f t="shared" si="15"/>
        <v>dpi_vddh2_dyn_HD_|_1280x720x30_fps_24b_|_3p3V</v>
      </c>
      <c r="B496" s="48" t="s">
        <v>5264</v>
      </c>
      <c r="C496" s="48" t="s">
        <v>5262</v>
      </c>
      <c r="D496" s="48" t="s">
        <v>4956</v>
      </c>
      <c r="E496" s="48" t="s">
        <v>5195</v>
      </c>
      <c r="F496" s="14">
        <v>29.814429984767997</v>
      </c>
      <c r="G496" s="48" t="s">
        <v>5260</v>
      </c>
      <c r="H496" s="49"/>
      <c r="I496" s="22"/>
      <c r="O496" s="21"/>
    </row>
    <row r="497" spans="1:15" customFormat="1" ht="15" x14ac:dyDescent="0.25">
      <c r="A497" s="48" t="str">
        <f t="shared" si="15"/>
        <v>dpi_vddh2_dyn_HD_|_1280x720x30_fps_24b_|_3p3V</v>
      </c>
      <c r="B497" s="48" t="s">
        <v>5264</v>
      </c>
      <c r="C497" s="48" t="s">
        <v>5262</v>
      </c>
      <c r="D497" s="48" t="s">
        <v>4956</v>
      </c>
      <c r="E497" s="48" t="s">
        <v>5195</v>
      </c>
      <c r="F497" s="14">
        <v>29.814429984767997</v>
      </c>
      <c r="G497" s="48" t="s">
        <v>5260</v>
      </c>
      <c r="H497" s="49"/>
      <c r="I497" s="22"/>
      <c r="O497" s="21"/>
    </row>
    <row r="498" spans="1:15" customFormat="1" ht="15" x14ac:dyDescent="0.25">
      <c r="A498" s="48" t="str">
        <f t="shared" si="15"/>
        <v>dpi_vddh2_dyn_HD_|_1280x720x60_fps_12b_|_3p3V</v>
      </c>
      <c r="B498" s="48" t="s">
        <v>5264</v>
      </c>
      <c r="C498" s="48" t="s">
        <v>5262</v>
      </c>
      <c r="D498" s="48" t="s">
        <v>4958</v>
      </c>
      <c r="E498" s="48" t="s">
        <v>5195</v>
      </c>
      <c r="F498" s="14">
        <v>46.356315033599998</v>
      </c>
      <c r="G498" s="48" t="s">
        <v>5260</v>
      </c>
      <c r="H498" s="49"/>
      <c r="I498" s="22"/>
      <c r="O498" s="21"/>
    </row>
    <row r="499" spans="1:15" customFormat="1" ht="15" x14ac:dyDescent="0.25">
      <c r="A499" s="48" t="str">
        <f t="shared" si="15"/>
        <v>dpi_vddh2_dyn_HD_|_1280x720x60_fps_16b_|_3p3V</v>
      </c>
      <c r="B499" s="48" t="s">
        <v>5264</v>
      </c>
      <c r="C499" s="48" t="s">
        <v>5262</v>
      </c>
      <c r="D499" s="48" t="s">
        <v>4960</v>
      </c>
      <c r="E499" s="48" t="s">
        <v>5195</v>
      </c>
      <c r="F499" s="14">
        <v>46.356315033599998</v>
      </c>
      <c r="G499" s="48" t="s">
        <v>5260</v>
      </c>
      <c r="H499" s="49"/>
      <c r="I499" s="22"/>
      <c r="O499" s="21"/>
    </row>
    <row r="500" spans="1:15" customFormat="1" ht="15" x14ac:dyDescent="0.25">
      <c r="A500" s="48" t="str">
        <f t="shared" si="15"/>
        <v>dpi_vddh2_dyn_HD_|_1280x720x60_fps_24b_|_3p3V</v>
      </c>
      <c r="B500" s="48" t="s">
        <v>5264</v>
      </c>
      <c r="C500" s="48" t="s">
        <v>5262</v>
      </c>
      <c r="D500" s="48" t="s">
        <v>4962</v>
      </c>
      <c r="E500" s="48" t="s">
        <v>5195</v>
      </c>
      <c r="F500" s="14">
        <v>59.628859969535995</v>
      </c>
      <c r="G500" s="48" t="s">
        <v>5260</v>
      </c>
      <c r="H500" s="49"/>
      <c r="I500" s="22"/>
      <c r="O500" s="21"/>
    </row>
    <row r="501" spans="1:15" customFormat="1" ht="15" x14ac:dyDescent="0.25">
      <c r="A501" s="48" t="str">
        <f t="shared" si="15"/>
        <v>dpi_vddh2_dyn_HD_|_1280x720x60_fps_24b_|_3p3V</v>
      </c>
      <c r="B501" s="48" t="s">
        <v>5264</v>
      </c>
      <c r="C501" s="48" t="s">
        <v>5262</v>
      </c>
      <c r="D501" s="48" t="s">
        <v>4962</v>
      </c>
      <c r="E501" s="48" t="s">
        <v>5195</v>
      </c>
      <c r="F501" s="14">
        <v>59.628859969535995</v>
      </c>
      <c r="G501" s="48" t="s">
        <v>5260</v>
      </c>
      <c r="H501" s="49"/>
      <c r="I501" s="22"/>
      <c r="O501" s="21"/>
    </row>
    <row r="502" spans="1:15" customFormat="1" ht="15" x14ac:dyDescent="0.25">
      <c r="A502" s="48" t="str">
        <f t="shared" si="15"/>
        <v>dpi_vddh2_dyn_HD+_|_1600x900x30_fps_12b_|_3p3V</v>
      </c>
      <c r="B502" s="48" t="s">
        <v>5264</v>
      </c>
      <c r="C502" s="48" t="s">
        <v>5262</v>
      </c>
      <c r="D502" s="48" t="s">
        <v>5002</v>
      </c>
      <c r="E502" s="48" t="s">
        <v>5195</v>
      </c>
      <c r="F502" s="14">
        <v>36.733708915199998</v>
      </c>
      <c r="G502" s="48" t="s">
        <v>5260</v>
      </c>
      <c r="H502" s="49"/>
      <c r="I502" s="22"/>
      <c r="O502" s="21"/>
    </row>
    <row r="503" spans="1:15" customFormat="1" ht="15" x14ac:dyDescent="0.25">
      <c r="A503" s="48" t="str">
        <f t="shared" si="15"/>
        <v>dpi_vddh2_dyn_HD+_|_1600x900x30_fps_16b_|_3p3V</v>
      </c>
      <c r="B503" s="48" t="s">
        <v>5264</v>
      </c>
      <c r="C503" s="48" t="s">
        <v>5262</v>
      </c>
      <c r="D503" s="48" t="s">
        <v>5004</v>
      </c>
      <c r="E503" s="48" t="s">
        <v>5195</v>
      </c>
      <c r="F503" s="14">
        <v>36.733708915199998</v>
      </c>
      <c r="G503" s="48" t="s">
        <v>5260</v>
      </c>
      <c r="H503" s="49"/>
      <c r="I503" s="22"/>
      <c r="O503" s="21"/>
    </row>
    <row r="504" spans="1:15" customFormat="1" ht="15" x14ac:dyDescent="0.25">
      <c r="A504" s="48" t="str">
        <f t="shared" si="15"/>
        <v>dpi_vddh2_dyn_HD+_|_1600x900x30_fps_18b_|_3p3V</v>
      </c>
      <c r="B504" s="48" t="s">
        <v>5264</v>
      </c>
      <c r="C504" s="48" t="s">
        <v>5262</v>
      </c>
      <c r="D504" s="48" t="s">
        <v>5006</v>
      </c>
      <c r="E504" s="48" t="s">
        <v>5195</v>
      </c>
      <c r="F504" s="14">
        <v>39.363069132287997</v>
      </c>
      <c r="G504" s="48" t="s">
        <v>5260</v>
      </c>
      <c r="H504" s="49"/>
      <c r="I504" s="22"/>
      <c r="O504" s="21"/>
    </row>
    <row r="505" spans="1:15" customFormat="1" ht="15" x14ac:dyDescent="0.25">
      <c r="A505" s="48" t="str">
        <f t="shared" si="15"/>
        <v>dpi_vddh2_dyn_HD+_|_1600x900x30_fps_24b_|_3p3V</v>
      </c>
      <c r="B505" s="48" t="s">
        <v>5264</v>
      </c>
      <c r="C505" s="48" t="s">
        <v>5262</v>
      </c>
      <c r="D505" s="48" t="s">
        <v>5008</v>
      </c>
      <c r="E505" s="48" t="s">
        <v>5195</v>
      </c>
      <c r="F505" s="14">
        <v>39.363069132287997</v>
      </c>
      <c r="G505" s="48" t="s">
        <v>5260</v>
      </c>
      <c r="H505" s="49"/>
      <c r="I505" s="22"/>
      <c r="O505" s="21"/>
    </row>
    <row r="506" spans="1:15" customFormat="1" ht="15" x14ac:dyDescent="0.25">
      <c r="A506" s="48" t="str">
        <f t="shared" si="15"/>
        <v>dpi_vddh2_dyn_HD+_|_1600x900x60_fps_12b_|_3p3V</v>
      </c>
      <c r="B506" s="48" t="s">
        <v>5264</v>
      </c>
      <c r="C506" s="48" t="s">
        <v>5262</v>
      </c>
      <c r="D506" s="48" t="s">
        <v>5010</v>
      </c>
      <c r="E506" s="48" t="s">
        <v>5195</v>
      </c>
      <c r="F506" s="14">
        <v>73.467417830399995</v>
      </c>
      <c r="G506" s="48" t="s">
        <v>5260</v>
      </c>
      <c r="H506" s="49"/>
      <c r="I506" s="22"/>
      <c r="O506" s="21"/>
    </row>
    <row r="507" spans="1:15" customFormat="1" ht="15" x14ac:dyDescent="0.25">
      <c r="A507" s="48" t="str">
        <f t="shared" si="15"/>
        <v>dpi_vddh2_dyn_HD+_|_1600x900x60_fps_16b_|_3p3V</v>
      </c>
      <c r="B507" s="48" t="s">
        <v>5264</v>
      </c>
      <c r="C507" s="48" t="s">
        <v>5262</v>
      </c>
      <c r="D507" s="48" t="s">
        <v>5012</v>
      </c>
      <c r="E507" s="48" t="s">
        <v>5195</v>
      </c>
      <c r="F507" s="14">
        <v>73.467417830399995</v>
      </c>
      <c r="G507" s="48" t="s">
        <v>5260</v>
      </c>
      <c r="H507" s="49"/>
      <c r="I507" s="22"/>
      <c r="O507" s="21"/>
    </row>
    <row r="508" spans="1:15" customFormat="1" ht="15" x14ac:dyDescent="0.25">
      <c r="A508" s="48" t="str">
        <f t="shared" si="15"/>
        <v>dpi_vddh2_dyn_HD+_|_1600x900x60_fps_18b_|_3p3V</v>
      </c>
      <c r="B508" s="48" t="s">
        <v>5264</v>
      </c>
      <c r="C508" s="48" t="s">
        <v>5262</v>
      </c>
      <c r="D508" s="48" t="s">
        <v>5014</v>
      </c>
      <c r="E508" s="48" t="s">
        <v>5195</v>
      </c>
      <c r="F508" s="14">
        <v>78.726138264575994</v>
      </c>
      <c r="G508" s="48" t="s">
        <v>5260</v>
      </c>
      <c r="H508" s="49"/>
      <c r="I508" s="22"/>
      <c r="O508" s="21"/>
    </row>
    <row r="509" spans="1:15" customFormat="1" ht="15" x14ac:dyDescent="0.25">
      <c r="A509" s="48" t="str">
        <f t="shared" si="15"/>
        <v>dpi_vddh2_dyn_HD+_|_1600x900x60_fps_24b_|_3p3V</v>
      </c>
      <c r="B509" s="48" t="s">
        <v>5264</v>
      </c>
      <c r="C509" s="48" t="s">
        <v>5262</v>
      </c>
      <c r="D509" s="48" t="s">
        <v>5015</v>
      </c>
      <c r="E509" s="48" t="s">
        <v>5195</v>
      </c>
      <c r="F509" s="14">
        <v>78.726138264575994</v>
      </c>
      <c r="G509" s="48" t="s">
        <v>5260</v>
      </c>
      <c r="H509" s="49"/>
      <c r="I509" s="22"/>
      <c r="O509" s="21"/>
    </row>
    <row r="510" spans="1:15" customFormat="1" ht="15" x14ac:dyDescent="0.25">
      <c r="A510" s="48" t="str">
        <f t="shared" si="15"/>
        <v>dpi_vddh2_dyn_SD_|_640x480x60_fps_12b_|_3p3V</v>
      </c>
      <c r="B510" s="48" t="s">
        <v>5264</v>
      </c>
      <c r="C510" s="48" t="s">
        <v>5262</v>
      </c>
      <c r="D510" s="48" t="s">
        <v>4928</v>
      </c>
      <c r="E510" s="48" t="s">
        <v>5195</v>
      </c>
      <c r="F510" s="14">
        <v>15.9638688</v>
      </c>
      <c r="G510" s="48" t="s">
        <v>5260</v>
      </c>
      <c r="H510" s="49"/>
      <c r="I510" s="22"/>
      <c r="O510" s="21"/>
    </row>
    <row r="511" spans="1:15" customFormat="1" ht="15" x14ac:dyDescent="0.25">
      <c r="A511" s="48" t="str">
        <f t="shared" si="15"/>
        <v>dpi_vddh2_dyn_SD_|_640x480x60_fps_16b_|_3p3V</v>
      </c>
      <c r="B511" s="48" t="s">
        <v>5264</v>
      </c>
      <c r="C511" s="48" t="s">
        <v>5262</v>
      </c>
      <c r="D511" s="48" t="s">
        <v>4930</v>
      </c>
      <c r="E511" s="48" t="s">
        <v>5195</v>
      </c>
      <c r="F511" s="14">
        <v>15.9638688</v>
      </c>
      <c r="G511" s="48" t="s">
        <v>5260</v>
      </c>
      <c r="H511" s="49"/>
      <c r="I511" s="22"/>
      <c r="O511" s="21"/>
    </row>
    <row r="512" spans="1:15" customFormat="1" ht="15" x14ac:dyDescent="0.25">
      <c r="A512" s="48" t="str">
        <f t="shared" si="15"/>
        <v>dpi_vddh2_dyn_SD_|_640x480x60_fps_24b_|_3p3V</v>
      </c>
      <c r="B512" s="48" t="s">
        <v>5264</v>
      </c>
      <c r="C512" s="48" t="s">
        <v>5262</v>
      </c>
      <c r="D512" s="48" t="s">
        <v>4932</v>
      </c>
      <c r="E512" s="48" t="s">
        <v>5195</v>
      </c>
      <c r="F512" s="14">
        <v>19.162915199999997</v>
      </c>
      <c r="G512" s="48" t="s">
        <v>5260</v>
      </c>
      <c r="H512" s="49"/>
      <c r="I512" s="22"/>
      <c r="O512" s="21"/>
    </row>
    <row r="513" spans="1:15" customFormat="1" ht="15" x14ac:dyDescent="0.25">
      <c r="A513" s="48" t="str">
        <f t="shared" si="15"/>
        <v>dpi_vddh2_dyn_SD_|_640x480x60_fps_24b_|_3p3V</v>
      </c>
      <c r="B513" s="48" t="s">
        <v>5264</v>
      </c>
      <c r="C513" s="48" t="s">
        <v>5262</v>
      </c>
      <c r="D513" s="48" t="s">
        <v>4932</v>
      </c>
      <c r="E513" s="48" t="s">
        <v>5195</v>
      </c>
      <c r="F513" s="14">
        <v>19.162915199999997</v>
      </c>
      <c r="G513" s="48" t="s">
        <v>5260</v>
      </c>
      <c r="H513" s="49"/>
      <c r="I513" s="22"/>
      <c r="O513" s="21"/>
    </row>
    <row r="514" spans="1:15" customFormat="1" ht="15" x14ac:dyDescent="0.25">
      <c r="A514" s="48" t="str">
        <f t="shared" si="15"/>
        <v>dpi_vddh2_dyn_SVGA_|_800x600x60_fps_12b_|_3p3V</v>
      </c>
      <c r="B514" s="48" t="s">
        <v>5264</v>
      </c>
      <c r="C514" s="48" t="s">
        <v>5262</v>
      </c>
      <c r="D514" s="48" t="s">
        <v>4934</v>
      </c>
      <c r="E514" s="48" t="s">
        <v>5195</v>
      </c>
      <c r="F514" s="14">
        <v>25.501322575872003</v>
      </c>
      <c r="G514" s="48" t="s">
        <v>5260</v>
      </c>
      <c r="H514" s="49"/>
      <c r="I514" s="22"/>
      <c r="O514" s="21"/>
    </row>
    <row r="515" spans="1:15" customFormat="1" ht="15" x14ac:dyDescent="0.25">
      <c r="A515" s="48" t="str">
        <f t="shared" si="15"/>
        <v>dpi_vddh2_dyn_SVGA_|_800x600x60_fps_16b_|_3p3V</v>
      </c>
      <c r="B515" s="48" t="s">
        <v>5264</v>
      </c>
      <c r="C515" s="48" t="s">
        <v>5262</v>
      </c>
      <c r="D515" s="48" t="s">
        <v>4936</v>
      </c>
      <c r="E515" s="48" t="s">
        <v>5195</v>
      </c>
      <c r="F515" s="14">
        <v>25.501322575872003</v>
      </c>
      <c r="G515" s="48" t="s">
        <v>5260</v>
      </c>
      <c r="H515" s="49"/>
      <c r="I515" s="22"/>
      <c r="O515" s="21"/>
    </row>
    <row r="516" spans="1:15" customFormat="1" ht="15" x14ac:dyDescent="0.25">
      <c r="A516" s="48" t="str">
        <f t="shared" si="15"/>
        <v>dpi_vddh2_dyn_SVGA_|_800x600x60_fps_24b_|_3p3V</v>
      </c>
      <c r="B516" s="48" t="s">
        <v>5264</v>
      </c>
      <c r="C516" s="48" t="s">
        <v>5262</v>
      </c>
      <c r="D516" s="48" t="s">
        <v>4938</v>
      </c>
      <c r="E516" s="48" t="s">
        <v>5195</v>
      </c>
      <c r="F516" s="14">
        <v>30.611607257088</v>
      </c>
      <c r="G516" s="48" t="s">
        <v>5260</v>
      </c>
      <c r="H516" s="49"/>
      <c r="I516" s="22"/>
      <c r="O516" s="21"/>
    </row>
    <row r="517" spans="1:15" customFormat="1" ht="15" x14ac:dyDescent="0.25">
      <c r="A517" s="48" t="str">
        <f t="shared" si="15"/>
        <v>dpi_vddh2_dyn_SVGA_|_800x600x60_fps_24b_|_3p3V</v>
      </c>
      <c r="B517" s="48" t="s">
        <v>5264</v>
      </c>
      <c r="C517" s="48" t="s">
        <v>5262</v>
      </c>
      <c r="D517" s="48" t="s">
        <v>4938</v>
      </c>
      <c r="E517" s="48" t="s">
        <v>5195</v>
      </c>
      <c r="F517" s="14">
        <v>30.611607257088</v>
      </c>
      <c r="G517" s="48" t="s">
        <v>5260</v>
      </c>
      <c r="H517" s="49"/>
      <c r="I517" s="22"/>
      <c r="O517" s="21"/>
    </row>
    <row r="518" spans="1:15" customFormat="1" ht="15" x14ac:dyDescent="0.25">
      <c r="A518" s="48" t="str">
        <f t="shared" si="15"/>
        <v>dpi_vddh2_dyn_SXGA_|_1280x1024x30_fps_12b_|_3p3V</v>
      </c>
      <c r="B518" s="48" t="s">
        <v>5264</v>
      </c>
      <c r="C518" s="48" t="s">
        <v>5262</v>
      </c>
      <c r="D518" s="48" t="s">
        <v>4978</v>
      </c>
      <c r="E518" s="48" t="s">
        <v>5195</v>
      </c>
      <c r="F518" s="14">
        <v>33.889176446400008</v>
      </c>
      <c r="G518" s="48" t="s">
        <v>5260</v>
      </c>
      <c r="H518" s="49"/>
      <c r="I518" s="22"/>
      <c r="O518" s="21"/>
    </row>
    <row r="519" spans="1:15" customFormat="1" ht="15" x14ac:dyDescent="0.25">
      <c r="A519" s="48" t="str">
        <f t="shared" si="15"/>
        <v>dpi_vddh2_dyn_SXGA_|_1280x1024x30_fps_16b_|_3p3V</v>
      </c>
      <c r="B519" s="48" t="s">
        <v>5264</v>
      </c>
      <c r="C519" s="48" t="s">
        <v>5262</v>
      </c>
      <c r="D519" s="48" t="s">
        <v>4980</v>
      </c>
      <c r="E519" s="48" t="s">
        <v>5195</v>
      </c>
      <c r="F519" s="14">
        <v>33.889176446400008</v>
      </c>
      <c r="G519" s="48" t="s">
        <v>5260</v>
      </c>
      <c r="H519" s="49"/>
      <c r="I519" s="22"/>
      <c r="O519" s="21"/>
    </row>
    <row r="520" spans="1:15" customFormat="1" ht="15" x14ac:dyDescent="0.25">
      <c r="A520" s="48" t="str">
        <f t="shared" si="15"/>
        <v>dpi_vddh2_dyn_SXGA_|_1280x1024x30_fps_18b_|_3p3V</v>
      </c>
      <c r="B520" s="48" t="s">
        <v>5264</v>
      </c>
      <c r="C520" s="48" t="s">
        <v>5262</v>
      </c>
      <c r="D520" s="48" t="s">
        <v>4982</v>
      </c>
      <c r="E520" s="48" t="s">
        <v>5195</v>
      </c>
      <c r="F520" s="14">
        <v>43.592182755264005</v>
      </c>
      <c r="G520" s="48" t="s">
        <v>5260</v>
      </c>
      <c r="H520" s="49"/>
      <c r="I520" s="22"/>
      <c r="O520" s="21"/>
    </row>
    <row r="521" spans="1:15" customFormat="1" ht="15" x14ac:dyDescent="0.25">
      <c r="A521" s="48" t="str">
        <f t="shared" si="15"/>
        <v>dpi_vddh2_dyn_SXGA_|_1280x1024x30_fps_24b_|_3p3V</v>
      </c>
      <c r="B521" s="48" t="s">
        <v>5264</v>
      </c>
      <c r="C521" s="48" t="s">
        <v>5262</v>
      </c>
      <c r="D521" s="48" t="s">
        <v>4984</v>
      </c>
      <c r="E521" s="48" t="s">
        <v>5195</v>
      </c>
      <c r="F521" s="14">
        <v>43.592182755264005</v>
      </c>
      <c r="G521" s="48" t="s">
        <v>5260</v>
      </c>
      <c r="H521" s="49"/>
      <c r="I521" s="22"/>
      <c r="O521" s="21"/>
    </row>
    <row r="522" spans="1:15" customFormat="1" ht="15" x14ac:dyDescent="0.25">
      <c r="A522" s="48" t="str">
        <f t="shared" si="15"/>
        <v>dpi_vddh2_dyn_SXGA_|_1280x1024x60_fps_12b_|_3p3V</v>
      </c>
      <c r="B522" s="48" t="s">
        <v>5264</v>
      </c>
      <c r="C522" s="48" t="s">
        <v>5262</v>
      </c>
      <c r="D522" s="48" t="s">
        <v>4986</v>
      </c>
      <c r="E522" s="48" t="s">
        <v>5195</v>
      </c>
      <c r="F522" s="14">
        <v>67.778352892800015</v>
      </c>
      <c r="G522" s="48" t="s">
        <v>5260</v>
      </c>
      <c r="H522" s="49"/>
      <c r="I522" s="22"/>
      <c r="O522" s="21"/>
    </row>
    <row r="523" spans="1:15" customFormat="1" ht="15" x14ac:dyDescent="0.25">
      <c r="A523" s="48" t="str">
        <f t="shared" si="15"/>
        <v>dpi_vddh2_dyn_SXGA_|_1280x1024x60_fps_16b_|_3p3V</v>
      </c>
      <c r="B523" s="48" t="s">
        <v>5264</v>
      </c>
      <c r="C523" s="48" t="s">
        <v>5262</v>
      </c>
      <c r="D523" s="48" t="s">
        <v>4988</v>
      </c>
      <c r="E523" s="48" t="s">
        <v>5195</v>
      </c>
      <c r="F523" s="14">
        <v>67.778352892800015</v>
      </c>
      <c r="G523" s="48" t="s">
        <v>5260</v>
      </c>
      <c r="H523" s="49"/>
      <c r="I523" s="22"/>
      <c r="O523" s="21"/>
    </row>
    <row r="524" spans="1:15" customFormat="1" ht="15" x14ac:dyDescent="0.25">
      <c r="A524" s="48" t="str">
        <f t="shared" si="15"/>
        <v>dpi_vddh2_dyn_SXGA_|_1280x1024x60_fps_18b_|_3p3V</v>
      </c>
      <c r="B524" s="48" t="s">
        <v>5264</v>
      </c>
      <c r="C524" s="48" t="s">
        <v>5262</v>
      </c>
      <c r="D524" s="48" t="s">
        <v>4990</v>
      </c>
      <c r="E524" s="48" t="s">
        <v>5195</v>
      </c>
      <c r="F524" s="14">
        <v>87.184365510528011</v>
      </c>
      <c r="G524" s="48" t="s">
        <v>5260</v>
      </c>
      <c r="H524" s="49"/>
      <c r="I524" s="22"/>
      <c r="O524" s="21"/>
    </row>
    <row r="525" spans="1:15" customFormat="1" ht="15" x14ac:dyDescent="0.25">
      <c r="A525" s="48" t="str">
        <f t="shared" si="15"/>
        <v>dpi_vddh2_dyn_SXGA_|_1280x1024x60_fps_24b_|_3p3V</v>
      </c>
      <c r="B525" s="48" t="s">
        <v>5264</v>
      </c>
      <c r="C525" s="48" t="s">
        <v>5262</v>
      </c>
      <c r="D525" s="48" t="s">
        <v>4992</v>
      </c>
      <c r="E525" s="48" t="s">
        <v>5195</v>
      </c>
      <c r="F525" s="14">
        <v>87.184365510528011</v>
      </c>
      <c r="G525" s="48" t="s">
        <v>5260</v>
      </c>
      <c r="H525" s="49"/>
      <c r="I525" s="22"/>
      <c r="O525" s="21"/>
    </row>
    <row r="526" spans="1:15" customFormat="1" ht="15" x14ac:dyDescent="0.25">
      <c r="A526" s="48" t="str">
        <f t="shared" si="15"/>
        <v>dpi_vddh2_dyn_SXGA+_|_1400x1050x60_fps_12b_|_3p3V</v>
      </c>
      <c r="B526" s="48" t="s">
        <v>5264</v>
      </c>
      <c r="C526" s="48" t="s">
        <v>5262</v>
      </c>
      <c r="D526" s="48" t="s">
        <v>4994</v>
      </c>
      <c r="E526" s="48" t="s">
        <v>5195</v>
      </c>
      <c r="F526" s="14">
        <v>75.601040644800023</v>
      </c>
      <c r="G526" s="48" t="s">
        <v>5260</v>
      </c>
      <c r="H526" s="49"/>
      <c r="I526" s="22"/>
      <c r="O526" s="21"/>
    </row>
    <row r="527" spans="1:15" customFormat="1" ht="15" x14ac:dyDescent="0.25">
      <c r="A527" s="48" t="str">
        <f t="shared" si="15"/>
        <v>dpi_vddh2_dyn_SXGA+_|_1400x1050x60_fps_16b_|_3p3V</v>
      </c>
      <c r="B527" s="48" t="s">
        <v>5264</v>
      </c>
      <c r="C527" s="48" t="s">
        <v>5262</v>
      </c>
      <c r="D527" s="48" t="s">
        <v>4996</v>
      </c>
      <c r="E527" s="48" t="s">
        <v>5195</v>
      </c>
      <c r="F527" s="14">
        <v>75.601040644800023</v>
      </c>
      <c r="G527" s="48" t="s">
        <v>5260</v>
      </c>
      <c r="H527" s="49"/>
      <c r="I527" s="22"/>
      <c r="O527" s="21"/>
    </row>
    <row r="528" spans="1:15" customFormat="1" ht="15" x14ac:dyDescent="0.25">
      <c r="A528" s="48" t="str">
        <f t="shared" si="15"/>
        <v>dpi_vddh2_dyn_SXGA+_|_1400x1050x60_fps_18b_|_3p3V</v>
      </c>
      <c r="B528" s="48" t="s">
        <v>5264</v>
      </c>
      <c r="C528" s="48" t="s">
        <v>5262</v>
      </c>
      <c r="D528" s="48" t="s">
        <v>4998</v>
      </c>
      <c r="E528" s="48" t="s">
        <v>5195</v>
      </c>
      <c r="F528" s="14">
        <v>97.246812282048012</v>
      </c>
      <c r="G528" s="48" t="s">
        <v>5260</v>
      </c>
      <c r="H528" s="49"/>
      <c r="I528" s="22"/>
      <c r="O528" s="21"/>
    </row>
    <row r="529" spans="1:15" customFormat="1" ht="15" x14ac:dyDescent="0.25">
      <c r="A529" s="48" t="str">
        <f t="shared" si="15"/>
        <v>dpi_vddh2_dyn_SXGA+_|_1400x1050x60_fps_24b_|_3p3V</v>
      </c>
      <c r="B529" s="48" t="s">
        <v>5264</v>
      </c>
      <c r="C529" s="48" t="s">
        <v>5262</v>
      </c>
      <c r="D529" s="48" t="s">
        <v>5000</v>
      </c>
      <c r="E529" s="48" t="s">
        <v>5195</v>
      </c>
      <c r="F529" s="14">
        <v>81.012483554112023</v>
      </c>
      <c r="G529" s="48" t="s">
        <v>5260</v>
      </c>
      <c r="H529" s="49"/>
      <c r="I529" s="22"/>
      <c r="O529" s="21"/>
    </row>
    <row r="530" spans="1:15" customFormat="1" ht="15" x14ac:dyDescent="0.25">
      <c r="A530" s="48" t="str">
        <f t="shared" si="15"/>
        <v>dpi_vddh2_dyn_UXGA_|_1600x1200x30_fps_12b_|_3p3V</v>
      </c>
      <c r="B530" s="48" t="s">
        <v>5264</v>
      </c>
      <c r="C530" s="48" t="s">
        <v>5262</v>
      </c>
      <c r="D530" s="48" t="s">
        <v>5017</v>
      </c>
      <c r="E530" s="48" t="s">
        <v>5195</v>
      </c>
      <c r="F530" s="14">
        <v>50.078013480000003</v>
      </c>
      <c r="G530" s="48" t="s">
        <v>5260</v>
      </c>
      <c r="H530" s="49"/>
      <c r="I530" s="22"/>
      <c r="O530" s="21"/>
    </row>
    <row r="531" spans="1:15" customFormat="1" ht="15" x14ac:dyDescent="0.25">
      <c r="A531" s="48" t="str">
        <f t="shared" si="15"/>
        <v>dpi_vddh2_dyn_UXGA_|_1600x1200x30_fps_16b_|_3p3V</v>
      </c>
      <c r="B531" s="48" t="s">
        <v>5264</v>
      </c>
      <c r="C531" s="48" t="s">
        <v>5262</v>
      </c>
      <c r="D531" s="48" t="s">
        <v>5019</v>
      </c>
      <c r="E531" s="48" t="s">
        <v>5195</v>
      </c>
      <c r="F531" s="14">
        <v>50.078013480000003</v>
      </c>
      <c r="G531" s="48" t="s">
        <v>5260</v>
      </c>
      <c r="H531" s="49"/>
      <c r="I531" s="22"/>
      <c r="O531" s="21"/>
    </row>
    <row r="532" spans="1:15" customFormat="1" ht="15" x14ac:dyDescent="0.25">
      <c r="A532" s="48" t="str">
        <f t="shared" si="15"/>
        <v>dpi_vddh2_dyn_UXGA_|_1600x1200x30_fps_18b_|_3p3V</v>
      </c>
      <c r="B532" s="48" t="s">
        <v>5264</v>
      </c>
      <c r="C532" s="48" t="s">
        <v>5262</v>
      </c>
      <c r="D532" s="48" t="s">
        <v>5021</v>
      </c>
      <c r="E532" s="48" t="s">
        <v>5195</v>
      </c>
      <c r="F532" s="14">
        <v>53.662544971199999</v>
      </c>
      <c r="G532" s="48" t="s">
        <v>5260</v>
      </c>
      <c r="H532" s="49"/>
      <c r="I532" s="22"/>
      <c r="O532" s="21"/>
    </row>
    <row r="533" spans="1:15" customFormat="1" ht="15" x14ac:dyDescent="0.25">
      <c r="A533" s="48" t="str">
        <f t="shared" si="15"/>
        <v>dpi_vddh2_dyn_UXGA_|_1600x1200x30_fps_24b_|_3p3V</v>
      </c>
      <c r="B533" s="48" t="s">
        <v>5264</v>
      </c>
      <c r="C533" s="48" t="s">
        <v>5262</v>
      </c>
      <c r="D533" s="48" t="s">
        <v>5023</v>
      </c>
      <c r="E533" s="48" t="s">
        <v>5195</v>
      </c>
      <c r="F533" s="14">
        <v>53.662544971199999</v>
      </c>
      <c r="G533" s="48" t="s">
        <v>5260</v>
      </c>
      <c r="H533" s="49"/>
      <c r="I533" s="22"/>
      <c r="O533" s="21"/>
    </row>
    <row r="534" spans="1:15" customFormat="1" ht="15" x14ac:dyDescent="0.25">
      <c r="A534" s="48" t="str">
        <f t="shared" si="15"/>
        <v>dpi_vddh2_dyn_UXGA_|_1600x1200x60_fps_12b_|_3p3V</v>
      </c>
      <c r="B534" s="48" t="s">
        <v>5264</v>
      </c>
      <c r="C534" s="48" t="s">
        <v>5262</v>
      </c>
      <c r="D534" s="48" t="s">
        <v>5025</v>
      </c>
      <c r="E534" s="48" t="s">
        <v>5195</v>
      </c>
      <c r="F534" s="14">
        <v>100.15602696000001</v>
      </c>
      <c r="G534" s="48" t="s">
        <v>5260</v>
      </c>
      <c r="H534" s="49"/>
      <c r="I534" s="22"/>
      <c r="O534" s="21"/>
    </row>
    <row r="535" spans="1:15" customFormat="1" ht="15" x14ac:dyDescent="0.25">
      <c r="A535" s="48" t="str">
        <f t="shared" si="15"/>
        <v>dpi_vddh2_dyn_UXGA_|_1600x1200x60_fps_16b_|_3p3V</v>
      </c>
      <c r="B535" s="48" t="s">
        <v>5264</v>
      </c>
      <c r="C535" s="48" t="s">
        <v>5262</v>
      </c>
      <c r="D535" s="48" t="s">
        <v>5027</v>
      </c>
      <c r="E535" s="48" t="s">
        <v>5195</v>
      </c>
      <c r="F535" s="14">
        <v>100.15602696000001</v>
      </c>
      <c r="G535" s="48" t="s">
        <v>5260</v>
      </c>
      <c r="H535" s="49"/>
      <c r="I535" s="22"/>
      <c r="O535" s="21"/>
    </row>
    <row r="536" spans="1:15" customFormat="1" ht="15" x14ac:dyDescent="0.25">
      <c r="A536" s="48" t="str">
        <f t="shared" si="15"/>
        <v>dpi_vddh2_dyn_UXGA_|_1600x1200x60_fps_18b_|_3p3V</v>
      </c>
      <c r="B536" s="48" t="s">
        <v>5264</v>
      </c>
      <c r="C536" s="48" t="s">
        <v>5262</v>
      </c>
      <c r="D536" s="48" t="s">
        <v>5029</v>
      </c>
      <c r="E536" s="48" t="s">
        <v>5195</v>
      </c>
      <c r="F536" s="14">
        <v>107.3250899424</v>
      </c>
      <c r="G536" s="48" t="s">
        <v>5260</v>
      </c>
      <c r="H536" s="49"/>
      <c r="I536" s="22"/>
      <c r="O536" s="21"/>
    </row>
    <row r="537" spans="1:15" customFormat="1" ht="15" x14ac:dyDescent="0.25">
      <c r="A537" s="48" t="str">
        <f t="shared" si="15"/>
        <v>dpi_vddh2_dyn_UXGA_|_1600x1200x60_fps_24b_|_3p3V</v>
      </c>
      <c r="B537" s="48" t="s">
        <v>5264</v>
      </c>
      <c r="C537" s="48" t="s">
        <v>5262</v>
      </c>
      <c r="D537" s="48" t="s">
        <v>5031</v>
      </c>
      <c r="E537" s="48" t="s">
        <v>5195</v>
      </c>
      <c r="F537" s="14">
        <v>107.3250899424</v>
      </c>
      <c r="G537" s="48" t="s">
        <v>5260</v>
      </c>
      <c r="H537" s="49"/>
      <c r="I537" s="22"/>
      <c r="O537" s="21"/>
    </row>
    <row r="538" spans="1:15" customFormat="1" ht="15" x14ac:dyDescent="0.25">
      <c r="A538" s="48" t="str">
        <f t="shared" si="15"/>
        <v>dpi_vddh2_dyn_WVGA_|_854x480x60_fps_12b_|_3p3V</v>
      </c>
      <c r="B538" s="48" t="s">
        <v>5264</v>
      </c>
      <c r="C538" s="48" t="s">
        <v>5262</v>
      </c>
      <c r="D538" s="48" t="s">
        <v>4940</v>
      </c>
      <c r="E538" s="48" t="s">
        <v>5195</v>
      </c>
      <c r="F538" s="14">
        <v>21.072306816000001</v>
      </c>
      <c r="G538" s="48" t="s">
        <v>5260</v>
      </c>
      <c r="H538" s="49"/>
      <c r="I538" s="22"/>
      <c r="O538" s="21"/>
    </row>
    <row r="539" spans="1:15" customFormat="1" ht="15" x14ac:dyDescent="0.25">
      <c r="A539" s="48" t="str">
        <f t="shared" si="15"/>
        <v>dpi_vddh2_dyn_WVGA_|_854x480x60_fps_16b_|_3p3V</v>
      </c>
      <c r="B539" s="48" t="s">
        <v>5264</v>
      </c>
      <c r="C539" s="48" t="s">
        <v>5262</v>
      </c>
      <c r="D539" s="48" t="s">
        <v>4942</v>
      </c>
      <c r="E539" s="48" t="s">
        <v>5195</v>
      </c>
      <c r="F539" s="14">
        <v>19.664726400000003</v>
      </c>
      <c r="G539" s="48" t="s">
        <v>5260</v>
      </c>
      <c r="H539" s="49"/>
      <c r="I539" s="22"/>
      <c r="O539" s="21"/>
    </row>
    <row r="540" spans="1:15" customFormat="1" ht="15" x14ac:dyDescent="0.25">
      <c r="A540" s="48" t="str">
        <f t="shared" si="15"/>
        <v>dpi_vddh2_dyn_WVGA_|_854x480x60_fps_24b_|_3p3V</v>
      </c>
      <c r="B540" s="48" t="s">
        <v>5264</v>
      </c>
      <c r="C540" s="48" t="s">
        <v>5262</v>
      </c>
      <c r="D540" s="48" t="s">
        <v>4944</v>
      </c>
      <c r="E540" s="48" t="s">
        <v>5195</v>
      </c>
      <c r="F540" s="14">
        <v>25.295048063999999</v>
      </c>
      <c r="G540" s="48" t="s">
        <v>5260</v>
      </c>
      <c r="H540" s="49"/>
      <c r="I540" s="22"/>
      <c r="O540" s="21"/>
    </row>
    <row r="541" spans="1:15" customFormat="1" ht="15" x14ac:dyDescent="0.25">
      <c r="A541" s="48" t="str">
        <f t="shared" si="15"/>
        <v>dpi_vddh2_dyn_WVGA_|_854x480x60_fps_24b_|_3p3V</v>
      </c>
      <c r="B541" s="48" t="s">
        <v>5264</v>
      </c>
      <c r="C541" s="48" t="s">
        <v>5262</v>
      </c>
      <c r="D541" s="48" t="s">
        <v>4944</v>
      </c>
      <c r="E541" s="48" t="s">
        <v>5195</v>
      </c>
      <c r="F541" s="14">
        <v>25.295048063999999</v>
      </c>
      <c r="G541" s="48" t="s">
        <v>5260</v>
      </c>
      <c r="H541" s="49"/>
      <c r="I541" s="22"/>
      <c r="O541" s="21"/>
    </row>
    <row r="542" spans="1:15" customFormat="1" ht="15" x14ac:dyDescent="0.25">
      <c r="A542" s="48" t="str">
        <f t="shared" si="15"/>
        <v>dpi_vddh2_dyn_WXGA_|_1280x800x30_fps_12b_|_3p3V</v>
      </c>
      <c r="B542" s="48" t="s">
        <v>5264</v>
      </c>
      <c r="C542" s="48" t="s">
        <v>5262</v>
      </c>
      <c r="D542" s="48" t="s">
        <v>4964</v>
      </c>
      <c r="E542" s="48" t="s">
        <v>5195</v>
      </c>
      <c r="F542" s="14">
        <v>25.997662152</v>
      </c>
      <c r="G542" s="48" t="s">
        <v>5260</v>
      </c>
      <c r="H542" s="49"/>
      <c r="I542" s="22"/>
      <c r="O542" s="21"/>
    </row>
    <row r="543" spans="1:15" customFormat="1" ht="15" x14ac:dyDescent="0.25">
      <c r="A543" s="48" t="str">
        <f t="shared" si="15"/>
        <v>dpi_vddh2_dyn_WXGA_|_1280x800x30_fps_16b_|_3p3V</v>
      </c>
      <c r="B543" s="48" t="s">
        <v>5264</v>
      </c>
      <c r="C543" s="48" t="s">
        <v>5262</v>
      </c>
      <c r="D543" s="48" t="s">
        <v>4966</v>
      </c>
      <c r="E543" s="48" t="s">
        <v>5195</v>
      </c>
      <c r="F543" s="14">
        <v>25.997662152</v>
      </c>
      <c r="G543" s="48" t="s">
        <v>5260</v>
      </c>
      <c r="H543" s="49"/>
      <c r="I543" s="22"/>
      <c r="O543" s="21"/>
    </row>
    <row r="544" spans="1:15" customFormat="1" ht="15" x14ac:dyDescent="0.25">
      <c r="A544" s="48" t="str">
        <f t="shared" si="15"/>
        <v>dpi_vddh2_dyn_WXGA_|_1280x800x30_fps_24b_|_3p3V</v>
      </c>
      <c r="B544" s="48" t="s">
        <v>5264</v>
      </c>
      <c r="C544" s="48" t="s">
        <v>5262</v>
      </c>
      <c r="D544" s="48" t="s">
        <v>4968</v>
      </c>
      <c r="E544" s="48" t="s">
        <v>5195</v>
      </c>
      <c r="F544" s="14">
        <v>33.441203315519999</v>
      </c>
      <c r="G544" s="48" t="s">
        <v>5260</v>
      </c>
      <c r="H544" s="49"/>
      <c r="I544" s="22"/>
      <c r="O544" s="21"/>
    </row>
    <row r="545" spans="1:15" customFormat="1" ht="15" x14ac:dyDescent="0.25">
      <c r="A545" s="48" t="str">
        <f t="shared" si="15"/>
        <v>dpi_vddh2_dyn_WXGA_|_1280x800x30_fps_24b_|_3p3V</v>
      </c>
      <c r="B545" s="48" t="s">
        <v>5264</v>
      </c>
      <c r="C545" s="48" t="s">
        <v>5262</v>
      </c>
      <c r="D545" s="48" t="s">
        <v>4968</v>
      </c>
      <c r="E545" s="48" t="s">
        <v>5195</v>
      </c>
      <c r="F545" s="14">
        <v>33.441203315519999</v>
      </c>
      <c r="G545" s="48" t="s">
        <v>5260</v>
      </c>
      <c r="H545" s="49"/>
      <c r="I545" s="22"/>
      <c r="O545" s="21"/>
    </row>
    <row r="546" spans="1:15" customFormat="1" ht="15" x14ac:dyDescent="0.25">
      <c r="A546" s="48" t="str">
        <f t="shared" si="15"/>
        <v>dpi_vddh2_dyn_WXGA_|_1280x800x60_fps_12b_|_3p3V</v>
      </c>
      <c r="B546" s="48" t="s">
        <v>5264</v>
      </c>
      <c r="C546" s="48" t="s">
        <v>5262</v>
      </c>
      <c r="D546" s="48" t="s">
        <v>4970</v>
      </c>
      <c r="E546" s="48" t="s">
        <v>5195</v>
      </c>
      <c r="F546" s="14">
        <v>51.995324304</v>
      </c>
      <c r="G546" s="48" t="s">
        <v>5260</v>
      </c>
      <c r="H546" s="49"/>
      <c r="I546" s="22"/>
      <c r="O546" s="21"/>
    </row>
    <row r="547" spans="1:15" customFormat="1" ht="15" x14ac:dyDescent="0.25">
      <c r="A547" s="48" t="str">
        <f t="shared" si="15"/>
        <v>dpi_vddh2_dyn_WXGA_|_1280x800x60_fps_16b_|_3p3V</v>
      </c>
      <c r="B547" s="48" t="s">
        <v>5264</v>
      </c>
      <c r="C547" s="48" t="s">
        <v>5262</v>
      </c>
      <c r="D547" s="48" t="s">
        <v>4972</v>
      </c>
      <c r="E547" s="48" t="s">
        <v>5195</v>
      </c>
      <c r="F547" s="14">
        <v>51.995324304</v>
      </c>
      <c r="G547" s="48" t="s">
        <v>5260</v>
      </c>
      <c r="H547" s="49"/>
      <c r="I547" s="22"/>
      <c r="O547" s="21"/>
    </row>
    <row r="548" spans="1:15" customFormat="1" ht="15" x14ac:dyDescent="0.25">
      <c r="A548" s="48" t="str">
        <f t="shared" si="15"/>
        <v>dpi_vddh2_dyn_WXGA_|_1280x800x60_fps_18b_|_3p3V</v>
      </c>
      <c r="B548" s="48" t="s">
        <v>5264</v>
      </c>
      <c r="C548" s="48" t="s">
        <v>5262</v>
      </c>
      <c r="D548" s="48" t="s">
        <v>4974</v>
      </c>
      <c r="E548" s="48" t="s">
        <v>5195</v>
      </c>
      <c r="F548" s="14">
        <v>66.882406631039999</v>
      </c>
      <c r="G548" s="48" t="s">
        <v>5260</v>
      </c>
      <c r="H548" s="49"/>
      <c r="I548" s="22"/>
      <c r="O548" s="21"/>
    </row>
    <row r="549" spans="1:15" customFormat="1" ht="15" x14ac:dyDescent="0.25">
      <c r="A549" s="48" t="str">
        <f t="shared" si="15"/>
        <v>dpi_vddh2_dyn_WXGA_|_1280x800x60_fps_24b_|_3p3V</v>
      </c>
      <c r="B549" s="48" t="s">
        <v>5264</v>
      </c>
      <c r="C549" s="48" t="s">
        <v>5262</v>
      </c>
      <c r="D549" s="48" t="s">
        <v>4976</v>
      </c>
      <c r="E549" s="48" t="s">
        <v>5195</v>
      </c>
      <c r="F549" s="14">
        <v>66.882406631039999</v>
      </c>
      <c r="G549" s="48" t="s">
        <v>5260</v>
      </c>
      <c r="H549" s="49"/>
      <c r="I549" s="22"/>
      <c r="O549" s="21"/>
    </row>
    <row r="550" spans="1:15" customFormat="1" ht="15" x14ac:dyDescent="0.25">
      <c r="A550" s="48" t="str">
        <f t="shared" si="15"/>
        <v>dpi_vddh2_dyn_XGA_|_1024x768x60_fps_12b_|_3p3V</v>
      </c>
      <c r="B550" s="48" t="s">
        <v>5264</v>
      </c>
      <c r="C550" s="48" t="s">
        <v>5262</v>
      </c>
      <c r="D550" s="48" t="s">
        <v>4946</v>
      </c>
      <c r="E550" s="48" t="s">
        <v>5195</v>
      </c>
      <c r="F550" s="14">
        <v>39.468893587200007</v>
      </c>
      <c r="G550" s="48" t="s">
        <v>5260</v>
      </c>
      <c r="H550" s="49"/>
      <c r="I550" s="22"/>
      <c r="O550" s="21"/>
    </row>
    <row r="551" spans="1:15" customFormat="1" ht="15" x14ac:dyDescent="0.25">
      <c r="A551" s="48" t="str">
        <f t="shared" si="15"/>
        <v>dpi_vddh2_dyn_XGA_|_1024x768x60_fps_16b_|_3p3V</v>
      </c>
      <c r="B551" s="48" t="s">
        <v>5264</v>
      </c>
      <c r="C551" s="48" t="s">
        <v>5262</v>
      </c>
      <c r="D551" s="48" t="s">
        <v>4948</v>
      </c>
      <c r="E551" s="48" t="s">
        <v>5195</v>
      </c>
      <c r="F551" s="14">
        <v>39.468893587200007</v>
      </c>
      <c r="G551" s="48" t="s">
        <v>5260</v>
      </c>
      <c r="H551" s="49"/>
      <c r="I551" s="22"/>
      <c r="O551" s="21"/>
    </row>
    <row r="552" spans="1:15" customFormat="1" ht="15" x14ac:dyDescent="0.25">
      <c r="A552" s="48" t="str">
        <f t="shared" ref="A552:A553" si="16">B552&amp;"_"&amp;C552&amp;"_"&amp;D552</f>
        <v>dpi_vddh2_dyn_XGA_|_1024x768x60_fps_24b_|_3p3V</v>
      </c>
      <c r="B552" s="48" t="s">
        <v>5264</v>
      </c>
      <c r="C552" s="48" t="s">
        <v>5262</v>
      </c>
      <c r="D552" s="48" t="s">
        <v>4950</v>
      </c>
      <c r="E552" s="48" t="s">
        <v>5195</v>
      </c>
      <c r="F552" s="14">
        <v>50.769461014271997</v>
      </c>
      <c r="G552" s="48" t="s">
        <v>5260</v>
      </c>
      <c r="H552" s="49"/>
      <c r="I552" s="22"/>
      <c r="O552" s="21"/>
    </row>
    <row r="553" spans="1:15" customFormat="1" ht="15" x14ac:dyDescent="0.25">
      <c r="A553" s="48" t="str">
        <f t="shared" si="16"/>
        <v>dpi_vddh2_dyn_XGA_|_1024x768x60_fps_24b_|_3p3V</v>
      </c>
      <c r="B553" s="48" t="s">
        <v>5264</v>
      </c>
      <c r="C553" s="48" t="s">
        <v>5262</v>
      </c>
      <c r="D553" s="48" t="s">
        <v>4950</v>
      </c>
      <c r="E553" s="48" t="s">
        <v>5195</v>
      </c>
      <c r="F553" s="14">
        <v>50.769461014271997</v>
      </c>
      <c r="G553" s="48" t="s">
        <v>5260</v>
      </c>
      <c r="H553" s="49"/>
      <c r="I553" s="22"/>
      <c r="O553" s="21"/>
    </row>
    <row r="554" spans="1:15" customFormat="1" ht="15" x14ac:dyDescent="0.25">
      <c r="A554" s="48" t="str">
        <f t="shared" ref="A554:A560" si="17">B554&amp;"_"&amp;C554</f>
        <v>ecap_Description</v>
      </c>
      <c r="B554" s="48" t="s">
        <v>5267</v>
      </c>
      <c r="C554" s="48" t="s">
        <v>42</v>
      </c>
      <c r="D554" s="48"/>
      <c r="E554" s="48" t="s">
        <v>5192</v>
      </c>
      <c r="F554" s="14" t="s">
        <v>5820</v>
      </c>
      <c r="G554" s="48" t="s">
        <v>5268</v>
      </c>
      <c r="H554" s="13"/>
      <c r="I554" s="22"/>
      <c r="O554" s="21"/>
    </row>
    <row r="555" spans="1:15" customFormat="1" ht="15" x14ac:dyDescent="0.25">
      <c r="A555" s="48" t="str">
        <f t="shared" si="17"/>
        <v>ecap_First_SoC</v>
      </c>
      <c r="B555" s="48" t="s">
        <v>5267</v>
      </c>
      <c r="C555" s="48" t="s">
        <v>5216</v>
      </c>
      <c r="D555" s="48"/>
      <c r="E555" s="48" t="s">
        <v>5192</v>
      </c>
      <c r="F555" s="14" t="s">
        <v>5841</v>
      </c>
      <c r="G555" s="48"/>
      <c r="H555" s="13"/>
      <c r="I555" s="22"/>
      <c r="O555" s="21"/>
    </row>
    <row r="556" spans="1:15" customFormat="1" ht="15" x14ac:dyDescent="0.25">
      <c r="A556" s="48" t="str">
        <f t="shared" si="17"/>
        <v>ecap_Function</v>
      </c>
      <c r="B556" s="48" t="s">
        <v>5267</v>
      </c>
      <c r="C556" s="48" t="s">
        <v>5222</v>
      </c>
      <c r="D556" s="48"/>
      <c r="E556" s="48" t="s">
        <v>5192</v>
      </c>
      <c r="F556" s="14" t="s">
        <v>5267</v>
      </c>
      <c r="G556" s="48" t="s">
        <v>5269</v>
      </c>
      <c r="H556" s="13"/>
      <c r="I556" s="22"/>
      <c r="O556" s="21"/>
    </row>
    <row r="557" spans="1:15" customFormat="1" ht="15" x14ac:dyDescent="0.25">
      <c r="A557" s="48" t="str">
        <f t="shared" si="17"/>
        <v>ecap_pinmux</v>
      </c>
      <c r="B557" s="48" t="s">
        <v>5267</v>
      </c>
      <c r="C557" s="48" t="s">
        <v>5270</v>
      </c>
      <c r="D557" s="48"/>
      <c r="E557" s="48" t="s">
        <v>5192</v>
      </c>
      <c r="F557" s="14">
        <v>1</v>
      </c>
      <c r="G557" s="48" t="s">
        <v>5271</v>
      </c>
      <c r="H557" s="49"/>
      <c r="I557" s="22"/>
      <c r="O557" s="21"/>
    </row>
    <row r="558" spans="1:15" customFormat="1" ht="15" x14ac:dyDescent="0.25">
      <c r="A558" s="48" t="str">
        <f t="shared" si="17"/>
        <v>ecap_Pinmux</v>
      </c>
      <c r="B558" s="48" t="s">
        <v>5267</v>
      </c>
      <c r="C558" s="48" t="s">
        <v>5261</v>
      </c>
      <c r="D558" s="48"/>
      <c r="E558" s="48" t="s">
        <v>5192</v>
      </c>
      <c r="F558" s="14">
        <v>1</v>
      </c>
      <c r="G558" s="48"/>
      <c r="H558" s="49"/>
      <c r="I558" s="22"/>
      <c r="O558" s="21"/>
    </row>
    <row r="559" spans="1:15" customFormat="1" ht="15" x14ac:dyDescent="0.25">
      <c r="A559" s="48" t="str">
        <f t="shared" si="17"/>
        <v>ecap_tag</v>
      </c>
      <c r="B559" s="49" t="s">
        <v>5267</v>
      </c>
      <c r="C559" s="49" t="s">
        <v>5234</v>
      </c>
      <c r="D559" s="49"/>
      <c r="E559" s="49" t="s">
        <v>5192</v>
      </c>
      <c r="F559" s="14">
        <v>44499</v>
      </c>
      <c r="G559" s="49" t="s">
        <v>5254</v>
      </c>
      <c r="H559" s="49"/>
      <c r="I559" s="22"/>
      <c r="O559" s="21"/>
    </row>
    <row r="560" spans="1:15" customFormat="1" ht="15" x14ac:dyDescent="0.25">
      <c r="A560" s="48" t="str">
        <f t="shared" si="17"/>
        <v>ecap_Type</v>
      </c>
      <c r="B560" s="48" t="s">
        <v>5267</v>
      </c>
      <c r="C560" s="48" t="s">
        <v>0</v>
      </c>
      <c r="D560" s="48"/>
      <c r="E560" s="48" t="s">
        <v>5192</v>
      </c>
      <c r="F560" s="14" t="s">
        <v>5785</v>
      </c>
      <c r="G560" s="48"/>
      <c r="H560" s="13"/>
      <c r="I560" s="22"/>
      <c r="O560" s="21"/>
    </row>
    <row r="561" spans="1:15" customFormat="1" ht="15" x14ac:dyDescent="0.25">
      <c r="A561" s="48" t="str">
        <f t="shared" ref="A561:A575" si="18">B561&amp;"_"&amp;C561&amp;"_"&amp;D561</f>
        <v>ecap_vdd_dyn_capture_in_1m_1p8v</v>
      </c>
      <c r="B561" s="48" t="s">
        <v>5267</v>
      </c>
      <c r="C561" s="48" t="s">
        <v>5255</v>
      </c>
      <c r="D561" s="48" t="s">
        <v>5155</v>
      </c>
      <c r="E561" s="48" t="s">
        <v>5195</v>
      </c>
      <c r="F561" s="14">
        <v>1.0152384E-7</v>
      </c>
      <c r="G561" s="48"/>
      <c r="H561" s="49"/>
      <c r="I561" s="22"/>
      <c r="O561" s="21"/>
    </row>
    <row r="562" spans="1:15" customFormat="1" ht="15" x14ac:dyDescent="0.25">
      <c r="A562" s="48" t="str">
        <f t="shared" si="18"/>
        <v>ecap_vdd_dyn_capture_in_1m_3p3v</v>
      </c>
      <c r="B562" s="48" t="s">
        <v>5267</v>
      </c>
      <c r="C562" s="48" t="s">
        <v>5255</v>
      </c>
      <c r="D562" s="48" t="s">
        <v>5153</v>
      </c>
      <c r="E562" s="48" t="s">
        <v>5195</v>
      </c>
      <c r="F562" s="14">
        <v>1.0152384E-7</v>
      </c>
      <c r="G562" s="48"/>
      <c r="H562" s="49"/>
      <c r="I562" s="22"/>
      <c r="O562" s="21"/>
    </row>
    <row r="563" spans="1:15" customFormat="1" ht="15" x14ac:dyDescent="0.25">
      <c r="A563" s="48" t="str">
        <f t="shared" si="18"/>
        <v>ecap_vdd_dyn_capture_in_5m_1p8v</v>
      </c>
      <c r="B563" s="48" t="s">
        <v>5267</v>
      </c>
      <c r="C563" s="48" t="s">
        <v>5255</v>
      </c>
      <c r="D563" s="48" t="s">
        <v>5154</v>
      </c>
      <c r="E563" s="48" t="s">
        <v>5195</v>
      </c>
      <c r="F563" s="14">
        <v>5.0761919999999989E-7</v>
      </c>
      <c r="G563" s="48"/>
      <c r="H563" s="49"/>
      <c r="I563" s="22"/>
      <c r="O563" s="21"/>
    </row>
    <row r="564" spans="1:15" customFormat="1" ht="15" x14ac:dyDescent="0.25">
      <c r="A564" s="48" t="str">
        <f t="shared" si="18"/>
        <v>ecap_vdd_dyn_capture_in_5m_3p3v</v>
      </c>
      <c r="B564" s="48" t="s">
        <v>5267</v>
      </c>
      <c r="C564" s="48" t="s">
        <v>5255</v>
      </c>
      <c r="D564" s="48" t="s">
        <v>5151</v>
      </c>
      <c r="E564" s="48" t="s">
        <v>5195</v>
      </c>
      <c r="F564" s="14">
        <v>5.0761919999999989E-7</v>
      </c>
      <c r="G564" s="48"/>
      <c r="H564" s="49"/>
      <c r="I564" s="22"/>
      <c r="O564" s="21"/>
    </row>
    <row r="565" spans="1:15" customFormat="1" ht="15" x14ac:dyDescent="0.25">
      <c r="A565" s="48" t="str">
        <f t="shared" si="18"/>
        <v>ecap_vdd_dyn_pwm_out_1m_1p8v</v>
      </c>
      <c r="B565" s="48" t="s">
        <v>5267</v>
      </c>
      <c r="C565" s="48" t="s">
        <v>5255</v>
      </c>
      <c r="D565" s="48" t="s">
        <v>5150</v>
      </c>
      <c r="E565" s="48" t="s">
        <v>5195</v>
      </c>
      <c r="F565" s="14">
        <v>1.15368E-7</v>
      </c>
      <c r="G565" s="48"/>
      <c r="H565" s="49"/>
      <c r="I565" s="22"/>
      <c r="O565" s="21"/>
    </row>
    <row r="566" spans="1:15" customFormat="1" ht="15" x14ac:dyDescent="0.25">
      <c r="A566" s="48" t="str">
        <f t="shared" si="18"/>
        <v>ecap_vdd_dyn_pwm_out_1m_3p3v</v>
      </c>
      <c r="B566" s="48" t="s">
        <v>5267</v>
      </c>
      <c r="C566" s="48" t="s">
        <v>5255</v>
      </c>
      <c r="D566" s="48" t="s">
        <v>5148</v>
      </c>
      <c r="E566" s="48" t="s">
        <v>5195</v>
      </c>
      <c r="F566" s="14">
        <v>1.15368E-7</v>
      </c>
      <c r="G566" s="48"/>
      <c r="H566" s="49"/>
      <c r="I566" s="22"/>
      <c r="O566" s="21"/>
    </row>
    <row r="567" spans="1:15" customFormat="1" ht="15" x14ac:dyDescent="0.25">
      <c r="A567" s="48" t="str">
        <f t="shared" si="18"/>
        <v>ecap_vdd_dyn_pwm_out_5m_1p8v</v>
      </c>
      <c r="B567" s="48" t="s">
        <v>5267</v>
      </c>
      <c r="C567" s="48" t="s">
        <v>5255</v>
      </c>
      <c r="D567" s="48" t="s">
        <v>5149</v>
      </c>
      <c r="E567" s="48" t="s">
        <v>5195</v>
      </c>
      <c r="F567" s="14">
        <v>5.7683999999999997E-7</v>
      </c>
      <c r="G567" s="48"/>
      <c r="H567" s="49"/>
      <c r="I567" s="22"/>
      <c r="O567" s="21"/>
    </row>
    <row r="568" spans="1:15" customFormat="1" ht="15" x14ac:dyDescent="0.25">
      <c r="A568" s="48" t="str">
        <f t="shared" si="18"/>
        <v>ecap_vdd_dyn_pwm_out_5m_3p3v</v>
      </c>
      <c r="B568" s="48" t="s">
        <v>5267</v>
      </c>
      <c r="C568" s="48" t="s">
        <v>5255</v>
      </c>
      <c r="D568" s="48" t="s">
        <v>5146</v>
      </c>
      <c r="E568" s="48" t="s">
        <v>5195</v>
      </c>
      <c r="F568" s="14">
        <v>5.7683999999999997E-7</v>
      </c>
      <c r="G568" s="48" t="s">
        <v>5272</v>
      </c>
      <c r="H568" s="49"/>
      <c r="I568" s="22"/>
      <c r="O568" s="21"/>
    </row>
    <row r="569" spans="1:15" customFormat="1" ht="15" x14ac:dyDescent="0.25">
      <c r="A569" s="48" t="str">
        <f t="shared" si="18"/>
        <v>ecap_vddh1_dyn_capture_in_5m_1p8v</v>
      </c>
      <c r="B569" s="48" t="s">
        <v>5267</v>
      </c>
      <c r="C569" s="48" t="s">
        <v>5256</v>
      </c>
      <c r="D569" s="48" t="s">
        <v>5154</v>
      </c>
      <c r="E569" s="48" t="s">
        <v>5195</v>
      </c>
      <c r="F569" s="14">
        <v>0</v>
      </c>
      <c r="G569" s="48"/>
      <c r="H569" s="49"/>
      <c r="I569" s="22"/>
      <c r="O569" s="21"/>
    </row>
    <row r="570" spans="1:15" customFormat="1" ht="15" x14ac:dyDescent="0.25">
      <c r="A570" s="48" t="str">
        <f t="shared" si="18"/>
        <v>ecap_vddh1_dyn_pwm_out_1m_1p8v</v>
      </c>
      <c r="B570" s="48" t="s">
        <v>5267</v>
      </c>
      <c r="C570" s="48" t="s">
        <v>5256</v>
      </c>
      <c r="D570" s="48" t="s">
        <v>5150</v>
      </c>
      <c r="E570" s="48" t="s">
        <v>5195</v>
      </c>
      <c r="F570" s="14">
        <v>5.0738400000000003E-2</v>
      </c>
      <c r="G570" s="48"/>
      <c r="H570" s="49"/>
      <c r="I570" s="22"/>
      <c r="O570" s="21"/>
    </row>
    <row r="571" spans="1:15" customFormat="1" ht="15" x14ac:dyDescent="0.25">
      <c r="A571" s="48" t="str">
        <f t="shared" si="18"/>
        <v>ecap_vddh1_dyn_pwm_out_5m_1p8v</v>
      </c>
      <c r="B571" s="48" t="s">
        <v>5267</v>
      </c>
      <c r="C571" s="48" t="s">
        <v>5256</v>
      </c>
      <c r="D571" s="48" t="s">
        <v>5149</v>
      </c>
      <c r="E571" s="48" t="s">
        <v>5195</v>
      </c>
      <c r="F571" s="14">
        <v>0.25369199999999997</v>
      </c>
      <c r="G571" s="48"/>
      <c r="H571" s="49"/>
      <c r="I571" s="22"/>
      <c r="O571" s="21"/>
    </row>
    <row r="572" spans="1:15" customFormat="1" ht="15" x14ac:dyDescent="0.25">
      <c r="A572" s="48" t="str">
        <f t="shared" si="18"/>
        <v>ecap_vddh2_dyn_capture_in_1m_3p3v</v>
      </c>
      <c r="B572" s="48" t="s">
        <v>5267</v>
      </c>
      <c r="C572" s="48" t="s">
        <v>5262</v>
      </c>
      <c r="D572" s="48" t="s">
        <v>5153</v>
      </c>
      <c r="E572" s="48" t="s">
        <v>5195</v>
      </c>
      <c r="F572" s="14">
        <v>0</v>
      </c>
      <c r="G572" s="48"/>
      <c r="H572" s="49"/>
      <c r="I572" s="22"/>
      <c r="O572" s="21"/>
    </row>
    <row r="573" spans="1:15" customFormat="1" ht="15" x14ac:dyDescent="0.25">
      <c r="A573" s="48" t="str">
        <f t="shared" si="18"/>
        <v>ecap_vddh2_dyn_capture_in_5m_3p3v</v>
      </c>
      <c r="B573" s="48" t="s">
        <v>5267</v>
      </c>
      <c r="C573" s="48" t="s">
        <v>5262</v>
      </c>
      <c r="D573" s="48" t="s">
        <v>5151</v>
      </c>
      <c r="E573" s="48" t="s">
        <v>5195</v>
      </c>
      <c r="F573" s="14">
        <v>0</v>
      </c>
      <c r="G573" s="48" t="s">
        <v>5273</v>
      </c>
      <c r="H573" s="49"/>
      <c r="I573" s="22"/>
      <c r="O573" s="21"/>
    </row>
    <row r="574" spans="1:15" customFormat="1" ht="15" x14ac:dyDescent="0.25">
      <c r="A574" s="48" t="str">
        <f t="shared" si="18"/>
        <v>ecap_vddh2_dyn_pwm_out_1m_3p3v</v>
      </c>
      <c r="B574" s="48" t="s">
        <v>5267</v>
      </c>
      <c r="C574" s="48" t="s">
        <v>5262</v>
      </c>
      <c r="D574" s="48" t="s">
        <v>5148</v>
      </c>
      <c r="E574" s="48" t="s">
        <v>5195</v>
      </c>
      <c r="F574" s="14">
        <v>0.26135999999999998</v>
      </c>
      <c r="G574" s="48"/>
      <c r="H574" s="49"/>
      <c r="I574" s="22"/>
      <c r="O574" s="21"/>
    </row>
    <row r="575" spans="1:15" customFormat="1" ht="15" x14ac:dyDescent="0.25">
      <c r="A575" s="48" t="str">
        <f t="shared" si="18"/>
        <v>ecap_vddh2_dyn_pwm_out_5m_3p3v</v>
      </c>
      <c r="B575" s="48" t="s">
        <v>5267</v>
      </c>
      <c r="C575" s="48" t="s">
        <v>5262</v>
      </c>
      <c r="D575" s="48" t="s">
        <v>5146</v>
      </c>
      <c r="E575" s="48" t="s">
        <v>5195</v>
      </c>
      <c r="F575" s="14">
        <v>1.3067999999999997</v>
      </c>
      <c r="G575" s="48"/>
      <c r="H575" s="49"/>
      <c r="I575" s="22"/>
      <c r="O575" s="21"/>
    </row>
    <row r="576" spans="1:15" customFormat="1" ht="15" x14ac:dyDescent="0.25">
      <c r="A576" s="48" t="str">
        <f t="shared" ref="A576:A582" si="19">B576&amp;"_"&amp;C576</f>
        <v>epwm_Description</v>
      </c>
      <c r="B576" s="48" t="s">
        <v>5276</v>
      </c>
      <c r="C576" s="48" t="s">
        <v>42</v>
      </c>
      <c r="D576" s="48"/>
      <c r="E576" s="48" t="s">
        <v>5192</v>
      </c>
      <c r="F576" s="14" t="s">
        <v>5823</v>
      </c>
      <c r="G576" s="48" t="s">
        <v>5277</v>
      </c>
      <c r="H576" s="13"/>
      <c r="I576" s="22"/>
      <c r="O576" s="21"/>
    </row>
    <row r="577" spans="1:15" customFormat="1" ht="15" x14ac:dyDescent="0.25">
      <c r="A577" s="48" t="str">
        <f t="shared" si="19"/>
        <v>epwm_First_SoC</v>
      </c>
      <c r="B577" s="48" t="s">
        <v>5276</v>
      </c>
      <c r="C577" s="48" t="s">
        <v>5216</v>
      </c>
      <c r="D577" s="48"/>
      <c r="E577" s="48" t="s">
        <v>5192</v>
      </c>
      <c r="F577" s="14" t="s">
        <v>5841</v>
      </c>
      <c r="G577" s="48"/>
      <c r="H577" s="13"/>
      <c r="I577" s="22"/>
      <c r="O577" s="21"/>
    </row>
    <row r="578" spans="1:15" customFormat="1" ht="15" x14ac:dyDescent="0.25">
      <c r="A578" s="48" t="str">
        <f t="shared" si="19"/>
        <v>epwm_Function</v>
      </c>
      <c r="B578" s="48" t="s">
        <v>5276</v>
      </c>
      <c r="C578" s="48" t="s">
        <v>5222</v>
      </c>
      <c r="D578" s="48"/>
      <c r="E578" s="48" t="s">
        <v>5192</v>
      </c>
      <c r="F578" s="14" t="s">
        <v>5276</v>
      </c>
      <c r="G578" s="48"/>
      <c r="H578" s="13"/>
      <c r="I578" s="22"/>
      <c r="O578" s="21"/>
    </row>
    <row r="579" spans="1:15" customFormat="1" ht="15" x14ac:dyDescent="0.25">
      <c r="A579" s="48" t="str">
        <f t="shared" si="19"/>
        <v>epwm_pinmux</v>
      </c>
      <c r="B579" s="48" t="s">
        <v>5276</v>
      </c>
      <c r="C579" s="48" t="s">
        <v>5270</v>
      </c>
      <c r="D579" s="48"/>
      <c r="E579" s="48" t="s">
        <v>5192</v>
      </c>
      <c r="F579" s="14">
        <v>3</v>
      </c>
      <c r="G579" s="48" t="s">
        <v>5278</v>
      </c>
      <c r="H579" s="49"/>
      <c r="I579" s="22"/>
      <c r="O579" s="21"/>
    </row>
    <row r="580" spans="1:15" customFormat="1" ht="15" x14ac:dyDescent="0.25">
      <c r="A580" s="48" t="str">
        <f t="shared" si="19"/>
        <v>epwm_Pinmux</v>
      </c>
      <c r="B580" s="48" t="s">
        <v>5276</v>
      </c>
      <c r="C580" s="48" t="s">
        <v>5261</v>
      </c>
      <c r="D580" s="48"/>
      <c r="E580" s="48" t="s">
        <v>5192</v>
      </c>
      <c r="F580" s="14">
        <v>3</v>
      </c>
      <c r="G580" s="48"/>
      <c r="H580" s="49"/>
      <c r="I580" s="22"/>
      <c r="O580" s="21"/>
    </row>
    <row r="581" spans="1:15" customFormat="1" ht="15" x14ac:dyDescent="0.25">
      <c r="A581" s="48" t="str">
        <f t="shared" si="19"/>
        <v>epwm_tag</v>
      </c>
      <c r="B581" s="49" t="s">
        <v>5276</v>
      </c>
      <c r="C581" s="49" t="s">
        <v>5234</v>
      </c>
      <c r="D581" s="49"/>
      <c r="E581" s="49" t="s">
        <v>5192</v>
      </c>
      <c r="F581" s="14">
        <v>44499</v>
      </c>
      <c r="G581" s="49" t="s">
        <v>5254</v>
      </c>
      <c r="H581" s="49"/>
      <c r="I581" s="22"/>
      <c r="O581" s="21"/>
    </row>
    <row r="582" spans="1:15" customFormat="1" ht="15" x14ac:dyDescent="0.25">
      <c r="A582" s="48" t="str">
        <f t="shared" si="19"/>
        <v>epwm_Type</v>
      </c>
      <c r="B582" s="48" t="s">
        <v>5276</v>
      </c>
      <c r="C582" s="48" t="s">
        <v>0</v>
      </c>
      <c r="D582" s="48"/>
      <c r="E582" s="48" t="s">
        <v>5192</v>
      </c>
      <c r="F582" s="14" t="s">
        <v>5785</v>
      </c>
      <c r="G582" s="48"/>
      <c r="H582" s="13"/>
      <c r="I582" s="22"/>
      <c r="O582" s="21"/>
    </row>
    <row r="583" spans="1:15" customFormat="1" ht="15" x14ac:dyDescent="0.25">
      <c r="A583" s="48" t="str">
        <f>B583&amp;"_"&amp;C583&amp;"_"&amp;D583</f>
        <v>epwm_vdd_dyn_on_1p8v</v>
      </c>
      <c r="B583" s="48" t="s">
        <v>5276</v>
      </c>
      <c r="C583" s="48" t="s">
        <v>5255</v>
      </c>
      <c r="D583" s="48" t="s">
        <v>5160</v>
      </c>
      <c r="E583" s="48" t="s">
        <v>5195</v>
      </c>
      <c r="F583" s="14">
        <v>9.9999999999999995E-7</v>
      </c>
      <c r="G583" s="48" t="s">
        <v>5279</v>
      </c>
      <c r="H583" s="49"/>
      <c r="I583" s="22"/>
      <c r="O583" s="21"/>
    </row>
    <row r="584" spans="1:15" customFormat="1" ht="15" x14ac:dyDescent="0.25">
      <c r="A584" s="48" t="str">
        <f>B584&amp;"_"&amp;C584&amp;"_"&amp;D584</f>
        <v>epwm_vdd_dyn_on_3p3v</v>
      </c>
      <c r="B584" s="48" t="s">
        <v>5276</v>
      </c>
      <c r="C584" s="48" t="s">
        <v>5255</v>
      </c>
      <c r="D584" s="48" t="s">
        <v>5159</v>
      </c>
      <c r="E584" s="48" t="s">
        <v>5195</v>
      </c>
      <c r="F584" s="14">
        <v>9.9999999999999995E-7</v>
      </c>
      <c r="G584" s="48" t="s">
        <v>5279</v>
      </c>
      <c r="H584" s="49"/>
      <c r="I584" s="22"/>
      <c r="O584" s="21"/>
    </row>
    <row r="585" spans="1:15" customFormat="1" ht="15" x14ac:dyDescent="0.25">
      <c r="A585" s="48" t="str">
        <f>B585&amp;"_"&amp;C585&amp;"_"&amp;D585</f>
        <v>epwm_vddh1_dyn_on_1p8v</v>
      </c>
      <c r="B585" s="48" t="s">
        <v>5276</v>
      </c>
      <c r="C585" s="48" t="s">
        <v>5256</v>
      </c>
      <c r="D585" s="48" t="s">
        <v>5160</v>
      </c>
      <c r="E585" s="48" t="s">
        <v>5195</v>
      </c>
      <c r="F585" s="14">
        <v>0.50738399999999995</v>
      </c>
      <c r="G585" s="48"/>
      <c r="H585" s="49"/>
      <c r="I585" s="22"/>
      <c r="O585" s="21"/>
    </row>
    <row r="586" spans="1:15" customFormat="1" ht="15" x14ac:dyDescent="0.25">
      <c r="A586" s="48" t="str">
        <f>B586&amp;"_"&amp;C586&amp;"_"&amp;D586</f>
        <v>epwm_vddh2_dyn_on_3p3v</v>
      </c>
      <c r="B586" s="48" t="s">
        <v>5276</v>
      </c>
      <c r="C586" s="48" t="s">
        <v>5262</v>
      </c>
      <c r="D586" s="48" t="s">
        <v>5159</v>
      </c>
      <c r="E586" s="48" t="s">
        <v>5195</v>
      </c>
      <c r="F586" s="14">
        <v>2.6135999999999995</v>
      </c>
      <c r="G586" s="48" t="s">
        <v>5444</v>
      </c>
      <c r="H586" s="49"/>
      <c r="I586" s="22"/>
      <c r="O586" s="21"/>
    </row>
    <row r="587" spans="1:15" customFormat="1" ht="15" x14ac:dyDescent="0.25">
      <c r="A587" s="48" t="str">
        <f t="shared" ref="A587:A593" si="20">B587&amp;"_"&amp;C587</f>
        <v>eqep_Description</v>
      </c>
      <c r="B587" s="48" t="s">
        <v>5280</v>
      </c>
      <c r="C587" s="48" t="s">
        <v>42</v>
      </c>
      <c r="D587" s="48"/>
      <c r="E587" s="48" t="s">
        <v>5192</v>
      </c>
      <c r="F587" s="14" t="s">
        <v>5824</v>
      </c>
      <c r="G587" s="48" t="s">
        <v>5281</v>
      </c>
      <c r="H587" s="13"/>
      <c r="I587" s="22"/>
      <c r="O587" s="21"/>
    </row>
    <row r="588" spans="1:15" customFormat="1" ht="15" x14ac:dyDescent="0.25">
      <c r="A588" s="48" t="str">
        <f t="shared" si="20"/>
        <v>eqep_First_SoC</v>
      </c>
      <c r="B588" s="48" t="s">
        <v>5280</v>
      </c>
      <c r="C588" s="48" t="s">
        <v>5216</v>
      </c>
      <c r="D588" s="48"/>
      <c r="E588" s="48" t="s">
        <v>5192</v>
      </c>
      <c r="F588" s="14" t="s">
        <v>5841</v>
      </c>
      <c r="G588" s="48"/>
      <c r="H588" s="13"/>
      <c r="I588" s="22"/>
      <c r="O588" s="21"/>
    </row>
    <row r="589" spans="1:15" customFormat="1" ht="15" x14ac:dyDescent="0.25">
      <c r="A589" s="48" t="str">
        <f t="shared" si="20"/>
        <v>eqep_Function</v>
      </c>
      <c r="B589" s="48" t="s">
        <v>5280</v>
      </c>
      <c r="C589" s="48" t="s">
        <v>5222</v>
      </c>
      <c r="D589" s="48"/>
      <c r="E589" s="48" t="s">
        <v>5192</v>
      </c>
      <c r="F589" s="14" t="s">
        <v>5280</v>
      </c>
      <c r="G589" s="48" t="s">
        <v>5282</v>
      </c>
      <c r="H589" s="13"/>
      <c r="I589" s="22"/>
      <c r="O589" s="21"/>
    </row>
    <row r="590" spans="1:15" customFormat="1" ht="15" x14ac:dyDescent="0.25">
      <c r="A590" s="48" t="str">
        <f t="shared" si="20"/>
        <v>eqep_pinmux</v>
      </c>
      <c r="B590" s="48" t="s">
        <v>5280</v>
      </c>
      <c r="C590" s="48" t="s">
        <v>5270</v>
      </c>
      <c r="D590" s="48"/>
      <c r="E590" s="48" t="s">
        <v>5192</v>
      </c>
      <c r="F590" s="14">
        <v>4</v>
      </c>
      <c r="G590" s="48" t="s">
        <v>5283</v>
      </c>
      <c r="H590" s="49"/>
      <c r="I590" s="22"/>
      <c r="O590" s="21"/>
    </row>
    <row r="591" spans="1:15" customFormat="1" ht="15" x14ac:dyDescent="0.25">
      <c r="A591" s="48" t="str">
        <f t="shared" si="20"/>
        <v>eqep_Pinmux</v>
      </c>
      <c r="B591" s="48" t="s">
        <v>5280</v>
      </c>
      <c r="C591" s="48" t="s">
        <v>5261</v>
      </c>
      <c r="D591" s="48"/>
      <c r="E591" s="48" t="s">
        <v>5192</v>
      </c>
      <c r="F591" s="14">
        <v>4</v>
      </c>
      <c r="G591" s="48"/>
      <c r="H591" s="49"/>
      <c r="I591" s="22"/>
      <c r="O591" s="21"/>
    </row>
    <row r="592" spans="1:15" customFormat="1" ht="15" x14ac:dyDescent="0.25">
      <c r="A592" s="48" t="str">
        <f t="shared" si="20"/>
        <v>eqep_tag</v>
      </c>
      <c r="B592" s="49" t="s">
        <v>5280</v>
      </c>
      <c r="C592" s="49" t="s">
        <v>5234</v>
      </c>
      <c r="D592" s="49"/>
      <c r="E592" s="49" t="s">
        <v>5192</v>
      </c>
      <c r="F592" s="14">
        <v>44499</v>
      </c>
      <c r="G592" s="49" t="s">
        <v>5254</v>
      </c>
      <c r="H592" s="49"/>
      <c r="I592" s="22"/>
      <c r="O592" s="21"/>
    </row>
    <row r="593" spans="1:15" customFormat="1" ht="15" x14ac:dyDescent="0.25">
      <c r="A593" s="48" t="str">
        <f t="shared" si="20"/>
        <v>eqep_Type</v>
      </c>
      <c r="B593" s="48" t="s">
        <v>5280</v>
      </c>
      <c r="C593" s="48" t="s">
        <v>0</v>
      </c>
      <c r="D593" s="48"/>
      <c r="E593" s="48" t="s">
        <v>5192</v>
      </c>
      <c r="F593" s="14" t="s">
        <v>5785</v>
      </c>
      <c r="G593" s="48"/>
      <c r="H593" s="13"/>
      <c r="I593" s="22"/>
      <c r="O593" s="21"/>
    </row>
    <row r="594" spans="1:15" customFormat="1" ht="15" x14ac:dyDescent="0.25">
      <c r="A594" s="48" t="str">
        <f>B594&amp;"_"&amp;C594&amp;"_"&amp;D594</f>
        <v>eqep_vdd_dyn_on_1p8v</v>
      </c>
      <c r="B594" s="48" t="s">
        <v>5280</v>
      </c>
      <c r="C594" s="48" t="s">
        <v>5255</v>
      </c>
      <c r="D594" s="48" t="s">
        <v>5160</v>
      </c>
      <c r="E594" s="48" t="s">
        <v>5195</v>
      </c>
      <c r="F594" s="14">
        <v>1.031159184E-7</v>
      </c>
      <c r="G594" s="48"/>
      <c r="H594" s="49"/>
      <c r="I594" s="22"/>
      <c r="O594" s="21"/>
    </row>
    <row r="595" spans="1:15" customFormat="1" ht="15" x14ac:dyDescent="0.25">
      <c r="A595" s="48" t="str">
        <f>B595&amp;"_"&amp;C595&amp;"_"&amp;D595</f>
        <v>eqep_vdd_dyn_on_3p3v</v>
      </c>
      <c r="B595" s="48" t="s">
        <v>5280</v>
      </c>
      <c r="C595" s="48" t="s">
        <v>5255</v>
      </c>
      <c r="D595" s="48" t="s">
        <v>5159</v>
      </c>
      <c r="E595" s="48" t="s">
        <v>5195</v>
      </c>
      <c r="F595" s="14">
        <v>1.031159184E-7</v>
      </c>
      <c r="G595" s="48"/>
      <c r="H595" s="49"/>
      <c r="I595" s="22"/>
      <c r="O595" s="21"/>
    </row>
    <row r="596" spans="1:15" customFormat="1" ht="15" x14ac:dyDescent="0.25">
      <c r="A596" s="48" t="str">
        <f>B596&amp;"_"&amp;C596&amp;"_"&amp;D596</f>
        <v>eqep_vddh1_dyn_on_1p8v</v>
      </c>
      <c r="B596" s="48" t="s">
        <v>5280</v>
      </c>
      <c r="C596" s="48" t="s">
        <v>5256</v>
      </c>
      <c r="D596" s="48" t="s">
        <v>5160</v>
      </c>
      <c r="E596" s="48" t="s">
        <v>5195</v>
      </c>
      <c r="F596" s="14">
        <v>4.6510200000000001E-4</v>
      </c>
      <c r="G596" s="48" t="s">
        <v>5284</v>
      </c>
      <c r="H596" s="49"/>
      <c r="I596" s="22"/>
      <c r="O596" s="21"/>
    </row>
    <row r="597" spans="1:15" customFormat="1" ht="15" x14ac:dyDescent="0.25">
      <c r="A597" s="48" t="str">
        <f>B597&amp;"_"&amp;C597&amp;"_"&amp;D597</f>
        <v>eqep_vddh2_dyn_on_3p3v</v>
      </c>
      <c r="B597" s="48" t="s">
        <v>5280</v>
      </c>
      <c r="C597" s="48" t="s">
        <v>5262</v>
      </c>
      <c r="D597" s="48" t="s">
        <v>5159</v>
      </c>
      <c r="E597" s="48" t="s">
        <v>5195</v>
      </c>
      <c r="F597" s="14">
        <v>2.6135999999999998E-3</v>
      </c>
      <c r="G597" s="48" t="s">
        <v>5285</v>
      </c>
      <c r="H597" s="49"/>
      <c r="I597" s="22"/>
      <c r="O597" s="21"/>
    </row>
    <row r="598" spans="1:15" customFormat="1" ht="15" x14ac:dyDescent="0.25">
      <c r="A598" s="48" t="str">
        <f t="shared" ref="A598:A603" si="21">B598&amp;"_"&amp;C598</f>
        <v>espi_Description</v>
      </c>
      <c r="B598" s="48" t="s">
        <v>5286</v>
      </c>
      <c r="C598" s="48" t="s">
        <v>42</v>
      </c>
      <c r="D598" s="48"/>
      <c r="E598" s="48" t="s">
        <v>5192</v>
      </c>
      <c r="F598" s="14" t="s">
        <v>5825</v>
      </c>
      <c r="G598" s="48" t="s">
        <v>5287</v>
      </c>
      <c r="H598" s="13"/>
      <c r="I598" s="22"/>
      <c r="O598" s="21"/>
    </row>
    <row r="599" spans="1:15" customFormat="1" ht="15" x14ac:dyDescent="0.25">
      <c r="A599" s="48" t="str">
        <f t="shared" si="21"/>
        <v>espi_First_SoC</v>
      </c>
      <c r="B599" s="48" t="s">
        <v>5286</v>
      </c>
      <c r="C599" s="48" t="s">
        <v>5216</v>
      </c>
      <c r="D599" s="48"/>
      <c r="E599" s="48" t="s">
        <v>5192</v>
      </c>
      <c r="F599" s="14" t="s">
        <v>5800</v>
      </c>
      <c r="G599" s="48"/>
      <c r="H599" s="13"/>
      <c r="I599" s="22"/>
      <c r="O599" s="21"/>
    </row>
    <row r="600" spans="1:15" customFormat="1" ht="15" x14ac:dyDescent="0.25">
      <c r="A600" s="48" t="str">
        <f t="shared" si="21"/>
        <v>espi_Function</v>
      </c>
      <c r="B600" s="48" t="s">
        <v>5286</v>
      </c>
      <c r="C600" s="48" t="s">
        <v>5222</v>
      </c>
      <c r="D600" s="48"/>
      <c r="E600" s="48" t="s">
        <v>5192</v>
      </c>
      <c r="F600" s="14" t="s">
        <v>5805</v>
      </c>
      <c r="G600" s="48"/>
      <c r="H600" s="13"/>
      <c r="I600" s="22"/>
      <c r="O600" s="21"/>
    </row>
    <row r="601" spans="1:15" customFormat="1" ht="15" x14ac:dyDescent="0.25">
      <c r="A601" s="48" t="str">
        <f t="shared" si="21"/>
        <v>espi_pinmux</v>
      </c>
      <c r="B601" s="48" t="s">
        <v>5286</v>
      </c>
      <c r="C601" s="48" t="s">
        <v>5270</v>
      </c>
      <c r="D601" s="48"/>
      <c r="E601" s="48" t="s">
        <v>5192</v>
      </c>
      <c r="F601" s="14">
        <v>2</v>
      </c>
      <c r="G601" s="48"/>
      <c r="H601" s="49"/>
      <c r="I601" s="22"/>
      <c r="O601" s="21"/>
    </row>
    <row r="602" spans="1:15" customFormat="1" ht="15" x14ac:dyDescent="0.25">
      <c r="A602" s="48" t="str">
        <f t="shared" si="21"/>
        <v>espi_tag</v>
      </c>
      <c r="B602" s="49" t="s">
        <v>5286</v>
      </c>
      <c r="C602" s="49" t="s">
        <v>5234</v>
      </c>
      <c r="D602" s="49"/>
      <c r="E602" s="49" t="s">
        <v>5192</v>
      </c>
      <c r="F602" s="14">
        <v>44499</v>
      </c>
      <c r="G602" s="49" t="s">
        <v>5254</v>
      </c>
      <c r="H602" s="49"/>
      <c r="I602" s="22"/>
      <c r="O602" s="21"/>
    </row>
    <row r="603" spans="1:15" customFormat="1" ht="15" x14ac:dyDescent="0.25">
      <c r="A603" s="48" t="str">
        <f t="shared" si="21"/>
        <v>espi_Type</v>
      </c>
      <c r="B603" s="48" t="s">
        <v>5286</v>
      </c>
      <c r="C603" s="48" t="s">
        <v>0</v>
      </c>
      <c r="D603" s="48"/>
      <c r="E603" s="48" t="s">
        <v>5192</v>
      </c>
      <c r="F603" s="14" t="s">
        <v>5785</v>
      </c>
      <c r="G603" s="48" t="s">
        <v>5288</v>
      </c>
      <c r="H603" s="13"/>
      <c r="I603" s="22"/>
      <c r="O603" s="21"/>
    </row>
    <row r="604" spans="1:15" customFormat="1" ht="15" x14ac:dyDescent="0.25">
      <c r="A604" s="48" t="str">
        <f>B604&amp;"_"&amp;C604&amp;"_"&amp;D604</f>
        <v>espi_vdd_dyn_on_1p8v</v>
      </c>
      <c r="B604" s="48" t="s">
        <v>5286</v>
      </c>
      <c r="C604" s="48" t="s">
        <v>5255</v>
      </c>
      <c r="D604" s="48" t="s">
        <v>5160</v>
      </c>
      <c r="E604" s="48" t="s">
        <v>5195</v>
      </c>
      <c r="F604" s="14">
        <v>1.9910670911999997E-7</v>
      </c>
      <c r="G604" s="48"/>
      <c r="H604" s="49"/>
      <c r="I604" s="22"/>
      <c r="O604" s="21"/>
    </row>
    <row r="605" spans="1:15" customFormat="1" ht="15" x14ac:dyDescent="0.25">
      <c r="A605" s="48" t="str">
        <f>B605&amp;"_"&amp;C605&amp;"_"&amp;D605</f>
        <v>espi_vdd_dyn_on_3p3v</v>
      </c>
      <c r="B605" s="48" t="s">
        <v>5286</v>
      </c>
      <c r="C605" s="48" t="s">
        <v>5255</v>
      </c>
      <c r="D605" s="48" t="s">
        <v>5159</v>
      </c>
      <c r="E605" s="48" t="s">
        <v>5195</v>
      </c>
      <c r="F605" s="14">
        <v>5.5307419200000008E-8</v>
      </c>
      <c r="G605" s="48"/>
      <c r="H605" s="49"/>
      <c r="I605" s="22"/>
      <c r="O605" s="21"/>
    </row>
    <row r="606" spans="1:15" customFormat="1" ht="15" x14ac:dyDescent="0.25">
      <c r="A606" s="48" t="str">
        <f>B606&amp;"_"&amp;C606&amp;"_"&amp;D606</f>
        <v>espi_vddh1_dyn_on_1p8v</v>
      </c>
      <c r="B606" s="48" t="s">
        <v>5286</v>
      </c>
      <c r="C606" s="48" t="s">
        <v>5256</v>
      </c>
      <c r="D606" s="48" t="s">
        <v>5160</v>
      </c>
      <c r="E606" s="48" t="s">
        <v>5195</v>
      </c>
      <c r="F606" s="14">
        <v>0.1500841872</v>
      </c>
      <c r="G606" s="48"/>
      <c r="H606" s="49"/>
      <c r="I606" s="22"/>
      <c r="O606" s="21"/>
    </row>
    <row r="607" spans="1:15" customFormat="1" ht="15" x14ac:dyDescent="0.25">
      <c r="A607" s="48" t="str">
        <f>B607&amp;"_"&amp;C607&amp;"_"&amp;D607</f>
        <v>espi_vddh2_dyn_on_3p3v</v>
      </c>
      <c r="B607" s="48" t="s">
        <v>5286</v>
      </c>
      <c r="C607" s="48" t="s">
        <v>5262</v>
      </c>
      <c r="D607" s="48" t="s">
        <v>5159</v>
      </c>
      <c r="E607" s="48" t="s">
        <v>5195</v>
      </c>
      <c r="F607" s="14">
        <v>2.6135999999999998E-3</v>
      </c>
      <c r="G607" s="48"/>
      <c r="H607" s="49"/>
      <c r="I607" s="22"/>
      <c r="O607" s="21"/>
    </row>
    <row r="608" spans="1:15" customFormat="1" ht="15" x14ac:dyDescent="0.25">
      <c r="A608" s="48" t="str">
        <f t="shared" ref="A608:A613" si="22">B608&amp;"_"&amp;C608</f>
        <v>ethernet_Description</v>
      </c>
      <c r="B608" s="48" t="s">
        <v>5289</v>
      </c>
      <c r="C608" s="48" t="s">
        <v>42</v>
      </c>
      <c r="D608" s="48"/>
      <c r="E608" s="48" t="s">
        <v>5192</v>
      </c>
      <c r="F608" s="14" t="s">
        <v>5826</v>
      </c>
      <c r="G608" s="48" t="s">
        <v>5290</v>
      </c>
      <c r="H608" s="13"/>
      <c r="I608" s="22"/>
      <c r="O608" s="21"/>
    </row>
    <row r="609" spans="1:15" customFormat="1" ht="15" x14ac:dyDescent="0.25">
      <c r="A609" s="48" t="str">
        <f t="shared" si="22"/>
        <v>ethernet_First_SoC</v>
      </c>
      <c r="B609" s="48" t="s">
        <v>5289</v>
      </c>
      <c r="C609" s="48" t="s">
        <v>5216</v>
      </c>
      <c r="D609" s="48"/>
      <c r="E609" s="48" t="s">
        <v>5192</v>
      </c>
      <c r="F609" s="14" t="s">
        <v>5841</v>
      </c>
      <c r="G609" s="48"/>
      <c r="H609" s="13"/>
      <c r="I609" s="22"/>
      <c r="O609" s="21"/>
    </row>
    <row r="610" spans="1:15" customFormat="1" ht="15" x14ac:dyDescent="0.25">
      <c r="A610" s="48" t="str">
        <f t="shared" si="22"/>
        <v>ethernet_Function</v>
      </c>
      <c r="B610" s="48" t="s">
        <v>5289</v>
      </c>
      <c r="C610" s="48" t="s">
        <v>5222</v>
      </c>
      <c r="D610" s="48"/>
      <c r="E610" s="48" t="s">
        <v>5192</v>
      </c>
      <c r="F610" s="14" t="s">
        <v>5289</v>
      </c>
      <c r="G610" s="48" t="s">
        <v>5260</v>
      </c>
      <c r="H610" s="13"/>
      <c r="I610" s="22"/>
      <c r="O610" s="21"/>
    </row>
    <row r="611" spans="1:15" customFormat="1" ht="15" x14ac:dyDescent="0.25">
      <c r="A611" s="48" t="str">
        <f t="shared" si="22"/>
        <v>ethernet_Pinmux</v>
      </c>
      <c r="B611" s="48" t="s">
        <v>5289</v>
      </c>
      <c r="C611" s="48" t="s">
        <v>5261</v>
      </c>
      <c r="D611" s="48"/>
      <c r="E611" s="48" t="s">
        <v>5192</v>
      </c>
      <c r="F611" s="14">
        <v>14</v>
      </c>
      <c r="G611" s="48" t="s">
        <v>5291</v>
      </c>
      <c r="H611" s="49"/>
      <c r="I611" s="22"/>
      <c r="O611" s="21"/>
    </row>
    <row r="612" spans="1:15" customFormat="1" ht="15" x14ac:dyDescent="0.25">
      <c r="A612" s="48" t="str">
        <f t="shared" si="22"/>
        <v>ethernet_tag</v>
      </c>
      <c r="B612" s="49" t="s">
        <v>5289</v>
      </c>
      <c r="C612" s="49" t="s">
        <v>5234</v>
      </c>
      <c r="D612" s="49"/>
      <c r="E612" s="49" t="s">
        <v>5192</v>
      </c>
      <c r="F612" s="14">
        <v>44499</v>
      </c>
      <c r="G612" s="49" t="s">
        <v>5254</v>
      </c>
      <c r="H612" s="49"/>
      <c r="I612" s="22"/>
      <c r="O612" s="21"/>
    </row>
    <row r="613" spans="1:15" customFormat="1" ht="15" x14ac:dyDescent="0.25">
      <c r="A613" s="48" t="str">
        <f t="shared" si="22"/>
        <v>ethernet_Type</v>
      </c>
      <c r="B613" s="48" t="s">
        <v>5289</v>
      </c>
      <c r="C613" s="48" t="s">
        <v>0</v>
      </c>
      <c r="D613" s="48"/>
      <c r="E613" s="48" t="s">
        <v>5192</v>
      </c>
      <c r="F613" s="14" t="s">
        <v>5785</v>
      </c>
      <c r="G613" s="48" t="s">
        <v>5260</v>
      </c>
      <c r="H613" s="13"/>
      <c r="I613" s="22"/>
      <c r="O613" s="21"/>
    </row>
    <row r="614" spans="1:15" customFormat="1" ht="15" x14ac:dyDescent="0.25">
      <c r="A614" s="48" t="str">
        <f t="shared" ref="A614:A646" si="23">B614&amp;"_"&amp;C614&amp;"_"&amp;D614</f>
        <v>ethernet_vdd_dyn_off</v>
      </c>
      <c r="B614" s="48" t="s">
        <v>5289</v>
      </c>
      <c r="C614" s="48" t="s">
        <v>5255</v>
      </c>
      <c r="D614" s="48" t="s">
        <v>4798</v>
      </c>
      <c r="E614" s="48" t="s">
        <v>5195</v>
      </c>
      <c r="F614" s="53">
        <v>0</v>
      </c>
      <c r="G614" s="48"/>
      <c r="H614" s="49"/>
      <c r="I614" s="22"/>
      <c r="O614" s="21"/>
    </row>
    <row r="615" spans="1:15" customFormat="1" ht="15" x14ac:dyDescent="0.25">
      <c r="A615" s="48" t="str">
        <f t="shared" si="23"/>
        <v>ethernet_vdd_dyn_rgmii_10_1p8v</v>
      </c>
      <c r="B615" s="48" t="s">
        <v>5289</v>
      </c>
      <c r="C615" s="48" t="s">
        <v>5255</v>
      </c>
      <c r="D615" s="48" t="s">
        <v>4893</v>
      </c>
      <c r="E615" s="48" t="s">
        <v>5195</v>
      </c>
      <c r="F615" s="14">
        <v>1.8051630959999996E-6</v>
      </c>
      <c r="G615" s="48"/>
      <c r="H615" s="49"/>
      <c r="I615" s="22"/>
      <c r="O615" s="21"/>
    </row>
    <row r="616" spans="1:15" customFormat="1" ht="15" x14ac:dyDescent="0.25">
      <c r="A616" s="48" t="str">
        <f t="shared" si="23"/>
        <v>ethernet_vdd_dyn_rgmii_10_3p3v</v>
      </c>
      <c r="B616" s="48" t="s">
        <v>5289</v>
      </c>
      <c r="C616" s="48" t="s">
        <v>5255</v>
      </c>
      <c r="D616" s="48" t="s">
        <v>4898</v>
      </c>
      <c r="E616" s="48" t="s">
        <v>5195</v>
      </c>
      <c r="F616" s="14">
        <v>1.8051630959999996E-6</v>
      </c>
      <c r="G616" s="48"/>
      <c r="H616" s="49"/>
      <c r="I616" s="22"/>
      <c r="O616" s="21"/>
    </row>
    <row r="617" spans="1:15" customFormat="1" ht="15" x14ac:dyDescent="0.25">
      <c r="A617" s="48" t="str">
        <f t="shared" si="23"/>
        <v>ethernet_vdd_dyn_rgmii_100_1p8v</v>
      </c>
      <c r="B617" s="48" t="s">
        <v>5289</v>
      </c>
      <c r="C617" s="48" t="s">
        <v>5255</v>
      </c>
      <c r="D617" s="48" t="s">
        <v>4892</v>
      </c>
      <c r="E617" s="48" t="s">
        <v>5195</v>
      </c>
      <c r="F617" s="14">
        <v>1.6753740959999995E-5</v>
      </c>
      <c r="G617" s="48"/>
      <c r="H617" s="49"/>
      <c r="I617" s="22"/>
      <c r="O617" s="21"/>
    </row>
    <row r="618" spans="1:15" customFormat="1" ht="15" x14ac:dyDescent="0.25">
      <c r="A618" s="48" t="str">
        <f t="shared" si="23"/>
        <v>ethernet_vdd_dyn_rgmii_100_3p3v</v>
      </c>
      <c r="B618" s="48" t="s">
        <v>5289</v>
      </c>
      <c r="C618" s="48" t="s">
        <v>5255</v>
      </c>
      <c r="D618" s="48" t="s">
        <v>4897</v>
      </c>
      <c r="E618" s="48" t="s">
        <v>5195</v>
      </c>
      <c r="F618" s="14">
        <v>1.6753740959999995E-5</v>
      </c>
      <c r="G618" s="48"/>
      <c r="H618" s="49"/>
      <c r="I618" s="22"/>
      <c r="O618" s="21"/>
    </row>
    <row r="619" spans="1:15" customFormat="1" ht="15" x14ac:dyDescent="0.25">
      <c r="A619" s="48" t="str">
        <f t="shared" si="23"/>
        <v>ethernet_vdd_dyn_rgmii_1000_1p8v</v>
      </c>
      <c r="B619" s="48" t="s">
        <v>5289</v>
      </c>
      <c r="C619" s="48" t="s">
        <v>5255</v>
      </c>
      <c r="D619" s="48" t="s">
        <v>4891</v>
      </c>
      <c r="E619" s="48" t="s">
        <v>5195</v>
      </c>
      <c r="F619" s="14">
        <v>8.3336074799999978E-5</v>
      </c>
      <c r="G619" s="48"/>
      <c r="H619" s="49"/>
      <c r="I619" s="22"/>
      <c r="O619" s="21"/>
    </row>
    <row r="620" spans="1:15" customFormat="1" ht="15" x14ac:dyDescent="0.25">
      <c r="A620" s="48" t="str">
        <f t="shared" si="23"/>
        <v>ethernet_vdd_dyn_rgmii_1000_3p3v</v>
      </c>
      <c r="B620" s="48" t="s">
        <v>5289</v>
      </c>
      <c r="C620" s="48" t="s">
        <v>5255</v>
      </c>
      <c r="D620" s="48" t="s">
        <v>4896</v>
      </c>
      <c r="E620" s="48" t="s">
        <v>5195</v>
      </c>
      <c r="F620" s="14">
        <v>8.3336074799999978E-5</v>
      </c>
      <c r="G620" s="48"/>
      <c r="H620" s="49"/>
      <c r="I620" s="22"/>
      <c r="O620" s="21"/>
    </row>
    <row r="621" spans="1:15" customFormat="1" ht="15" x14ac:dyDescent="0.25">
      <c r="A621" s="48" t="str">
        <f t="shared" si="23"/>
        <v>ethernet_vdd_dyn_rmii_10_1p8v</v>
      </c>
      <c r="B621" s="48" t="s">
        <v>5289</v>
      </c>
      <c r="C621" s="48" t="s">
        <v>5255</v>
      </c>
      <c r="D621" s="48" t="s">
        <v>4895</v>
      </c>
      <c r="E621" s="48" t="s">
        <v>5195</v>
      </c>
      <c r="F621" s="14">
        <v>1.9259533919999998E-6</v>
      </c>
      <c r="G621" s="48"/>
      <c r="H621" s="49"/>
      <c r="I621" s="22"/>
      <c r="O621" s="21"/>
    </row>
    <row r="622" spans="1:15" customFormat="1" ht="15" x14ac:dyDescent="0.25">
      <c r="A622" s="48" t="str">
        <f t="shared" si="23"/>
        <v>ethernet_vdd_dyn_rmii_10_3p3v</v>
      </c>
      <c r="B622" s="48" t="s">
        <v>5289</v>
      </c>
      <c r="C622" s="48" t="s">
        <v>5255</v>
      </c>
      <c r="D622" s="48" t="s">
        <v>4900</v>
      </c>
      <c r="E622" s="48" t="s">
        <v>5195</v>
      </c>
      <c r="F622" s="14">
        <v>1.9259533919999998E-6</v>
      </c>
      <c r="G622" s="48"/>
      <c r="H622" s="49"/>
      <c r="I622" s="22"/>
      <c r="O622" s="21"/>
    </row>
    <row r="623" spans="1:15" customFormat="1" ht="15" x14ac:dyDescent="0.25">
      <c r="A623" s="48" t="str">
        <f t="shared" si="23"/>
        <v>ethernet_vdd_dyn_rmii_100_1p8v</v>
      </c>
      <c r="B623" s="48" t="s">
        <v>5289</v>
      </c>
      <c r="C623" s="48" t="s">
        <v>5255</v>
      </c>
      <c r="D623" s="48" t="s">
        <v>4894</v>
      </c>
      <c r="E623" s="48" t="s">
        <v>5195</v>
      </c>
      <c r="F623" s="14">
        <v>1.666375392E-5</v>
      </c>
      <c r="G623" s="48"/>
      <c r="H623" s="49"/>
      <c r="I623" s="22"/>
      <c r="O623" s="21"/>
    </row>
    <row r="624" spans="1:15" customFormat="1" ht="15" x14ac:dyDescent="0.25">
      <c r="A624" s="48" t="str">
        <f t="shared" si="23"/>
        <v>ethernet_vdd_dyn_rmii_100_3p3v</v>
      </c>
      <c r="B624" s="48" t="s">
        <v>5289</v>
      </c>
      <c r="C624" s="48" t="s">
        <v>5255</v>
      </c>
      <c r="D624" s="48" t="s">
        <v>4899</v>
      </c>
      <c r="E624" s="48" t="s">
        <v>5195</v>
      </c>
      <c r="F624" s="14">
        <v>1.666375392E-5</v>
      </c>
      <c r="G624" s="48"/>
      <c r="H624" s="49"/>
      <c r="I624" s="22"/>
      <c r="O624" s="21"/>
    </row>
    <row r="625" spans="1:15" customFormat="1" ht="15" x14ac:dyDescent="0.25">
      <c r="A625" s="48" t="str">
        <f t="shared" si="23"/>
        <v>ethernet_vddh1_dyn_off</v>
      </c>
      <c r="B625" s="48" t="s">
        <v>5289</v>
      </c>
      <c r="C625" s="48" t="s">
        <v>5256</v>
      </c>
      <c r="D625" s="48" t="s">
        <v>4798</v>
      </c>
      <c r="E625" s="48" t="s">
        <v>5195</v>
      </c>
      <c r="F625" s="14">
        <v>0</v>
      </c>
      <c r="G625" s="48"/>
      <c r="H625" s="49"/>
      <c r="I625" s="22"/>
      <c r="O625" s="21"/>
    </row>
    <row r="626" spans="1:15" customFormat="1" ht="15" x14ac:dyDescent="0.25">
      <c r="A626" s="48" t="str">
        <f t="shared" si="23"/>
        <v>ethernet_vddh1_dyn_rgmii_10_1p8v</v>
      </c>
      <c r="B626" s="48" t="s">
        <v>5289</v>
      </c>
      <c r="C626" s="48" t="s">
        <v>5256</v>
      </c>
      <c r="D626" s="48" t="s">
        <v>4893</v>
      </c>
      <c r="E626" s="48" t="s">
        <v>5195</v>
      </c>
      <c r="F626" s="14">
        <v>0.58511241000000003</v>
      </c>
      <c r="G626" s="48"/>
      <c r="H626" s="49"/>
      <c r="I626" s="22"/>
      <c r="O626" s="21"/>
    </row>
    <row r="627" spans="1:15" customFormat="1" ht="15" x14ac:dyDescent="0.25">
      <c r="A627" s="48" t="str">
        <f t="shared" si="23"/>
        <v>ethernet_vddh1_dyn_rgmii_10_3p3v</v>
      </c>
      <c r="B627" s="48" t="s">
        <v>5289</v>
      </c>
      <c r="C627" s="48" t="s">
        <v>5256</v>
      </c>
      <c r="D627" s="48" t="s">
        <v>4898</v>
      </c>
      <c r="E627" s="48" t="s">
        <v>5195</v>
      </c>
      <c r="F627" s="14">
        <v>0</v>
      </c>
      <c r="G627" s="48"/>
      <c r="H627" s="49"/>
      <c r="I627" s="22"/>
      <c r="O627" s="21"/>
    </row>
    <row r="628" spans="1:15" customFormat="1" ht="15" x14ac:dyDescent="0.25">
      <c r="A628" s="48" t="str">
        <f t="shared" si="23"/>
        <v>ethernet_vddh1_dyn_rgmii_100_1p8v</v>
      </c>
      <c r="B628" s="48" t="s">
        <v>5289</v>
      </c>
      <c r="C628" s="48" t="s">
        <v>5256</v>
      </c>
      <c r="D628" s="48" t="s">
        <v>4892</v>
      </c>
      <c r="E628" s="48" t="s">
        <v>5195</v>
      </c>
      <c r="F628" s="14">
        <v>5.1217595999999999</v>
      </c>
      <c r="G628" s="48"/>
      <c r="H628" s="49"/>
      <c r="I628" s="22"/>
      <c r="O628" s="21"/>
    </row>
    <row r="629" spans="1:15" customFormat="1" ht="15" x14ac:dyDescent="0.25">
      <c r="A629" s="48" t="str">
        <f t="shared" si="23"/>
        <v>ethernet_vddh1_dyn_rgmii_100_3p3v</v>
      </c>
      <c r="B629" s="48" t="s">
        <v>5289</v>
      </c>
      <c r="C629" s="48" t="s">
        <v>5256</v>
      </c>
      <c r="D629" s="48" t="s">
        <v>4897</v>
      </c>
      <c r="E629" s="48" t="s">
        <v>5195</v>
      </c>
      <c r="F629" s="14">
        <v>0</v>
      </c>
      <c r="G629" s="48"/>
      <c r="H629" s="49"/>
      <c r="I629" s="22"/>
      <c r="O629" s="21"/>
    </row>
    <row r="630" spans="1:15" customFormat="1" ht="15" x14ac:dyDescent="0.25">
      <c r="A630" s="48" t="str">
        <f t="shared" si="23"/>
        <v>ethernet_vddh1_dyn_rgmii_1000_1p8v</v>
      </c>
      <c r="B630" s="48" t="s">
        <v>5289</v>
      </c>
      <c r="C630" s="48" t="s">
        <v>5256</v>
      </c>
      <c r="D630" s="48" t="s">
        <v>4891</v>
      </c>
      <c r="E630" s="48" t="s">
        <v>5195</v>
      </c>
      <c r="F630" s="14">
        <v>25.365676500000003</v>
      </c>
      <c r="G630" s="48"/>
      <c r="H630" s="49"/>
      <c r="I630" s="22"/>
      <c r="O630" s="21"/>
    </row>
    <row r="631" spans="1:15" customFormat="1" ht="15" x14ac:dyDescent="0.25">
      <c r="A631" s="48" t="str">
        <f t="shared" si="23"/>
        <v>ethernet_vddh1_dyn_rgmii_1000_3p3v</v>
      </c>
      <c r="B631" s="48" t="s">
        <v>5289</v>
      </c>
      <c r="C631" s="48" t="s">
        <v>5256</v>
      </c>
      <c r="D631" s="48" t="s">
        <v>4896</v>
      </c>
      <c r="E631" s="48" t="s">
        <v>5195</v>
      </c>
      <c r="F631" s="14">
        <v>0</v>
      </c>
      <c r="G631" s="48"/>
      <c r="H631" s="49"/>
      <c r="I631" s="22"/>
      <c r="O631" s="21"/>
    </row>
    <row r="632" spans="1:15" customFormat="1" ht="15" x14ac:dyDescent="0.25">
      <c r="A632" s="48" t="str">
        <f t="shared" si="23"/>
        <v>ethernet_vddh1_dyn_rmii_10_1p8v</v>
      </c>
      <c r="B632" s="48" t="s">
        <v>5289</v>
      </c>
      <c r="C632" s="48" t="s">
        <v>5256</v>
      </c>
      <c r="D632" s="48" t="s">
        <v>4895</v>
      </c>
      <c r="E632" s="48" t="s">
        <v>5195</v>
      </c>
      <c r="F632" s="14">
        <v>0.65156561999999996</v>
      </c>
      <c r="G632" s="48"/>
      <c r="H632" s="49"/>
      <c r="I632" s="22"/>
      <c r="O632" s="21"/>
    </row>
    <row r="633" spans="1:15" customFormat="1" ht="15" x14ac:dyDescent="0.25">
      <c r="A633" s="48" t="str">
        <f t="shared" si="23"/>
        <v>ethernet_vddh1_dyn_rmii_10_3p3v</v>
      </c>
      <c r="B633" s="48" t="s">
        <v>5289</v>
      </c>
      <c r="C633" s="48" t="s">
        <v>5256</v>
      </c>
      <c r="D633" s="48" t="s">
        <v>4900</v>
      </c>
      <c r="E633" s="48" t="s">
        <v>5195</v>
      </c>
      <c r="F633" s="14">
        <v>0</v>
      </c>
      <c r="G633" s="48"/>
      <c r="H633" s="49"/>
      <c r="I633" s="22"/>
      <c r="O633" s="21"/>
    </row>
    <row r="634" spans="1:15" customFormat="1" ht="15" x14ac:dyDescent="0.25">
      <c r="A634" s="48" t="str">
        <f t="shared" si="23"/>
        <v>ethernet_vddh1_dyn_rmii_100_1p8v</v>
      </c>
      <c r="B634" s="48" t="s">
        <v>5289</v>
      </c>
      <c r="C634" s="48" t="s">
        <v>5256</v>
      </c>
      <c r="D634" s="48" t="s">
        <v>4894</v>
      </c>
      <c r="E634" s="48" t="s">
        <v>5195</v>
      </c>
      <c r="F634" s="14">
        <v>5.0569272000000005</v>
      </c>
      <c r="G634" s="48"/>
      <c r="H634" s="49"/>
      <c r="I634" s="22"/>
      <c r="O634" s="21"/>
    </row>
    <row r="635" spans="1:15" customFormat="1" ht="15" x14ac:dyDescent="0.25">
      <c r="A635" s="48" t="str">
        <f t="shared" si="23"/>
        <v>ethernet_vddh1_dyn_rmii_100_3p3v</v>
      </c>
      <c r="B635" s="48" t="s">
        <v>5289</v>
      </c>
      <c r="C635" s="48" t="s">
        <v>5256</v>
      </c>
      <c r="D635" s="48" t="s">
        <v>4899</v>
      </c>
      <c r="E635" s="48" t="s">
        <v>5195</v>
      </c>
      <c r="F635" s="14">
        <v>0</v>
      </c>
      <c r="G635" s="48"/>
      <c r="H635" s="49"/>
      <c r="I635" s="22"/>
      <c r="O635" s="21"/>
    </row>
    <row r="636" spans="1:15" customFormat="1" ht="15" x14ac:dyDescent="0.25">
      <c r="A636" s="48" t="str">
        <f t="shared" si="23"/>
        <v>ethernet_vddh2_dyn_off</v>
      </c>
      <c r="B636" s="48" t="s">
        <v>5289</v>
      </c>
      <c r="C636" s="48" t="s">
        <v>5262</v>
      </c>
      <c r="D636" s="48" t="s">
        <v>4798</v>
      </c>
      <c r="E636" s="48" t="s">
        <v>5195</v>
      </c>
      <c r="F636" s="14">
        <v>0</v>
      </c>
      <c r="G636" s="48"/>
      <c r="H636" s="49"/>
      <c r="I636" s="22"/>
      <c r="O636" s="21"/>
    </row>
    <row r="637" spans="1:15" customFormat="1" ht="15" x14ac:dyDescent="0.25">
      <c r="A637" s="48" t="str">
        <f t="shared" si="23"/>
        <v>ethernet_vddh2_dyn_rgmii_10_1p8v</v>
      </c>
      <c r="B637" s="48" t="s">
        <v>5289</v>
      </c>
      <c r="C637" s="48" t="s">
        <v>5262</v>
      </c>
      <c r="D637" s="48" t="s">
        <v>4893</v>
      </c>
      <c r="E637" s="48" t="s">
        <v>5195</v>
      </c>
      <c r="F637" s="14">
        <v>0</v>
      </c>
      <c r="G637" s="48"/>
      <c r="H637" s="49"/>
      <c r="I637" s="22"/>
      <c r="O637" s="21"/>
    </row>
    <row r="638" spans="1:15" customFormat="1" ht="15" x14ac:dyDescent="0.25">
      <c r="A638" s="48" t="str">
        <f t="shared" si="23"/>
        <v>ethernet_vddh2_dyn_rgmii_10_3p3v</v>
      </c>
      <c r="B638" s="48" t="s">
        <v>5289</v>
      </c>
      <c r="C638" s="48" t="s">
        <v>5262</v>
      </c>
      <c r="D638" s="48" t="s">
        <v>4898</v>
      </c>
      <c r="E638" s="48" t="s">
        <v>5195</v>
      </c>
      <c r="F638" s="14">
        <v>3.1450319999999996</v>
      </c>
      <c r="G638" s="48"/>
      <c r="H638" s="49"/>
      <c r="I638" s="22"/>
      <c r="O638" s="21"/>
    </row>
    <row r="639" spans="1:15" customFormat="1" ht="15" x14ac:dyDescent="0.25">
      <c r="A639" s="48" t="str">
        <f t="shared" si="23"/>
        <v>ethernet_vddh2_dyn_rgmii_100_1p8v</v>
      </c>
      <c r="B639" s="48" t="s">
        <v>5289</v>
      </c>
      <c r="C639" s="48" t="s">
        <v>5262</v>
      </c>
      <c r="D639" s="48" t="s">
        <v>4892</v>
      </c>
      <c r="E639" s="48" t="s">
        <v>5195</v>
      </c>
      <c r="F639" s="14">
        <v>0</v>
      </c>
      <c r="G639" s="48"/>
      <c r="H639" s="49"/>
      <c r="I639" s="22"/>
      <c r="O639" s="21"/>
    </row>
    <row r="640" spans="1:15" customFormat="1" ht="15" x14ac:dyDescent="0.25">
      <c r="A640" s="48" t="str">
        <f t="shared" si="23"/>
        <v>ethernet_vddh2_dyn_rgmii_100_3p3v</v>
      </c>
      <c r="B640" s="48" t="s">
        <v>5289</v>
      </c>
      <c r="C640" s="48" t="s">
        <v>5262</v>
      </c>
      <c r="D640" s="48" t="s">
        <v>4897</v>
      </c>
      <c r="E640" s="48" t="s">
        <v>5195</v>
      </c>
      <c r="F640" s="14">
        <v>27.529919999999997</v>
      </c>
      <c r="G640" s="48"/>
      <c r="H640" s="49"/>
      <c r="I640" s="22"/>
      <c r="O640" s="21"/>
    </row>
    <row r="641" spans="1:15" customFormat="1" ht="15" x14ac:dyDescent="0.25">
      <c r="A641" s="48" t="str">
        <f t="shared" si="23"/>
        <v>ethernet_vddh2_dyn_rgmii_1000_1p8v</v>
      </c>
      <c r="B641" s="48" t="s">
        <v>5289</v>
      </c>
      <c r="C641" s="48" t="s">
        <v>5262</v>
      </c>
      <c r="D641" s="48" t="s">
        <v>4891</v>
      </c>
      <c r="E641" s="48" t="s">
        <v>5195</v>
      </c>
      <c r="F641" s="14">
        <v>0</v>
      </c>
      <c r="G641" s="48"/>
      <c r="H641" s="49"/>
      <c r="I641" s="22"/>
      <c r="O641" s="21"/>
    </row>
    <row r="642" spans="1:15" customFormat="1" ht="15" x14ac:dyDescent="0.25">
      <c r="A642" s="48" t="str">
        <f t="shared" si="23"/>
        <v>ethernet_vddh2_dyn_rgmii_1000_3p3v</v>
      </c>
      <c r="B642" s="48" t="s">
        <v>5289</v>
      </c>
      <c r="C642" s="48" t="s">
        <v>5262</v>
      </c>
      <c r="D642" s="48" t="s">
        <v>4896</v>
      </c>
      <c r="E642" s="48" t="s">
        <v>5195</v>
      </c>
      <c r="F642" s="14">
        <v>136.34279999999998</v>
      </c>
      <c r="G642" s="48"/>
      <c r="H642" s="49"/>
      <c r="I642" s="22"/>
      <c r="O642" s="21"/>
    </row>
    <row r="643" spans="1:15" customFormat="1" ht="15" x14ac:dyDescent="0.25">
      <c r="A643" s="48" t="str">
        <f t="shared" si="23"/>
        <v>ethernet_vddh2_dyn_rmii_10_1p8v</v>
      </c>
      <c r="B643" s="48" t="s">
        <v>5289</v>
      </c>
      <c r="C643" s="48" t="s">
        <v>5262</v>
      </c>
      <c r="D643" s="48" t="s">
        <v>4895</v>
      </c>
      <c r="E643" s="48" t="s">
        <v>5195</v>
      </c>
      <c r="F643" s="14">
        <v>0</v>
      </c>
      <c r="G643" s="48"/>
      <c r="H643" s="49"/>
      <c r="I643" s="22"/>
      <c r="O643" s="21"/>
    </row>
    <row r="644" spans="1:15" customFormat="1" ht="15" x14ac:dyDescent="0.25">
      <c r="A644" s="48" t="str">
        <f t="shared" si="23"/>
        <v>ethernet_vddh2_dyn_rmii_10_3p3v</v>
      </c>
      <c r="B644" s="48" t="s">
        <v>5289</v>
      </c>
      <c r="C644" s="48" t="s">
        <v>5262</v>
      </c>
      <c r="D644" s="48" t="s">
        <v>4900</v>
      </c>
      <c r="E644" s="48" t="s">
        <v>5195</v>
      </c>
      <c r="F644" s="14">
        <v>3.5022239999999996</v>
      </c>
      <c r="G644" s="48"/>
      <c r="H644" s="49"/>
      <c r="I644" s="22"/>
      <c r="O644" s="21"/>
    </row>
    <row r="645" spans="1:15" customFormat="1" ht="15" x14ac:dyDescent="0.25">
      <c r="A645" s="48" t="str">
        <f t="shared" si="23"/>
        <v>ethernet_vddh2_dyn_rmii_100_1p8v</v>
      </c>
      <c r="B645" s="48" t="s">
        <v>5289</v>
      </c>
      <c r="C645" s="48" t="s">
        <v>5262</v>
      </c>
      <c r="D645" s="48" t="s">
        <v>4894</v>
      </c>
      <c r="E645" s="48" t="s">
        <v>5195</v>
      </c>
      <c r="F645" s="14">
        <v>0</v>
      </c>
      <c r="G645" s="48"/>
      <c r="H645" s="49"/>
      <c r="I645" s="22"/>
      <c r="O645" s="21"/>
    </row>
    <row r="646" spans="1:15" customFormat="1" ht="15" x14ac:dyDescent="0.25">
      <c r="A646" s="48" t="str">
        <f t="shared" si="23"/>
        <v>ethernet_vddh2_dyn_rmii_100_3p3v</v>
      </c>
      <c r="B646" s="48" t="s">
        <v>5289</v>
      </c>
      <c r="C646" s="48" t="s">
        <v>5262</v>
      </c>
      <c r="D646" s="48" t="s">
        <v>4899</v>
      </c>
      <c r="E646" s="48" t="s">
        <v>5195</v>
      </c>
      <c r="F646" s="14">
        <v>27.181439999999998</v>
      </c>
      <c r="G646" s="48"/>
      <c r="H646" s="49"/>
      <c r="I646" s="22"/>
      <c r="O646" s="21"/>
    </row>
    <row r="647" spans="1:15" customFormat="1" ht="15" x14ac:dyDescent="0.25">
      <c r="A647" s="48" t="str">
        <f t="shared" ref="A647:A677" si="24">B647&amp;"_"&amp;C647</f>
        <v>example_Area</v>
      </c>
      <c r="B647" s="48" t="s">
        <v>5353</v>
      </c>
      <c r="C647" s="48" t="s">
        <v>5211</v>
      </c>
      <c r="D647" s="48"/>
      <c r="E647" s="48" t="s">
        <v>5192</v>
      </c>
      <c r="F647" s="14">
        <v>0.45083899999999999</v>
      </c>
      <c r="G647" s="48" t="s">
        <v>5212</v>
      </c>
      <c r="H647" s="49"/>
      <c r="I647" s="22"/>
      <c r="O647" s="21"/>
    </row>
    <row r="648" spans="1:15" customFormat="1" ht="15" x14ac:dyDescent="0.25">
      <c r="A648" s="48" t="str">
        <f t="shared" si="24"/>
        <v>example_cells</v>
      </c>
      <c r="B648" s="48" t="s">
        <v>5353</v>
      </c>
      <c r="C648" s="48" t="s">
        <v>5213</v>
      </c>
      <c r="D648" s="48"/>
      <c r="E648" s="48" t="s">
        <v>5192</v>
      </c>
      <c r="F648" s="14">
        <v>506482</v>
      </c>
      <c r="G648" s="48" t="s">
        <v>5214</v>
      </c>
      <c r="H648" s="49"/>
      <c r="I648" s="22"/>
      <c r="O648" s="21"/>
    </row>
    <row r="649" spans="1:15" customFormat="1" ht="15" x14ac:dyDescent="0.25">
      <c r="A649" s="48" t="str">
        <f t="shared" si="24"/>
        <v>example_Description</v>
      </c>
      <c r="B649" s="48" t="s">
        <v>5353</v>
      </c>
      <c r="C649" s="48" t="s">
        <v>42</v>
      </c>
      <c r="D649" s="48"/>
      <c r="E649" s="48" t="s">
        <v>5192</v>
      </c>
      <c r="F649" s="14" t="s">
        <v>5787</v>
      </c>
      <c r="G649" s="48" t="s">
        <v>5215</v>
      </c>
      <c r="H649" s="13"/>
      <c r="I649" s="22"/>
      <c r="O649" s="21"/>
    </row>
    <row r="650" spans="1:15" customFormat="1" ht="15" x14ac:dyDescent="0.25">
      <c r="A650" s="48" t="str">
        <f t="shared" si="24"/>
        <v>example_First_SoC</v>
      </c>
      <c r="B650" s="48" t="s">
        <v>5353</v>
      </c>
      <c r="C650" s="48" t="s">
        <v>5216</v>
      </c>
      <c r="D650" s="48"/>
      <c r="E650" s="48" t="s">
        <v>5192</v>
      </c>
      <c r="F650" s="14" t="s">
        <v>5801</v>
      </c>
      <c r="G650" s="48" t="s">
        <v>5217</v>
      </c>
      <c r="H650" s="13"/>
      <c r="I650" s="22"/>
      <c r="O650" s="21"/>
    </row>
    <row r="651" spans="1:15" customFormat="1" ht="15" x14ac:dyDescent="0.25">
      <c r="A651" s="48" t="str">
        <f t="shared" si="24"/>
        <v>example_flops</v>
      </c>
      <c r="B651" s="48" t="s">
        <v>5353</v>
      </c>
      <c r="C651" s="48" t="s">
        <v>5218</v>
      </c>
      <c r="D651" s="48"/>
      <c r="E651" s="48" t="s">
        <v>5192</v>
      </c>
      <c r="F651" s="14">
        <v>54677</v>
      </c>
      <c r="G651" s="48" t="s">
        <v>5219</v>
      </c>
      <c r="H651" s="49"/>
      <c r="I651" s="22"/>
      <c r="O651" s="21"/>
    </row>
    <row r="652" spans="1:15" customFormat="1" ht="15" x14ac:dyDescent="0.25">
      <c r="A652" s="48" t="str">
        <f t="shared" si="24"/>
        <v>example_freq_trk</v>
      </c>
      <c r="B652" s="48" t="s">
        <v>5353</v>
      </c>
      <c r="C652" s="48" t="s">
        <v>5220</v>
      </c>
      <c r="D652" s="48"/>
      <c r="E652" s="48" t="s">
        <v>5192</v>
      </c>
      <c r="F652" s="14">
        <v>1000</v>
      </c>
      <c r="G652" s="48" t="s">
        <v>5221</v>
      </c>
      <c r="H652" s="49"/>
      <c r="I652" s="22"/>
      <c r="O652" s="21"/>
    </row>
    <row r="653" spans="1:15" customFormat="1" ht="15" x14ac:dyDescent="0.25">
      <c r="A653" s="48" t="str">
        <f t="shared" si="24"/>
        <v>example_Function</v>
      </c>
      <c r="B653" s="48" t="s">
        <v>5353</v>
      </c>
      <c r="C653" s="48" t="s">
        <v>5222</v>
      </c>
      <c r="D653" s="48"/>
      <c r="E653" s="48" t="s">
        <v>5192</v>
      </c>
      <c r="F653" s="14" t="s">
        <v>5803</v>
      </c>
      <c r="G653" s="48" t="s">
        <v>5223</v>
      </c>
      <c r="H653" s="13"/>
      <c r="I653" s="22"/>
      <c r="O653" s="21"/>
    </row>
    <row r="654" spans="1:15" x14ac:dyDescent="0.2">
      <c r="A654" s="214" t="str">
        <f t="shared" si="24"/>
        <v>example_kbits</v>
      </c>
      <c r="B654" s="214" t="s">
        <v>5353</v>
      </c>
      <c r="C654" s="214" t="s">
        <v>5224</v>
      </c>
      <c r="D654" s="214"/>
      <c r="E654" s="214" t="s">
        <v>5192</v>
      </c>
      <c r="F654" s="242">
        <v>802.68799999999999</v>
      </c>
      <c r="G654" s="214" t="s">
        <v>5225</v>
      </c>
      <c r="H654" s="243"/>
    </row>
    <row r="655" spans="1:15" customFormat="1" ht="15" x14ac:dyDescent="0.25">
      <c r="A655" s="48" t="str">
        <f t="shared" si="24"/>
        <v>example_lvt16_pct</v>
      </c>
      <c r="B655" s="48" t="s">
        <v>5353</v>
      </c>
      <c r="C655" s="48" t="s">
        <v>5226</v>
      </c>
      <c r="D655" s="48"/>
      <c r="E655" s="48" t="s">
        <v>5192</v>
      </c>
      <c r="F655" s="14">
        <v>0.45</v>
      </c>
      <c r="G655" s="48" t="s">
        <v>5219</v>
      </c>
      <c r="H655" s="49"/>
      <c r="I655" s="22"/>
      <c r="O655" s="21"/>
    </row>
    <row r="656" spans="1:15" customFormat="1" ht="15" x14ac:dyDescent="0.25">
      <c r="A656" s="48" t="str">
        <f t="shared" si="24"/>
        <v>example_lvt20_pct</v>
      </c>
      <c r="B656" s="48" t="s">
        <v>5353</v>
      </c>
      <c r="C656" s="48" t="s">
        <v>5227</v>
      </c>
      <c r="D656" s="48"/>
      <c r="E656" s="48" t="s">
        <v>5192</v>
      </c>
      <c r="F656" s="14">
        <v>0.25</v>
      </c>
      <c r="G656" s="48" t="s">
        <v>5219</v>
      </c>
      <c r="H656" s="49"/>
      <c r="I656" s="22"/>
      <c r="O656" s="21"/>
    </row>
    <row r="657" spans="1:15" customFormat="1" ht="15" x14ac:dyDescent="0.25">
      <c r="A657" s="48" t="str">
        <f t="shared" si="24"/>
        <v>example_macro_area</v>
      </c>
      <c r="B657" s="48" t="s">
        <v>5353</v>
      </c>
      <c r="C657" s="48" t="s">
        <v>5228</v>
      </c>
      <c r="D657" s="48"/>
      <c r="E657" s="48" t="s">
        <v>5192</v>
      </c>
      <c r="F657" s="14">
        <v>0.158391</v>
      </c>
      <c r="G657" s="48" t="s">
        <v>5214</v>
      </c>
      <c r="H657" s="49"/>
      <c r="I657" s="22"/>
      <c r="O657" s="21"/>
    </row>
    <row r="658" spans="1:15" customFormat="1" ht="15" x14ac:dyDescent="0.25">
      <c r="A658" s="48" t="str">
        <f t="shared" si="24"/>
        <v>example_stdcell_area</v>
      </c>
      <c r="B658" s="48" t="s">
        <v>5353</v>
      </c>
      <c r="C658" s="48" t="s">
        <v>5230</v>
      </c>
      <c r="D658" s="48"/>
      <c r="E658" s="48" t="s">
        <v>5192</v>
      </c>
      <c r="F658" s="14">
        <v>0.22751099999999999</v>
      </c>
      <c r="G658" s="48" t="s">
        <v>5231</v>
      </c>
      <c r="H658" s="49"/>
      <c r="I658" s="22"/>
      <c r="O658" s="21"/>
    </row>
    <row r="659" spans="1:15" customFormat="1" ht="15" x14ac:dyDescent="0.25">
      <c r="A659" s="48" t="str">
        <f t="shared" si="24"/>
        <v>example_svt16_pct</v>
      </c>
      <c r="B659" s="48" t="s">
        <v>5353</v>
      </c>
      <c r="C659" s="48" t="s">
        <v>5232</v>
      </c>
      <c r="D659" s="48"/>
      <c r="E659" s="48" t="s">
        <v>5192</v>
      </c>
      <c r="F659" s="14">
        <v>0.18</v>
      </c>
      <c r="G659" s="48" t="s">
        <v>5219</v>
      </c>
      <c r="H659" s="49"/>
      <c r="I659" s="22"/>
      <c r="O659" s="21"/>
    </row>
    <row r="660" spans="1:15" customFormat="1" ht="15" x14ac:dyDescent="0.25">
      <c r="A660" s="48" t="str">
        <f t="shared" si="24"/>
        <v>example_svt20_pct</v>
      </c>
      <c r="B660" s="48" t="s">
        <v>5353</v>
      </c>
      <c r="C660" s="48" t="s">
        <v>5233</v>
      </c>
      <c r="D660" s="48"/>
      <c r="E660" s="48" t="s">
        <v>5192</v>
      </c>
      <c r="F660" s="14">
        <v>0.09</v>
      </c>
      <c r="G660" s="48" t="s">
        <v>5219</v>
      </c>
      <c r="H660" s="49"/>
      <c r="I660" s="22"/>
      <c r="O660" s="21"/>
    </row>
    <row r="661" spans="1:15" customFormat="1" ht="15" x14ac:dyDescent="0.25">
      <c r="A661" s="48" t="str">
        <f t="shared" si="24"/>
        <v>example_tag</v>
      </c>
      <c r="B661" s="48" t="s">
        <v>5353</v>
      </c>
      <c r="C661" s="48" t="s">
        <v>5234</v>
      </c>
      <c r="D661" s="48"/>
      <c r="E661" s="48" t="s">
        <v>5192</v>
      </c>
      <c r="F661" s="14" t="s">
        <v>5235</v>
      </c>
      <c r="G661" s="48" t="s">
        <v>5236</v>
      </c>
      <c r="H661" s="13"/>
      <c r="I661" s="22"/>
      <c r="O661" s="21"/>
    </row>
    <row r="662" spans="1:15" customFormat="1" ht="15" x14ac:dyDescent="0.25">
      <c r="A662" s="48" t="str">
        <f t="shared" si="24"/>
        <v>example_Type</v>
      </c>
      <c r="B662" s="48" t="s">
        <v>5353</v>
      </c>
      <c r="C662" s="48" t="s">
        <v>0</v>
      </c>
      <c r="D662" s="48"/>
      <c r="E662" s="48" t="s">
        <v>5192</v>
      </c>
      <c r="F662" s="14" t="s">
        <v>5777</v>
      </c>
      <c r="G662" s="48" t="s">
        <v>5223</v>
      </c>
      <c r="H662" s="13"/>
      <c r="I662" s="22"/>
      <c r="O662" s="21"/>
    </row>
    <row r="663" spans="1:15" customFormat="1" ht="15" x14ac:dyDescent="0.25">
      <c r="A663" s="48" t="str">
        <f t="shared" si="24"/>
        <v>example_ulvt16_pct</v>
      </c>
      <c r="B663" s="48" t="s">
        <v>5353</v>
      </c>
      <c r="C663" s="48" t="s">
        <v>5237</v>
      </c>
      <c r="D663" s="48"/>
      <c r="E663" s="48" t="s">
        <v>5192</v>
      </c>
      <c r="F663" s="14">
        <v>0.02</v>
      </c>
      <c r="G663" s="48" t="s">
        <v>5219</v>
      </c>
      <c r="H663" s="49"/>
      <c r="I663" s="22"/>
      <c r="O663" s="21"/>
    </row>
    <row r="664" spans="1:15" customFormat="1" ht="15" x14ac:dyDescent="0.25">
      <c r="A664" s="48" t="str">
        <f t="shared" si="24"/>
        <v>example_ulvt20_pct</v>
      </c>
      <c r="B664" s="48" t="s">
        <v>5353</v>
      </c>
      <c r="C664" s="48" t="s">
        <v>5238</v>
      </c>
      <c r="D664" s="48"/>
      <c r="E664" s="48" t="s">
        <v>5192</v>
      </c>
      <c r="F664" s="14">
        <v>0.01</v>
      </c>
      <c r="G664" s="48" t="s">
        <v>5219</v>
      </c>
      <c r="H664" s="49"/>
      <c r="I664" s="22"/>
      <c r="O664" s="21"/>
    </row>
    <row r="665" spans="1:15" customFormat="1" ht="15" x14ac:dyDescent="0.25">
      <c r="A665" s="48" t="str">
        <f t="shared" si="24"/>
        <v>example_vdd_dyn_idle_pct</v>
      </c>
      <c r="B665" s="48" t="s">
        <v>5353</v>
      </c>
      <c r="C665" s="48" t="s">
        <v>5363</v>
      </c>
      <c r="D665" s="51"/>
      <c r="E665" s="48" t="s">
        <v>5192</v>
      </c>
      <c r="F665" s="166">
        <v>3.1794605809128629E-2</v>
      </c>
      <c r="G665" s="48" t="s">
        <v>5239</v>
      </c>
      <c r="H665" s="49"/>
      <c r="I665" s="22"/>
      <c r="O665" s="21"/>
    </row>
    <row r="666" spans="1:15" customFormat="1" ht="15" x14ac:dyDescent="0.25">
      <c r="A666" s="48" t="str">
        <f t="shared" si="24"/>
        <v>example_vdd_dyn_max_pct</v>
      </c>
      <c r="B666" s="48" t="s">
        <v>5353</v>
      </c>
      <c r="C666" s="48" t="s">
        <v>5364</v>
      </c>
      <c r="D666" s="51"/>
      <c r="E666" s="48" t="s">
        <v>5192</v>
      </c>
      <c r="F666" s="14">
        <v>0.04</v>
      </c>
      <c r="G666" s="48" t="s">
        <v>5240</v>
      </c>
      <c r="H666" s="49"/>
      <c r="I666" s="22"/>
      <c r="O666" s="21"/>
    </row>
    <row r="667" spans="1:15" customFormat="1" ht="15" x14ac:dyDescent="0.25">
      <c r="A667" s="48" t="str">
        <f t="shared" si="24"/>
        <v>example_vdd_dyn_peak</v>
      </c>
      <c r="B667" s="48" t="s">
        <v>5353</v>
      </c>
      <c r="C667" s="49" t="s">
        <v>5241</v>
      </c>
      <c r="D667" s="49"/>
      <c r="E667" s="49" t="s">
        <v>5192</v>
      </c>
      <c r="F667" s="14">
        <v>0.06</v>
      </c>
      <c r="G667" s="48" t="s">
        <v>5242</v>
      </c>
      <c r="H667" s="49"/>
      <c r="I667" s="22"/>
      <c r="O667" s="21"/>
    </row>
    <row r="668" spans="1:15" customFormat="1" ht="15" x14ac:dyDescent="0.25">
      <c r="A668" s="48" t="str">
        <f t="shared" si="24"/>
        <v>example_vdd_dyn_trk</v>
      </c>
      <c r="B668" s="48" t="s">
        <v>5353</v>
      </c>
      <c r="C668" s="49" t="s">
        <v>5243</v>
      </c>
      <c r="D668" s="49"/>
      <c r="E668" s="49" t="s">
        <v>5192</v>
      </c>
      <c r="F668" s="14">
        <v>385.6</v>
      </c>
      <c r="G668" s="48" t="s">
        <v>5244</v>
      </c>
      <c r="H668" s="49"/>
      <c r="I668" s="22"/>
      <c r="O668" s="21"/>
    </row>
    <row r="669" spans="1:15" customFormat="1" ht="15" x14ac:dyDescent="0.25">
      <c r="A669" s="48" t="str">
        <f t="shared" si="24"/>
        <v>example_vdd_lkg</v>
      </c>
      <c r="B669" s="48" t="s">
        <v>5353</v>
      </c>
      <c r="C669" s="48" t="s">
        <v>5245</v>
      </c>
      <c r="D669" s="48"/>
      <c r="E669" s="48" t="s">
        <v>5192</v>
      </c>
      <c r="F669" s="14">
        <v>43</v>
      </c>
      <c r="G669" s="48" t="s">
        <v>5212</v>
      </c>
      <c r="H669" s="49"/>
      <c r="I669" s="22"/>
      <c r="O669" s="21"/>
    </row>
    <row r="670" spans="1:15" customFormat="1" ht="15" x14ac:dyDescent="0.25">
      <c r="A670" s="48" t="str">
        <f t="shared" si="24"/>
        <v>example_vddr_lkg</v>
      </c>
      <c r="B670" s="48" t="s">
        <v>5353</v>
      </c>
      <c r="C670" s="48" t="s">
        <v>5246</v>
      </c>
      <c r="D670" s="48"/>
      <c r="E670" s="48" t="s">
        <v>5192</v>
      </c>
      <c r="F670" s="14">
        <v>6.7</v>
      </c>
      <c r="G670" s="48" t="s">
        <v>5247</v>
      </c>
      <c r="H670" s="49"/>
      <c r="I670" s="22"/>
      <c r="O670" s="21"/>
    </row>
    <row r="671" spans="1:15" customFormat="1" ht="15" x14ac:dyDescent="0.25">
      <c r="A671" s="48" t="str">
        <f t="shared" si="24"/>
        <v>example_xtors</v>
      </c>
      <c r="B671" s="48" t="s">
        <v>5353</v>
      </c>
      <c r="C671" s="48" t="s">
        <v>5248</v>
      </c>
      <c r="D671" s="48"/>
      <c r="E671" s="48" t="s">
        <v>5192</v>
      </c>
      <c r="F671" s="14">
        <v>100016.6</v>
      </c>
      <c r="G671" s="48" t="s">
        <v>5214</v>
      </c>
      <c r="H671" s="49"/>
      <c r="I671" s="22"/>
      <c r="O671" s="21"/>
    </row>
    <row r="672" spans="1:15" customFormat="1" ht="15" x14ac:dyDescent="0.25">
      <c r="A672" s="48" t="str">
        <f t="shared" si="24"/>
        <v>fan_Description</v>
      </c>
      <c r="B672" s="48" t="s">
        <v>5292</v>
      </c>
      <c r="C672" s="48" t="s">
        <v>42</v>
      </c>
      <c r="D672" s="48"/>
      <c r="E672" s="48" t="s">
        <v>5192</v>
      </c>
      <c r="F672" s="14" t="s">
        <v>5827</v>
      </c>
      <c r="G672" s="48" t="s">
        <v>5293</v>
      </c>
      <c r="H672" s="13"/>
      <c r="I672" s="22"/>
      <c r="O672" s="21"/>
    </row>
    <row r="673" spans="1:15" customFormat="1" ht="15" x14ac:dyDescent="0.25">
      <c r="A673" s="48" t="str">
        <f t="shared" si="24"/>
        <v>fan_First_SoC</v>
      </c>
      <c r="B673" s="48" t="s">
        <v>5292</v>
      </c>
      <c r="C673" s="48" t="s">
        <v>5216</v>
      </c>
      <c r="D673" s="48"/>
      <c r="E673" s="48" t="s">
        <v>5192</v>
      </c>
      <c r="F673" s="14" t="s">
        <v>5800</v>
      </c>
      <c r="G673" s="48"/>
      <c r="H673" s="13"/>
      <c r="I673" s="22"/>
      <c r="O673" s="21"/>
    </row>
    <row r="674" spans="1:15" customFormat="1" ht="15" x14ac:dyDescent="0.25">
      <c r="A674" s="48" t="str">
        <f t="shared" si="24"/>
        <v>fan_Function</v>
      </c>
      <c r="B674" s="48" t="s">
        <v>5292</v>
      </c>
      <c r="C674" s="48" t="s">
        <v>5222</v>
      </c>
      <c r="D674" s="48"/>
      <c r="E674" s="48" t="s">
        <v>5192</v>
      </c>
      <c r="F674" s="14" t="s">
        <v>5805</v>
      </c>
      <c r="G674" s="48"/>
      <c r="H674" s="13"/>
      <c r="I674" s="22"/>
      <c r="O674" s="21"/>
    </row>
    <row r="675" spans="1:15" customFormat="1" ht="15" x14ac:dyDescent="0.25">
      <c r="A675" s="48" t="str">
        <f t="shared" si="24"/>
        <v>fan_pinmux</v>
      </c>
      <c r="B675" s="48" t="s">
        <v>5292</v>
      </c>
      <c r="C675" s="48" t="s">
        <v>5270</v>
      </c>
      <c r="D675" s="48"/>
      <c r="E675" s="48" t="s">
        <v>5192</v>
      </c>
      <c r="F675" s="14">
        <v>2</v>
      </c>
      <c r="G675" s="48"/>
      <c r="H675" s="49"/>
      <c r="I675" s="22"/>
      <c r="O675" s="21"/>
    </row>
    <row r="676" spans="1:15" customFormat="1" ht="15" x14ac:dyDescent="0.25">
      <c r="A676" s="48" t="str">
        <f t="shared" si="24"/>
        <v>fan_tag</v>
      </c>
      <c r="B676" s="49" t="s">
        <v>5292</v>
      </c>
      <c r="C676" s="49" t="s">
        <v>5234</v>
      </c>
      <c r="D676" s="49"/>
      <c r="E676" s="49" t="s">
        <v>5192</v>
      </c>
      <c r="F676" s="14">
        <v>44499</v>
      </c>
      <c r="G676" s="49" t="s">
        <v>5254</v>
      </c>
      <c r="H676" s="49"/>
      <c r="I676" s="22"/>
      <c r="O676" s="21"/>
    </row>
    <row r="677" spans="1:15" customFormat="1" ht="15" x14ac:dyDescent="0.25">
      <c r="A677" s="48" t="str">
        <f t="shared" si="24"/>
        <v>fan_Type</v>
      </c>
      <c r="B677" s="48" t="s">
        <v>5292</v>
      </c>
      <c r="C677" s="48" t="s">
        <v>0</v>
      </c>
      <c r="D677" s="48"/>
      <c r="E677" s="48" t="s">
        <v>5192</v>
      </c>
      <c r="F677" s="14" t="s">
        <v>5785</v>
      </c>
      <c r="G677" s="48" t="s">
        <v>5288</v>
      </c>
      <c r="H677" s="13"/>
      <c r="I677" s="22"/>
      <c r="O677" s="21"/>
    </row>
    <row r="678" spans="1:15" customFormat="1" ht="15" x14ac:dyDescent="0.25">
      <c r="A678" s="48" t="str">
        <f>B678&amp;"_"&amp;C678&amp;"_"&amp;D678</f>
        <v>fan_vdd_dyn_on_1p8v</v>
      </c>
      <c r="B678" s="48" t="s">
        <v>5292</v>
      </c>
      <c r="C678" s="48" t="s">
        <v>5255</v>
      </c>
      <c r="D678" s="48" t="s">
        <v>5160</v>
      </c>
      <c r="E678" s="48" t="s">
        <v>5195</v>
      </c>
      <c r="F678" s="14">
        <v>1.9910670911999997E-7</v>
      </c>
      <c r="G678" s="48"/>
      <c r="H678" s="49"/>
      <c r="I678" s="22"/>
      <c r="O678" s="21"/>
    </row>
    <row r="679" spans="1:15" customFormat="1" ht="15" x14ac:dyDescent="0.25">
      <c r="A679" s="48" t="str">
        <f>B679&amp;"_"&amp;C679&amp;"_"&amp;D679</f>
        <v>fan_vdd_dyn_on_3p3v</v>
      </c>
      <c r="B679" s="48" t="s">
        <v>5292</v>
      </c>
      <c r="C679" s="48" t="s">
        <v>5255</v>
      </c>
      <c r="D679" s="48" t="s">
        <v>5159</v>
      </c>
      <c r="E679" s="48" t="s">
        <v>5195</v>
      </c>
      <c r="F679" s="14">
        <v>5.5307419200000008E-8</v>
      </c>
      <c r="G679" s="48"/>
      <c r="H679" s="49"/>
      <c r="I679" s="22"/>
      <c r="O679" s="21"/>
    </row>
    <row r="680" spans="1:15" customFormat="1" ht="15" x14ac:dyDescent="0.25">
      <c r="A680" s="48" t="str">
        <f>B680&amp;"_"&amp;C680&amp;"_"&amp;D680</f>
        <v>fan_vddh1_dyn_on_1p8v</v>
      </c>
      <c r="B680" s="48" t="s">
        <v>5292</v>
      </c>
      <c r="C680" s="48" t="s">
        <v>5256</v>
      </c>
      <c r="D680" s="48" t="s">
        <v>5160</v>
      </c>
      <c r="E680" s="48" t="s">
        <v>5195</v>
      </c>
      <c r="F680" s="14">
        <v>0.1500841872</v>
      </c>
      <c r="G680" s="48"/>
      <c r="H680" s="49"/>
      <c r="I680" s="22"/>
      <c r="O680" s="21"/>
    </row>
    <row r="681" spans="1:15" customFormat="1" ht="15" x14ac:dyDescent="0.25">
      <c r="A681" s="48" t="str">
        <f>B681&amp;"_"&amp;C681&amp;"_"&amp;D681</f>
        <v>fan_vddh2_dyn_on_3p3v</v>
      </c>
      <c r="B681" s="48" t="s">
        <v>5292</v>
      </c>
      <c r="C681" s="48" t="s">
        <v>5262</v>
      </c>
      <c r="D681" s="48" t="s">
        <v>5159</v>
      </c>
      <c r="E681" s="48" t="s">
        <v>5195</v>
      </c>
      <c r="F681" s="14">
        <v>2.6135999999999998E-3</v>
      </c>
      <c r="G681" s="48"/>
      <c r="H681" s="49"/>
      <c r="I681" s="22"/>
      <c r="O681" s="21"/>
    </row>
    <row r="682" spans="1:15" customFormat="1" ht="15" x14ac:dyDescent="0.25">
      <c r="A682" s="48" t="str">
        <f t="shared" ref="A682:A687" si="25">B682&amp;"_"&amp;C682</f>
        <v>fsi_Description</v>
      </c>
      <c r="B682" s="48" t="s">
        <v>5294</v>
      </c>
      <c r="C682" s="48" t="s">
        <v>42</v>
      </c>
      <c r="D682" s="48"/>
      <c r="E682" s="48" t="s">
        <v>5192</v>
      </c>
      <c r="F682" s="14" t="s">
        <v>5828</v>
      </c>
      <c r="G682" s="48" t="s">
        <v>5295</v>
      </c>
      <c r="H682" s="13"/>
      <c r="I682" s="22"/>
      <c r="O682" s="21"/>
    </row>
    <row r="683" spans="1:15" customFormat="1" ht="15" x14ac:dyDescent="0.25">
      <c r="A683" s="48" t="str">
        <f t="shared" si="25"/>
        <v>fsi_First_SoC</v>
      </c>
      <c r="B683" s="48" t="s">
        <v>5294</v>
      </c>
      <c r="C683" s="48" t="s">
        <v>5216</v>
      </c>
      <c r="D683" s="48"/>
      <c r="E683" s="48" t="s">
        <v>5192</v>
      </c>
      <c r="F683" s="14" t="s">
        <v>5801</v>
      </c>
      <c r="G683" s="48"/>
      <c r="H683" s="13"/>
      <c r="I683" s="22"/>
      <c r="O683" s="21"/>
    </row>
    <row r="684" spans="1:15" customFormat="1" ht="15" x14ac:dyDescent="0.25">
      <c r="A684" s="48" t="str">
        <f t="shared" si="25"/>
        <v>fsi_Function</v>
      </c>
      <c r="B684" s="48" t="s">
        <v>5294</v>
      </c>
      <c r="C684" s="48" t="s">
        <v>5222</v>
      </c>
      <c r="D684" s="48"/>
      <c r="E684" s="48" t="s">
        <v>5192</v>
      </c>
      <c r="F684" s="14" t="s">
        <v>5294</v>
      </c>
      <c r="G684" s="48"/>
      <c r="H684" s="13"/>
      <c r="I684" s="22"/>
      <c r="O684" s="21"/>
    </row>
    <row r="685" spans="1:15" customFormat="1" ht="15" x14ac:dyDescent="0.25">
      <c r="A685" s="48" t="str">
        <f t="shared" si="25"/>
        <v>fsi_pinmux</v>
      </c>
      <c r="B685" s="48" t="s">
        <v>5294</v>
      </c>
      <c r="C685" s="48" t="s">
        <v>5270</v>
      </c>
      <c r="D685" s="48"/>
      <c r="E685" s="48" t="s">
        <v>5192</v>
      </c>
      <c r="F685" s="14">
        <v>2</v>
      </c>
      <c r="G685" s="48"/>
      <c r="H685" s="49"/>
      <c r="I685" s="22"/>
      <c r="O685" s="21"/>
    </row>
    <row r="686" spans="1:15" customFormat="1" ht="15" x14ac:dyDescent="0.25">
      <c r="A686" s="48" t="str">
        <f t="shared" si="25"/>
        <v>fsi_tag</v>
      </c>
      <c r="B686" s="49" t="s">
        <v>5294</v>
      </c>
      <c r="C686" s="49" t="s">
        <v>5234</v>
      </c>
      <c r="D686" s="49"/>
      <c r="E686" s="49" t="s">
        <v>5192</v>
      </c>
      <c r="F686" s="14">
        <v>44499</v>
      </c>
      <c r="G686" s="49" t="s">
        <v>5254</v>
      </c>
      <c r="H686" s="49"/>
      <c r="I686" s="22"/>
      <c r="O686" s="21"/>
    </row>
    <row r="687" spans="1:15" customFormat="1" ht="15" x14ac:dyDescent="0.25">
      <c r="A687" s="48" t="str">
        <f t="shared" si="25"/>
        <v>fsi_Type</v>
      </c>
      <c r="B687" s="48" t="s">
        <v>5294</v>
      </c>
      <c r="C687" s="48" t="s">
        <v>0</v>
      </c>
      <c r="D687" s="48"/>
      <c r="E687" s="48" t="s">
        <v>5192</v>
      </c>
      <c r="F687" s="14" t="s">
        <v>5785</v>
      </c>
      <c r="G687" s="48" t="s">
        <v>5288</v>
      </c>
      <c r="H687" s="13"/>
      <c r="I687" s="22"/>
      <c r="O687" s="21"/>
    </row>
    <row r="688" spans="1:15" customFormat="1" ht="15" x14ac:dyDescent="0.25">
      <c r="A688" s="48" t="str">
        <f>B688&amp;"_"&amp;C688&amp;"_"&amp;D688</f>
        <v>fsi_vdd_dyn_on_1p8v</v>
      </c>
      <c r="B688" s="48" t="s">
        <v>5294</v>
      </c>
      <c r="C688" s="48" t="s">
        <v>5255</v>
      </c>
      <c r="D688" s="48" t="s">
        <v>5160</v>
      </c>
      <c r="E688" s="48" t="s">
        <v>5195</v>
      </c>
      <c r="F688" s="14">
        <v>1.9910670911999997E-7</v>
      </c>
      <c r="G688" s="48"/>
      <c r="H688" s="49"/>
      <c r="I688" s="22"/>
      <c r="O688" s="21"/>
    </row>
    <row r="689" spans="1:15" customFormat="1" ht="15" x14ac:dyDescent="0.25">
      <c r="A689" s="48" t="str">
        <f>B689&amp;"_"&amp;C689&amp;"_"&amp;D689</f>
        <v>fsi_vdd_dyn_on_3p3v</v>
      </c>
      <c r="B689" s="48" t="s">
        <v>5294</v>
      </c>
      <c r="C689" s="48" t="s">
        <v>5255</v>
      </c>
      <c r="D689" s="48" t="s">
        <v>5159</v>
      </c>
      <c r="E689" s="48" t="s">
        <v>5195</v>
      </c>
      <c r="F689" s="14">
        <v>5.5307419200000008E-8</v>
      </c>
      <c r="G689" s="48"/>
      <c r="H689" s="49"/>
      <c r="I689" s="22"/>
      <c r="O689" s="21"/>
    </row>
    <row r="690" spans="1:15" customFormat="1" ht="15" x14ac:dyDescent="0.25">
      <c r="A690" s="48" t="str">
        <f>B690&amp;"_"&amp;C690&amp;"_"&amp;D690</f>
        <v>fsi_vddh1_dyn_on_1p8v</v>
      </c>
      <c r="B690" s="48" t="s">
        <v>5294</v>
      </c>
      <c r="C690" s="48" t="s">
        <v>5256</v>
      </c>
      <c r="D690" s="48" t="s">
        <v>5160</v>
      </c>
      <c r="E690" s="48" t="s">
        <v>5195</v>
      </c>
      <c r="F690" s="14">
        <v>0.1500841872</v>
      </c>
      <c r="G690" s="48"/>
      <c r="H690" s="49"/>
      <c r="I690" s="22"/>
      <c r="O690" s="21"/>
    </row>
    <row r="691" spans="1:15" customFormat="1" ht="15" x14ac:dyDescent="0.25">
      <c r="A691" s="48" t="str">
        <f>B691&amp;"_"&amp;C691&amp;"_"&amp;D691</f>
        <v>fsi_vddh2_dyn_on_3p3v</v>
      </c>
      <c r="B691" s="48" t="s">
        <v>5294</v>
      </c>
      <c r="C691" s="48" t="s">
        <v>5262</v>
      </c>
      <c r="D691" s="48" t="s">
        <v>5159</v>
      </c>
      <c r="E691" s="48" t="s">
        <v>5195</v>
      </c>
      <c r="F691" s="14">
        <v>2.6135999999999998E-3</v>
      </c>
      <c r="G691" s="48"/>
      <c r="H691" s="49"/>
      <c r="I691" s="22"/>
      <c r="O691" s="21"/>
    </row>
    <row r="692" spans="1:15" customFormat="1" ht="15" x14ac:dyDescent="0.25">
      <c r="A692" s="48" t="str">
        <f t="shared" ref="A692:A698" si="26">B692&amp;"_"&amp;C692</f>
        <v>fuserom_area</v>
      </c>
      <c r="B692" s="59" t="s">
        <v>5390</v>
      </c>
      <c r="C692" s="48" t="s">
        <v>5360</v>
      </c>
      <c r="D692" s="48"/>
      <c r="E692" s="48" t="s">
        <v>5192</v>
      </c>
      <c r="F692" s="14">
        <f>0.19155*(64*0.00572+0.120595)</f>
        <v>9.3222596249999998E-2</v>
      </c>
      <c r="G692" s="48" t="s">
        <v>5391</v>
      </c>
      <c r="H692" s="49"/>
      <c r="I692" s="22"/>
      <c r="O692" s="21"/>
    </row>
    <row r="693" spans="1:15" customFormat="1" ht="15" x14ac:dyDescent="0.25">
      <c r="A693" s="48" t="str">
        <f t="shared" si="26"/>
        <v>fuserom_description</v>
      </c>
      <c r="B693" s="59" t="s">
        <v>5390</v>
      </c>
      <c r="C693" s="48" t="s">
        <v>5379</v>
      </c>
      <c r="D693" s="48"/>
      <c r="E693" s="48" t="s">
        <v>5192</v>
      </c>
      <c r="F693" s="14" t="s">
        <v>5822</v>
      </c>
      <c r="G693" s="48"/>
      <c r="H693" s="13"/>
      <c r="I693" s="22"/>
      <c r="O693" s="21"/>
    </row>
    <row r="694" spans="1:15" customFormat="1" ht="15" x14ac:dyDescent="0.25">
      <c r="A694" s="48" t="str">
        <f t="shared" si="26"/>
        <v>fuserom_first_soc</v>
      </c>
      <c r="B694" s="59" t="s">
        <v>5390</v>
      </c>
      <c r="C694" s="48" t="s">
        <v>5378</v>
      </c>
      <c r="D694" s="48"/>
      <c r="E694" s="48" t="s">
        <v>5192</v>
      </c>
      <c r="F694" s="14" t="s">
        <v>5381</v>
      </c>
      <c r="G694" s="48"/>
      <c r="H694" s="13"/>
      <c r="I694" s="22"/>
      <c r="O694" s="21"/>
    </row>
    <row r="695" spans="1:15" customFormat="1" ht="15" x14ac:dyDescent="0.25">
      <c r="A695" s="48" t="str">
        <f t="shared" si="26"/>
        <v>fuserom_function</v>
      </c>
      <c r="B695" s="59" t="s">
        <v>5390</v>
      </c>
      <c r="C695" s="48" t="s">
        <v>5367</v>
      </c>
      <c r="D695" s="48"/>
      <c r="E695" s="48" t="s">
        <v>5192</v>
      </c>
      <c r="F695" s="14" t="s">
        <v>5821</v>
      </c>
      <c r="G695" s="48"/>
      <c r="H695" s="13"/>
      <c r="I695" s="22"/>
      <c r="O695" s="21"/>
    </row>
    <row r="696" spans="1:15" customFormat="1" ht="15" x14ac:dyDescent="0.25">
      <c r="A696" s="48" t="str">
        <f t="shared" si="26"/>
        <v>fuserom_macro_area</v>
      </c>
      <c r="B696" s="59" t="s">
        <v>5390</v>
      </c>
      <c r="C696" s="48" t="s">
        <v>5228</v>
      </c>
      <c r="D696" s="48"/>
      <c r="E696" s="48" t="s">
        <v>5192</v>
      </c>
      <c r="F696" s="14">
        <f>0.19155*(64*0.00572+0.120595)</f>
        <v>9.3222596249999998E-2</v>
      </c>
      <c r="G696" s="48" t="s">
        <v>5392</v>
      </c>
      <c r="H696" s="49"/>
      <c r="I696" s="22"/>
      <c r="O696" s="21"/>
    </row>
    <row r="697" spans="1:15" customFormat="1" ht="15" x14ac:dyDescent="0.25">
      <c r="A697" s="48" t="str">
        <f t="shared" si="26"/>
        <v>fuserom_tag</v>
      </c>
      <c r="B697" s="59" t="s">
        <v>5390</v>
      </c>
      <c r="C697" s="48" t="s">
        <v>5234</v>
      </c>
      <c r="D697" s="48"/>
      <c r="E697" s="48" t="s">
        <v>5192</v>
      </c>
      <c r="F697" s="14" t="s">
        <v>5393</v>
      </c>
      <c r="G697" s="48" t="s">
        <v>5394</v>
      </c>
      <c r="H697" s="13"/>
      <c r="I697" s="22"/>
      <c r="O697" s="21"/>
    </row>
    <row r="698" spans="1:15" customFormat="1" ht="15" x14ac:dyDescent="0.25">
      <c r="A698" s="48" t="str">
        <f t="shared" si="26"/>
        <v>fuserom_type</v>
      </c>
      <c r="B698" s="59" t="s">
        <v>5390</v>
      </c>
      <c r="C698" s="48" t="s">
        <v>1</v>
      </c>
      <c r="D698" s="48"/>
      <c r="E698" s="48" t="s">
        <v>5192</v>
      </c>
      <c r="F698" s="14" t="s">
        <v>5783</v>
      </c>
      <c r="G698" s="48"/>
      <c r="H698" s="13"/>
      <c r="I698" s="22"/>
      <c r="O698" s="21"/>
    </row>
    <row r="699" spans="1:15" customFormat="1" ht="15" x14ac:dyDescent="0.25">
      <c r="A699" s="48" t="str">
        <f>B699&amp;"_"&amp;C699&amp;"_"&amp;D699</f>
        <v>fuserom_vdd_dyn_off</v>
      </c>
      <c r="B699" s="59" t="s">
        <v>5390</v>
      </c>
      <c r="C699" s="48" t="s">
        <v>5255</v>
      </c>
      <c r="D699" s="48" t="s">
        <v>4798</v>
      </c>
      <c r="E699" s="48" t="s">
        <v>5192</v>
      </c>
      <c r="F699" s="14">
        <v>0</v>
      </c>
      <c r="G699" s="48" t="s">
        <v>5397</v>
      </c>
      <c r="H699" s="49"/>
      <c r="I699" s="22"/>
      <c r="O699" s="21"/>
    </row>
    <row r="700" spans="1:15" customFormat="1" ht="15" x14ac:dyDescent="0.25">
      <c r="A700" s="48" t="str">
        <f>B700&amp;"_"&amp;C700&amp;"_"&amp;D700</f>
        <v>fuserom_vdd_dyn_read</v>
      </c>
      <c r="B700" s="59" t="s">
        <v>5390</v>
      </c>
      <c r="C700" s="48" t="s">
        <v>5255</v>
      </c>
      <c r="D700" s="48" t="s">
        <v>5396</v>
      </c>
      <c r="E700" s="48" t="s">
        <v>5192</v>
      </c>
      <c r="F700" s="14">
        <f>4.81*1.2</f>
        <v>5.7719999999999994</v>
      </c>
      <c r="G700" s="48"/>
      <c r="H700" s="49"/>
      <c r="I700" s="22"/>
      <c r="O700" s="21"/>
    </row>
    <row r="701" spans="1:15" customFormat="1" ht="15" x14ac:dyDescent="0.25">
      <c r="A701" s="48" t="str">
        <f t="shared" ref="A701:A708" si="27">B701&amp;"_"&amp;C701</f>
        <v>fuserom_vdd_lkg</v>
      </c>
      <c r="B701" s="59" t="s">
        <v>5390</v>
      </c>
      <c r="C701" s="48" t="s">
        <v>5245</v>
      </c>
      <c r="D701" s="48"/>
      <c r="E701" s="48" t="s">
        <v>5192</v>
      </c>
      <c r="F701" s="14">
        <f>0.00099*87*1.2</f>
        <v>0.10335599999999999</v>
      </c>
      <c r="G701" s="48" t="s">
        <v>5395</v>
      </c>
      <c r="H701" s="49"/>
      <c r="I701" s="22"/>
      <c r="O701" s="21"/>
    </row>
    <row r="702" spans="1:15" customFormat="1" ht="15" x14ac:dyDescent="0.25">
      <c r="A702" s="48" t="str">
        <f t="shared" si="27"/>
        <v>gpio_Description</v>
      </c>
      <c r="B702" s="48" t="s">
        <v>5307</v>
      </c>
      <c r="C702" s="48" t="s">
        <v>42</v>
      </c>
      <c r="D702" s="48"/>
      <c r="E702" s="48" t="s">
        <v>5192</v>
      </c>
      <c r="F702" s="14" t="s">
        <v>5830</v>
      </c>
      <c r="G702" s="48" t="s">
        <v>5308</v>
      </c>
      <c r="H702" s="13"/>
      <c r="I702" s="22"/>
      <c r="O702" s="21"/>
    </row>
    <row r="703" spans="1:15" customFormat="1" ht="15" x14ac:dyDescent="0.25">
      <c r="A703" s="48" t="str">
        <f t="shared" si="27"/>
        <v>gpio_First_SoC</v>
      </c>
      <c r="B703" s="48" t="s">
        <v>5307</v>
      </c>
      <c r="C703" s="48" t="s">
        <v>5216</v>
      </c>
      <c r="D703" s="48"/>
      <c r="E703" s="48" t="s">
        <v>5192</v>
      </c>
      <c r="F703" s="14" t="s">
        <v>5841</v>
      </c>
      <c r="G703" s="48"/>
      <c r="H703" s="13"/>
      <c r="I703" s="22"/>
      <c r="O703" s="21"/>
    </row>
    <row r="704" spans="1:15" customFormat="1" ht="15" x14ac:dyDescent="0.25">
      <c r="A704" s="48" t="str">
        <f t="shared" si="27"/>
        <v>gpio_Function</v>
      </c>
      <c r="B704" s="48" t="s">
        <v>5307</v>
      </c>
      <c r="C704" s="48" t="s">
        <v>5222</v>
      </c>
      <c r="D704" s="48"/>
      <c r="E704" s="48" t="s">
        <v>5192</v>
      </c>
      <c r="F704" s="14" t="s">
        <v>5307</v>
      </c>
      <c r="G704" s="48" t="s">
        <v>5309</v>
      </c>
      <c r="H704" s="13"/>
      <c r="I704" s="22"/>
      <c r="O704" s="21"/>
    </row>
    <row r="705" spans="1:15" customFormat="1" ht="15" x14ac:dyDescent="0.25">
      <c r="A705" s="48" t="str">
        <f t="shared" si="27"/>
        <v>gpio_pinmux</v>
      </c>
      <c r="B705" s="48" t="s">
        <v>5307</v>
      </c>
      <c r="C705" s="48" t="s">
        <v>5270</v>
      </c>
      <c r="D705" s="48"/>
      <c r="E705" s="48" t="s">
        <v>5192</v>
      </c>
      <c r="F705" s="14">
        <v>1</v>
      </c>
      <c r="G705" s="48"/>
      <c r="H705" s="49"/>
      <c r="I705" s="22"/>
      <c r="O705" s="21"/>
    </row>
    <row r="706" spans="1:15" customFormat="1" ht="15" x14ac:dyDescent="0.25">
      <c r="A706" s="48" t="str">
        <f t="shared" si="27"/>
        <v>gpio_Pinmux</v>
      </c>
      <c r="B706" s="48" t="s">
        <v>5307</v>
      </c>
      <c r="C706" s="48" t="s">
        <v>5261</v>
      </c>
      <c r="D706" s="48"/>
      <c r="E706" s="48" t="s">
        <v>5192</v>
      </c>
      <c r="F706" s="14">
        <v>1</v>
      </c>
      <c r="G706" s="48"/>
      <c r="H706" s="49"/>
      <c r="I706" s="22"/>
      <c r="O706" s="21"/>
    </row>
    <row r="707" spans="1:15" customFormat="1" ht="15" x14ac:dyDescent="0.25">
      <c r="A707" s="48" t="str">
        <f t="shared" si="27"/>
        <v>gpio_tag</v>
      </c>
      <c r="B707" s="49" t="s">
        <v>5307</v>
      </c>
      <c r="C707" s="49" t="s">
        <v>5234</v>
      </c>
      <c r="D707" s="49"/>
      <c r="E707" s="49" t="s">
        <v>5192</v>
      </c>
      <c r="F707" s="14">
        <v>44499</v>
      </c>
      <c r="G707" s="49" t="s">
        <v>5254</v>
      </c>
      <c r="H707" s="49"/>
      <c r="I707" s="22"/>
      <c r="O707" s="21"/>
    </row>
    <row r="708" spans="1:15" customFormat="1" ht="15" x14ac:dyDescent="0.25">
      <c r="A708" s="48" t="str">
        <f t="shared" si="27"/>
        <v>gpio_Type</v>
      </c>
      <c r="B708" s="48" t="s">
        <v>5307</v>
      </c>
      <c r="C708" s="48" t="s">
        <v>0</v>
      </c>
      <c r="D708" s="48"/>
      <c r="E708" s="48" t="s">
        <v>5192</v>
      </c>
      <c r="F708" s="14" t="s">
        <v>5785</v>
      </c>
      <c r="G708" s="48"/>
      <c r="H708" s="13"/>
      <c r="I708" s="22"/>
      <c r="O708" s="21"/>
    </row>
    <row r="709" spans="1:15" customFormat="1" ht="15" x14ac:dyDescent="0.25">
      <c r="A709" s="48" t="str">
        <f>B709&amp;"_"&amp;C709&amp;"_"&amp;D709</f>
        <v>gpio_vdd_dyn_1mbs_1p8v_20pf</v>
      </c>
      <c r="B709" s="48" t="s">
        <v>5307</v>
      </c>
      <c r="C709" s="48" t="s">
        <v>5255</v>
      </c>
      <c r="D709" s="48" t="s">
        <v>5165</v>
      </c>
      <c r="E709" s="48" t="s">
        <v>5195</v>
      </c>
      <c r="F709" s="14">
        <v>1.15368E-7</v>
      </c>
      <c r="G709" s="48"/>
      <c r="H709" s="49"/>
      <c r="I709" s="22"/>
      <c r="O709" s="21"/>
    </row>
    <row r="710" spans="1:15" customFormat="1" ht="15" x14ac:dyDescent="0.25">
      <c r="A710" s="48" t="str">
        <f>B710&amp;"_"&amp;C710&amp;"_"&amp;D710</f>
        <v>gpio_vdd_dyn_1mbs_3p3v_20pf</v>
      </c>
      <c r="B710" s="48" t="s">
        <v>5307</v>
      </c>
      <c r="C710" s="48" t="s">
        <v>5255</v>
      </c>
      <c r="D710" s="48" t="s">
        <v>5163</v>
      </c>
      <c r="E710" s="48" t="s">
        <v>5195</v>
      </c>
      <c r="F710" s="14">
        <v>1.15368E-7</v>
      </c>
      <c r="G710" s="48"/>
      <c r="H710" s="49"/>
      <c r="I710" s="22"/>
      <c r="O710" s="21"/>
    </row>
    <row r="711" spans="1:15" customFormat="1" ht="15" x14ac:dyDescent="0.25">
      <c r="A711" s="48" t="str">
        <f>B711&amp;"_"&amp;C711&amp;"_"&amp;D711</f>
        <v>gpio_vddh1_dyn_1mbs_1p8v_20pf</v>
      </c>
      <c r="B711" s="48" t="s">
        <v>5307</v>
      </c>
      <c r="C711" s="48" t="s">
        <v>5256</v>
      </c>
      <c r="D711" s="48" t="s">
        <v>5165</v>
      </c>
      <c r="E711" s="48" t="s">
        <v>5195</v>
      </c>
      <c r="F711" s="14">
        <v>5.0738400000000003E-2</v>
      </c>
      <c r="G711" s="48"/>
      <c r="H711" s="49"/>
      <c r="I711" s="22"/>
      <c r="O711" s="21"/>
    </row>
    <row r="712" spans="1:15" customFormat="1" ht="15" x14ac:dyDescent="0.25">
      <c r="A712" s="48" t="str">
        <f>B712&amp;"_"&amp;C712&amp;"_"&amp;D712</f>
        <v>gpio_vddh2_dyn_1mbs_3p3v_20pf</v>
      </c>
      <c r="B712" s="48" t="s">
        <v>5307</v>
      </c>
      <c r="C712" s="48" t="s">
        <v>5262</v>
      </c>
      <c r="D712" s="48" t="s">
        <v>5163</v>
      </c>
      <c r="E712" s="48" t="s">
        <v>5195</v>
      </c>
      <c r="F712" s="14">
        <v>2.6135999999999995</v>
      </c>
      <c r="G712" s="48"/>
      <c r="H712" s="49"/>
      <c r="I712" s="22"/>
      <c r="O712" s="21"/>
    </row>
    <row r="713" spans="1:15" customFormat="1" ht="15" x14ac:dyDescent="0.25">
      <c r="A713" s="48" t="str">
        <f t="shared" ref="A713:A718" si="28">B713&amp;"_"&amp;C713</f>
        <v>gpmc_Description</v>
      </c>
      <c r="B713" s="48" t="s">
        <v>5310</v>
      </c>
      <c r="C713" s="48" t="s">
        <v>42</v>
      </c>
      <c r="D713" s="48"/>
      <c r="E713" s="48" t="s">
        <v>5192</v>
      </c>
      <c r="F713" s="14" t="s">
        <v>5831</v>
      </c>
      <c r="G713" s="48" t="s">
        <v>5311</v>
      </c>
      <c r="H713" s="13"/>
      <c r="I713" s="22"/>
      <c r="O713" s="21"/>
    </row>
    <row r="714" spans="1:15" customFormat="1" ht="15" x14ac:dyDescent="0.25">
      <c r="A714" s="48" t="str">
        <f t="shared" si="28"/>
        <v>gpmc_First_SoC</v>
      </c>
      <c r="B714" s="48" t="s">
        <v>5310</v>
      </c>
      <c r="C714" s="48" t="s">
        <v>5216</v>
      </c>
      <c r="D714" s="48"/>
      <c r="E714" s="48" t="s">
        <v>5192</v>
      </c>
      <c r="F714" s="14" t="s">
        <v>5841</v>
      </c>
      <c r="G714" s="48"/>
      <c r="H714" s="13"/>
      <c r="I714" s="22"/>
      <c r="O714" s="21"/>
    </row>
    <row r="715" spans="1:15" customFormat="1" ht="15" x14ac:dyDescent="0.25">
      <c r="A715" s="48" t="str">
        <f t="shared" si="28"/>
        <v>gpmc_Function</v>
      </c>
      <c r="B715" s="48" t="s">
        <v>5310</v>
      </c>
      <c r="C715" s="48" t="s">
        <v>5222</v>
      </c>
      <c r="D715" s="48"/>
      <c r="E715" s="48" t="s">
        <v>5192</v>
      </c>
      <c r="F715" s="14" t="s">
        <v>5310</v>
      </c>
      <c r="G715" s="48" t="s">
        <v>5260</v>
      </c>
      <c r="H715" s="13"/>
      <c r="I715" s="22"/>
      <c r="O715" s="21"/>
    </row>
    <row r="716" spans="1:15" customFormat="1" ht="15" x14ac:dyDescent="0.25">
      <c r="A716" s="48" t="str">
        <f t="shared" si="28"/>
        <v>gpmc_Pinmux</v>
      </c>
      <c r="B716" s="48" t="s">
        <v>5310</v>
      </c>
      <c r="C716" s="48" t="s">
        <v>5261</v>
      </c>
      <c r="D716" s="48"/>
      <c r="E716" s="48" t="s">
        <v>5192</v>
      </c>
      <c r="F716" s="14">
        <v>34</v>
      </c>
      <c r="G716" s="48" t="s">
        <v>5312</v>
      </c>
      <c r="H716" s="49"/>
      <c r="I716" s="22"/>
      <c r="O716" s="21"/>
    </row>
    <row r="717" spans="1:15" customFormat="1" ht="15" x14ac:dyDescent="0.25">
      <c r="A717" s="48" t="str">
        <f t="shared" si="28"/>
        <v>gpmc_tag</v>
      </c>
      <c r="B717" s="49" t="s">
        <v>5310</v>
      </c>
      <c r="C717" s="49" t="s">
        <v>5234</v>
      </c>
      <c r="D717" s="49"/>
      <c r="E717" s="49" t="s">
        <v>5192</v>
      </c>
      <c r="F717" s="14">
        <v>44499</v>
      </c>
      <c r="G717" s="49" t="s">
        <v>5254</v>
      </c>
      <c r="H717" s="49"/>
      <c r="I717" s="22"/>
      <c r="O717" s="21"/>
    </row>
    <row r="718" spans="1:15" customFormat="1" ht="15" x14ac:dyDescent="0.25">
      <c r="A718" s="48" t="str">
        <f t="shared" si="28"/>
        <v>gpmc_Type</v>
      </c>
      <c r="B718" s="48" t="s">
        <v>5310</v>
      </c>
      <c r="C718" s="48" t="s">
        <v>0</v>
      </c>
      <c r="D718" s="48"/>
      <c r="E718" s="48" t="s">
        <v>5192</v>
      </c>
      <c r="F718" s="14" t="s">
        <v>5785</v>
      </c>
      <c r="G718" s="48" t="s">
        <v>5260</v>
      </c>
      <c r="H718" s="13"/>
      <c r="I718" s="22"/>
      <c r="O718" s="21"/>
    </row>
    <row r="719" spans="1:15" customFormat="1" ht="15" x14ac:dyDescent="0.25">
      <c r="A719" s="48" t="str">
        <f t="shared" ref="A719:A732" si="29">B719&amp;"_"&amp;C719&amp;"_"&amp;D719</f>
        <v>gpmc_vdd_dyn_16b_100_MHz_3p3V</v>
      </c>
      <c r="B719" s="48" t="s">
        <v>5310</v>
      </c>
      <c r="C719" s="48" t="s">
        <v>5255</v>
      </c>
      <c r="D719" s="54" t="s">
        <v>4903</v>
      </c>
      <c r="E719" s="48" t="s">
        <v>5195</v>
      </c>
      <c r="F719" s="14">
        <v>5.4923783682239995E-5</v>
      </c>
      <c r="G719" s="48" t="s">
        <v>5260</v>
      </c>
      <c r="H719" s="49"/>
      <c r="I719" s="22"/>
      <c r="O719" s="21"/>
    </row>
    <row r="720" spans="1:15" customFormat="1" ht="15" x14ac:dyDescent="0.25">
      <c r="A720" s="48" t="str">
        <f t="shared" si="29"/>
        <v>gpmc_vdd_dyn_16b_133_MHz_1p8V</v>
      </c>
      <c r="B720" s="48" t="s">
        <v>5310</v>
      </c>
      <c r="C720" s="48" t="s">
        <v>5255</v>
      </c>
      <c r="D720" s="54" t="s">
        <v>4905</v>
      </c>
      <c r="E720" s="48" t="s">
        <v>5195</v>
      </c>
      <c r="F720" s="14">
        <v>7.3048632297379205E-5</v>
      </c>
      <c r="G720" s="48" t="s">
        <v>5260</v>
      </c>
      <c r="H720" s="49"/>
      <c r="I720" s="22"/>
      <c r="O720" s="21"/>
    </row>
    <row r="721" spans="1:15" customFormat="1" ht="15" x14ac:dyDescent="0.25">
      <c r="A721" s="48" t="str">
        <f t="shared" si="29"/>
        <v>gpmc_vdd_dyn_16b_133_MHz_3p3V</v>
      </c>
      <c r="B721" s="48" t="s">
        <v>5310</v>
      </c>
      <c r="C721" s="48" t="s">
        <v>5255</v>
      </c>
      <c r="D721" s="54" t="s">
        <v>4902</v>
      </c>
      <c r="E721" s="48" t="s">
        <v>5195</v>
      </c>
      <c r="F721" s="14">
        <v>7.3048632297379205E-5</v>
      </c>
      <c r="G721" s="48" t="s">
        <v>5260</v>
      </c>
      <c r="H721" s="49"/>
      <c r="I721" s="22"/>
      <c r="O721" s="21"/>
    </row>
    <row r="722" spans="1:15" customFormat="1" ht="15" x14ac:dyDescent="0.25">
      <c r="A722" s="48" t="str">
        <f t="shared" si="29"/>
        <v>gpmc_vdd_dyn_16b_80_MHz_1p8V</v>
      </c>
      <c r="B722" s="48" t="s">
        <v>5310</v>
      </c>
      <c r="C722" s="48" t="s">
        <v>5255</v>
      </c>
      <c r="D722" s="54" t="s">
        <v>4907</v>
      </c>
      <c r="E722" s="48" t="s">
        <v>5195</v>
      </c>
      <c r="F722" s="14">
        <v>4.3939026945792E-5</v>
      </c>
      <c r="G722" s="48" t="s">
        <v>5260</v>
      </c>
      <c r="H722" s="49"/>
      <c r="I722" s="22"/>
      <c r="O722" s="21"/>
    </row>
    <row r="723" spans="1:15" customFormat="1" ht="15" x14ac:dyDescent="0.25">
      <c r="A723" s="48" t="str">
        <f t="shared" si="29"/>
        <v>gpmc_vdd_dyn_16b_80_MHz_3p3V</v>
      </c>
      <c r="B723" s="48" t="s">
        <v>5310</v>
      </c>
      <c r="C723" s="48" t="s">
        <v>5255</v>
      </c>
      <c r="D723" s="54" t="s">
        <v>4904</v>
      </c>
      <c r="E723" s="48" t="s">
        <v>5195</v>
      </c>
      <c r="F723" s="14">
        <v>4.3939026945792E-5</v>
      </c>
      <c r="G723" s="48" t="s">
        <v>5260</v>
      </c>
      <c r="H723" s="49"/>
      <c r="I723" s="22"/>
      <c r="O723" s="21"/>
    </row>
    <row r="724" spans="1:15" customFormat="1" ht="15" x14ac:dyDescent="0.25">
      <c r="A724" s="48" t="str">
        <f t="shared" si="29"/>
        <v>gpmc_vdd_dyn_off</v>
      </c>
      <c r="B724" s="48" t="s">
        <v>5310</v>
      </c>
      <c r="C724" s="48" t="s">
        <v>5255</v>
      </c>
      <c r="D724" s="54" t="s">
        <v>4798</v>
      </c>
      <c r="E724" s="48" t="s">
        <v>5195</v>
      </c>
      <c r="F724" s="14">
        <v>0</v>
      </c>
      <c r="G724" s="48" t="s">
        <v>5260</v>
      </c>
      <c r="H724" s="49"/>
      <c r="I724" s="22"/>
      <c r="O724" s="21"/>
    </row>
    <row r="725" spans="1:15" customFormat="1" ht="15" x14ac:dyDescent="0.25">
      <c r="A725" s="48" t="str">
        <f t="shared" si="29"/>
        <v>gpmc_vddh1_dyn_16b_100_MHz_1p8V</v>
      </c>
      <c r="B725" s="48" t="s">
        <v>5310</v>
      </c>
      <c r="C725" s="48" t="s">
        <v>5256</v>
      </c>
      <c r="D725" s="54" t="s">
        <v>4906</v>
      </c>
      <c r="E725" s="48" t="s">
        <v>5195</v>
      </c>
      <c r="F725" s="14">
        <v>49.057746876000003</v>
      </c>
      <c r="G725" s="48" t="s">
        <v>5260</v>
      </c>
      <c r="H725" s="49"/>
      <c r="I725" s="22"/>
      <c r="O725" s="21"/>
    </row>
    <row r="726" spans="1:15" customFormat="1" ht="15" x14ac:dyDescent="0.25">
      <c r="A726" s="48" t="str">
        <f t="shared" si="29"/>
        <v>gpmc_vddh1_dyn_16b_133_MHz_1p8V</v>
      </c>
      <c r="B726" s="48" t="s">
        <v>5310</v>
      </c>
      <c r="C726" s="48" t="s">
        <v>5256</v>
      </c>
      <c r="D726" s="54" t="s">
        <v>4905</v>
      </c>
      <c r="E726" s="48" t="s">
        <v>5195</v>
      </c>
      <c r="F726" s="14">
        <v>37.123181213580004</v>
      </c>
      <c r="G726" s="48" t="s">
        <v>5260</v>
      </c>
      <c r="H726" s="49"/>
      <c r="I726" s="22"/>
      <c r="O726" s="21"/>
    </row>
    <row r="727" spans="1:15" customFormat="1" ht="15" x14ac:dyDescent="0.25">
      <c r="A727" s="48" t="str">
        <f t="shared" si="29"/>
        <v>gpmc_vddh1_dyn_16b_80_MHz_1p8V</v>
      </c>
      <c r="B727" s="48" t="s">
        <v>5310</v>
      </c>
      <c r="C727" s="48" t="s">
        <v>5256</v>
      </c>
      <c r="D727" s="54" t="s">
        <v>4907</v>
      </c>
      <c r="E727" s="48" t="s">
        <v>5195</v>
      </c>
      <c r="F727" s="14">
        <v>15.563147284800001</v>
      </c>
      <c r="G727" s="48" t="s">
        <v>5260</v>
      </c>
      <c r="H727" s="49"/>
      <c r="I727" s="22"/>
      <c r="O727" s="21"/>
    </row>
    <row r="728" spans="1:15" customFormat="1" ht="15" x14ac:dyDescent="0.25">
      <c r="A728" s="48" t="str">
        <f t="shared" si="29"/>
        <v>gpmc_vddh1_dyn_off</v>
      </c>
      <c r="B728" s="48" t="s">
        <v>5310</v>
      </c>
      <c r="C728" s="48" t="s">
        <v>5256</v>
      </c>
      <c r="D728" s="54" t="s">
        <v>4798</v>
      </c>
      <c r="E728" s="48" t="s">
        <v>5195</v>
      </c>
      <c r="F728" s="14">
        <v>0</v>
      </c>
      <c r="G728" s="48" t="s">
        <v>5260</v>
      </c>
      <c r="H728" s="49"/>
      <c r="I728" s="22"/>
      <c r="O728" s="21"/>
    </row>
    <row r="729" spans="1:15" customFormat="1" ht="15" x14ac:dyDescent="0.25">
      <c r="A729" s="48" t="str">
        <f t="shared" si="29"/>
        <v>gpmc_vddh1_dyn_off</v>
      </c>
      <c r="B729" s="48" t="s">
        <v>5310</v>
      </c>
      <c r="C729" s="48" t="s">
        <v>5256</v>
      </c>
      <c r="D729" s="54" t="s">
        <v>4798</v>
      </c>
      <c r="E729" s="48" t="s">
        <v>5195</v>
      </c>
      <c r="F729" s="14">
        <v>0</v>
      </c>
      <c r="G729" s="48" t="s">
        <v>5260</v>
      </c>
      <c r="H729" s="49"/>
      <c r="I729" s="22"/>
      <c r="O729" s="21"/>
    </row>
    <row r="730" spans="1:15" customFormat="1" ht="15" x14ac:dyDescent="0.25">
      <c r="A730" s="48" t="str">
        <f t="shared" si="29"/>
        <v>gpmc_vddh2_dyn_16b_100_MHz_3p3V</v>
      </c>
      <c r="B730" s="48" t="s">
        <v>5310</v>
      </c>
      <c r="C730" s="48" t="s">
        <v>5262</v>
      </c>
      <c r="D730" s="54" t="s">
        <v>4903</v>
      </c>
      <c r="E730" s="48" t="s">
        <v>5195</v>
      </c>
      <c r="F730" s="14">
        <v>104.56665120000001</v>
      </c>
      <c r="G730" s="48" t="s">
        <v>5260</v>
      </c>
      <c r="H730" s="49"/>
      <c r="I730" s="22"/>
      <c r="O730" s="21"/>
    </row>
    <row r="731" spans="1:15" customFormat="1" ht="15" x14ac:dyDescent="0.25">
      <c r="A731" s="48" t="str">
        <f t="shared" si="29"/>
        <v>gpmc_vddh2_dyn_16b_133_MHz_3p3V</v>
      </c>
      <c r="B731" s="48" t="s">
        <v>5310</v>
      </c>
      <c r="C731" s="48" t="s">
        <v>5262</v>
      </c>
      <c r="D731" s="54" t="s">
        <v>4902</v>
      </c>
      <c r="E731" s="48" t="s">
        <v>5195</v>
      </c>
      <c r="F731" s="14">
        <v>104.30523457199999</v>
      </c>
      <c r="G731" s="48" t="s">
        <v>5260</v>
      </c>
      <c r="H731" s="49"/>
      <c r="I731" s="22"/>
      <c r="O731" s="21"/>
    </row>
    <row r="732" spans="1:15" customFormat="1" ht="15" x14ac:dyDescent="0.25">
      <c r="A732" s="48" t="str">
        <f t="shared" si="29"/>
        <v>gpmc_vddh2_dyn_16b_80_MHz_3p3V</v>
      </c>
      <c r="B732" s="48" t="s">
        <v>5310</v>
      </c>
      <c r="C732" s="48" t="s">
        <v>5262</v>
      </c>
      <c r="D732" s="54" t="s">
        <v>4904</v>
      </c>
      <c r="E732" s="48" t="s">
        <v>5195</v>
      </c>
      <c r="F732" s="14">
        <v>83.653320960000002</v>
      </c>
      <c r="G732" s="48" t="s">
        <v>5260</v>
      </c>
      <c r="H732" s="49"/>
      <c r="I732" s="22"/>
      <c r="O732" s="21"/>
    </row>
    <row r="733" spans="1:15" customFormat="1" ht="15" x14ac:dyDescent="0.25">
      <c r="A733" s="48" t="str">
        <f t="shared" ref="A733:A745" si="30">B733&amp;"_"&amp;C733</f>
        <v>hsdivider_area</v>
      </c>
      <c r="B733" s="59" t="s">
        <v>5451</v>
      </c>
      <c r="C733" s="48" t="s">
        <v>5360</v>
      </c>
      <c r="D733" s="48"/>
      <c r="E733" s="48" t="s">
        <v>5192</v>
      </c>
      <c r="F733" s="14">
        <f>0.14*0.14</f>
        <v>1.9600000000000003E-2</v>
      </c>
      <c r="G733" s="48" t="s">
        <v>5383</v>
      </c>
      <c r="H733" s="49"/>
      <c r="I733" s="22"/>
      <c r="O733" s="21"/>
    </row>
    <row r="734" spans="1:15" customFormat="1" ht="15" x14ac:dyDescent="0.25">
      <c r="A734" s="48" t="str">
        <f t="shared" si="30"/>
        <v>hsdivider_area</v>
      </c>
      <c r="B734" s="59" t="s">
        <v>5451</v>
      </c>
      <c r="C734" s="48" t="s">
        <v>5360</v>
      </c>
      <c r="D734" s="48"/>
      <c r="E734" s="48" t="s">
        <v>5192</v>
      </c>
      <c r="F734" s="14">
        <f>0.14*0.14</f>
        <v>1.9600000000000003E-2</v>
      </c>
      <c r="G734" s="48" t="s">
        <v>5383</v>
      </c>
      <c r="H734" s="49"/>
      <c r="I734" s="22"/>
      <c r="O734" s="21"/>
    </row>
    <row r="735" spans="1:15" customFormat="1" ht="15" x14ac:dyDescent="0.25">
      <c r="A735" s="48" t="str">
        <f t="shared" si="30"/>
        <v>hsdivider_description</v>
      </c>
      <c r="B735" s="59" t="s">
        <v>5451</v>
      </c>
      <c r="C735" s="48" t="s">
        <v>5379</v>
      </c>
      <c r="D735" s="48"/>
      <c r="E735" s="48" t="s">
        <v>5192</v>
      </c>
      <c r="F735" s="14" t="s">
        <v>5833</v>
      </c>
      <c r="G735" s="48"/>
      <c r="H735" s="13"/>
      <c r="I735" s="22"/>
      <c r="O735" s="21"/>
    </row>
    <row r="736" spans="1:15" customFormat="1" ht="15" x14ac:dyDescent="0.25">
      <c r="A736" s="48" t="str">
        <f t="shared" si="30"/>
        <v>hsdivider_first_soc</v>
      </c>
      <c r="B736" s="59" t="s">
        <v>5451</v>
      </c>
      <c r="C736" s="48" t="s">
        <v>5378</v>
      </c>
      <c r="D736" s="48"/>
      <c r="E736" s="48" t="s">
        <v>5192</v>
      </c>
      <c r="F736" s="14" t="s">
        <v>5381</v>
      </c>
      <c r="G736" s="48"/>
      <c r="H736" s="13"/>
      <c r="I736" s="22"/>
      <c r="O736" s="21"/>
    </row>
    <row r="737" spans="1:15" customFormat="1" ht="15" x14ac:dyDescent="0.25">
      <c r="A737" s="48" t="str">
        <f t="shared" si="30"/>
        <v>hsdivider_first_soc</v>
      </c>
      <c r="B737" s="59" t="s">
        <v>5451</v>
      </c>
      <c r="C737" s="48" t="s">
        <v>5378</v>
      </c>
      <c r="D737" s="48"/>
      <c r="E737" s="48" t="s">
        <v>5192</v>
      </c>
      <c r="F737" s="14" t="s">
        <v>5381</v>
      </c>
      <c r="G737" s="48"/>
      <c r="H737" s="13"/>
      <c r="I737" s="22"/>
      <c r="O737" s="21"/>
    </row>
    <row r="738" spans="1:15" customFormat="1" ht="15" x14ac:dyDescent="0.25">
      <c r="A738" s="48" t="str">
        <f t="shared" si="30"/>
        <v>hsdivider_function</v>
      </c>
      <c r="B738" s="59" t="s">
        <v>5451</v>
      </c>
      <c r="C738" s="48" t="s">
        <v>5367</v>
      </c>
      <c r="D738" s="48"/>
      <c r="E738" s="48" t="s">
        <v>5192</v>
      </c>
      <c r="F738" s="14" t="s">
        <v>5380</v>
      </c>
      <c r="G738" s="48"/>
      <c r="H738" s="13"/>
      <c r="I738" s="22"/>
      <c r="O738" s="21"/>
    </row>
    <row r="739" spans="1:15" customFormat="1" ht="15" x14ac:dyDescent="0.25">
      <c r="A739" s="48" t="str">
        <f t="shared" si="30"/>
        <v>hsdivider_function</v>
      </c>
      <c r="B739" s="59" t="s">
        <v>5451</v>
      </c>
      <c r="C739" s="48" t="s">
        <v>5367</v>
      </c>
      <c r="D739" s="48"/>
      <c r="E739" s="48" t="s">
        <v>5192</v>
      </c>
      <c r="F739" s="14" t="s">
        <v>5380</v>
      </c>
      <c r="G739" s="48"/>
      <c r="H739" s="13"/>
      <c r="I739" s="22"/>
      <c r="O739" s="21"/>
    </row>
    <row r="740" spans="1:15" customFormat="1" ht="15" x14ac:dyDescent="0.25">
      <c r="A740" s="48" t="str">
        <f t="shared" si="30"/>
        <v>hsdivider_macro_area</v>
      </c>
      <c r="B740" s="59" t="s">
        <v>5451</v>
      </c>
      <c r="C740" s="48" t="s">
        <v>5228</v>
      </c>
      <c r="D740" s="48"/>
      <c r="E740" s="48" t="s">
        <v>5192</v>
      </c>
      <c r="F740" s="14">
        <f>0.14*0.14</f>
        <v>1.9600000000000003E-2</v>
      </c>
      <c r="G740" s="48"/>
      <c r="H740" s="49"/>
      <c r="I740" s="22"/>
      <c r="O740" s="21"/>
    </row>
    <row r="741" spans="1:15" customFormat="1" ht="15" x14ac:dyDescent="0.25">
      <c r="A741" s="48" t="str">
        <f t="shared" si="30"/>
        <v>hsdivider_macro_area</v>
      </c>
      <c r="B741" s="59" t="s">
        <v>5451</v>
      </c>
      <c r="C741" s="48" t="s">
        <v>5228</v>
      </c>
      <c r="D741" s="48"/>
      <c r="E741" s="48" t="s">
        <v>5192</v>
      </c>
      <c r="F741" s="14">
        <f>0.14*0.14</f>
        <v>1.9600000000000003E-2</v>
      </c>
      <c r="G741" s="48"/>
      <c r="H741" s="49"/>
      <c r="I741" s="22"/>
      <c r="O741" s="21"/>
    </row>
    <row r="742" spans="1:15" customFormat="1" ht="15" x14ac:dyDescent="0.25">
      <c r="A742" s="48" t="str">
        <f t="shared" si="30"/>
        <v>hsdivider_tag</v>
      </c>
      <c r="B742" s="59" t="s">
        <v>5451</v>
      </c>
      <c r="C742" s="48" t="s">
        <v>5234</v>
      </c>
      <c r="D742" s="48"/>
      <c r="E742" s="48" t="s">
        <v>5192</v>
      </c>
      <c r="F742" s="14" t="s">
        <v>5382</v>
      </c>
      <c r="G742" s="48"/>
      <c r="H742" s="13"/>
      <c r="I742" s="22"/>
      <c r="O742" s="21"/>
    </row>
    <row r="743" spans="1:15" customFormat="1" ht="15" x14ac:dyDescent="0.25">
      <c r="A743" s="48" t="str">
        <f t="shared" si="30"/>
        <v>hsdivider_tag</v>
      </c>
      <c r="B743" s="59" t="s">
        <v>5451</v>
      </c>
      <c r="C743" s="48" t="s">
        <v>5234</v>
      </c>
      <c r="D743" s="48"/>
      <c r="E743" s="48" t="s">
        <v>5192</v>
      </c>
      <c r="F743" s="14" t="s">
        <v>5382</v>
      </c>
      <c r="G743" s="48"/>
      <c r="H743" s="13"/>
      <c r="I743" s="22"/>
      <c r="O743" s="21"/>
    </row>
    <row r="744" spans="1:15" customFormat="1" ht="15" x14ac:dyDescent="0.25">
      <c r="A744" s="48" t="str">
        <f t="shared" si="30"/>
        <v>hsdivider_type</v>
      </c>
      <c r="B744" s="59" t="s">
        <v>5451</v>
      </c>
      <c r="C744" s="48" t="s">
        <v>1</v>
      </c>
      <c r="D744" s="48"/>
      <c r="E744" s="48" t="s">
        <v>5192</v>
      </c>
      <c r="F744" s="14" t="s">
        <v>5783</v>
      </c>
      <c r="G744" s="48"/>
      <c r="H744" s="13"/>
      <c r="I744" s="22"/>
      <c r="O744" s="21"/>
    </row>
    <row r="745" spans="1:15" customFormat="1" ht="15" x14ac:dyDescent="0.25">
      <c r="A745" s="48" t="str">
        <f t="shared" si="30"/>
        <v>hsdivider_type</v>
      </c>
      <c r="B745" s="59" t="s">
        <v>5451</v>
      </c>
      <c r="C745" s="48" t="s">
        <v>1</v>
      </c>
      <c r="D745" s="48"/>
      <c r="E745" s="48" t="s">
        <v>5192</v>
      </c>
      <c r="F745" s="14" t="s">
        <v>5783</v>
      </c>
      <c r="G745" s="48"/>
      <c r="H745" s="13"/>
      <c r="I745" s="22"/>
      <c r="O745" s="21"/>
    </row>
    <row r="746" spans="1:15" customFormat="1" ht="15" x14ac:dyDescent="0.25">
      <c r="A746" s="48" t="str">
        <f>B746&amp;"_"&amp;C746&amp;"_"&amp;D746</f>
        <v>hsdivider_vdd_dyn_off</v>
      </c>
      <c r="B746" s="59" t="s">
        <v>5451</v>
      </c>
      <c r="C746" s="48" t="s">
        <v>5255</v>
      </c>
      <c r="D746" s="48" t="s">
        <v>4798</v>
      </c>
      <c r="E746" s="48" t="s">
        <v>5195</v>
      </c>
      <c r="F746" s="14">
        <v>0</v>
      </c>
      <c r="G746" s="48"/>
      <c r="H746" s="49"/>
      <c r="I746" s="22"/>
      <c r="O746" s="21"/>
    </row>
    <row r="747" spans="1:15" customFormat="1" ht="15" x14ac:dyDescent="0.25">
      <c r="A747" s="48" t="str">
        <f>B747&amp;"_"&amp;C747&amp;"_"&amp;D747</f>
        <v>hsdivider_vdd_dyn_off</v>
      </c>
      <c r="B747" s="59" t="s">
        <v>5451</v>
      </c>
      <c r="C747" s="48" t="s">
        <v>5255</v>
      </c>
      <c r="D747" s="48" t="s">
        <v>4798</v>
      </c>
      <c r="E747" s="48" t="s">
        <v>5195</v>
      </c>
      <c r="F747" s="14">
        <v>0</v>
      </c>
      <c r="G747" s="48"/>
      <c r="H747" s="49"/>
      <c r="I747" s="22"/>
      <c r="O747" s="21"/>
    </row>
    <row r="748" spans="1:15" customFormat="1" ht="15" x14ac:dyDescent="0.25">
      <c r="A748" s="48" t="str">
        <f>B748&amp;"_"&amp;C748&amp;"_"&amp;D748</f>
        <v>hsdivider_vdd_dyn_on</v>
      </c>
      <c r="B748" s="59" t="s">
        <v>5451</v>
      </c>
      <c r="C748" s="48" t="s">
        <v>5255</v>
      </c>
      <c r="D748" s="48" t="s">
        <v>4872</v>
      </c>
      <c r="E748" s="48" t="s">
        <v>5195</v>
      </c>
      <c r="F748" s="14">
        <f>0.004*1.2</f>
        <v>4.7999999999999996E-3</v>
      </c>
      <c r="G748" s="48"/>
      <c r="H748" s="49"/>
      <c r="I748" s="22"/>
      <c r="O748" s="21"/>
    </row>
    <row r="749" spans="1:15" customFormat="1" ht="15" x14ac:dyDescent="0.25">
      <c r="A749" s="48" t="str">
        <f>B749&amp;"_"&amp;C749&amp;"_"&amp;D749</f>
        <v>hsdivider_vdd_dyn_on</v>
      </c>
      <c r="B749" s="59" t="s">
        <v>5451</v>
      </c>
      <c r="C749" s="48" t="s">
        <v>5255</v>
      </c>
      <c r="D749" s="48" t="s">
        <v>4872</v>
      </c>
      <c r="E749" s="48" t="s">
        <v>5195</v>
      </c>
      <c r="F749" s="14">
        <v>2.4</v>
      </c>
      <c r="G749" s="48"/>
      <c r="H749" s="49"/>
      <c r="I749" s="22"/>
      <c r="O749" s="21"/>
    </row>
    <row r="750" spans="1:15" customFormat="1" ht="15" x14ac:dyDescent="0.25">
      <c r="A750" s="48" t="str">
        <f>B750&amp;"_"&amp;C750</f>
        <v>hsdivider_vdd_lkg</v>
      </c>
      <c r="B750" s="59" t="s">
        <v>5451</v>
      </c>
      <c r="C750" s="48" t="s">
        <v>5245</v>
      </c>
      <c r="D750" s="48"/>
      <c r="E750" s="48" t="s">
        <v>5192</v>
      </c>
      <c r="F750" s="14">
        <f>0.0002*1.2</f>
        <v>2.4000000000000001E-4</v>
      </c>
      <c r="G750" s="48"/>
      <c r="H750" s="49"/>
      <c r="I750" s="22"/>
      <c r="O750" s="21"/>
    </row>
    <row r="751" spans="1:15" customFormat="1" ht="15" x14ac:dyDescent="0.25">
      <c r="A751" s="48" t="str">
        <f>B751&amp;"_"&amp;C751</f>
        <v>hsdivider_vdd_lkg</v>
      </c>
      <c r="B751" s="59" t="s">
        <v>5451</v>
      </c>
      <c r="C751" s="48" t="s">
        <v>5245</v>
      </c>
      <c r="D751" s="48"/>
      <c r="E751" s="48" t="s">
        <v>5192</v>
      </c>
      <c r="F751" s="14">
        <v>0.16</v>
      </c>
      <c r="G751" s="48"/>
      <c r="H751" s="49"/>
      <c r="I751" s="22"/>
      <c r="O751" s="21"/>
    </row>
    <row r="752" spans="1:15" customFormat="1" ht="15" x14ac:dyDescent="0.25">
      <c r="A752" s="48" t="str">
        <f>B752&amp;"_"&amp;C752&amp;"_"&amp;D752</f>
        <v>hsdivider_vdda_dyn_off</v>
      </c>
      <c r="B752" s="59" t="s">
        <v>5451</v>
      </c>
      <c r="C752" s="48" t="s">
        <v>5274</v>
      </c>
      <c r="D752" s="48" t="s">
        <v>4798</v>
      </c>
      <c r="E752" s="48" t="s">
        <v>5195</v>
      </c>
      <c r="F752" s="14">
        <v>0</v>
      </c>
      <c r="G752" s="48"/>
      <c r="H752" s="49"/>
      <c r="I752" s="22"/>
      <c r="O752" s="21"/>
    </row>
    <row r="753" spans="1:15" customFormat="1" ht="15" x14ac:dyDescent="0.25">
      <c r="A753" s="48" t="str">
        <f>B753&amp;"_"&amp;C753&amp;"_"&amp;D753</f>
        <v>hsdivider_vdda_dyn_on</v>
      </c>
      <c r="B753" s="59" t="s">
        <v>5451</v>
      </c>
      <c r="C753" s="48" t="s">
        <v>5274</v>
      </c>
      <c r="D753" s="48" t="s">
        <v>4872</v>
      </c>
      <c r="E753" s="48" t="s">
        <v>5195</v>
      </c>
      <c r="F753" s="14">
        <v>8.1</v>
      </c>
      <c r="G753" s="48"/>
      <c r="H753" s="49"/>
      <c r="I753" s="22"/>
      <c r="O753" s="21"/>
    </row>
    <row r="754" spans="1:15" customFormat="1" ht="15" x14ac:dyDescent="0.25">
      <c r="A754" s="48" t="str">
        <f t="shared" ref="A754:A785" si="31">B754&amp;"_"&amp;C754</f>
        <v>hsdivider_vdda_lkg</v>
      </c>
      <c r="B754" s="59" t="s">
        <v>5451</v>
      </c>
      <c r="C754" s="48" t="s">
        <v>5275</v>
      </c>
      <c r="D754" s="48"/>
      <c r="E754" s="48" t="s">
        <v>5192</v>
      </c>
      <c r="F754" s="14">
        <v>0.2</v>
      </c>
      <c r="G754" s="48"/>
      <c r="H754" s="49"/>
      <c r="I754" s="22"/>
      <c r="O754" s="21"/>
    </row>
    <row r="755" spans="1:15" customFormat="1" ht="15" x14ac:dyDescent="0.25">
      <c r="A755" s="48" t="str">
        <f t="shared" si="31"/>
        <v>i_cortexr5ss_wrap_accuracy_grade</v>
      </c>
      <c r="B755" s="59" t="s">
        <v>5452</v>
      </c>
      <c r="C755" s="48" t="s">
        <v>5366</v>
      </c>
      <c r="D755" s="48"/>
      <c r="E755" s="48" t="s">
        <v>5192</v>
      </c>
      <c r="F755" s="14" t="s">
        <v>5786</v>
      </c>
      <c r="G755" s="13" t="s">
        <v>5425</v>
      </c>
      <c r="H755" s="13"/>
      <c r="I755" s="22"/>
      <c r="O755" s="21"/>
    </row>
    <row r="756" spans="1:15" customFormat="1" ht="15" x14ac:dyDescent="0.25">
      <c r="A756" s="48" t="str">
        <f t="shared" si="31"/>
        <v>i_cortexr5ss_wrap_area</v>
      </c>
      <c r="B756" s="59" t="s">
        <v>5452</v>
      </c>
      <c r="C756" s="48" t="s">
        <v>5360</v>
      </c>
      <c r="D756" s="48"/>
      <c r="E756" s="48" t="s">
        <v>5192</v>
      </c>
      <c r="F756" s="14">
        <v>3.3860000000000001</v>
      </c>
      <c r="G756" s="13" t="s">
        <v>5425</v>
      </c>
      <c r="H756" s="13"/>
      <c r="I756" s="22"/>
      <c r="O756" s="21"/>
    </row>
    <row r="757" spans="1:15" customFormat="1" ht="15" x14ac:dyDescent="0.25">
      <c r="A757" s="48" t="str">
        <f t="shared" si="31"/>
        <v>i_cortexr5ss_wrap_data_source</v>
      </c>
      <c r="B757" s="59" t="s">
        <v>5452</v>
      </c>
      <c r="C757" s="48" t="s">
        <v>5368</v>
      </c>
      <c r="D757" s="48"/>
      <c r="E757" s="48" t="s">
        <v>5192</v>
      </c>
      <c r="F757" s="14" t="s">
        <v>5369</v>
      </c>
      <c r="G757" s="13" t="s">
        <v>5425</v>
      </c>
      <c r="H757" s="13"/>
      <c r="I757" s="22"/>
      <c r="O757" s="21"/>
    </row>
    <row r="758" spans="1:15" customFormat="1" ht="15" x14ac:dyDescent="0.25">
      <c r="A758" s="48" t="str">
        <f t="shared" si="31"/>
        <v>i_cortexr5ss_wrap_description</v>
      </c>
      <c r="B758" s="59" t="s">
        <v>5452</v>
      </c>
      <c r="C758" s="48" t="s">
        <v>5379</v>
      </c>
      <c r="D758" s="48"/>
      <c r="E758" s="48" t="s">
        <v>5192</v>
      </c>
      <c r="F758" s="14" t="s">
        <v>5859</v>
      </c>
      <c r="G758" s="13" t="s">
        <v>5425</v>
      </c>
      <c r="H758" s="13"/>
      <c r="I758" s="22"/>
      <c r="O758" s="21"/>
    </row>
    <row r="759" spans="1:15" customFormat="1" ht="15" x14ac:dyDescent="0.25">
      <c r="A759" s="48" t="str">
        <f t="shared" si="31"/>
        <v>i_cortexr5ss_wrap_first_soc</v>
      </c>
      <c r="B759" s="59" t="s">
        <v>5452</v>
      </c>
      <c r="C759" s="48" t="s">
        <v>5378</v>
      </c>
      <c r="D759" s="48"/>
      <c r="E759" s="48" t="s">
        <v>5192</v>
      </c>
      <c r="F759" s="14" t="s">
        <v>5389</v>
      </c>
      <c r="G759" s="13" t="s">
        <v>5425</v>
      </c>
      <c r="H759" s="13"/>
      <c r="I759" s="22"/>
      <c r="O759" s="21"/>
    </row>
    <row r="760" spans="1:15" customFormat="1" ht="15" x14ac:dyDescent="0.25">
      <c r="A760" s="48" t="str">
        <f t="shared" si="31"/>
        <v>i_cortexr5ss_wrap_freq_trk</v>
      </c>
      <c r="B760" s="59" t="s">
        <v>5452</v>
      </c>
      <c r="C760" s="48" t="s">
        <v>5220</v>
      </c>
      <c r="D760" s="48"/>
      <c r="E760" s="48" t="s">
        <v>5192</v>
      </c>
      <c r="F760" s="14">
        <v>400</v>
      </c>
      <c r="G760" s="13" t="s">
        <v>5425</v>
      </c>
      <c r="H760" s="13"/>
      <c r="I760" s="22"/>
      <c r="O760" s="21"/>
    </row>
    <row r="761" spans="1:15" customFormat="1" ht="15" x14ac:dyDescent="0.25">
      <c r="A761" s="48" t="str">
        <f t="shared" si="31"/>
        <v>i_cortexr5ss_wrap_function</v>
      </c>
      <c r="B761" s="59" t="s">
        <v>5452</v>
      </c>
      <c r="C761" s="48" t="s">
        <v>5367</v>
      </c>
      <c r="D761" s="48"/>
      <c r="E761" s="48" t="s">
        <v>5192</v>
      </c>
      <c r="F761" s="14" t="s">
        <v>5850</v>
      </c>
      <c r="G761" s="13" t="s">
        <v>5425</v>
      </c>
      <c r="H761" s="13"/>
      <c r="I761" s="22"/>
      <c r="O761" s="21"/>
    </row>
    <row r="762" spans="1:15" x14ac:dyDescent="0.2">
      <c r="A762" s="214" t="str">
        <f t="shared" si="31"/>
        <v>i_cortexr5ss_wrap_kbits</v>
      </c>
      <c r="B762" s="215" t="s">
        <v>5452</v>
      </c>
      <c r="C762" s="214" t="s">
        <v>5224</v>
      </c>
      <c r="D762" s="214"/>
      <c r="E762" s="214" t="s">
        <v>5192</v>
      </c>
      <c r="F762" s="242">
        <f>2663936/1000</f>
        <v>2663.9360000000001</v>
      </c>
      <c r="G762" s="243" t="s">
        <v>5949</v>
      </c>
      <c r="H762" s="243"/>
    </row>
    <row r="763" spans="1:15" customFormat="1" ht="15" x14ac:dyDescent="0.25">
      <c r="A763" s="48" t="str">
        <f t="shared" si="31"/>
        <v>i_cortexr5ss_wrap_lvt_pct</v>
      </c>
      <c r="B763" s="59" t="s">
        <v>5452</v>
      </c>
      <c r="C763" s="48" t="s">
        <v>5357</v>
      </c>
      <c r="D763" s="48"/>
      <c r="E763" s="48" t="s">
        <v>5192</v>
      </c>
      <c r="F763" s="14">
        <v>0</v>
      </c>
      <c r="G763" s="13" t="s">
        <v>5425</v>
      </c>
      <c r="H763" s="13"/>
      <c r="I763" s="22"/>
      <c r="O763" s="21"/>
    </row>
    <row r="764" spans="1:15" customFormat="1" ht="15" x14ac:dyDescent="0.25">
      <c r="A764" s="48" t="str">
        <f t="shared" si="31"/>
        <v>i_cortexr5ss_wrap_macro_area</v>
      </c>
      <c r="B764" s="59" t="s">
        <v>5452</v>
      </c>
      <c r="C764" s="48" t="s">
        <v>5228</v>
      </c>
      <c r="D764" s="48"/>
      <c r="E764" s="48" t="s">
        <v>5192</v>
      </c>
      <c r="F764" s="14">
        <f>1008912.635/1000000</f>
        <v>1.0089126349999999</v>
      </c>
      <c r="G764" s="13" t="s">
        <v>5946</v>
      </c>
      <c r="H764" s="13"/>
      <c r="I764" s="22"/>
      <c r="O764" s="21"/>
    </row>
    <row r="765" spans="1:15" customFormat="1" ht="15" x14ac:dyDescent="0.25">
      <c r="A765" s="48" t="str">
        <f t="shared" si="31"/>
        <v>i_cortexr5ss_wrap_macros</v>
      </c>
      <c r="B765" s="59" t="s">
        <v>5452</v>
      </c>
      <c r="C765" s="48" t="s">
        <v>5229</v>
      </c>
      <c r="D765" s="48"/>
      <c r="E765" s="48" t="s">
        <v>5192</v>
      </c>
      <c r="F765" s="14">
        <v>77</v>
      </c>
      <c r="G765" s="13" t="s">
        <v>5948</v>
      </c>
      <c r="H765" s="13"/>
      <c r="I765" s="22"/>
      <c r="O765" s="21"/>
    </row>
    <row r="766" spans="1:15" customFormat="1" ht="15" x14ac:dyDescent="0.25">
      <c r="A766" s="48" t="str">
        <f t="shared" si="31"/>
        <v>i_cortexr5ss_wrap_osvt_pct</v>
      </c>
      <c r="B766" s="59" t="s">
        <v>5452</v>
      </c>
      <c r="C766" s="48" t="s">
        <v>5354</v>
      </c>
      <c r="D766" s="48"/>
      <c r="E766" s="48" t="s">
        <v>5192</v>
      </c>
      <c r="F766" s="14">
        <v>0.22274270384286995</v>
      </c>
      <c r="G766" s="13" t="s">
        <v>5425</v>
      </c>
      <c r="H766" s="13"/>
      <c r="I766" s="22"/>
      <c r="O766" s="21"/>
    </row>
    <row r="767" spans="1:15" customFormat="1" ht="15" x14ac:dyDescent="0.25">
      <c r="A767" s="48" t="str">
        <f t="shared" si="31"/>
        <v>i_cortexr5ss_wrap_stdcell_area</v>
      </c>
      <c r="B767" s="59" t="s">
        <v>5452</v>
      </c>
      <c r="C767" s="48" t="s">
        <v>5230</v>
      </c>
      <c r="D767" s="48"/>
      <c r="E767" s="48" t="s">
        <v>5192</v>
      </c>
      <c r="F767" s="14">
        <v>1.4596684</v>
      </c>
      <c r="G767" s="13" t="s">
        <v>6004</v>
      </c>
      <c r="H767" s="13"/>
      <c r="I767" s="22"/>
      <c r="O767" s="21"/>
    </row>
    <row r="768" spans="1:15" customFormat="1" ht="15" x14ac:dyDescent="0.25">
      <c r="A768" s="48" t="str">
        <f t="shared" si="31"/>
        <v>i_cortexr5ss_wrap_svt_pct</v>
      </c>
      <c r="B768" s="59" t="s">
        <v>5452</v>
      </c>
      <c r="C768" s="48" t="s">
        <v>5356</v>
      </c>
      <c r="D768" s="48"/>
      <c r="E768" s="48" t="s">
        <v>5192</v>
      </c>
      <c r="F768" s="14">
        <v>0.32682989728760298</v>
      </c>
      <c r="G768" s="21" t="s">
        <v>5425</v>
      </c>
      <c r="H768" s="13"/>
      <c r="I768" s="22"/>
      <c r="O768" s="21"/>
    </row>
    <row r="769" spans="1:15" s="22" customFormat="1" ht="15" x14ac:dyDescent="0.25">
      <c r="A769" s="48" t="str">
        <f t="shared" si="31"/>
        <v>i_cortexr5ss_wrap_tag</v>
      </c>
      <c r="B769" s="59" t="s">
        <v>5452</v>
      </c>
      <c r="C769" s="48" t="s">
        <v>5234</v>
      </c>
      <c r="D769" s="48"/>
      <c r="E769" s="48" t="s">
        <v>5192</v>
      </c>
      <c r="F769" s="14" t="s">
        <v>5370</v>
      </c>
      <c r="G769" s="13" t="s">
        <v>5425</v>
      </c>
      <c r="H769" s="13"/>
      <c r="O769" s="21"/>
    </row>
    <row r="770" spans="1:15" s="22" customFormat="1" ht="15" x14ac:dyDescent="0.25">
      <c r="A770" s="48" t="str">
        <f t="shared" si="31"/>
        <v>i_cortexr5ss_wrap_type</v>
      </c>
      <c r="B770" s="59" t="s">
        <v>5452</v>
      </c>
      <c r="C770" s="48" t="s">
        <v>1</v>
      </c>
      <c r="D770" s="48"/>
      <c r="E770" s="48" t="s">
        <v>5192</v>
      </c>
      <c r="F770" s="14" t="s">
        <v>5777</v>
      </c>
      <c r="G770" s="13" t="s">
        <v>5425</v>
      </c>
      <c r="H770" s="13"/>
      <c r="O770" s="21"/>
    </row>
    <row r="771" spans="1:15" customFormat="1" ht="15" x14ac:dyDescent="0.25">
      <c r="A771" s="48" t="str">
        <f t="shared" si="31"/>
        <v>i_cortexr5ss_wrap_vdd_dyn_idle_pct</v>
      </c>
      <c r="B771" s="59" t="s">
        <v>5452</v>
      </c>
      <c r="C771" s="48" t="s">
        <v>5363</v>
      </c>
      <c r="D771" s="48"/>
      <c r="E771" s="48" t="s">
        <v>5192</v>
      </c>
      <c r="F771" s="166">
        <f>0.1*0.125</f>
        <v>1.2500000000000001E-2</v>
      </c>
      <c r="G771" s="13" t="s">
        <v>6045</v>
      </c>
      <c r="H771" s="13"/>
      <c r="I771" s="22"/>
      <c r="O771" s="21"/>
    </row>
    <row r="772" spans="1:15" s="252" customFormat="1" ht="15" x14ac:dyDescent="0.25">
      <c r="A772" s="260" t="str">
        <f t="shared" si="31"/>
        <v>i_cortexr5ss_wrap_vdd_dyn_int</v>
      </c>
      <c r="B772" s="260" t="s">
        <v>5452</v>
      </c>
      <c r="C772" s="260" t="s">
        <v>5361</v>
      </c>
      <c r="D772" s="260"/>
      <c r="E772" s="260" t="s">
        <v>5192</v>
      </c>
      <c r="F772" s="261">
        <v>2091.6</v>
      </c>
      <c r="G772" s="256" t="s">
        <v>5425</v>
      </c>
      <c r="H772" s="256"/>
      <c r="O772" s="262"/>
    </row>
    <row r="773" spans="1:15" s="22" customFormat="1" ht="15" x14ac:dyDescent="0.25">
      <c r="A773" s="48" t="str">
        <f t="shared" si="31"/>
        <v>i_cortexr5ss_wrap_vdd_dyn_max_pct</v>
      </c>
      <c r="B773" s="59" t="s">
        <v>5452</v>
      </c>
      <c r="C773" s="48" t="s">
        <v>5364</v>
      </c>
      <c r="D773" s="48"/>
      <c r="E773" s="48" t="s">
        <v>5192</v>
      </c>
      <c r="F773" s="14">
        <v>0.04</v>
      </c>
      <c r="G773" s="13" t="s">
        <v>6044</v>
      </c>
      <c r="H773" s="13"/>
      <c r="O773" s="21"/>
    </row>
    <row r="774" spans="1:15" customFormat="1" ht="15" x14ac:dyDescent="0.25">
      <c r="A774" s="48" t="str">
        <f t="shared" si="31"/>
        <v>i_cortexr5ss_wrap_vdd_dyn_peak_pct</v>
      </c>
      <c r="B774" s="59" t="s">
        <v>5452</v>
      </c>
      <c r="C774" s="48" t="s">
        <v>5365</v>
      </c>
      <c r="D774" s="48"/>
      <c r="E774" s="48" t="s">
        <v>5192</v>
      </c>
      <c r="F774" s="14">
        <v>0.06</v>
      </c>
      <c r="G774" s="13" t="s">
        <v>5425</v>
      </c>
      <c r="H774" s="13"/>
      <c r="I774" s="22"/>
      <c r="O774" s="21"/>
    </row>
    <row r="775" spans="1:15" s="252" customFormat="1" ht="15" x14ac:dyDescent="0.25">
      <c r="A775" s="260" t="str">
        <f t="shared" si="31"/>
        <v>i_cortexr5ss_wrap_vdd_dyn_sw</v>
      </c>
      <c r="B775" s="260" t="s">
        <v>5452</v>
      </c>
      <c r="C775" s="260" t="s">
        <v>5362</v>
      </c>
      <c r="D775" s="260"/>
      <c r="E775" s="260" t="s">
        <v>5192</v>
      </c>
      <c r="F775" s="261">
        <v>2870.8</v>
      </c>
      <c r="G775" s="256" t="s">
        <v>5425</v>
      </c>
      <c r="H775" s="256"/>
      <c r="O775" s="262"/>
    </row>
    <row r="776" spans="1:15" customFormat="1" ht="15" x14ac:dyDescent="0.25">
      <c r="A776" s="48" t="str">
        <f t="shared" si="31"/>
        <v>i_cortexr5ss_wrap_vdd_lkg</v>
      </c>
      <c r="B776" s="59" t="s">
        <v>5452</v>
      </c>
      <c r="C776" s="48" t="s">
        <v>5245</v>
      </c>
      <c r="D776" s="48"/>
      <c r="E776" s="48" t="s">
        <v>5192</v>
      </c>
      <c r="F776" s="14">
        <v>80.12</v>
      </c>
      <c r="G776" s="13" t="s">
        <v>5425</v>
      </c>
      <c r="H776" s="13"/>
      <c r="I776" s="22"/>
      <c r="O776" s="21"/>
    </row>
    <row r="777" spans="1:15" customFormat="1" ht="15" x14ac:dyDescent="0.25">
      <c r="A777" s="48" t="str">
        <f t="shared" si="31"/>
        <v>i_cortexr5ss_wrap_vddr_lkg</v>
      </c>
      <c r="B777" s="59" t="s">
        <v>5452</v>
      </c>
      <c r="C777" s="48" t="s">
        <v>5246</v>
      </c>
      <c r="D777" s="48"/>
      <c r="E777" s="48" t="s">
        <v>5192</v>
      </c>
      <c r="F777" s="14">
        <v>6</v>
      </c>
      <c r="G777" s="13" t="s">
        <v>5425</v>
      </c>
      <c r="H777" s="13"/>
      <c r="I777" s="22"/>
      <c r="O777" s="21"/>
    </row>
    <row r="778" spans="1:15" customFormat="1" ht="15" x14ac:dyDescent="0.25">
      <c r="A778" s="48" t="str">
        <f t="shared" si="31"/>
        <v>i_cortexr5ss_wrap_xsvt_pct</v>
      </c>
      <c r="B778" s="59" t="s">
        <v>5452</v>
      </c>
      <c r="C778" s="48" t="s">
        <v>5355</v>
      </c>
      <c r="D778" s="48"/>
      <c r="E778" s="48" t="s">
        <v>5192</v>
      </c>
      <c r="F778" s="14">
        <v>0.45042739886952715</v>
      </c>
      <c r="G778" s="13" t="s">
        <v>5425</v>
      </c>
      <c r="H778" s="13"/>
      <c r="I778" s="22"/>
      <c r="O778" s="21"/>
    </row>
    <row r="779" spans="1:15" s="22" customFormat="1" ht="15" x14ac:dyDescent="0.25">
      <c r="A779" s="48" t="str">
        <f t="shared" si="31"/>
        <v>i_cortexr5ss_wrap_tpr12_accuracy_grade</v>
      </c>
      <c r="B779" s="59" t="s">
        <v>5453</v>
      </c>
      <c r="C779" s="48" t="s">
        <v>5366</v>
      </c>
      <c r="D779" s="48"/>
      <c r="E779" s="48" t="s">
        <v>5192</v>
      </c>
      <c r="F779" s="14" t="s">
        <v>5786</v>
      </c>
      <c r="G779" s="13" t="s">
        <v>5425</v>
      </c>
      <c r="H779" s="13"/>
      <c r="O779" s="21"/>
    </row>
    <row r="780" spans="1:15" s="22" customFormat="1" ht="15" x14ac:dyDescent="0.25">
      <c r="A780" s="48" t="str">
        <f t="shared" si="31"/>
        <v>i_cortexr5ss_wrap_tpr12_area</v>
      </c>
      <c r="B780" s="59" t="s">
        <v>5453</v>
      </c>
      <c r="C780" s="48" t="s">
        <v>5360</v>
      </c>
      <c r="D780" s="48"/>
      <c r="E780" s="48" t="s">
        <v>5192</v>
      </c>
      <c r="F780" s="14">
        <v>2.4</v>
      </c>
      <c r="G780" s="13" t="s">
        <v>5425</v>
      </c>
      <c r="H780" s="13"/>
      <c r="O780" s="21"/>
    </row>
    <row r="781" spans="1:15" s="22" customFormat="1" ht="15" x14ac:dyDescent="0.25">
      <c r="A781" s="48" t="str">
        <f t="shared" si="31"/>
        <v>i_cortexr5ss_wrap_tpr12_data_source</v>
      </c>
      <c r="B781" s="59" t="s">
        <v>5453</v>
      </c>
      <c r="C781" s="48" t="s">
        <v>5368</v>
      </c>
      <c r="D781" s="48"/>
      <c r="E781" s="48" t="s">
        <v>5192</v>
      </c>
      <c r="F781" s="14" t="s">
        <v>5369</v>
      </c>
      <c r="G781" s="13" t="s">
        <v>5425</v>
      </c>
      <c r="H781" s="13"/>
      <c r="O781" s="21"/>
    </row>
    <row r="782" spans="1:15" s="22" customFormat="1" ht="15" x14ac:dyDescent="0.25">
      <c r="A782" s="48" t="str">
        <f t="shared" si="31"/>
        <v>i_cortexr5ss_wrap_tpr12_description</v>
      </c>
      <c r="B782" s="59" t="s">
        <v>5453</v>
      </c>
      <c r="C782" s="48" t="s">
        <v>5379</v>
      </c>
      <c r="D782" s="48"/>
      <c r="E782" s="48" t="s">
        <v>5192</v>
      </c>
      <c r="F782" s="14" t="s">
        <v>5860</v>
      </c>
      <c r="G782" s="13" t="s">
        <v>5425</v>
      </c>
      <c r="H782" s="13"/>
      <c r="O782" s="21"/>
    </row>
    <row r="783" spans="1:15" s="22" customFormat="1" ht="15" x14ac:dyDescent="0.25">
      <c r="A783" s="48" t="str">
        <f t="shared" si="31"/>
        <v>i_cortexr5ss_wrap_tpr12_first_soc</v>
      </c>
      <c r="B783" s="59" t="s">
        <v>5453</v>
      </c>
      <c r="C783" s="48" t="s">
        <v>5378</v>
      </c>
      <c r="D783" s="48"/>
      <c r="E783" s="48" t="s">
        <v>5192</v>
      </c>
      <c r="F783" s="14" t="s">
        <v>5381</v>
      </c>
      <c r="G783" s="13" t="s">
        <v>5425</v>
      </c>
      <c r="H783" s="13"/>
      <c r="O783" s="21"/>
    </row>
    <row r="784" spans="1:15" s="22" customFormat="1" ht="15" x14ac:dyDescent="0.25">
      <c r="A784" s="48" t="str">
        <f t="shared" si="31"/>
        <v>i_cortexr5ss_wrap_tpr12_freq_trk</v>
      </c>
      <c r="B784" s="59" t="s">
        <v>5453</v>
      </c>
      <c r="C784" s="48" t="s">
        <v>5220</v>
      </c>
      <c r="D784" s="48"/>
      <c r="E784" s="48" t="s">
        <v>5192</v>
      </c>
      <c r="F784" s="14">
        <v>400</v>
      </c>
      <c r="G784" s="13" t="s">
        <v>5425</v>
      </c>
      <c r="H784" s="13"/>
      <c r="O784" s="21"/>
    </row>
    <row r="785" spans="1:15" s="22" customFormat="1" ht="15" x14ac:dyDescent="0.25">
      <c r="A785" s="48" t="str">
        <f t="shared" si="31"/>
        <v>i_cortexr5ss_wrap_tpr12_function</v>
      </c>
      <c r="B785" s="59" t="s">
        <v>5453</v>
      </c>
      <c r="C785" s="48" t="s">
        <v>5367</v>
      </c>
      <c r="D785" s="48"/>
      <c r="E785" s="48" t="s">
        <v>5192</v>
      </c>
      <c r="F785" s="14" t="s">
        <v>5850</v>
      </c>
      <c r="G785" s="13" t="s">
        <v>5425</v>
      </c>
      <c r="H785" s="13"/>
      <c r="O785" s="21"/>
    </row>
    <row r="786" spans="1:15" s="22" customFormat="1" ht="15" x14ac:dyDescent="0.25">
      <c r="A786" s="48" t="str">
        <f t="shared" ref="A786:A817" si="32">B786&amp;"_"&amp;C786</f>
        <v>i_cortexr5ss_wrap_tpr12_lvt_pct</v>
      </c>
      <c r="B786" s="59" t="s">
        <v>5453</v>
      </c>
      <c r="C786" s="48" t="s">
        <v>5357</v>
      </c>
      <c r="D786" s="48"/>
      <c r="E786" s="48" t="s">
        <v>5192</v>
      </c>
      <c r="F786" s="14">
        <v>0</v>
      </c>
      <c r="G786" s="13" t="s">
        <v>5425</v>
      </c>
      <c r="H786" s="13"/>
      <c r="O786" s="21"/>
    </row>
    <row r="787" spans="1:15" s="22" customFormat="1" ht="15" x14ac:dyDescent="0.25">
      <c r="A787" s="48" t="str">
        <f t="shared" si="32"/>
        <v>i_cortexr5ss_wrap_tpr12_macro_area</v>
      </c>
      <c r="B787" s="59" t="s">
        <v>5453</v>
      </c>
      <c r="C787" s="48" t="s">
        <v>5228</v>
      </c>
      <c r="D787" s="48"/>
      <c r="E787" s="48" t="s">
        <v>5192</v>
      </c>
      <c r="F787" s="14">
        <v>0.41</v>
      </c>
      <c r="G787" s="13" t="s">
        <v>6004</v>
      </c>
      <c r="H787" s="13"/>
      <c r="O787" s="21"/>
    </row>
    <row r="788" spans="1:15" s="22" customFormat="1" ht="15" x14ac:dyDescent="0.25">
      <c r="A788" s="48" t="str">
        <f t="shared" si="32"/>
        <v>i_cortexr5ss_wrap_tpr12_osvt_pct</v>
      </c>
      <c r="B788" s="59" t="s">
        <v>5453</v>
      </c>
      <c r="C788" s="48" t="s">
        <v>5354</v>
      </c>
      <c r="D788" s="48"/>
      <c r="E788" s="48" t="s">
        <v>5192</v>
      </c>
      <c r="F788" s="14">
        <v>5.8999999999999999E-3</v>
      </c>
      <c r="G788" s="13" t="s">
        <v>5425</v>
      </c>
      <c r="H788" s="13"/>
      <c r="O788" s="21"/>
    </row>
    <row r="789" spans="1:15" s="22" customFormat="1" ht="15" x14ac:dyDescent="0.25">
      <c r="A789" s="48" t="str">
        <f t="shared" si="32"/>
        <v>i_cortexr5ss_wrap_tpr12_stdcell_area</v>
      </c>
      <c r="B789" s="59" t="s">
        <v>5453</v>
      </c>
      <c r="C789" s="48" t="s">
        <v>5230</v>
      </c>
      <c r="D789" s="48"/>
      <c r="E789" s="48" t="s">
        <v>5192</v>
      </c>
      <c r="F789" s="14">
        <v>1.4778195000000001</v>
      </c>
      <c r="G789" s="13" t="s">
        <v>6004</v>
      </c>
      <c r="H789" s="13"/>
      <c r="O789" s="21"/>
    </row>
    <row r="790" spans="1:15" s="22" customFormat="1" ht="15" x14ac:dyDescent="0.25">
      <c r="A790" s="48" t="str">
        <f t="shared" si="32"/>
        <v>i_cortexr5ss_wrap_tpr12_svt_pct</v>
      </c>
      <c r="B790" s="59" t="s">
        <v>5453</v>
      </c>
      <c r="C790" s="48" t="s">
        <v>5356</v>
      </c>
      <c r="D790" s="48"/>
      <c r="E790" s="48" t="s">
        <v>5192</v>
      </c>
      <c r="F790" s="14">
        <v>0.67180000000000006</v>
      </c>
      <c r="G790" s="13" t="s">
        <v>5425</v>
      </c>
      <c r="H790" s="13"/>
      <c r="O790" s="21"/>
    </row>
    <row r="791" spans="1:15" s="22" customFormat="1" ht="15" x14ac:dyDescent="0.25">
      <c r="A791" s="48" t="str">
        <f t="shared" si="32"/>
        <v>i_cortexr5ss_wrap_tpr12_tag</v>
      </c>
      <c r="B791" s="59" t="s">
        <v>5453</v>
      </c>
      <c r="C791" s="48" t="s">
        <v>5234</v>
      </c>
      <c r="D791" s="48"/>
      <c r="E791" s="48" t="s">
        <v>5192</v>
      </c>
      <c r="F791" s="14" t="s">
        <v>5370</v>
      </c>
      <c r="G791" s="13" t="s">
        <v>5425</v>
      </c>
      <c r="H791" s="13"/>
      <c r="O791" s="21"/>
    </row>
    <row r="792" spans="1:15" s="22" customFormat="1" ht="15" x14ac:dyDescent="0.25">
      <c r="A792" s="48" t="str">
        <f t="shared" si="32"/>
        <v>i_cortexr5ss_wrap_tpr12_type</v>
      </c>
      <c r="B792" s="59" t="s">
        <v>5453</v>
      </c>
      <c r="C792" s="48" t="s">
        <v>1</v>
      </c>
      <c r="D792" s="48"/>
      <c r="E792" s="48" t="s">
        <v>5192</v>
      </c>
      <c r="F792" s="14" t="s">
        <v>5777</v>
      </c>
      <c r="G792" s="13" t="s">
        <v>5425</v>
      </c>
      <c r="H792" s="13"/>
      <c r="O792" s="21"/>
    </row>
    <row r="793" spans="1:15" s="22" customFormat="1" ht="15" x14ac:dyDescent="0.25">
      <c r="A793" s="48" t="str">
        <f t="shared" si="32"/>
        <v>i_cortexr5ss_wrap_tpr12_vdd_dyn_idle_pct</v>
      </c>
      <c r="B793" s="59" t="s">
        <v>5453</v>
      </c>
      <c r="C793" s="48" t="s">
        <v>5363</v>
      </c>
      <c r="D793" s="48"/>
      <c r="E793" s="48" t="s">
        <v>5192</v>
      </c>
      <c r="F793" s="166">
        <f>0.1*0.125</f>
        <v>1.2500000000000001E-2</v>
      </c>
      <c r="G793" s="13" t="s">
        <v>6048</v>
      </c>
      <c r="H793" s="13"/>
      <c r="O793" s="21"/>
    </row>
    <row r="794" spans="1:15" s="22" customFormat="1" ht="15" x14ac:dyDescent="0.25">
      <c r="A794" s="48" t="str">
        <f t="shared" si="32"/>
        <v>i_cortexr5ss_wrap_tpr12_vdd_dyn_int</v>
      </c>
      <c r="B794" s="59" t="s">
        <v>5453</v>
      </c>
      <c r="C794" s="48" t="s">
        <v>5361</v>
      </c>
      <c r="D794" s="48"/>
      <c r="E794" s="48" t="s">
        <v>5192</v>
      </c>
      <c r="F794" s="14">
        <v>2193.6</v>
      </c>
      <c r="G794" s="13" t="s">
        <v>5425</v>
      </c>
      <c r="H794" s="13"/>
      <c r="O794" s="21"/>
    </row>
    <row r="795" spans="1:15" s="22" customFormat="1" ht="15" x14ac:dyDescent="0.25">
      <c r="A795" s="48" t="str">
        <f t="shared" si="32"/>
        <v>i_cortexr5ss_wrap_tpr12_vdd_dyn_max_pct</v>
      </c>
      <c r="B795" s="59" t="s">
        <v>5453</v>
      </c>
      <c r="C795" s="48" t="s">
        <v>5364</v>
      </c>
      <c r="D795" s="48"/>
      <c r="E795" s="48" t="s">
        <v>5192</v>
      </c>
      <c r="F795" s="14">
        <v>0.04</v>
      </c>
      <c r="G795" s="13" t="s">
        <v>6043</v>
      </c>
      <c r="H795" s="13"/>
      <c r="O795" s="21"/>
    </row>
    <row r="796" spans="1:15" s="22" customFormat="1" ht="15" x14ac:dyDescent="0.25">
      <c r="A796" s="48" t="str">
        <f t="shared" si="32"/>
        <v>i_cortexr5ss_wrap_tpr12_vdd_dyn_peak_pct</v>
      </c>
      <c r="B796" s="59" t="s">
        <v>5453</v>
      </c>
      <c r="C796" s="48" t="s">
        <v>5365</v>
      </c>
      <c r="D796" s="48"/>
      <c r="E796" s="48" t="s">
        <v>5192</v>
      </c>
      <c r="F796" s="14">
        <v>0.06</v>
      </c>
      <c r="G796" s="13" t="s">
        <v>5425</v>
      </c>
      <c r="H796" s="13"/>
      <c r="O796" s="21"/>
    </row>
    <row r="797" spans="1:15" s="22" customFormat="1" ht="15" x14ac:dyDescent="0.25">
      <c r="A797" s="48" t="str">
        <f t="shared" si="32"/>
        <v>i_cortexr5ss_wrap_tpr12_vdd_dyn_sw</v>
      </c>
      <c r="B797" s="59" t="s">
        <v>5453</v>
      </c>
      <c r="C797" s="48" t="s">
        <v>5362</v>
      </c>
      <c r="D797" s="48"/>
      <c r="E797" s="48" t="s">
        <v>5192</v>
      </c>
      <c r="F797" s="14">
        <v>2014.4</v>
      </c>
      <c r="G797" s="13" t="s">
        <v>5425</v>
      </c>
      <c r="H797" s="13"/>
      <c r="O797" s="21"/>
    </row>
    <row r="798" spans="1:15" s="22" customFormat="1" ht="15" x14ac:dyDescent="0.25">
      <c r="A798" s="48" t="str">
        <f t="shared" si="32"/>
        <v>i_cortexr5ss_wrap_tpr12_vdd_lkg</v>
      </c>
      <c r="B798" s="59" t="s">
        <v>5453</v>
      </c>
      <c r="C798" s="48" t="s">
        <v>5245</v>
      </c>
      <c r="D798" s="48"/>
      <c r="E798" s="48" t="s">
        <v>5192</v>
      </c>
      <c r="F798" s="14">
        <v>117.75237854251012</v>
      </c>
      <c r="G798" s="13" t="s">
        <v>5425</v>
      </c>
      <c r="H798" s="13"/>
      <c r="O798" s="21"/>
    </row>
    <row r="799" spans="1:15" s="22" customFormat="1" ht="15" x14ac:dyDescent="0.25">
      <c r="A799" s="48" t="str">
        <f t="shared" si="32"/>
        <v>i_cortexr5ss_wrap_tpr12_vddr_lkg</v>
      </c>
      <c r="B799" s="59" t="s">
        <v>5453</v>
      </c>
      <c r="C799" s="48" t="s">
        <v>5246</v>
      </c>
      <c r="D799" s="48"/>
      <c r="E799" s="48" t="s">
        <v>5192</v>
      </c>
      <c r="F799" s="14">
        <v>1.0976214574898784</v>
      </c>
      <c r="G799" s="13" t="s">
        <v>5425</v>
      </c>
      <c r="H799" s="13"/>
      <c r="O799" s="21"/>
    </row>
    <row r="800" spans="1:15" s="22" customFormat="1" ht="15" x14ac:dyDescent="0.25">
      <c r="A800" s="48" t="str">
        <f t="shared" si="32"/>
        <v>i_cortexr5ss_wrap_tpr12_xsvt_pct</v>
      </c>
      <c r="B800" s="59" t="s">
        <v>5453</v>
      </c>
      <c r="C800" s="48" t="s">
        <v>5355</v>
      </c>
      <c r="D800" s="48"/>
      <c r="E800" s="48" t="s">
        <v>5192</v>
      </c>
      <c r="F800" s="14">
        <v>0.32520000000000004</v>
      </c>
      <c r="G800" s="13" t="s">
        <v>5425</v>
      </c>
      <c r="H800" s="13"/>
      <c r="O800" s="21"/>
    </row>
    <row r="801" spans="1:15" s="22" customFormat="1" ht="15" x14ac:dyDescent="0.25">
      <c r="A801" s="48" t="str">
        <f t="shared" si="32"/>
        <v>i_cpsw_3gcss_wrap_accuracy_grade</v>
      </c>
      <c r="B801" s="59" t="s">
        <v>5454</v>
      </c>
      <c r="C801" s="48" t="s">
        <v>5366</v>
      </c>
      <c r="D801" s="48"/>
      <c r="E801" s="48" t="s">
        <v>5192</v>
      </c>
      <c r="F801" s="14" t="s">
        <v>5786</v>
      </c>
      <c r="G801" s="13" t="s">
        <v>5425</v>
      </c>
      <c r="H801" s="13"/>
      <c r="O801" s="21"/>
    </row>
    <row r="802" spans="1:15" s="22" customFormat="1" ht="15" x14ac:dyDescent="0.25">
      <c r="A802" s="48" t="str">
        <f t="shared" si="32"/>
        <v>i_cpsw_3gcss_wrap_area</v>
      </c>
      <c r="B802" s="59" t="s">
        <v>5454</v>
      </c>
      <c r="C802" s="48" t="s">
        <v>5360</v>
      </c>
      <c r="D802" s="48"/>
      <c r="E802" s="48" t="s">
        <v>5192</v>
      </c>
      <c r="F802" s="14">
        <v>2.4722795106</v>
      </c>
      <c r="G802" s="13" t="s">
        <v>5425</v>
      </c>
      <c r="H802" s="13"/>
      <c r="O802" s="21"/>
    </row>
    <row r="803" spans="1:15" s="22" customFormat="1" ht="15" x14ac:dyDescent="0.25">
      <c r="A803" s="48" t="str">
        <f t="shared" si="32"/>
        <v>i_cpsw_3gcss_wrap_data_source</v>
      </c>
      <c r="B803" s="59" t="s">
        <v>5454</v>
      </c>
      <c r="C803" s="48" t="s">
        <v>5368</v>
      </c>
      <c r="D803" s="48"/>
      <c r="E803" s="48" t="s">
        <v>5192</v>
      </c>
      <c r="F803" s="14" t="s">
        <v>5369</v>
      </c>
      <c r="G803" s="13" t="s">
        <v>5425</v>
      </c>
      <c r="H803" s="13"/>
      <c r="O803" s="21"/>
    </row>
    <row r="804" spans="1:15" s="22" customFormat="1" ht="15" x14ac:dyDescent="0.25">
      <c r="A804" s="48" t="str">
        <f t="shared" si="32"/>
        <v>i_cpsw_3gcss_wrap_description</v>
      </c>
      <c r="B804" s="59" t="s">
        <v>5454</v>
      </c>
      <c r="C804" s="48" t="s">
        <v>5379</v>
      </c>
      <c r="D804" s="48"/>
      <c r="E804" s="48" t="s">
        <v>5192</v>
      </c>
      <c r="F804" s="14" t="s">
        <v>5811</v>
      </c>
      <c r="G804" s="13" t="s">
        <v>5425</v>
      </c>
      <c r="H804" s="13"/>
      <c r="O804" s="21"/>
    </row>
    <row r="805" spans="1:15" s="22" customFormat="1" ht="15" x14ac:dyDescent="0.25">
      <c r="A805" s="48" t="str">
        <f t="shared" si="32"/>
        <v>i_cpsw_3gcss_wrap_first_soc</v>
      </c>
      <c r="B805" s="59" t="s">
        <v>5454</v>
      </c>
      <c r="C805" s="48" t="s">
        <v>5378</v>
      </c>
      <c r="D805" s="48"/>
      <c r="E805" s="48" t="s">
        <v>5192</v>
      </c>
      <c r="F805" s="14" t="s">
        <v>5389</v>
      </c>
      <c r="G805" s="13" t="s">
        <v>5425</v>
      </c>
      <c r="H805" s="13"/>
      <c r="O805" s="21"/>
    </row>
    <row r="806" spans="1:15" s="22" customFormat="1" ht="15" x14ac:dyDescent="0.25">
      <c r="A806" s="48" t="str">
        <f t="shared" si="32"/>
        <v>i_cpsw_3gcss_wrap_freq_trk</v>
      </c>
      <c r="B806" s="59" t="s">
        <v>5454</v>
      </c>
      <c r="C806" s="48" t="s">
        <v>5220</v>
      </c>
      <c r="D806" s="48"/>
      <c r="E806" s="48" t="s">
        <v>5192</v>
      </c>
      <c r="F806" s="14">
        <v>240</v>
      </c>
      <c r="G806" s="13" t="s">
        <v>5425</v>
      </c>
      <c r="H806" s="13"/>
      <c r="O806" s="21"/>
    </row>
    <row r="807" spans="1:15" s="22" customFormat="1" ht="15" x14ac:dyDescent="0.25">
      <c r="A807" s="48" t="str">
        <f t="shared" si="32"/>
        <v>i_cpsw_3gcss_wrap_function</v>
      </c>
      <c r="B807" s="59" t="s">
        <v>5454</v>
      </c>
      <c r="C807" s="48" t="s">
        <v>5367</v>
      </c>
      <c r="D807" s="48"/>
      <c r="E807" s="48" t="s">
        <v>5192</v>
      </c>
      <c r="F807" s="14" t="s">
        <v>5852</v>
      </c>
      <c r="G807" s="13" t="s">
        <v>5425</v>
      </c>
      <c r="H807" s="13"/>
      <c r="O807" s="21"/>
    </row>
    <row r="808" spans="1:15" x14ac:dyDescent="0.2">
      <c r="A808" s="214" t="str">
        <f t="shared" si="32"/>
        <v>i_cpsw_3gcss_wrap_kbits</v>
      </c>
      <c r="B808" s="215" t="s">
        <v>5454</v>
      </c>
      <c r="C808" s="214" t="s">
        <v>5224</v>
      </c>
      <c r="D808" s="214"/>
      <c r="E808" s="214" t="s">
        <v>5192</v>
      </c>
      <c r="F808" s="242">
        <f>539136/1000</f>
        <v>539.13599999999997</v>
      </c>
      <c r="G808" s="243" t="s">
        <v>5949</v>
      </c>
      <c r="H808" s="243"/>
    </row>
    <row r="809" spans="1:15" s="22" customFormat="1" ht="15" x14ac:dyDescent="0.25">
      <c r="A809" s="48" t="str">
        <f t="shared" si="32"/>
        <v>i_cpsw_3gcss_wrap_lvt_pct</v>
      </c>
      <c r="B809" s="59" t="s">
        <v>5454</v>
      </c>
      <c r="C809" s="48" t="s">
        <v>5357</v>
      </c>
      <c r="D809" s="48"/>
      <c r="E809" s="48" t="s">
        <v>5192</v>
      </c>
      <c r="F809" s="14">
        <v>0</v>
      </c>
      <c r="G809" s="13" t="s">
        <v>5425</v>
      </c>
      <c r="H809" s="13"/>
      <c r="O809" s="21"/>
    </row>
    <row r="810" spans="1:15" s="22" customFormat="1" ht="15" x14ac:dyDescent="0.25">
      <c r="A810" s="48" t="str">
        <f t="shared" si="32"/>
        <v>i_cpsw_3gcss_wrap_macro_area</v>
      </c>
      <c r="B810" s="59" t="s">
        <v>5454</v>
      </c>
      <c r="C810" s="48" t="s">
        <v>5228</v>
      </c>
      <c r="D810" s="48"/>
      <c r="E810" s="48" t="s">
        <v>5192</v>
      </c>
      <c r="F810" s="14">
        <f>281589.986/1000000</f>
        <v>0.28158998599999996</v>
      </c>
      <c r="G810" s="13" t="s">
        <v>6004</v>
      </c>
      <c r="H810" s="13"/>
      <c r="O810" s="21"/>
    </row>
    <row r="811" spans="1:15" s="22" customFormat="1" ht="15" x14ac:dyDescent="0.25">
      <c r="A811" s="48" t="str">
        <f t="shared" si="32"/>
        <v>i_cpsw_3gcss_wrap_macros</v>
      </c>
      <c r="B811" s="59" t="s">
        <v>5454</v>
      </c>
      <c r="C811" s="48" t="s">
        <v>5229</v>
      </c>
      <c r="D811" s="48"/>
      <c r="E811" s="48" t="s">
        <v>5192</v>
      </c>
      <c r="F811" s="14">
        <v>12</v>
      </c>
      <c r="G811" s="13" t="s">
        <v>5948</v>
      </c>
      <c r="H811" s="13"/>
      <c r="O811" s="21"/>
    </row>
    <row r="812" spans="1:15" s="22" customFormat="1" ht="15" x14ac:dyDescent="0.25">
      <c r="A812" s="48" t="str">
        <f t="shared" si="32"/>
        <v>i_cpsw_3gcss_wrap_osvt_pct</v>
      </c>
      <c r="B812" s="59" t="s">
        <v>5454</v>
      </c>
      <c r="C812" s="48" t="s">
        <v>5354</v>
      </c>
      <c r="D812" s="48"/>
      <c r="E812" s="48" t="s">
        <v>5192</v>
      </c>
      <c r="F812" s="14">
        <v>2.865768703421815E-3</v>
      </c>
      <c r="G812" s="13" t="s">
        <v>5425</v>
      </c>
      <c r="H812" s="13"/>
      <c r="O812" s="21"/>
    </row>
    <row r="813" spans="1:15" s="22" customFormat="1" ht="15" x14ac:dyDescent="0.25">
      <c r="A813" s="48" t="str">
        <f t="shared" si="32"/>
        <v>i_cpsw_3gcss_wrap_stdcell_area</v>
      </c>
      <c r="B813" s="59" t="s">
        <v>5454</v>
      </c>
      <c r="C813" s="48" t="s">
        <v>5230</v>
      </c>
      <c r="D813" s="48"/>
      <c r="E813" s="48" t="s">
        <v>5192</v>
      </c>
      <c r="F813" s="14">
        <v>1.2899050000000001</v>
      </c>
      <c r="G813" s="13" t="s">
        <v>6004</v>
      </c>
      <c r="H813" s="13"/>
      <c r="O813" s="21"/>
    </row>
    <row r="814" spans="1:15" s="22" customFormat="1" ht="15" x14ac:dyDescent="0.25">
      <c r="A814" s="48" t="str">
        <f t="shared" si="32"/>
        <v>i_cpsw_3gcss_wrap_svt_pct</v>
      </c>
      <c r="B814" s="59" t="s">
        <v>5454</v>
      </c>
      <c r="C814" s="48" t="s">
        <v>5356</v>
      </c>
      <c r="D814" s="48"/>
      <c r="E814" s="48" t="s">
        <v>5192</v>
      </c>
      <c r="F814" s="14">
        <v>0.9028067493133991</v>
      </c>
      <c r="G814" s="13" t="s">
        <v>5425</v>
      </c>
      <c r="H814" s="13"/>
      <c r="O814" s="21"/>
    </row>
    <row r="815" spans="1:15" s="22" customFormat="1" ht="15" x14ac:dyDescent="0.25">
      <c r="A815" s="48" t="str">
        <f t="shared" si="32"/>
        <v>i_cpsw_3gcss_wrap_tag</v>
      </c>
      <c r="B815" s="59" t="s">
        <v>5454</v>
      </c>
      <c r="C815" s="48" t="s">
        <v>5234</v>
      </c>
      <c r="D815" s="48"/>
      <c r="E815" s="48" t="s">
        <v>5192</v>
      </c>
      <c r="F815" s="14" t="s">
        <v>5370</v>
      </c>
      <c r="G815" s="13" t="s">
        <v>5425</v>
      </c>
      <c r="H815" s="13"/>
      <c r="O815" s="21"/>
    </row>
    <row r="816" spans="1:15" s="22" customFormat="1" ht="15" x14ac:dyDescent="0.25">
      <c r="A816" s="48" t="str">
        <f t="shared" si="32"/>
        <v>i_cpsw_3gcss_wrap_type</v>
      </c>
      <c r="B816" s="59" t="s">
        <v>5454</v>
      </c>
      <c r="C816" s="48" t="s">
        <v>1</v>
      </c>
      <c r="D816" s="48"/>
      <c r="E816" s="48" t="s">
        <v>5192</v>
      </c>
      <c r="F816" s="14" t="s">
        <v>5780</v>
      </c>
      <c r="G816" s="13" t="s">
        <v>5425</v>
      </c>
      <c r="H816" s="13"/>
      <c r="O816" s="21"/>
    </row>
    <row r="817" spans="1:15" s="22" customFormat="1" ht="15" x14ac:dyDescent="0.25">
      <c r="A817" s="48" t="str">
        <f t="shared" si="32"/>
        <v>i_cpsw_3gcss_wrap_vdd_dyn_idle_pct</v>
      </c>
      <c r="B817" s="59" t="s">
        <v>5454</v>
      </c>
      <c r="C817" s="48" t="s">
        <v>5363</v>
      </c>
      <c r="D817" s="48"/>
      <c r="E817" s="48" t="s">
        <v>5192</v>
      </c>
      <c r="F817" s="166">
        <f>47.86/164*12.5%</f>
        <v>3.6478658536585364E-2</v>
      </c>
      <c r="G817" s="13" t="s">
        <v>6046</v>
      </c>
      <c r="H817" s="13"/>
      <c r="O817" s="21"/>
    </row>
    <row r="818" spans="1:15" s="22" customFormat="1" ht="15" x14ac:dyDescent="0.25">
      <c r="A818" s="48" t="str">
        <f t="shared" ref="A818:A849" si="33">B818&amp;"_"&amp;C818</f>
        <v>i_cpsw_3gcss_wrap_vdd_dyn_int</v>
      </c>
      <c r="B818" s="59" t="s">
        <v>5454</v>
      </c>
      <c r="C818" s="48" t="s">
        <v>5361</v>
      </c>
      <c r="D818" s="48"/>
      <c r="E818" s="48" t="s">
        <v>5192</v>
      </c>
      <c r="F818" s="14">
        <v>1062.4000000000001</v>
      </c>
      <c r="G818" s="13" t="s">
        <v>5425</v>
      </c>
      <c r="H818" s="13"/>
      <c r="O818" s="21"/>
    </row>
    <row r="819" spans="1:15" s="22" customFormat="1" ht="15" x14ac:dyDescent="0.25">
      <c r="A819" s="48" t="str">
        <f t="shared" si="33"/>
        <v>i_cpsw_3gcss_wrap_vdd_dyn_max_pct</v>
      </c>
      <c r="B819" s="59" t="s">
        <v>5454</v>
      </c>
      <c r="C819" s="48" t="s">
        <v>5364</v>
      </c>
      <c r="D819" s="48"/>
      <c r="E819" s="48" t="s">
        <v>5192</v>
      </c>
      <c r="F819" s="14">
        <v>0.04</v>
      </c>
      <c r="G819" s="13" t="s">
        <v>5425</v>
      </c>
      <c r="H819" s="13"/>
      <c r="O819" s="21"/>
    </row>
    <row r="820" spans="1:15" s="22" customFormat="1" ht="15" x14ac:dyDescent="0.25">
      <c r="A820" s="48" t="str">
        <f t="shared" si="33"/>
        <v>i_cpsw_3gcss_wrap_vdd_dyn_peak_pct</v>
      </c>
      <c r="B820" s="59" t="s">
        <v>5454</v>
      </c>
      <c r="C820" s="48" t="s">
        <v>5365</v>
      </c>
      <c r="D820" s="48"/>
      <c r="E820" s="48" t="s">
        <v>5192</v>
      </c>
      <c r="F820" s="14">
        <v>0.06</v>
      </c>
      <c r="G820" s="13" t="s">
        <v>5425</v>
      </c>
      <c r="H820" s="13"/>
      <c r="O820" s="21"/>
    </row>
    <row r="821" spans="1:15" s="22" customFormat="1" ht="15" x14ac:dyDescent="0.25">
      <c r="A821" s="48" t="str">
        <f t="shared" si="33"/>
        <v>i_cpsw_3gcss_wrap_vdd_dyn_sw</v>
      </c>
      <c r="B821" s="59" t="s">
        <v>5454</v>
      </c>
      <c r="C821" s="48" t="s">
        <v>5362</v>
      </c>
      <c r="D821" s="48"/>
      <c r="E821" s="48" t="s">
        <v>5192</v>
      </c>
      <c r="F821" s="14">
        <v>1713.6</v>
      </c>
      <c r="G821" s="13" t="s">
        <v>5425</v>
      </c>
      <c r="H821" s="13"/>
      <c r="O821" s="21"/>
    </row>
    <row r="822" spans="1:15" s="22" customFormat="1" ht="15" x14ac:dyDescent="0.25">
      <c r="A822" s="48" t="str">
        <f t="shared" si="33"/>
        <v>i_cpsw_3gcss_wrap_vdd_lkg</v>
      </c>
      <c r="B822" s="59" t="s">
        <v>5454</v>
      </c>
      <c r="C822" s="48" t="s">
        <v>5245</v>
      </c>
      <c r="D822" s="48"/>
      <c r="E822" s="48" t="s">
        <v>5192</v>
      </c>
      <c r="F822" s="14">
        <v>72.319999999999993</v>
      </c>
      <c r="G822" s="13" t="s">
        <v>5425</v>
      </c>
      <c r="H822" s="13"/>
      <c r="O822" s="21"/>
    </row>
    <row r="823" spans="1:15" s="22" customFormat="1" ht="15" x14ac:dyDescent="0.25">
      <c r="A823" s="48" t="str">
        <f t="shared" si="33"/>
        <v>i_cpsw_3gcss_wrap_vddr_lkg</v>
      </c>
      <c r="B823" s="59" t="s">
        <v>5454</v>
      </c>
      <c r="C823" s="48" t="s">
        <v>5246</v>
      </c>
      <c r="D823" s="48"/>
      <c r="E823" s="48" t="s">
        <v>5192</v>
      </c>
      <c r="F823" s="14">
        <v>1</v>
      </c>
      <c r="G823" s="13" t="s">
        <v>5425</v>
      </c>
      <c r="H823" s="13"/>
      <c r="O823" s="21"/>
    </row>
    <row r="824" spans="1:15" s="22" customFormat="1" ht="15" x14ac:dyDescent="0.25">
      <c r="A824" s="48" t="str">
        <f t="shared" si="33"/>
        <v>i_cpsw_3gcss_wrap_xsvt_pct</v>
      </c>
      <c r="B824" s="59" t="s">
        <v>5454</v>
      </c>
      <c r="C824" s="48" t="s">
        <v>5355</v>
      </c>
      <c r="D824" s="48"/>
      <c r="E824" s="48" t="s">
        <v>5192</v>
      </c>
      <c r="F824" s="14">
        <v>9.4327481983179098E-2</v>
      </c>
      <c r="G824" s="13" t="s">
        <v>5425</v>
      </c>
      <c r="H824" s="13"/>
      <c r="O824" s="21"/>
    </row>
    <row r="825" spans="1:15" s="22" customFormat="1" ht="15" x14ac:dyDescent="0.25">
      <c r="A825" s="48" t="str">
        <f t="shared" si="33"/>
        <v>i_cpsw_top_wrap_accuracy_grade</v>
      </c>
      <c r="B825" s="59" t="s">
        <v>5455</v>
      </c>
      <c r="C825" s="48" t="s">
        <v>5366</v>
      </c>
      <c r="D825" s="48"/>
      <c r="E825" s="48" t="s">
        <v>5192</v>
      </c>
      <c r="F825" s="14" t="s">
        <v>5786</v>
      </c>
      <c r="G825" s="13" t="s">
        <v>5425</v>
      </c>
      <c r="H825" s="13"/>
      <c r="O825" s="21"/>
    </row>
    <row r="826" spans="1:15" s="22" customFormat="1" ht="15" x14ac:dyDescent="0.25">
      <c r="A826" s="48" t="str">
        <f t="shared" si="33"/>
        <v>i_cpsw_top_wrap_area</v>
      </c>
      <c r="B826" s="59" t="s">
        <v>5455</v>
      </c>
      <c r="C826" s="48" t="s">
        <v>5360</v>
      </c>
      <c r="D826" s="48"/>
      <c r="E826" s="48" t="s">
        <v>5192</v>
      </c>
      <c r="F826" s="14">
        <v>0.97</v>
      </c>
      <c r="G826" s="13" t="s">
        <v>5425</v>
      </c>
      <c r="H826" s="13"/>
      <c r="O826" s="21"/>
    </row>
    <row r="827" spans="1:15" customFormat="1" ht="15" x14ac:dyDescent="0.25">
      <c r="A827" s="48" t="str">
        <f t="shared" si="33"/>
        <v>i_cpsw_top_wrap_data_source</v>
      </c>
      <c r="B827" s="59" t="s">
        <v>5455</v>
      </c>
      <c r="C827" s="48" t="s">
        <v>5368</v>
      </c>
      <c r="D827" s="48"/>
      <c r="E827" s="48" t="s">
        <v>5192</v>
      </c>
      <c r="F827" s="14" t="s">
        <v>5369</v>
      </c>
      <c r="G827" s="13" t="s">
        <v>5425</v>
      </c>
      <c r="H827" s="13"/>
      <c r="I827" s="22"/>
      <c r="O827" s="21"/>
    </row>
    <row r="828" spans="1:15" customFormat="1" ht="15" x14ac:dyDescent="0.25">
      <c r="A828" s="48" t="str">
        <f t="shared" si="33"/>
        <v>i_cpsw_top_wrap_description</v>
      </c>
      <c r="B828" s="59" t="s">
        <v>5455</v>
      </c>
      <c r="C828" s="48" t="s">
        <v>5379</v>
      </c>
      <c r="D828" s="48"/>
      <c r="E828" s="48" t="s">
        <v>5192</v>
      </c>
      <c r="F828" s="14" t="s">
        <v>5810</v>
      </c>
      <c r="G828" s="13" t="s">
        <v>5425</v>
      </c>
      <c r="H828" s="13"/>
      <c r="I828" s="22"/>
      <c r="O828" s="21"/>
    </row>
    <row r="829" spans="1:15" customFormat="1" ht="15" x14ac:dyDescent="0.25">
      <c r="A829" s="48" t="str">
        <f t="shared" si="33"/>
        <v>i_cpsw_top_wrap_first_soc</v>
      </c>
      <c r="B829" s="59" t="s">
        <v>5455</v>
      </c>
      <c r="C829" s="48" t="s">
        <v>5378</v>
      </c>
      <c r="D829" s="48"/>
      <c r="E829" s="48" t="s">
        <v>5192</v>
      </c>
      <c r="F829" s="14" t="s">
        <v>5381</v>
      </c>
      <c r="G829" s="13" t="s">
        <v>5425</v>
      </c>
      <c r="H829" s="13"/>
      <c r="I829" s="22"/>
      <c r="O829" s="21"/>
    </row>
    <row r="830" spans="1:15" customFormat="1" ht="15" x14ac:dyDescent="0.25">
      <c r="A830" s="48" t="str">
        <f t="shared" si="33"/>
        <v>i_cpsw_top_wrap_freq_trk</v>
      </c>
      <c r="B830" s="59" t="s">
        <v>5455</v>
      </c>
      <c r="C830" s="48" t="s">
        <v>5220</v>
      </c>
      <c r="D830" s="48"/>
      <c r="E830" s="48" t="s">
        <v>5192</v>
      </c>
      <c r="F830" s="14">
        <v>200</v>
      </c>
      <c r="G830" s="13" t="s">
        <v>5425</v>
      </c>
      <c r="H830" s="13"/>
      <c r="I830" s="22"/>
      <c r="O830" s="21"/>
    </row>
    <row r="831" spans="1:15" customFormat="1" ht="15" x14ac:dyDescent="0.25">
      <c r="A831" s="48" t="str">
        <f t="shared" si="33"/>
        <v>i_cpsw_top_wrap_function</v>
      </c>
      <c r="B831" s="59" t="s">
        <v>5455</v>
      </c>
      <c r="C831" s="48" t="s">
        <v>5367</v>
      </c>
      <c r="D831" s="48"/>
      <c r="E831" s="48" t="s">
        <v>5192</v>
      </c>
      <c r="F831" s="14" t="s">
        <v>5852</v>
      </c>
      <c r="G831" s="13" t="s">
        <v>5425</v>
      </c>
      <c r="H831" s="13"/>
      <c r="I831" s="22"/>
      <c r="O831" s="21"/>
    </row>
    <row r="832" spans="1:15" s="22" customFormat="1" ht="15" x14ac:dyDescent="0.25">
      <c r="A832" s="48" t="str">
        <f t="shared" si="33"/>
        <v>i_cpsw_top_wrap_lvt_pct</v>
      </c>
      <c r="B832" s="59" t="s">
        <v>5455</v>
      </c>
      <c r="C832" s="48" t="s">
        <v>5357</v>
      </c>
      <c r="D832" s="48"/>
      <c r="E832" s="48" t="s">
        <v>5192</v>
      </c>
      <c r="F832" s="14">
        <v>0</v>
      </c>
      <c r="G832" s="13" t="s">
        <v>5425</v>
      </c>
      <c r="H832" s="13"/>
      <c r="O832" s="21"/>
    </row>
    <row r="833" spans="1:15" customFormat="1" ht="15" x14ac:dyDescent="0.25">
      <c r="A833" s="48" t="str">
        <f t="shared" si="33"/>
        <v>i_cpsw_top_wrap_macro_area</v>
      </c>
      <c r="B833" s="59" t="s">
        <v>5455</v>
      </c>
      <c r="C833" s="48" t="s">
        <v>5228</v>
      </c>
      <c r="D833" s="48"/>
      <c r="E833" s="48" t="s">
        <v>5192</v>
      </c>
      <c r="F833" s="14">
        <v>7.0000000000000007E-2</v>
      </c>
      <c r="G833" s="13" t="s">
        <v>5425</v>
      </c>
      <c r="H833" s="13"/>
      <c r="I833" s="22"/>
      <c r="O833" s="21"/>
    </row>
    <row r="834" spans="1:15" customFormat="1" ht="15" x14ac:dyDescent="0.25">
      <c r="A834" s="48" t="str">
        <f t="shared" si="33"/>
        <v>i_cpsw_top_wrap_osvt_pct</v>
      </c>
      <c r="B834" s="59" t="s">
        <v>5455</v>
      </c>
      <c r="C834" s="48" t="s">
        <v>5354</v>
      </c>
      <c r="D834" s="48"/>
      <c r="E834" s="48" t="s">
        <v>5192</v>
      </c>
      <c r="F834" s="14">
        <v>1.1699999999999999E-2</v>
      </c>
      <c r="G834" s="13" t="s">
        <v>5425</v>
      </c>
      <c r="H834" s="13"/>
      <c r="I834" s="22"/>
      <c r="O834" s="21"/>
    </row>
    <row r="835" spans="1:15" customFormat="1" ht="15" x14ac:dyDescent="0.25">
      <c r="A835" s="48" t="str">
        <f t="shared" si="33"/>
        <v>i_cpsw_top_wrap_stdcell_area</v>
      </c>
      <c r="B835" s="59" t="s">
        <v>5455</v>
      </c>
      <c r="C835" s="48" t="s">
        <v>5230</v>
      </c>
      <c r="D835" s="48"/>
      <c r="E835" s="48" t="s">
        <v>5192</v>
      </c>
      <c r="F835" s="14">
        <v>0.58751111999999994</v>
      </c>
      <c r="G835" s="13" t="s">
        <v>5425</v>
      </c>
      <c r="H835" s="13"/>
      <c r="I835" s="22"/>
      <c r="O835" s="21"/>
    </row>
    <row r="836" spans="1:15" customFormat="1" ht="15" x14ac:dyDescent="0.25">
      <c r="A836" s="48" t="str">
        <f t="shared" si="33"/>
        <v>i_cpsw_top_wrap_svt_pct</v>
      </c>
      <c r="B836" s="59" t="s">
        <v>5455</v>
      </c>
      <c r="C836" s="48" t="s">
        <v>5356</v>
      </c>
      <c r="D836" s="48"/>
      <c r="E836" s="48" t="s">
        <v>5192</v>
      </c>
      <c r="F836" s="14">
        <v>0.26890000000000003</v>
      </c>
      <c r="G836" s="13" t="s">
        <v>5425</v>
      </c>
      <c r="H836" s="13"/>
      <c r="I836" s="22"/>
      <c r="O836" s="21"/>
    </row>
    <row r="837" spans="1:15" customFormat="1" ht="15" x14ac:dyDescent="0.25">
      <c r="A837" s="48" t="str">
        <f t="shared" si="33"/>
        <v>i_cpsw_top_wrap_tag</v>
      </c>
      <c r="B837" s="59" t="s">
        <v>5455</v>
      </c>
      <c r="C837" s="48" t="s">
        <v>5234</v>
      </c>
      <c r="D837" s="48"/>
      <c r="E837" s="48" t="s">
        <v>5192</v>
      </c>
      <c r="F837" s="14" t="s">
        <v>5370</v>
      </c>
      <c r="G837" s="13" t="s">
        <v>5425</v>
      </c>
      <c r="H837" s="13"/>
      <c r="I837" s="22"/>
      <c r="O837" s="21"/>
    </row>
    <row r="838" spans="1:15" customFormat="1" ht="15" x14ac:dyDescent="0.25">
      <c r="A838" s="48" t="str">
        <f t="shared" si="33"/>
        <v>i_cpsw_top_wrap_type</v>
      </c>
      <c r="B838" s="59" t="s">
        <v>5455</v>
      </c>
      <c r="C838" s="48" t="s">
        <v>1</v>
      </c>
      <c r="D838" s="48"/>
      <c r="E838" s="48" t="s">
        <v>5192</v>
      </c>
      <c r="F838" s="14" t="s">
        <v>5780</v>
      </c>
      <c r="G838" s="13" t="s">
        <v>5425</v>
      </c>
      <c r="H838" s="13"/>
      <c r="I838" s="22"/>
      <c r="O838" s="21"/>
    </row>
    <row r="839" spans="1:15" customFormat="1" ht="15" x14ac:dyDescent="0.25">
      <c r="A839" s="48" t="str">
        <f t="shared" si="33"/>
        <v>i_cpsw_top_wrap_vdd_dyn_idle_pct</v>
      </c>
      <c r="B839" s="59" t="s">
        <v>5455</v>
      </c>
      <c r="C839" s="48" t="s">
        <v>5363</v>
      </c>
      <c r="D839" s="48"/>
      <c r="E839" s="48" t="s">
        <v>5192</v>
      </c>
      <c r="F839" s="166">
        <f>47.86/164*12.5%</f>
        <v>3.6478658536585364E-2</v>
      </c>
      <c r="G839" s="13" t="s">
        <v>6046</v>
      </c>
      <c r="H839" s="13"/>
      <c r="I839" s="22"/>
      <c r="O839" s="21"/>
    </row>
    <row r="840" spans="1:15" customFormat="1" ht="15" x14ac:dyDescent="0.25">
      <c r="A840" s="48" t="str">
        <f t="shared" si="33"/>
        <v>i_cpsw_top_wrap_vdd_dyn_int</v>
      </c>
      <c r="B840" s="59" t="s">
        <v>5455</v>
      </c>
      <c r="C840" s="48" t="s">
        <v>5361</v>
      </c>
      <c r="D840" s="48"/>
      <c r="E840" s="48" t="s">
        <v>5192</v>
      </c>
      <c r="F840" s="14">
        <v>518.64</v>
      </c>
      <c r="G840" s="13" t="s">
        <v>5425</v>
      </c>
      <c r="H840" s="13"/>
      <c r="I840" s="22"/>
      <c r="O840" s="21"/>
    </row>
    <row r="841" spans="1:15" customFormat="1" ht="15" x14ac:dyDescent="0.25">
      <c r="A841" s="48" t="str">
        <f t="shared" si="33"/>
        <v>i_cpsw_top_wrap_vdd_dyn_max_pct</v>
      </c>
      <c r="B841" s="59" t="s">
        <v>5455</v>
      </c>
      <c r="C841" s="48" t="s">
        <v>5364</v>
      </c>
      <c r="D841" s="48"/>
      <c r="E841" s="48" t="s">
        <v>5192</v>
      </c>
      <c r="F841" s="14">
        <v>0.04</v>
      </c>
      <c r="G841" s="13" t="s">
        <v>5425</v>
      </c>
      <c r="H841" s="13"/>
      <c r="I841" s="22"/>
      <c r="O841" s="21"/>
    </row>
    <row r="842" spans="1:15" customFormat="1" ht="15" x14ac:dyDescent="0.25">
      <c r="A842" s="48" t="str">
        <f t="shared" si="33"/>
        <v>i_cpsw_top_wrap_vdd_dyn_peak_pct</v>
      </c>
      <c r="B842" s="59" t="s">
        <v>5455</v>
      </c>
      <c r="C842" s="48" t="s">
        <v>5365</v>
      </c>
      <c r="D842" s="48"/>
      <c r="E842" s="48" t="s">
        <v>5192</v>
      </c>
      <c r="F842" s="14">
        <v>0.06</v>
      </c>
      <c r="G842" s="13" t="s">
        <v>5425</v>
      </c>
      <c r="H842" s="13"/>
      <c r="I842" s="22"/>
      <c r="O842" s="21"/>
    </row>
    <row r="843" spans="1:15" customFormat="1" ht="15" x14ac:dyDescent="0.25">
      <c r="A843" s="48" t="str">
        <f t="shared" si="33"/>
        <v>i_cpsw_top_wrap_vdd_dyn_sw</v>
      </c>
      <c r="B843" s="59" t="s">
        <v>5455</v>
      </c>
      <c r="C843" s="48" t="s">
        <v>5362</v>
      </c>
      <c r="D843" s="48"/>
      <c r="E843" s="48" t="s">
        <v>5192</v>
      </c>
      <c r="F843" s="14">
        <v>616.88</v>
      </c>
      <c r="G843" s="13" t="s">
        <v>5425</v>
      </c>
      <c r="H843" s="13"/>
      <c r="I843" s="22"/>
      <c r="O843" s="21"/>
    </row>
    <row r="844" spans="1:15" customFormat="1" ht="15" x14ac:dyDescent="0.25">
      <c r="A844" s="48" t="str">
        <f t="shared" si="33"/>
        <v>i_cpsw_top_wrap_vdd_lkg</v>
      </c>
      <c r="B844" s="59" t="s">
        <v>5455</v>
      </c>
      <c r="C844" s="48" t="s">
        <v>5245</v>
      </c>
      <c r="D844" s="48"/>
      <c r="E844" s="48" t="s">
        <v>5192</v>
      </c>
      <c r="F844" s="14">
        <v>31.34</v>
      </c>
      <c r="G844" s="13" t="s">
        <v>5425</v>
      </c>
      <c r="H844" s="13"/>
      <c r="I844" s="22"/>
      <c r="O844" s="21"/>
    </row>
    <row r="845" spans="1:15" customFormat="1" ht="15" x14ac:dyDescent="0.25">
      <c r="A845" s="48" t="str">
        <f t="shared" si="33"/>
        <v>i_cpsw_top_wrap_vddr_lkg</v>
      </c>
      <c r="B845" s="59" t="s">
        <v>5455</v>
      </c>
      <c r="C845" s="48" t="s">
        <v>5246</v>
      </c>
      <c r="D845" s="48"/>
      <c r="E845" s="48" t="s">
        <v>5192</v>
      </c>
      <c r="F845" s="14">
        <v>0</v>
      </c>
      <c r="G845" s="13" t="s">
        <v>5425</v>
      </c>
      <c r="H845" s="13"/>
      <c r="I845" s="22"/>
      <c r="O845" s="21"/>
    </row>
    <row r="846" spans="1:15" customFormat="1" ht="15" x14ac:dyDescent="0.25">
      <c r="A846" s="48" t="str">
        <f t="shared" si="33"/>
        <v>i_cpsw_top_wrap_xsvt_pct</v>
      </c>
      <c r="B846" s="59" t="s">
        <v>5455</v>
      </c>
      <c r="C846" s="48" t="s">
        <v>5355</v>
      </c>
      <c r="D846" s="48"/>
      <c r="E846" s="48" t="s">
        <v>5192</v>
      </c>
      <c r="F846" s="14">
        <v>0.71609999999999996</v>
      </c>
      <c r="G846" s="13" t="s">
        <v>5425</v>
      </c>
      <c r="H846" s="13"/>
      <c r="I846" s="22"/>
      <c r="O846" s="21"/>
    </row>
    <row r="847" spans="1:15" customFormat="1" ht="15" x14ac:dyDescent="0.25">
      <c r="A847" s="48" t="str">
        <f t="shared" si="33"/>
        <v>i_radar_c66_corepac_accuracy_grade</v>
      </c>
      <c r="B847" s="59" t="s">
        <v>5456</v>
      </c>
      <c r="C847" s="48" t="s">
        <v>5366</v>
      </c>
      <c r="D847" s="48"/>
      <c r="E847" s="48" t="s">
        <v>5192</v>
      </c>
      <c r="F847" s="14" t="s">
        <v>5786</v>
      </c>
      <c r="G847" s="13" t="s">
        <v>5425</v>
      </c>
      <c r="H847" s="13"/>
      <c r="I847" s="22"/>
      <c r="O847" s="21"/>
    </row>
    <row r="848" spans="1:15" customFormat="1" ht="15" x14ac:dyDescent="0.25">
      <c r="A848" s="48" t="str">
        <f t="shared" si="33"/>
        <v>i_radar_c66_corepac_area</v>
      </c>
      <c r="B848" s="59" t="s">
        <v>5456</v>
      </c>
      <c r="C848" s="48" t="s">
        <v>5360</v>
      </c>
      <c r="D848" s="48"/>
      <c r="E848" s="48" t="s">
        <v>5192</v>
      </c>
      <c r="F848" s="14">
        <v>3.5</v>
      </c>
      <c r="G848" s="13" t="s">
        <v>5425</v>
      </c>
      <c r="H848" s="13"/>
      <c r="I848" s="22"/>
      <c r="O848" s="21"/>
    </row>
    <row r="849" spans="1:15" s="22" customFormat="1" ht="15" x14ac:dyDescent="0.25">
      <c r="A849" s="48" t="str">
        <f t="shared" si="33"/>
        <v>i_radar_c66_corepac_data_source</v>
      </c>
      <c r="B849" s="59" t="s">
        <v>5456</v>
      </c>
      <c r="C849" s="48" t="s">
        <v>5368</v>
      </c>
      <c r="D849" s="48"/>
      <c r="E849" s="48" t="s">
        <v>5192</v>
      </c>
      <c r="F849" s="14" t="s">
        <v>5369</v>
      </c>
      <c r="G849" s="13" t="s">
        <v>5425</v>
      </c>
      <c r="H849" s="13"/>
      <c r="O849" s="21"/>
    </row>
    <row r="850" spans="1:15" s="22" customFormat="1" ht="15" x14ac:dyDescent="0.25">
      <c r="A850" s="48" t="str">
        <f t="shared" ref="A850:A881" si="34">B850&amp;"_"&amp;C850</f>
        <v>i_radar_c66_corepac_description</v>
      </c>
      <c r="B850" s="59" t="s">
        <v>5456</v>
      </c>
      <c r="C850" s="48" t="s">
        <v>5379</v>
      </c>
      <c r="D850" s="48"/>
      <c r="E850" s="48" t="s">
        <v>5192</v>
      </c>
      <c r="F850" s="14" t="s">
        <v>5807</v>
      </c>
      <c r="G850" s="13" t="s">
        <v>5425</v>
      </c>
      <c r="H850" s="13"/>
      <c r="O850" s="21"/>
    </row>
    <row r="851" spans="1:15" s="22" customFormat="1" ht="15" x14ac:dyDescent="0.25">
      <c r="A851" s="48" t="str">
        <f t="shared" si="34"/>
        <v>i_radar_c66_corepac_first_soc</v>
      </c>
      <c r="B851" s="59" t="s">
        <v>5456</v>
      </c>
      <c r="C851" s="48" t="s">
        <v>5378</v>
      </c>
      <c r="D851" s="48"/>
      <c r="E851" s="48" t="s">
        <v>5192</v>
      </c>
      <c r="F851" s="14" t="s">
        <v>5381</v>
      </c>
      <c r="G851" s="13" t="s">
        <v>5425</v>
      </c>
      <c r="H851" s="13"/>
      <c r="O851" s="21"/>
    </row>
    <row r="852" spans="1:15" s="22" customFormat="1" ht="15" x14ac:dyDescent="0.25">
      <c r="A852" s="48" t="str">
        <f t="shared" si="34"/>
        <v>i_radar_c66_corepac_freq_trk</v>
      </c>
      <c r="B852" s="59" t="s">
        <v>5456</v>
      </c>
      <c r="C852" s="48" t="s">
        <v>5220</v>
      </c>
      <c r="D852" s="48"/>
      <c r="E852" s="48" t="s">
        <v>5192</v>
      </c>
      <c r="F852" s="14">
        <v>450</v>
      </c>
      <c r="G852" s="13" t="s">
        <v>5425</v>
      </c>
      <c r="H852" s="13"/>
      <c r="O852" s="21"/>
    </row>
    <row r="853" spans="1:15" s="22" customFormat="1" ht="15" x14ac:dyDescent="0.25">
      <c r="A853" s="48" t="str">
        <f t="shared" si="34"/>
        <v>i_radar_c66_corepac_function</v>
      </c>
      <c r="B853" s="59" t="s">
        <v>5456</v>
      </c>
      <c r="C853" s="48" t="s">
        <v>5367</v>
      </c>
      <c r="D853" s="48"/>
      <c r="E853" s="48" t="s">
        <v>5192</v>
      </c>
      <c r="F853" s="14" t="s">
        <v>5818</v>
      </c>
      <c r="G853" s="13" t="s">
        <v>5425</v>
      </c>
      <c r="H853" s="13"/>
      <c r="O853" s="21"/>
    </row>
    <row r="854" spans="1:15" s="22" customFormat="1" ht="15" x14ac:dyDescent="0.25">
      <c r="A854" s="48" t="str">
        <f t="shared" si="34"/>
        <v>i_radar_c66_corepac_lvt_pct</v>
      </c>
      <c r="B854" s="59" t="s">
        <v>5456</v>
      </c>
      <c r="C854" s="48" t="s">
        <v>5357</v>
      </c>
      <c r="D854" s="48"/>
      <c r="E854" s="48" t="s">
        <v>5192</v>
      </c>
      <c r="F854" s="14">
        <v>0</v>
      </c>
      <c r="G854" s="13" t="s">
        <v>5425</v>
      </c>
      <c r="H854" s="13"/>
      <c r="O854" s="21"/>
    </row>
    <row r="855" spans="1:15" s="22" customFormat="1" ht="15" x14ac:dyDescent="0.25">
      <c r="A855" s="48" t="str">
        <f t="shared" si="34"/>
        <v>i_radar_c66_corepac_macro_area</v>
      </c>
      <c r="B855" s="59" t="s">
        <v>5456</v>
      </c>
      <c r="C855" s="48" t="s">
        <v>5228</v>
      </c>
      <c r="D855" s="48"/>
      <c r="E855" s="48" t="s">
        <v>5192</v>
      </c>
      <c r="F855" s="14">
        <v>0.63</v>
      </c>
      <c r="G855" s="13" t="s">
        <v>5425</v>
      </c>
      <c r="H855" s="13"/>
      <c r="O855" s="21"/>
    </row>
    <row r="856" spans="1:15" s="22" customFormat="1" ht="15" x14ac:dyDescent="0.25">
      <c r="A856" s="48" t="str">
        <f t="shared" si="34"/>
        <v>i_radar_c66_corepac_osvt_pct</v>
      </c>
      <c r="B856" s="59" t="s">
        <v>5456</v>
      </c>
      <c r="C856" s="48" t="s">
        <v>5354</v>
      </c>
      <c r="D856" s="48"/>
      <c r="E856" s="48" t="s">
        <v>5192</v>
      </c>
      <c r="F856" s="14">
        <v>1.9E-3</v>
      </c>
      <c r="G856" s="13" t="s">
        <v>5425</v>
      </c>
      <c r="H856" s="13"/>
      <c r="O856" s="21"/>
    </row>
    <row r="857" spans="1:15" s="22" customFormat="1" ht="15" x14ac:dyDescent="0.25">
      <c r="A857" s="48" t="str">
        <f t="shared" si="34"/>
        <v>i_radar_c66_corepac_stdcell_area</v>
      </c>
      <c r="B857" s="59" t="s">
        <v>5456</v>
      </c>
      <c r="C857" s="48" t="s">
        <v>5230</v>
      </c>
      <c r="D857" s="48"/>
      <c r="E857" s="48" t="s">
        <v>5192</v>
      </c>
      <c r="F857" s="14">
        <v>1.9323545800000002</v>
      </c>
      <c r="G857" s="13" t="s">
        <v>5425</v>
      </c>
      <c r="H857" s="13"/>
      <c r="O857" s="21"/>
    </row>
    <row r="858" spans="1:15" s="22" customFormat="1" ht="15" x14ac:dyDescent="0.25">
      <c r="A858" s="48" t="str">
        <f t="shared" si="34"/>
        <v>i_radar_c66_corepac_svt_pct</v>
      </c>
      <c r="B858" s="59" t="s">
        <v>5456</v>
      </c>
      <c r="C858" s="48" t="s">
        <v>5356</v>
      </c>
      <c r="D858" s="48"/>
      <c r="E858" s="48" t="s">
        <v>5192</v>
      </c>
      <c r="F858" s="14">
        <v>0.76760000000000006</v>
      </c>
      <c r="G858" s="13" t="s">
        <v>5425</v>
      </c>
      <c r="H858" s="13"/>
      <c r="O858" s="21"/>
    </row>
    <row r="859" spans="1:15" s="22" customFormat="1" ht="15" x14ac:dyDescent="0.25">
      <c r="A859" s="48" t="str">
        <f t="shared" si="34"/>
        <v>i_radar_c66_corepac_tag</v>
      </c>
      <c r="B859" s="59" t="s">
        <v>5456</v>
      </c>
      <c r="C859" s="48" t="s">
        <v>5234</v>
      </c>
      <c r="D859" s="48"/>
      <c r="E859" s="48" t="s">
        <v>5192</v>
      </c>
      <c r="F859" s="14" t="s">
        <v>5370</v>
      </c>
      <c r="G859" s="13" t="s">
        <v>5425</v>
      </c>
      <c r="H859" s="13"/>
      <c r="O859" s="21"/>
    </row>
    <row r="860" spans="1:15" s="22" customFormat="1" ht="15" x14ac:dyDescent="0.25">
      <c r="A860" s="48" t="str">
        <f t="shared" si="34"/>
        <v>i_radar_c66_corepac_type</v>
      </c>
      <c r="B860" s="59" t="s">
        <v>5456</v>
      </c>
      <c r="C860" s="48" t="s">
        <v>1</v>
      </c>
      <c r="D860" s="48"/>
      <c r="E860" s="48" t="s">
        <v>5192</v>
      </c>
      <c r="F860" s="14" t="s">
        <v>5778</v>
      </c>
      <c r="G860" s="13" t="s">
        <v>5425</v>
      </c>
      <c r="H860" s="13"/>
      <c r="O860" s="21"/>
    </row>
    <row r="861" spans="1:15" s="22" customFormat="1" ht="15" x14ac:dyDescent="0.25">
      <c r="A861" s="48" t="str">
        <f t="shared" si="34"/>
        <v>i_radar_c66_corepac_vdd_dyn_idle_pct</v>
      </c>
      <c r="B861" s="59" t="s">
        <v>5456</v>
      </c>
      <c r="C861" s="48" t="s">
        <v>5363</v>
      </c>
      <c r="D861" s="48"/>
      <c r="E861" s="48" t="s">
        <v>5192</v>
      </c>
      <c r="F861" s="166">
        <f>0.14*0.125</f>
        <v>1.7500000000000002E-2</v>
      </c>
      <c r="G861" s="13" t="s">
        <v>6047</v>
      </c>
      <c r="H861" s="13"/>
      <c r="O861" s="21"/>
    </row>
    <row r="862" spans="1:15" s="22" customFormat="1" ht="15" x14ac:dyDescent="0.25">
      <c r="A862" s="48" t="str">
        <f t="shared" si="34"/>
        <v>i_radar_c66_corepac_vdd_dyn_int</v>
      </c>
      <c r="B862" s="59" t="s">
        <v>5456</v>
      </c>
      <c r="C862" s="48" t="s">
        <v>5361</v>
      </c>
      <c r="D862" s="48"/>
      <c r="E862" s="48" t="s">
        <v>5192</v>
      </c>
      <c r="F862" s="14">
        <v>5364</v>
      </c>
      <c r="G862" s="13" t="s">
        <v>5425</v>
      </c>
      <c r="H862" s="13"/>
      <c r="O862" s="21"/>
    </row>
    <row r="863" spans="1:15" s="22" customFormat="1" ht="15" x14ac:dyDescent="0.25">
      <c r="A863" s="48" t="str">
        <f t="shared" si="34"/>
        <v>i_radar_c66_corepac_vdd_dyn_max_pct</v>
      </c>
      <c r="B863" s="59" t="s">
        <v>5456</v>
      </c>
      <c r="C863" s="48" t="s">
        <v>5364</v>
      </c>
      <c r="D863" s="48"/>
      <c r="E863" s="48" t="s">
        <v>5192</v>
      </c>
      <c r="F863" s="14">
        <v>0.04</v>
      </c>
      <c r="G863" s="13" t="s">
        <v>5425</v>
      </c>
      <c r="H863" s="13"/>
      <c r="O863" s="21"/>
    </row>
    <row r="864" spans="1:15" s="22" customFormat="1" ht="15" x14ac:dyDescent="0.25">
      <c r="A864" s="48" t="str">
        <f t="shared" si="34"/>
        <v>i_radar_c66_corepac_vdd_dyn_peak_pct</v>
      </c>
      <c r="B864" s="59" t="s">
        <v>5456</v>
      </c>
      <c r="C864" s="48" t="s">
        <v>5365</v>
      </c>
      <c r="D864" s="48"/>
      <c r="E864" s="48" t="s">
        <v>5192</v>
      </c>
      <c r="F864" s="14">
        <v>0.06</v>
      </c>
      <c r="G864" s="13" t="s">
        <v>5425</v>
      </c>
      <c r="H864" s="13"/>
      <c r="O864" s="21"/>
    </row>
    <row r="865" spans="1:15" s="22" customFormat="1" ht="15" x14ac:dyDescent="0.25">
      <c r="A865" s="48" t="str">
        <f t="shared" si="34"/>
        <v>i_radar_c66_corepac_vdd_dyn_sw</v>
      </c>
      <c r="B865" s="59" t="s">
        <v>5456</v>
      </c>
      <c r="C865" s="48" t="s">
        <v>5362</v>
      </c>
      <c r="D865" s="48"/>
      <c r="E865" s="48" t="s">
        <v>5192</v>
      </c>
      <c r="F865" s="14">
        <v>0.06</v>
      </c>
      <c r="G865" s="13" t="s">
        <v>5425</v>
      </c>
      <c r="H865" s="13"/>
      <c r="O865" s="21"/>
    </row>
    <row r="866" spans="1:15" s="22" customFormat="1" ht="15" x14ac:dyDescent="0.25">
      <c r="A866" s="48" t="str">
        <f t="shared" si="34"/>
        <v>i_radar_c66_corepac_vdd_lkg</v>
      </c>
      <c r="B866" s="59" t="s">
        <v>5456</v>
      </c>
      <c r="C866" s="48" t="s">
        <v>5245</v>
      </c>
      <c r="D866" s="48"/>
      <c r="E866" s="48" t="s">
        <v>5192</v>
      </c>
      <c r="F866" s="14">
        <v>187.31341093117408</v>
      </c>
      <c r="G866" s="13" t="s">
        <v>5425</v>
      </c>
      <c r="H866" s="13"/>
      <c r="O866" s="21"/>
    </row>
    <row r="867" spans="1:15" s="22" customFormat="1" ht="15" x14ac:dyDescent="0.25">
      <c r="A867" s="48" t="str">
        <f t="shared" si="34"/>
        <v>i_radar_c66_corepac_vddr_lkg</v>
      </c>
      <c r="B867" s="59" t="s">
        <v>5456</v>
      </c>
      <c r="C867" s="48" t="s">
        <v>5246</v>
      </c>
      <c r="D867" s="48"/>
      <c r="E867" s="48" t="s">
        <v>5192</v>
      </c>
      <c r="F867" s="14">
        <v>1.6865890688259106</v>
      </c>
      <c r="G867" s="13" t="s">
        <v>5425</v>
      </c>
      <c r="H867" s="13"/>
      <c r="O867" s="21"/>
    </row>
    <row r="868" spans="1:15" s="22" customFormat="1" ht="15" x14ac:dyDescent="0.25">
      <c r="A868" s="48" t="str">
        <f t="shared" si="34"/>
        <v>i_radar_c66_corepac_xsvt_pct</v>
      </c>
      <c r="B868" s="59" t="s">
        <v>5456</v>
      </c>
      <c r="C868" s="48" t="s">
        <v>5355</v>
      </c>
      <c r="D868" s="48"/>
      <c r="E868" s="48" t="s">
        <v>5192</v>
      </c>
      <c r="F868" s="14">
        <v>0.22949999999999998</v>
      </c>
      <c r="G868" s="13" t="s">
        <v>5425</v>
      </c>
      <c r="H868" s="13"/>
      <c r="O868" s="21"/>
    </row>
    <row r="869" spans="1:15" s="22" customFormat="1" ht="15" x14ac:dyDescent="0.25">
      <c r="A869" s="48" t="str">
        <f t="shared" si="34"/>
        <v>i_radar_hsm_corepac_accuracy_grade</v>
      </c>
      <c r="B869" s="59" t="s">
        <v>5457</v>
      </c>
      <c r="C869" s="48" t="s">
        <v>5366</v>
      </c>
      <c r="D869" s="48"/>
      <c r="E869" s="48" t="s">
        <v>5192</v>
      </c>
      <c r="F869" s="14" t="s">
        <v>5786</v>
      </c>
      <c r="G869" s="13" t="s">
        <v>5425</v>
      </c>
      <c r="H869" s="13"/>
      <c r="O869" s="21"/>
    </row>
    <row r="870" spans="1:15" s="22" customFormat="1" ht="15" x14ac:dyDescent="0.25">
      <c r="A870" s="48" t="str">
        <f t="shared" si="34"/>
        <v>i_radar_hsm_corepac_area</v>
      </c>
      <c r="B870" s="59" t="s">
        <v>5457</v>
      </c>
      <c r="C870" s="48" t="s">
        <v>5360</v>
      </c>
      <c r="D870" s="48"/>
      <c r="E870" s="48" t="s">
        <v>5192</v>
      </c>
      <c r="F870" s="154">
        <v>3</v>
      </c>
      <c r="G870" s="13" t="s">
        <v>5425</v>
      </c>
      <c r="H870" s="13"/>
      <c r="O870" s="21"/>
    </row>
    <row r="871" spans="1:15" s="22" customFormat="1" ht="15" x14ac:dyDescent="0.25">
      <c r="A871" s="48" t="str">
        <f t="shared" si="34"/>
        <v>i_radar_hsm_corepac_data_source</v>
      </c>
      <c r="B871" s="59" t="s">
        <v>5457</v>
      </c>
      <c r="C871" s="48" t="s">
        <v>5368</v>
      </c>
      <c r="D871" s="48"/>
      <c r="E871" s="48" t="s">
        <v>5192</v>
      </c>
      <c r="F871" s="14" t="s">
        <v>5369</v>
      </c>
      <c r="G871" s="13" t="s">
        <v>5425</v>
      </c>
      <c r="H871" s="13"/>
      <c r="O871" s="21"/>
    </row>
    <row r="872" spans="1:15" s="22" customFormat="1" ht="15" x14ac:dyDescent="0.25">
      <c r="A872" s="48" t="str">
        <f t="shared" si="34"/>
        <v>i_radar_hsm_corepac_description</v>
      </c>
      <c r="B872" s="59" t="s">
        <v>5457</v>
      </c>
      <c r="C872" s="48" t="s">
        <v>5379</v>
      </c>
      <c r="D872" s="48"/>
      <c r="E872" s="48" t="s">
        <v>5192</v>
      </c>
      <c r="F872" s="14" t="s">
        <v>5834</v>
      </c>
      <c r="G872" s="13" t="s">
        <v>5425</v>
      </c>
      <c r="H872" s="13"/>
      <c r="O872" s="21"/>
    </row>
    <row r="873" spans="1:15" customFormat="1" ht="15" x14ac:dyDescent="0.25">
      <c r="A873" s="48" t="str">
        <f t="shared" si="34"/>
        <v>i_radar_hsm_corepac_first_soc</v>
      </c>
      <c r="B873" s="59" t="s">
        <v>5457</v>
      </c>
      <c r="C873" s="48" t="s">
        <v>5378</v>
      </c>
      <c r="D873" s="48"/>
      <c r="E873" s="48" t="s">
        <v>5192</v>
      </c>
      <c r="F873" s="14" t="s">
        <v>5389</v>
      </c>
      <c r="G873" s="13" t="s">
        <v>5425</v>
      </c>
      <c r="H873" s="13"/>
      <c r="I873" s="22"/>
      <c r="O873" s="21"/>
    </row>
    <row r="874" spans="1:15" customFormat="1" ht="15" x14ac:dyDescent="0.25">
      <c r="A874" s="48" t="str">
        <f t="shared" si="34"/>
        <v>i_radar_hsm_corepac_freq_trk</v>
      </c>
      <c r="B874" s="59" t="s">
        <v>5457</v>
      </c>
      <c r="C874" s="48" t="s">
        <v>5220</v>
      </c>
      <c r="D874" s="48"/>
      <c r="E874" s="48" t="s">
        <v>5192</v>
      </c>
      <c r="F874" s="14">
        <v>200</v>
      </c>
      <c r="G874" s="13" t="s">
        <v>5425</v>
      </c>
      <c r="H874" s="13"/>
      <c r="I874" s="22"/>
      <c r="O874" s="21"/>
    </row>
    <row r="875" spans="1:15" customFormat="1" ht="15" x14ac:dyDescent="0.25">
      <c r="A875" s="48" t="str">
        <f t="shared" si="34"/>
        <v>i_radar_hsm_corepac_function</v>
      </c>
      <c r="B875" s="59" t="s">
        <v>5457</v>
      </c>
      <c r="C875" s="48" t="s">
        <v>5367</v>
      </c>
      <c r="D875" s="48"/>
      <c r="E875" s="48" t="s">
        <v>5192</v>
      </c>
      <c r="F875" s="14" t="s">
        <v>5862</v>
      </c>
      <c r="G875" s="13" t="s">
        <v>5425</v>
      </c>
      <c r="H875" s="13"/>
      <c r="I875" s="22"/>
      <c r="O875" s="21"/>
    </row>
    <row r="876" spans="1:15" x14ac:dyDescent="0.2">
      <c r="A876" s="214" t="str">
        <f t="shared" si="34"/>
        <v>i_radar_hsm_corepac_kbits</v>
      </c>
      <c r="B876" s="215" t="s">
        <v>5457</v>
      </c>
      <c r="C876" s="214" t="s">
        <v>5224</v>
      </c>
      <c r="D876" s="214"/>
      <c r="E876" s="214" t="s">
        <v>5192</v>
      </c>
      <c r="F876" s="242">
        <f>3148288/1000</f>
        <v>3148.288</v>
      </c>
      <c r="G876" s="243" t="s">
        <v>5949</v>
      </c>
      <c r="H876" s="243"/>
    </row>
    <row r="877" spans="1:15" customFormat="1" ht="15" x14ac:dyDescent="0.25">
      <c r="A877" s="48" t="str">
        <f t="shared" si="34"/>
        <v>i_radar_hsm_corepac_lvt_pct</v>
      </c>
      <c r="B877" s="59" t="s">
        <v>5457</v>
      </c>
      <c r="C877" s="48" t="s">
        <v>5357</v>
      </c>
      <c r="D877" s="48"/>
      <c r="E877" s="48" t="s">
        <v>5192</v>
      </c>
      <c r="F877" s="20">
        <v>0</v>
      </c>
      <c r="G877" s="13" t="s">
        <v>5425</v>
      </c>
      <c r="H877" s="13"/>
      <c r="I877" s="22"/>
      <c r="O877" s="21"/>
    </row>
    <row r="878" spans="1:15" customFormat="1" ht="15" x14ac:dyDescent="0.25">
      <c r="A878" s="48" t="str">
        <f t="shared" si="34"/>
        <v>i_radar_hsm_corepac_macro_area</v>
      </c>
      <c r="B878" s="59" t="s">
        <v>5457</v>
      </c>
      <c r="C878" s="48" t="s">
        <v>5228</v>
      </c>
      <c r="D878" s="48"/>
      <c r="E878" s="48" t="s">
        <v>5192</v>
      </c>
      <c r="F878" s="14">
        <f>1039980/1000000</f>
        <v>1.0399799999999999</v>
      </c>
      <c r="G878" s="13" t="s">
        <v>6004</v>
      </c>
      <c r="H878" s="13"/>
      <c r="I878" s="22"/>
      <c r="O878" s="21"/>
    </row>
    <row r="879" spans="1:15" customFormat="1" ht="15" x14ac:dyDescent="0.25">
      <c r="A879" s="48" t="str">
        <f t="shared" si="34"/>
        <v>i_radar_hsm_corepac_macros</v>
      </c>
      <c r="B879" s="59" t="s">
        <v>5457</v>
      </c>
      <c r="C879" s="48" t="s">
        <v>5229</v>
      </c>
      <c r="D879" s="48"/>
      <c r="E879" s="48" t="s">
        <v>5192</v>
      </c>
      <c r="F879" s="14">
        <v>34</v>
      </c>
      <c r="G879" s="13" t="s">
        <v>5948</v>
      </c>
      <c r="H879" s="13"/>
      <c r="I879" s="22"/>
      <c r="O879" s="21"/>
    </row>
    <row r="880" spans="1:15" customFormat="1" ht="15" x14ac:dyDescent="0.25">
      <c r="A880" s="48" t="str">
        <f t="shared" si="34"/>
        <v>i_radar_hsm_corepac_osvt_pct</v>
      </c>
      <c r="B880" s="59" t="s">
        <v>5457</v>
      </c>
      <c r="C880" s="48" t="s">
        <v>5354</v>
      </c>
      <c r="D880" s="48"/>
      <c r="E880" s="48" t="s">
        <v>5192</v>
      </c>
      <c r="F880" s="20">
        <v>2.1076584869552578E-2</v>
      </c>
      <c r="G880" s="13" t="s">
        <v>5425</v>
      </c>
      <c r="H880" s="13"/>
      <c r="I880" s="22"/>
      <c r="O880" s="21"/>
    </row>
    <row r="881" spans="1:15" customFormat="1" ht="15" x14ac:dyDescent="0.25">
      <c r="A881" s="48" t="str">
        <f t="shared" si="34"/>
        <v>i_radar_hsm_corepac_stdcell_area</v>
      </c>
      <c r="B881" s="59" t="s">
        <v>5457</v>
      </c>
      <c r="C881" s="48" t="s">
        <v>5230</v>
      </c>
      <c r="D881" s="48"/>
      <c r="E881" s="48" t="s">
        <v>5192</v>
      </c>
      <c r="F881" s="14">
        <f>1130052/1000000</f>
        <v>1.1300520000000001</v>
      </c>
      <c r="G881" s="13" t="s">
        <v>6004</v>
      </c>
      <c r="H881" s="13"/>
      <c r="I881" s="22"/>
      <c r="O881" s="21"/>
    </row>
    <row r="882" spans="1:15" customFormat="1" ht="15" x14ac:dyDescent="0.25">
      <c r="A882" s="48" t="str">
        <f t="shared" ref="A882:A899" si="35">B882&amp;"_"&amp;C882</f>
        <v>i_radar_hsm_corepac_svt_pct</v>
      </c>
      <c r="B882" s="59" t="s">
        <v>5457</v>
      </c>
      <c r="C882" s="48" t="s">
        <v>5356</v>
      </c>
      <c r="D882" s="48"/>
      <c r="E882" s="48" t="s">
        <v>5192</v>
      </c>
      <c r="F882" s="20">
        <v>0.38</v>
      </c>
      <c r="G882" s="13" t="s">
        <v>5425</v>
      </c>
      <c r="H882" s="13"/>
      <c r="I882" s="22"/>
      <c r="O882" s="21"/>
    </row>
    <row r="883" spans="1:15" customFormat="1" ht="15" x14ac:dyDescent="0.25">
      <c r="A883" s="48" t="str">
        <f t="shared" si="35"/>
        <v>i_radar_hsm_corepac_tag</v>
      </c>
      <c r="B883" s="59" t="s">
        <v>5457</v>
      </c>
      <c r="C883" s="48" t="s">
        <v>5234</v>
      </c>
      <c r="D883" s="48"/>
      <c r="E883" s="48" t="s">
        <v>5192</v>
      </c>
      <c r="F883" s="14" t="s">
        <v>5370</v>
      </c>
      <c r="G883" s="13" t="s">
        <v>5425</v>
      </c>
      <c r="H883" s="13"/>
      <c r="I883" s="22"/>
      <c r="O883" s="21"/>
    </row>
    <row r="884" spans="1:15" customFormat="1" ht="15" x14ac:dyDescent="0.25">
      <c r="A884" s="48" t="str">
        <f t="shared" si="35"/>
        <v>i_radar_hsm_corepac_type</v>
      </c>
      <c r="B884" s="59" t="s">
        <v>5457</v>
      </c>
      <c r="C884" s="48" t="s">
        <v>1</v>
      </c>
      <c r="D884" s="48"/>
      <c r="E884" s="48" t="s">
        <v>5192</v>
      </c>
      <c r="F884" s="14" t="s">
        <v>5782</v>
      </c>
      <c r="G884" s="13" t="s">
        <v>5425</v>
      </c>
      <c r="H884" s="13"/>
      <c r="I884" s="22"/>
      <c r="O884" s="21"/>
    </row>
    <row r="885" spans="1:15" customFormat="1" ht="15" x14ac:dyDescent="0.25">
      <c r="A885" s="48" t="str">
        <f t="shared" si="35"/>
        <v>i_radar_hsm_corepac_vdd_dyn_idle_pct</v>
      </c>
      <c r="B885" s="59" t="s">
        <v>5457</v>
      </c>
      <c r="C885" s="48" t="s">
        <v>5363</v>
      </c>
      <c r="D885" s="48"/>
      <c r="E885" s="48" t="s">
        <v>5192</v>
      </c>
      <c r="F885" s="166">
        <v>1.9199999999999998E-2</v>
      </c>
      <c r="G885" s="13" t="s">
        <v>6045</v>
      </c>
      <c r="H885" s="13"/>
      <c r="I885" s="22"/>
      <c r="O885" s="21"/>
    </row>
    <row r="886" spans="1:15" customFormat="1" ht="15" x14ac:dyDescent="0.25">
      <c r="A886" s="48" t="str">
        <f t="shared" si="35"/>
        <v>i_radar_hsm_corepac_vdd_dyn_int</v>
      </c>
      <c r="B886" s="59" t="s">
        <v>5457</v>
      </c>
      <c r="C886" s="48" t="s">
        <v>5361</v>
      </c>
      <c r="D886" s="48"/>
      <c r="E886" s="48" t="s">
        <v>5192</v>
      </c>
      <c r="F886" s="14">
        <v>1257.5999999999999</v>
      </c>
      <c r="G886" s="13" t="s">
        <v>5425</v>
      </c>
      <c r="H886" s="13"/>
      <c r="I886" s="22"/>
      <c r="O886" s="21"/>
    </row>
    <row r="887" spans="1:15" customFormat="1" ht="15" x14ac:dyDescent="0.25">
      <c r="A887" s="48" t="str">
        <f t="shared" si="35"/>
        <v>i_radar_hsm_corepac_vdd_dyn_max_pct</v>
      </c>
      <c r="B887" s="59" t="s">
        <v>5457</v>
      </c>
      <c r="C887" s="48" t="s">
        <v>5364</v>
      </c>
      <c r="D887" s="48"/>
      <c r="E887" s="48" t="s">
        <v>5192</v>
      </c>
      <c r="F887" s="14">
        <v>0.04</v>
      </c>
      <c r="G887" s="13" t="s">
        <v>5425</v>
      </c>
      <c r="H887" s="13"/>
      <c r="I887" s="22"/>
      <c r="O887" s="21"/>
    </row>
    <row r="888" spans="1:15" customFormat="1" ht="15" x14ac:dyDescent="0.25">
      <c r="A888" s="48" t="str">
        <f t="shared" si="35"/>
        <v>i_radar_hsm_corepac_vdd_dyn_peak_pct</v>
      </c>
      <c r="B888" s="59" t="s">
        <v>5457</v>
      </c>
      <c r="C888" s="48" t="s">
        <v>5365</v>
      </c>
      <c r="D888" s="48"/>
      <c r="E888" s="48" t="s">
        <v>5192</v>
      </c>
      <c r="F888" s="14">
        <v>0.06</v>
      </c>
      <c r="G888" s="13" t="s">
        <v>5425</v>
      </c>
      <c r="H888" s="13"/>
      <c r="I888" s="22"/>
      <c r="O888" s="21"/>
    </row>
    <row r="889" spans="1:15" customFormat="1" ht="15" x14ac:dyDescent="0.25">
      <c r="A889" s="48" t="str">
        <f t="shared" si="35"/>
        <v>i_radar_hsm_corepac_vdd_dyn_sw</v>
      </c>
      <c r="B889" s="59" t="s">
        <v>5457</v>
      </c>
      <c r="C889" s="48" t="s">
        <v>5362</v>
      </c>
      <c r="D889" s="48"/>
      <c r="E889" s="48" t="s">
        <v>5192</v>
      </c>
      <c r="F889" s="14">
        <v>1295.2</v>
      </c>
      <c r="G889" s="13" t="s">
        <v>5425</v>
      </c>
      <c r="H889" s="13"/>
      <c r="I889" s="22"/>
      <c r="O889" s="21"/>
    </row>
    <row r="890" spans="1:15" customFormat="1" ht="15" x14ac:dyDescent="0.25">
      <c r="A890" s="48" t="str">
        <f t="shared" si="35"/>
        <v>i_radar_hsm_corepac_vdd_lkg</v>
      </c>
      <c r="B890" s="59" t="s">
        <v>5457</v>
      </c>
      <c r="C890" s="48" t="s">
        <v>5245</v>
      </c>
      <c r="D890" s="48"/>
      <c r="E890" s="48" t="s">
        <v>5192</v>
      </c>
      <c r="F890" s="14">
        <v>65.25</v>
      </c>
      <c r="G890" s="13" t="s">
        <v>5425</v>
      </c>
      <c r="H890" s="13"/>
      <c r="I890" s="22"/>
      <c r="O890" s="21"/>
    </row>
    <row r="891" spans="1:15" customFormat="1" ht="15" x14ac:dyDescent="0.25">
      <c r="A891" s="48" t="str">
        <f t="shared" si="35"/>
        <v>i_radar_hsm_corepac_vddr_lkg</v>
      </c>
      <c r="B891" s="59" t="s">
        <v>5457</v>
      </c>
      <c r="C891" s="48" t="s">
        <v>5246</v>
      </c>
      <c r="D891" s="48"/>
      <c r="E891" s="48" t="s">
        <v>5192</v>
      </c>
      <c r="F891" s="14">
        <v>6</v>
      </c>
      <c r="G891" s="13" t="s">
        <v>5425</v>
      </c>
      <c r="H891" s="13"/>
      <c r="I891" s="22"/>
      <c r="O891" s="21"/>
    </row>
    <row r="892" spans="1:15" customFormat="1" ht="15" x14ac:dyDescent="0.25">
      <c r="A892" s="48" t="str">
        <f t="shared" si="35"/>
        <v>i_radar_hsm_corepac_xsvt_pct</v>
      </c>
      <c r="B892" s="59" t="s">
        <v>5457</v>
      </c>
      <c r="C892" s="48" t="s">
        <v>5355</v>
      </c>
      <c r="D892" s="48"/>
      <c r="E892" s="48" t="s">
        <v>5192</v>
      </c>
      <c r="F892" s="20">
        <v>0.6</v>
      </c>
      <c r="G892" s="13" t="s">
        <v>5425</v>
      </c>
      <c r="H892" s="13"/>
      <c r="I892" s="22"/>
      <c r="O892" s="21"/>
    </row>
    <row r="893" spans="1:15" customFormat="1" ht="15" x14ac:dyDescent="0.25">
      <c r="A893" s="48" t="str">
        <f t="shared" si="35"/>
        <v>i2c_Description</v>
      </c>
      <c r="B893" s="48" t="s">
        <v>5313</v>
      </c>
      <c r="C893" s="48" t="s">
        <v>42</v>
      </c>
      <c r="D893" s="48"/>
      <c r="E893" s="48" t="s">
        <v>5192</v>
      </c>
      <c r="F893" s="14" t="s">
        <v>5837</v>
      </c>
      <c r="G893" s="48" t="s">
        <v>5314</v>
      </c>
      <c r="H893" s="13"/>
      <c r="I893" s="22"/>
      <c r="O893" s="21"/>
    </row>
    <row r="894" spans="1:15" customFormat="1" ht="15" x14ac:dyDescent="0.25">
      <c r="A894" s="48" t="str">
        <f t="shared" si="35"/>
        <v>i2c_First_SoC</v>
      </c>
      <c r="B894" s="48" t="s">
        <v>5313</v>
      </c>
      <c r="C894" s="48" t="s">
        <v>5216</v>
      </c>
      <c r="D894" s="48"/>
      <c r="E894" s="48" t="s">
        <v>5192</v>
      </c>
      <c r="F894" s="14" t="s">
        <v>5841</v>
      </c>
      <c r="G894" s="48"/>
      <c r="H894" s="13"/>
      <c r="I894" s="22"/>
      <c r="O894" s="21"/>
    </row>
    <row r="895" spans="1:15" customFormat="1" ht="15" x14ac:dyDescent="0.25">
      <c r="A895" s="48" t="str">
        <f t="shared" si="35"/>
        <v>i2c_Function</v>
      </c>
      <c r="B895" s="48" t="s">
        <v>5313</v>
      </c>
      <c r="C895" s="48" t="s">
        <v>5222</v>
      </c>
      <c r="D895" s="48"/>
      <c r="E895" s="48" t="s">
        <v>5192</v>
      </c>
      <c r="F895" s="14" t="s">
        <v>5313</v>
      </c>
      <c r="G895" s="48" t="s">
        <v>5315</v>
      </c>
      <c r="H895" s="13"/>
      <c r="I895" s="22"/>
      <c r="O895" s="21"/>
    </row>
    <row r="896" spans="1:15" customFormat="1" ht="15" x14ac:dyDescent="0.25">
      <c r="A896" s="48" t="str">
        <f t="shared" si="35"/>
        <v>i2c_pinmux</v>
      </c>
      <c r="B896" s="48" t="s">
        <v>5313</v>
      </c>
      <c r="C896" s="48" t="s">
        <v>5270</v>
      </c>
      <c r="D896" s="48"/>
      <c r="E896" s="48" t="s">
        <v>5192</v>
      </c>
      <c r="F896" s="14">
        <v>2</v>
      </c>
      <c r="G896" s="48" t="s">
        <v>5260</v>
      </c>
      <c r="H896" s="49"/>
      <c r="I896" s="22"/>
      <c r="O896" s="21"/>
    </row>
    <row r="897" spans="1:15" customFormat="1" ht="15" x14ac:dyDescent="0.25">
      <c r="A897" s="48" t="str">
        <f t="shared" si="35"/>
        <v>i2c_Pinmux</v>
      </c>
      <c r="B897" s="48" t="s">
        <v>5313</v>
      </c>
      <c r="C897" s="48" t="s">
        <v>5261</v>
      </c>
      <c r="D897" s="48"/>
      <c r="E897" s="48" t="s">
        <v>5192</v>
      </c>
      <c r="F897" s="14">
        <v>2</v>
      </c>
      <c r="G897" s="48"/>
      <c r="H897" s="49"/>
      <c r="I897" s="22"/>
      <c r="O897" s="21"/>
    </row>
    <row r="898" spans="1:15" customFormat="1" ht="15" x14ac:dyDescent="0.25">
      <c r="A898" s="48" t="str">
        <f t="shared" si="35"/>
        <v>i2c_tag</v>
      </c>
      <c r="B898" s="49" t="s">
        <v>5313</v>
      </c>
      <c r="C898" s="49" t="s">
        <v>5234</v>
      </c>
      <c r="D898" s="49"/>
      <c r="E898" s="49" t="s">
        <v>5192</v>
      </c>
      <c r="F898" s="14">
        <v>44499</v>
      </c>
      <c r="G898" s="49" t="s">
        <v>5254</v>
      </c>
      <c r="H898" s="49"/>
      <c r="I898" s="22"/>
      <c r="O898" s="21"/>
    </row>
    <row r="899" spans="1:15" customFormat="1" ht="15" x14ac:dyDescent="0.25">
      <c r="A899" s="48" t="str">
        <f t="shared" si="35"/>
        <v>i2c_Type</v>
      </c>
      <c r="B899" s="48" t="s">
        <v>5313</v>
      </c>
      <c r="C899" s="48" t="s">
        <v>0</v>
      </c>
      <c r="D899" s="48"/>
      <c r="E899" s="48" t="s">
        <v>5192</v>
      </c>
      <c r="F899" s="14" t="s">
        <v>5785</v>
      </c>
      <c r="G899" s="48" t="s">
        <v>5260</v>
      </c>
      <c r="H899" s="13"/>
      <c r="I899" s="22"/>
      <c r="O899" s="21"/>
    </row>
    <row r="900" spans="1:15" customFormat="1" ht="15" x14ac:dyDescent="0.25">
      <c r="A900" s="48" t="str">
        <f t="shared" ref="A900:A907" si="36">B900&amp;"_"&amp;C900&amp;"_"&amp;D900</f>
        <v>i2c_vdd_dyn_i2c_100k_1p8v</v>
      </c>
      <c r="B900" s="48" t="s">
        <v>5313</v>
      </c>
      <c r="C900" s="48" t="s">
        <v>5255</v>
      </c>
      <c r="D900" s="48" t="s">
        <v>5125</v>
      </c>
      <c r="E900" s="48" t="s">
        <v>5195</v>
      </c>
      <c r="F900" s="14">
        <v>1.4478683999999999E-8</v>
      </c>
      <c r="G900" s="48" t="s">
        <v>5315</v>
      </c>
      <c r="H900" s="49"/>
      <c r="I900" s="22"/>
      <c r="O900" s="21"/>
    </row>
    <row r="901" spans="1:15" customFormat="1" ht="15" x14ac:dyDescent="0.25">
      <c r="A901" s="48" t="str">
        <f t="shared" si="36"/>
        <v>i2c_vdd_dyn_i2c_100k_3p3v</v>
      </c>
      <c r="B901" s="48" t="s">
        <v>5313</v>
      </c>
      <c r="C901" s="48" t="s">
        <v>5255</v>
      </c>
      <c r="D901" s="48" t="s">
        <v>5123</v>
      </c>
      <c r="E901" s="48" t="s">
        <v>5195</v>
      </c>
      <c r="F901" s="14">
        <v>1.4478683999999999E-8</v>
      </c>
      <c r="G901" s="48" t="s">
        <v>5315</v>
      </c>
      <c r="H901" s="49"/>
      <c r="I901" s="22"/>
      <c r="O901" s="21"/>
    </row>
    <row r="902" spans="1:15" customFormat="1" ht="15" x14ac:dyDescent="0.25">
      <c r="A902" s="48" t="str">
        <f t="shared" si="36"/>
        <v>i2c_vdd_dyn_i2c_400k_1p8v</v>
      </c>
      <c r="B902" s="48" t="s">
        <v>5313</v>
      </c>
      <c r="C902" s="48" t="s">
        <v>5255</v>
      </c>
      <c r="D902" s="48" t="s">
        <v>5124</v>
      </c>
      <c r="E902" s="48" t="s">
        <v>5195</v>
      </c>
      <c r="F902" s="14">
        <v>5.7914735999999995E-8</v>
      </c>
      <c r="G902" s="48" t="s">
        <v>5315</v>
      </c>
      <c r="H902" s="49"/>
      <c r="I902" s="22"/>
      <c r="O902" s="21"/>
    </row>
    <row r="903" spans="1:15" customFormat="1" ht="15" x14ac:dyDescent="0.25">
      <c r="A903" s="48" t="str">
        <f t="shared" si="36"/>
        <v>i2c_vdd_dyn_i2c_400k_3p3v</v>
      </c>
      <c r="B903" s="48" t="s">
        <v>5313</v>
      </c>
      <c r="C903" s="48" t="s">
        <v>5255</v>
      </c>
      <c r="D903" s="48" t="s">
        <v>5122</v>
      </c>
      <c r="E903" s="48" t="s">
        <v>5195</v>
      </c>
      <c r="F903" s="14">
        <v>5.7914735999999995E-8</v>
      </c>
      <c r="G903" s="48" t="s">
        <v>5315</v>
      </c>
      <c r="H903" s="49"/>
      <c r="I903" s="22"/>
      <c r="O903" s="21"/>
    </row>
    <row r="904" spans="1:15" customFormat="1" ht="15" x14ac:dyDescent="0.25">
      <c r="A904" s="48" t="str">
        <f t="shared" si="36"/>
        <v>i2c_vddh1_dyn_i2c_100k_1p8v</v>
      </c>
      <c r="B904" s="48" t="s">
        <v>5313</v>
      </c>
      <c r="C904" s="48" t="s">
        <v>5256</v>
      </c>
      <c r="D904" s="48" t="s">
        <v>5125</v>
      </c>
      <c r="E904" s="48" t="s">
        <v>5195</v>
      </c>
      <c r="F904" s="14">
        <v>2.0518045200000005E-2</v>
      </c>
      <c r="G904" s="48" t="s">
        <v>5315</v>
      </c>
      <c r="H904" s="49"/>
      <c r="I904" s="22"/>
      <c r="O904" s="21"/>
    </row>
    <row r="905" spans="1:15" customFormat="1" ht="15" x14ac:dyDescent="0.25">
      <c r="A905" s="48" t="str">
        <f t="shared" si="36"/>
        <v>i2c_vddh1_dyn_i2c_400k_1p8v</v>
      </c>
      <c r="B905" s="48" t="s">
        <v>5313</v>
      </c>
      <c r="C905" s="48" t="s">
        <v>5256</v>
      </c>
      <c r="D905" s="48" t="s">
        <v>5124</v>
      </c>
      <c r="E905" s="48" t="s">
        <v>5195</v>
      </c>
      <c r="F905" s="14">
        <v>8.2072180800000019E-2</v>
      </c>
      <c r="G905" s="48" t="s">
        <v>5315</v>
      </c>
      <c r="H905" s="49"/>
      <c r="I905" s="22"/>
      <c r="O905" s="21"/>
    </row>
    <row r="906" spans="1:15" customFormat="1" ht="15" x14ac:dyDescent="0.25">
      <c r="A906" s="48" t="str">
        <f t="shared" si="36"/>
        <v>i2c_vddh2_dyn_i2c_100k_3p3v</v>
      </c>
      <c r="B906" s="48" t="s">
        <v>5313</v>
      </c>
      <c r="C906" s="48" t="s">
        <v>5262</v>
      </c>
      <c r="D906" s="48" t="s">
        <v>5123</v>
      </c>
      <c r="E906" s="48" t="s">
        <v>5195</v>
      </c>
      <c r="F906" s="14">
        <v>0.12026915999999999</v>
      </c>
      <c r="G906" s="48" t="s">
        <v>5315</v>
      </c>
      <c r="H906" s="49"/>
      <c r="I906" s="22"/>
      <c r="O906" s="21"/>
    </row>
    <row r="907" spans="1:15" customFormat="1" ht="15" x14ac:dyDescent="0.25">
      <c r="A907" s="48" t="str">
        <f t="shared" si="36"/>
        <v>i2c_vddh2_dyn_i2c_400k_3p3v</v>
      </c>
      <c r="B907" s="48" t="s">
        <v>5313</v>
      </c>
      <c r="C907" s="48" t="s">
        <v>5262</v>
      </c>
      <c r="D907" s="48" t="s">
        <v>5122</v>
      </c>
      <c r="E907" s="48" t="s">
        <v>5195</v>
      </c>
      <c r="F907" s="14">
        <v>0.48107663999999994</v>
      </c>
      <c r="G907" s="48" t="s">
        <v>5315</v>
      </c>
      <c r="H907" s="49"/>
      <c r="I907" s="22"/>
      <c r="O907" s="21"/>
    </row>
    <row r="908" spans="1:15" customFormat="1" ht="15" x14ac:dyDescent="0.25">
      <c r="A908" s="48" t="str">
        <f t="shared" ref="A908:A914" si="37">B908&amp;"_"&amp;C908</f>
        <v>i2c_od_Description</v>
      </c>
      <c r="B908" s="48" t="s">
        <v>5316</v>
      </c>
      <c r="C908" s="48" t="s">
        <v>42</v>
      </c>
      <c r="D908" s="48"/>
      <c r="E908" s="48" t="s">
        <v>5192</v>
      </c>
      <c r="F908" s="14" t="s">
        <v>5839</v>
      </c>
      <c r="G908" s="48" t="s">
        <v>5317</v>
      </c>
      <c r="H908" s="13"/>
      <c r="I908" s="22"/>
      <c r="O908" s="21"/>
    </row>
    <row r="909" spans="1:15" customFormat="1" ht="15" x14ac:dyDescent="0.25">
      <c r="A909" s="48" t="str">
        <f t="shared" si="37"/>
        <v>i2c_od_First_SoC</v>
      </c>
      <c r="B909" s="48" t="s">
        <v>5316</v>
      </c>
      <c r="C909" s="48" t="s">
        <v>5216</v>
      </c>
      <c r="D909" s="48"/>
      <c r="E909" s="48" t="s">
        <v>5192</v>
      </c>
      <c r="F909" s="14" t="s">
        <v>5841</v>
      </c>
      <c r="G909" s="55"/>
      <c r="H909" s="13"/>
      <c r="I909" s="22"/>
      <c r="O909" s="21"/>
    </row>
    <row r="910" spans="1:15" customFormat="1" ht="15" x14ac:dyDescent="0.25">
      <c r="A910" s="48" t="str">
        <f t="shared" si="37"/>
        <v>i2c_od_Function</v>
      </c>
      <c r="B910" s="48" t="s">
        <v>5316</v>
      </c>
      <c r="C910" s="48" t="s">
        <v>5222</v>
      </c>
      <c r="D910" s="48"/>
      <c r="E910" s="48" t="s">
        <v>5192</v>
      </c>
      <c r="F910" s="14" t="s">
        <v>5838</v>
      </c>
      <c r="G910" s="48"/>
      <c r="H910" s="13"/>
      <c r="I910" s="22"/>
      <c r="O910" s="21"/>
    </row>
    <row r="911" spans="1:15" customFormat="1" ht="15" x14ac:dyDescent="0.25">
      <c r="A911" s="48" t="str">
        <f t="shared" si="37"/>
        <v>i2c_od_pinmux</v>
      </c>
      <c r="B911" s="48" t="s">
        <v>5316</v>
      </c>
      <c r="C911" s="48" t="s">
        <v>5270</v>
      </c>
      <c r="D911" s="48"/>
      <c r="E911" s="48" t="s">
        <v>5192</v>
      </c>
      <c r="F911" s="14">
        <v>2</v>
      </c>
      <c r="G911" s="48"/>
      <c r="H911" s="49"/>
      <c r="I911" s="22"/>
      <c r="O911" s="21"/>
    </row>
    <row r="912" spans="1:15" customFormat="1" ht="15" x14ac:dyDescent="0.25">
      <c r="A912" s="48" t="str">
        <f t="shared" si="37"/>
        <v>i2c_od_Pinmux</v>
      </c>
      <c r="B912" s="48" t="s">
        <v>5316</v>
      </c>
      <c r="C912" s="48" t="s">
        <v>5261</v>
      </c>
      <c r="D912" s="48"/>
      <c r="E912" s="48" t="s">
        <v>5192</v>
      </c>
      <c r="F912" s="14">
        <v>2</v>
      </c>
      <c r="G912" s="48"/>
      <c r="H912" s="49"/>
      <c r="I912" s="22"/>
      <c r="O912" s="21"/>
    </row>
    <row r="913" spans="1:15" customFormat="1" ht="15" x14ac:dyDescent="0.25">
      <c r="A913" s="48" t="str">
        <f t="shared" si="37"/>
        <v>i2c_od_tag</v>
      </c>
      <c r="B913" s="49" t="s">
        <v>5316</v>
      </c>
      <c r="C913" s="49" t="s">
        <v>5234</v>
      </c>
      <c r="D913" s="49"/>
      <c r="E913" s="49" t="s">
        <v>5192</v>
      </c>
      <c r="F913" s="14">
        <v>44499</v>
      </c>
      <c r="G913" s="49" t="s">
        <v>5254</v>
      </c>
      <c r="H913" s="49"/>
      <c r="I913" s="22"/>
      <c r="O913" s="21"/>
    </row>
    <row r="914" spans="1:15" customFormat="1" ht="15" x14ac:dyDescent="0.25">
      <c r="A914" s="48" t="str">
        <f t="shared" si="37"/>
        <v>i2c_od_Type</v>
      </c>
      <c r="B914" s="48" t="s">
        <v>5316</v>
      </c>
      <c r="C914" s="48" t="s">
        <v>0</v>
      </c>
      <c r="D914" s="48"/>
      <c r="E914" s="48" t="s">
        <v>5192</v>
      </c>
      <c r="F914" s="14" t="s">
        <v>5785</v>
      </c>
      <c r="G914" s="48"/>
      <c r="H914" s="13"/>
      <c r="I914" s="22"/>
      <c r="O914" s="21"/>
    </row>
    <row r="915" spans="1:15" customFormat="1" ht="15" x14ac:dyDescent="0.25">
      <c r="A915" s="48" t="str">
        <f t="shared" ref="A915:A926" si="38">B915&amp;"_"&amp;C915&amp;"_"&amp;D915</f>
        <v>i2c_od_vdd_dyn_i2c_100k_1p8v</v>
      </c>
      <c r="B915" s="48" t="s">
        <v>5316</v>
      </c>
      <c r="C915" s="48" t="s">
        <v>5255</v>
      </c>
      <c r="D915" s="48" t="s">
        <v>5125</v>
      </c>
      <c r="E915" s="48" t="s">
        <v>5195</v>
      </c>
      <c r="F915" s="14">
        <v>2.0766239999999999E-8</v>
      </c>
      <c r="G915" s="48" t="s">
        <v>5318</v>
      </c>
      <c r="H915" s="49"/>
      <c r="I915" s="22"/>
      <c r="O915" s="21"/>
    </row>
    <row r="916" spans="1:15" customFormat="1" ht="15" x14ac:dyDescent="0.25">
      <c r="A916" s="48" t="str">
        <f t="shared" si="38"/>
        <v>i2c_od_vdd_dyn_i2c_100k_3p3v</v>
      </c>
      <c r="B916" s="48" t="s">
        <v>5316</v>
      </c>
      <c r="C916" s="48" t="s">
        <v>5255</v>
      </c>
      <c r="D916" s="48" t="s">
        <v>5123</v>
      </c>
      <c r="E916" s="48" t="s">
        <v>5195</v>
      </c>
      <c r="F916" s="14">
        <v>2.0766239999999999E-8</v>
      </c>
      <c r="G916" s="48" t="s">
        <v>5318</v>
      </c>
      <c r="H916" s="49"/>
      <c r="I916" s="22"/>
      <c r="O916" s="21"/>
    </row>
    <row r="917" spans="1:15" customFormat="1" ht="15" x14ac:dyDescent="0.25">
      <c r="A917" s="48" t="str">
        <f t="shared" si="38"/>
        <v>i2c_od_vdd_dyn_i2c_1m_1p8v</v>
      </c>
      <c r="B917" s="48" t="s">
        <v>5316</v>
      </c>
      <c r="C917" s="48" t="s">
        <v>5255</v>
      </c>
      <c r="D917" s="48" t="s">
        <v>5129</v>
      </c>
      <c r="E917" s="48" t="s">
        <v>5195</v>
      </c>
      <c r="F917" s="14">
        <v>1.355574E-7</v>
      </c>
      <c r="G917" s="48" t="s">
        <v>5318</v>
      </c>
      <c r="H917" s="49"/>
      <c r="I917" s="22"/>
      <c r="O917" s="21"/>
    </row>
    <row r="918" spans="1:15" customFormat="1" ht="15" x14ac:dyDescent="0.25">
      <c r="A918" s="48" t="str">
        <f t="shared" si="38"/>
        <v>i2c_od_vdd_dyn_i2c_3p4m_1p8v</v>
      </c>
      <c r="B918" s="48" t="s">
        <v>5316</v>
      </c>
      <c r="C918" s="48" t="s">
        <v>5255</v>
      </c>
      <c r="D918" s="48" t="s">
        <v>5127</v>
      </c>
      <c r="E918" s="48" t="s">
        <v>5195</v>
      </c>
      <c r="F918" s="14">
        <v>4.6089515999999997E-7</v>
      </c>
      <c r="G918" s="48" t="s">
        <v>5318</v>
      </c>
      <c r="H918" s="49"/>
      <c r="I918" s="22"/>
      <c r="O918" s="21"/>
    </row>
    <row r="919" spans="1:15" customFormat="1" ht="15" x14ac:dyDescent="0.25">
      <c r="A919" s="48" t="str">
        <f t="shared" si="38"/>
        <v>i2c_od_vdd_dyn_i2c_400k_1p8v</v>
      </c>
      <c r="B919" s="48" t="s">
        <v>5316</v>
      </c>
      <c r="C919" s="48" t="s">
        <v>5255</v>
      </c>
      <c r="D919" s="48" t="s">
        <v>5124</v>
      </c>
      <c r="E919" s="48" t="s">
        <v>5195</v>
      </c>
      <c r="F919" s="14">
        <v>5.4222959999999996E-8</v>
      </c>
      <c r="G919" s="48" t="s">
        <v>5318</v>
      </c>
      <c r="H919" s="49"/>
      <c r="I919" s="22"/>
      <c r="O919" s="21"/>
    </row>
    <row r="920" spans="1:15" customFormat="1" ht="15" x14ac:dyDescent="0.25">
      <c r="A920" s="48" t="str">
        <f t="shared" si="38"/>
        <v>i2c_od_vdd_dyn_i2c_400k_3p3v</v>
      </c>
      <c r="B920" s="48" t="s">
        <v>5316</v>
      </c>
      <c r="C920" s="48" t="s">
        <v>5255</v>
      </c>
      <c r="D920" s="48" t="s">
        <v>5122</v>
      </c>
      <c r="E920" s="48" t="s">
        <v>5195</v>
      </c>
      <c r="F920" s="14">
        <v>5.4222959999999996E-8</v>
      </c>
      <c r="G920" s="48" t="s">
        <v>5318</v>
      </c>
      <c r="H920" s="49"/>
      <c r="I920" s="22"/>
      <c r="O920" s="21"/>
    </row>
    <row r="921" spans="1:15" customFormat="1" ht="15" x14ac:dyDescent="0.25">
      <c r="A921" s="48" t="str">
        <f t="shared" si="38"/>
        <v>i2c_od_vddh1_dyn_i2c_100k_1p8v</v>
      </c>
      <c r="B921" s="48" t="s">
        <v>5316</v>
      </c>
      <c r="C921" s="48" t="s">
        <v>5256</v>
      </c>
      <c r="D921" s="48" t="s">
        <v>5125</v>
      </c>
      <c r="E921" s="48" t="s">
        <v>5195</v>
      </c>
      <c r="F921" s="14">
        <v>2.0436300000000008E-2</v>
      </c>
      <c r="G921" s="48" t="s">
        <v>5318</v>
      </c>
      <c r="H921" s="49"/>
      <c r="I921" s="22"/>
      <c r="O921" s="21"/>
    </row>
    <row r="922" spans="1:15" customFormat="1" ht="15" x14ac:dyDescent="0.25">
      <c r="A922" s="48" t="str">
        <f t="shared" si="38"/>
        <v>i2c_od_vddh1_dyn_i2c_1m_1p8v</v>
      </c>
      <c r="B922" s="48" t="s">
        <v>5316</v>
      </c>
      <c r="C922" s="48" t="s">
        <v>5256</v>
      </c>
      <c r="D922" s="48" t="s">
        <v>5129</v>
      </c>
      <c r="E922" s="48" t="s">
        <v>5195</v>
      </c>
      <c r="F922" s="14">
        <v>0.10218150000000001</v>
      </c>
      <c r="G922" s="48" t="s">
        <v>5318</v>
      </c>
      <c r="H922" s="49"/>
      <c r="I922" s="22"/>
      <c r="O922" s="21"/>
    </row>
    <row r="923" spans="1:15" customFormat="1" ht="15" x14ac:dyDescent="0.25">
      <c r="A923" s="48" t="str">
        <f t="shared" si="38"/>
        <v>i2c_od_vddh1_dyn_i2c_3p4m_1p8v</v>
      </c>
      <c r="B923" s="48" t="s">
        <v>5316</v>
      </c>
      <c r="C923" s="48" t="s">
        <v>5256</v>
      </c>
      <c r="D923" s="48" t="s">
        <v>5127</v>
      </c>
      <c r="E923" s="48" t="s">
        <v>5195</v>
      </c>
      <c r="F923" s="14">
        <v>0.34741710000000003</v>
      </c>
      <c r="G923" s="48" t="s">
        <v>5318</v>
      </c>
      <c r="H923" s="49"/>
      <c r="I923" s="22"/>
      <c r="O923" s="21"/>
    </row>
    <row r="924" spans="1:15" customFormat="1" ht="15" x14ac:dyDescent="0.25">
      <c r="A924" s="48" t="str">
        <f t="shared" si="38"/>
        <v>i2c_od_vddh1_dyn_i2c_400k_1p8v</v>
      </c>
      <c r="B924" s="48" t="s">
        <v>5316</v>
      </c>
      <c r="C924" s="48" t="s">
        <v>5256</v>
      </c>
      <c r="D924" s="48" t="s">
        <v>5124</v>
      </c>
      <c r="E924" s="48" t="s">
        <v>5195</v>
      </c>
      <c r="F924" s="14">
        <v>4.0872600000000016E-2</v>
      </c>
      <c r="G924" s="48" t="s">
        <v>5318</v>
      </c>
      <c r="H924" s="49"/>
      <c r="I924" s="22"/>
      <c r="O924" s="21"/>
    </row>
    <row r="925" spans="1:15" customFormat="1" ht="15" x14ac:dyDescent="0.25">
      <c r="A925" s="48" t="str">
        <f t="shared" si="38"/>
        <v>i2c_od_vddh2_dyn_i2c_100k_3p3v</v>
      </c>
      <c r="B925" s="48" t="s">
        <v>5316</v>
      </c>
      <c r="C925" s="48" t="s">
        <v>5262</v>
      </c>
      <c r="D925" s="48" t="s">
        <v>5123</v>
      </c>
      <c r="E925" s="48" t="s">
        <v>5195</v>
      </c>
      <c r="F925" s="14">
        <v>0.11979000000000001</v>
      </c>
      <c r="G925" s="48" t="s">
        <v>5318</v>
      </c>
      <c r="H925" s="49"/>
      <c r="I925" s="22"/>
      <c r="O925" s="21"/>
    </row>
    <row r="926" spans="1:15" customFormat="1" ht="15" x14ac:dyDescent="0.25">
      <c r="A926" s="48" t="str">
        <f t="shared" si="38"/>
        <v>i2c_od_vddh2_dyn_i2c_400k_3p3v</v>
      </c>
      <c r="B926" s="48" t="s">
        <v>5316</v>
      </c>
      <c r="C926" s="48" t="s">
        <v>5262</v>
      </c>
      <c r="D926" s="48" t="s">
        <v>5122</v>
      </c>
      <c r="E926" s="48" t="s">
        <v>5195</v>
      </c>
      <c r="F926" s="14">
        <v>0.23958000000000002</v>
      </c>
      <c r="G926" s="48" t="s">
        <v>5318</v>
      </c>
      <c r="H926" s="49"/>
      <c r="I926" s="22"/>
      <c r="O926" s="21"/>
    </row>
    <row r="927" spans="1:15" customFormat="1" ht="15" x14ac:dyDescent="0.25">
      <c r="A927" s="48" t="str">
        <f t="shared" ref="A927:A932" si="39">B927&amp;"_"&amp;C927</f>
        <v>icssm_io_Description</v>
      </c>
      <c r="B927" s="48" t="s">
        <v>5591</v>
      </c>
      <c r="C927" s="48" t="s">
        <v>42</v>
      </c>
      <c r="D927" s="48"/>
      <c r="E927" s="48" t="s">
        <v>5192</v>
      </c>
      <c r="F927" s="14" t="s">
        <v>5840</v>
      </c>
      <c r="G927" s="48" t="s">
        <v>5320</v>
      </c>
      <c r="H927" s="13"/>
      <c r="I927" s="22"/>
      <c r="O927" s="21"/>
    </row>
    <row r="928" spans="1:15" customFormat="1" ht="15" x14ac:dyDescent="0.25">
      <c r="A928" s="48" t="str">
        <f t="shared" si="39"/>
        <v>icssm_io_First_SoC</v>
      </c>
      <c r="B928" s="48" t="s">
        <v>5591</v>
      </c>
      <c r="C928" s="48" t="s">
        <v>5216</v>
      </c>
      <c r="D928" s="48"/>
      <c r="E928" s="48" t="s">
        <v>5192</v>
      </c>
      <c r="F928" s="14" t="s">
        <v>5799</v>
      </c>
      <c r="G928" s="48"/>
      <c r="H928" s="13"/>
      <c r="I928" s="22"/>
      <c r="O928" s="21"/>
    </row>
    <row r="929" spans="1:15" customFormat="1" ht="15" x14ac:dyDescent="0.25">
      <c r="A929" s="48" t="str">
        <f t="shared" si="39"/>
        <v>icssm_io_Function</v>
      </c>
      <c r="B929" s="48" t="s">
        <v>5591</v>
      </c>
      <c r="C929" s="48" t="s">
        <v>5222</v>
      </c>
      <c r="D929" s="48"/>
      <c r="E929" s="48" t="s">
        <v>5192</v>
      </c>
      <c r="F929" s="14" t="s">
        <v>5319</v>
      </c>
      <c r="G929" s="48" t="s">
        <v>5260</v>
      </c>
      <c r="H929" s="13"/>
      <c r="I929" s="22"/>
      <c r="O929" s="21"/>
    </row>
    <row r="930" spans="1:15" customFormat="1" ht="15" x14ac:dyDescent="0.25">
      <c r="A930" s="48" t="str">
        <f t="shared" si="39"/>
        <v>icssm_io_Pinmux</v>
      </c>
      <c r="B930" s="48" t="s">
        <v>5591</v>
      </c>
      <c r="C930" s="48" t="s">
        <v>5261</v>
      </c>
      <c r="D930" s="48"/>
      <c r="E930" s="48" t="s">
        <v>5192</v>
      </c>
      <c r="F930" s="14">
        <v>22</v>
      </c>
      <c r="G930" s="48" t="s">
        <v>5321</v>
      </c>
      <c r="H930" s="49"/>
      <c r="I930" s="22"/>
      <c r="O930" s="21"/>
    </row>
    <row r="931" spans="1:15" customFormat="1" ht="15" x14ac:dyDescent="0.25">
      <c r="A931" s="48" t="str">
        <f t="shared" si="39"/>
        <v>icssm_io_tag</v>
      </c>
      <c r="B931" s="49" t="s">
        <v>5591</v>
      </c>
      <c r="C931" s="49" t="s">
        <v>5234</v>
      </c>
      <c r="D931" s="49"/>
      <c r="E931" s="49" t="s">
        <v>5192</v>
      </c>
      <c r="F931" s="14">
        <v>44499</v>
      </c>
      <c r="G931" s="49" t="s">
        <v>5254</v>
      </c>
      <c r="H931" s="49"/>
      <c r="I931" s="22"/>
      <c r="O931" s="21"/>
    </row>
    <row r="932" spans="1:15" customFormat="1" ht="15" x14ac:dyDescent="0.25">
      <c r="A932" s="48" t="str">
        <f t="shared" si="39"/>
        <v>icssm_io_Type</v>
      </c>
      <c r="B932" s="48" t="s">
        <v>5591</v>
      </c>
      <c r="C932" s="48" t="s">
        <v>0</v>
      </c>
      <c r="D932" s="48"/>
      <c r="E932" s="48" t="s">
        <v>5192</v>
      </c>
      <c r="F932" s="14" t="s">
        <v>5785</v>
      </c>
      <c r="G932" s="48" t="s">
        <v>5260</v>
      </c>
      <c r="H932" s="13"/>
      <c r="I932" s="22"/>
      <c r="O932" s="21"/>
    </row>
    <row r="933" spans="1:15" customFormat="1" ht="15" x14ac:dyDescent="0.25">
      <c r="A933" s="48" t="str">
        <f t="shared" ref="A933:A971" si="40">B933&amp;"_"&amp;C933&amp;"_"&amp;D933</f>
        <v>icssm_io_vdd_dyn_ethercat_1p8v</v>
      </c>
      <c r="B933" s="48" t="s">
        <v>5591</v>
      </c>
      <c r="C933" s="48" t="s">
        <v>5255</v>
      </c>
      <c r="D933" s="48" t="s">
        <v>4884</v>
      </c>
      <c r="E933" s="48" t="s">
        <v>5195</v>
      </c>
      <c r="F933" s="14">
        <v>2.1449795399999999E-5</v>
      </c>
      <c r="G933" s="48" t="s">
        <v>5260</v>
      </c>
      <c r="H933" s="49"/>
      <c r="I933" s="22"/>
      <c r="O933" s="21"/>
    </row>
    <row r="934" spans="1:15" customFormat="1" ht="15" x14ac:dyDescent="0.25">
      <c r="A934" s="48" t="str">
        <f t="shared" si="40"/>
        <v>icssm_io_vdd_dyn_ethercat_3p3v</v>
      </c>
      <c r="B934" s="48" t="s">
        <v>5591</v>
      </c>
      <c r="C934" s="48" t="s">
        <v>5255</v>
      </c>
      <c r="D934" s="48" t="s">
        <v>4879</v>
      </c>
      <c r="E934" s="48" t="s">
        <v>5195</v>
      </c>
      <c r="F934" s="14">
        <v>2.1449795399999999E-5</v>
      </c>
      <c r="G934" s="48" t="s">
        <v>5260</v>
      </c>
      <c r="H934" s="49"/>
      <c r="I934" s="22"/>
      <c r="O934" s="21"/>
    </row>
    <row r="935" spans="1:15" customFormat="1" ht="15" x14ac:dyDescent="0.25">
      <c r="A935" s="48" t="str">
        <f t="shared" si="40"/>
        <v>icssm_io_vdd_dyn_mii_1p8v</v>
      </c>
      <c r="B935" s="48" t="s">
        <v>5591</v>
      </c>
      <c r="C935" s="48" t="s">
        <v>5255</v>
      </c>
      <c r="D935" s="48" t="s">
        <v>4882</v>
      </c>
      <c r="E935" s="48" t="s">
        <v>5195</v>
      </c>
      <c r="F935" s="14">
        <v>2.1449795399999999E-5</v>
      </c>
      <c r="G935" s="48" t="s">
        <v>5260</v>
      </c>
      <c r="H935" s="49"/>
      <c r="I935" s="22"/>
      <c r="O935" s="21"/>
    </row>
    <row r="936" spans="1:15" customFormat="1" ht="15" x14ac:dyDescent="0.25">
      <c r="A936" s="48" t="str">
        <f t="shared" si="40"/>
        <v>icssm_io_vdd_dyn_mii_3p3v</v>
      </c>
      <c r="B936" s="48" t="s">
        <v>5591</v>
      </c>
      <c r="C936" s="48" t="s">
        <v>5255</v>
      </c>
      <c r="D936" s="48" t="s">
        <v>4877</v>
      </c>
      <c r="E936" s="48" t="s">
        <v>5195</v>
      </c>
      <c r="F936" s="14">
        <v>2.1449795399999999E-5</v>
      </c>
      <c r="G936" s="48" t="s">
        <v>5260</v>
      </c>
      <c r="H936" s="49"/>
      <c r="I936" s="22"/>
      <c r="O936" s="21"/>
    </row>
    <row r="937" spans="1:15" customFormat="1" ht="15" x14ac:dyDescent="0.25">
      <c r="A937" s="48" t="str">
        <f t="shared" si="40"/>
        <v>icssm_io_vdd_dyn_mii_mii_1p8v</v>
      </c>
      <c r="B937" s="48" t="s">
        <v>5591</v>
      </c>
      <c r="C937" s="48" t="s">
        <v>5255</v>
      </c>
      <c r="D937" s="48" t="s">
        <v>4889</v>
      </c>
      <c r="E937" s="48" t="s">
        <v>5195</v>
      </c>
      <c r="F937" s="14">
        <v>1.9681059749999999E-5</v>
      </c>
      <c r="G937" s="48" t="s">
        <v>5260</v>
      </c>
      <c r="H937" s="49"/>
      <c r="I937" s="22"/>
      <c r="O937" s="21"/>
    </row>
    <row r="938" spans="1:15" customFormat="1" ht="15" x14ac:dyDescent="0.25">
      <c r="A938" s="48" t="str">
        <f t="shared" si="40"/>
        <v>icssm_io_vdd_dyn_mii_mii_3p3v</v>
      </c>
      <c r="B938" s="48" t="s">
        <v>5591</v>
      </c>
      <c r="C938" s="48" t="s">
        <v>5255</v>
      </c>
      <c r="D938" s="48" t="s">
        <v>4888</v>
      </c>
      <c r="E938" s="48" t="s">
        <v>5195</v>
      </c>
      <c r="F938" s="14">
        <v>1.9681059749999999E-5</v>
      </c>
      <c r="G938" s="48" t="s">
        <v>5260</v>
      </c>
      <c r="H938" s="49"/>
      <c r="I938" s="22"/>
      <c r="O938" s="21"/>
    </row>
    <row r="939" spans="1:15" customFormat="1" ht="15" x14ac:dyDescent="0.25">
      <c r="A939" s="48" t="str">
        <f t="shared" si="40"/>
        <v>icssm_io_vdd_dyn_off</v>
      </c>
      <c r="B939" s="48" t="s">
        <v>5591</v>
      </c>
      <c r="C939" s="48" t="s">
        <v>5255</v>
      </c>
      <c r="D939" s="48" t="s">
        <v>4798</v>
      </c>
      <c r="E939" s="48" t="s">
        <v>5195</v>
      </c>
      <c r="F939" s="14">
        <v>0</v>
      </c>
      <c r="G939" s="48" t="s">
        <v>5260</v>
      </c>
      <c r="H939" s="49"/>
      <c r="I939" s="22"/>
      <c r="O939" s="21"/>
    </row>
    <row r="940" spans="1:15" customFormat="1" ht="15" x14ac:dyDescent="0.25">
      <c r="A940" s="48" t="str">
        <f t="shared" si="40"/>
        <v>icssm_io_vdd_dyn_profinet_1p8v</v>
      </c>
      <c r="B940" s="48" t="s">
        <v>5591</v>
      </c>
      <c r="C940" s="48" t="s">
        <v>5255</v>
      </c>
      <c r="D940" s="48" t="s">
        <v>4883</v>
      </c>
      <c r="E940" s="48" t="s">
        <v>5195</v>
      </c>
      <c r="F940" s="14">
        <v>2.1449795399999999E-5</v>
      </c>
      <c r="G940" s="48" t="s">
        <v>5260</v>
      </c>
      <c r="H940" s="49"/>
      <c r="I940" s="22"/>
      <c r="O940" s="21"/>
    </row>
    <row r="941" spans="1:15" customFormat="1" ht="15" x14ac:dyDescent="0.25">
      <c r="A941" s="48" t="str">
        <f t="shared" si="40"/>
        <v>icssm_io_vdd_dyn_profinet_3p3v</v>
      </c>
      <c r="B941" s="48" t="s">
        <v>5591</v>
      </c>
      <c r="C941" s="48" t="s">
        <v>5255</v>
      </c>
      <c r="D941" s="48" t="s">
        <v>4878</v>
      </c>
      <c r="E941" s="48" t="s">
        <v>5195</v>
      </c>
      <c r="F941" s="14">
        <v>2.1449795399999999E-5</v>
      </c>
      <c r="G941" s="48" t="s">
        <v>5260</v>
      </c>
      <c r="H941" s="49"/>
      <c r="I941" s="22"/>
      <c r="O941" s="21"/>
    </row>
    <row r="942" spans="1:15" customFormat="1" ht="15" x14ac:dyDescent="0.25">
      <c r="A942" s="48" t="str">
        <f t="shared" si="40"/>
        <v>icssm_io_vdd_dyn_rmii_1p8v</v>
      </c>
      <c r="B942" s="48" t="s">
        <v>5591</v>
      </c>
      <c r="C942" s="48" t="s">
        <v>5255</v>
      </c>
      <c r="D942" s="48" t="s">
        <v>4881</v>
      </c>
      <c r="E942" s="48" t="s">
        <v>5195</v>
      </c>
      <c r="F942" s="14">
        <v>1.666375392E-5</v>
      </c>
      <c r="G942" s="48" t="s">
        <v>5260</v>
      </c>
      <c r="H942" s="49"/>
      <c r="I942" s="22"/>
      <c r="O942" s="21"/>
    </row>
    <row r="943" spans="1:15" customFormat="1" ht="15" x14ac:dyDescent="0.25">
      <c r="A943" s="48" t="str">
        <f t="shared" si="40"/>
        <v>icssm_io_vdd_dyn_rmii_3p3v</v>
      </c>
      <c r="B943" s="48" t="s">
        <v>5591</v>
      </c>
      <c r="C943" s="48" t="s">
        <v>5255</v>
      </c>
      <c r="D943" s="48" t="s">
        <v>4876</v>
      </c>
      <c r="E943" s="48" t="s">
        <v>5195</v>
      </c>
      <c r="F943" s="14">
        <v>1.666375392E-5</v>
      </c>
      <c r="G943" s="48" t="s">
        <v>5260</v>
      </c>
      <c r="H943" s="49"/>
      <c r="I943" s="22"/>
      <c r="O943" s="21"/>
    </row>
    <row r="944" spans="1:15" customFormat="1" ht="15" x14ac:dyDescent="0.25">
      <c r="A944" s="48" t="str">
        <f t="shared" si="40"/>
        <v>icssm_io_vdd_dyn_rmii_rmii_1p8v</v>
      </c>
      <c r="B944" s="48" t="s">
        <v>5591</v>
      </c>
      <c r="C944" s="48" t="s">
        <v>5255</v>
      </c>
      <c r="D944" s="48" t="s">
        <v>4880</v>
      </c>
      <c r="E944" s="48" t="s">
        <v>5195</v>
      </c>
      <c r="F944" s="14">
        <v>3.332750784E-5</v>
      </c>
      <c r="G944" s="48" t="s">
        <v>5260</v>
      </c>
      <c r="H944" s="49"/>
      <c r="I944" s="22"/>
      <c r="O944" s="21"/>
    </row>
    <row r="945" spans="1:15" customFormat="1" ht="15" x14ac:dyDescent="0.25">
      <c r="A945" s="48" t="str">
        <f t="shared" si="40"/>
        <v>icssm_io_vdd_dyn_rmii_rmii_3p3v</v>
      </c>
      <c r="B945" s="48" t="s">
        <v>5591</v>
      </c>
      <c r="C945" s="48" t="s">
        <v>5255</v>
      </c>
      <c r="D945" s="48" t="s">
        <v>4875</v>
      </c>
      <c r="E945" s="48" t="s">
        <v>5195</v>
      </c>
      <c r="F945" s="14">
        <v>3.332750784E-5</v>
      </c>
      <c r="G945" s="48" t="s">
        <v>5260</v>
      </c>
      <c r="H945" s="49"/>
      <c r="I945" s="22"/>
      <c r="O945" s="21"/>
    </row>
    <row r="946" spans="1:15" customFormat="1" ht="15" x14ac:dyDescent="0.25">
      <c r="A946" s="48" t="str">
        <f t="shared" si="40"/>
        <v>icssm_io_vddh1_dyn_ethercat_1p8v</v>
      </c>
      <c r="B946" s="48" t="s">
        <v>5591</v>
      </c>
      <c r="C946" s="48" t="s">
        <v>5256</v>
      </c>
      <c r="D946" s="48" t="s">
        <v>4884</v>
      </c>
      <c r="E946" s="48" t="s">
        <v>5195</v>
      </c>
      <c r="F946" s="14">
        <v>6.3220046399999994</v>
      </c>
      <c r="G946" s="48" t="s">
        <v>5260</v>
      </c>
      <c r="H946" s="49"/>
      <c r="I946" s="22"/>
      <c r="O946" s="21"/>
    </row>
    <row r="947" spans="1:15" customFormat="1" ht="15" x14ac:dyDescent="0.25">
      <c r="A947" s="48" t="str">
        <f t="shared" si="40"/>
        <v>icssm_io_vddh1_dyn_ethercat_3p3v</v>
      </c>
      <c r="B947" s="48" t="s">
        <v>5591</v>
      </c>
      <c r="C947" s="48" t="s">
        <v>5256</v>
      </c>
      <c r="D947" s="48" t="s">
        <v>4879</v>
      </c>
      <c r="E947" s="48" t="s">
        <v>5195</v>
      </c>
      <c r="F947" s="14">
        <v>0</v>
      </c>
      <c r="G947" s="48" t="s">
        <v>5260</v>
      </c>
      <c r="H947" s="49"/>
      <c r="I947" s="22"/>
      <c r="O947" s="21"/>
    </row>
    <row r="948" spans="1:15" customFormat="1" ht="15" x14ac:dyDescent="0.25">
      <c r="A948" s="48" t="str">
        <f t="shared" si="40"/>
        <v>icssm_io_vddh1_dyn_mii_1p8v</v>
      </c>
      <c r="B948" s="48" t="s">
        <v>5591</v>
      </c>
      <c r="C948" s="48" t="s">
        <v>5256</v>
      </c>
      <c r="D948" s="48" t="s">
        <v>4882</v>
      </c>
      <c r="E948" s="48" t="s">
        <v>5195</v>
      </c>
      <c r="F948" s="14">
        <v>6.3220046399999994</v>
      </c>
      <c r="G948" s="48" t="s">
        <v>5260</v>
      </c>
      <c r="H948" s="49"/>
      <c r="I948" s="22"/>
      <c r="O948" s="21"/>
    </row>
    <row r="949" spans="1:15" customFormat="1" ht="15" x14ac:dyDescent="0.25">
      <c r="A949" s="48" t="str">
        <f t="shared" si="40"/>
        <v>icssm_io_vddh1_dyn_mii_3p3v</v>
      </c>
      <c r="B949" s="48" t="s">
        <v>5591</v>
      </c>
      <c r="C949" s="48" t="s">
        <v>5256</v>
      </c>
      <c r="D949" s="48" t="s">
        <v>4877</v>
      </c>
      <c r="E949" s="48" t="s">
        <v>5195</v>
      </c>
      <c r="F949" s="14">
        <v>0</v>
      </c>
      <c r="G949" s="48" t="s">
        <v>5260</v>
      </c>
      <c r="H949" s="49"/>
      <c r="I949" s="22"/>
      <c r="O949" s="21"/>
    </row>
    <row r="950" spans="1:15" customFormat="1" ht="15" x14ac:dyDescent="0.25">
      <c r="A950" s="48" t="str">
        <f t="shared" si="40"/>
        <v>icssm_io_vddh1_dyn_mii_mii_1p8v</v>
      </c>
      <c r="B950" s="48" t="s">
        <v>5591</v>
      </c>
      <c r="C950" s="48" t="s">
        <v>5256</v>
      </c>
      <c r="D950" s="48" t="s">
        <v>4889</v>
      </c>
      <c r="E950" s="48" t="s">
        <v>5195</v>
      </c>
      <c r="F950" s="14">
        <v>6.3220046399999994</v>
      </c>
      <c r="G950" s="48" t="s">
        <v>5260</v>
      </c>
      <c r="H950" s="49"/>
      <c r="I950" s="22"/>
      <c r="O950" s="21"/>
    </row>
    <row r="951" spans="1:15" customFormat="1" ht="15" x14ac:dyDescent="0.25">
      <c r="A951" s="48" t="str">
        <f t="shared" si="40"/>
        <v>icssm_io_vddh1_dyn_mii_mii_3p3v</v>
      </c>
      <c r="B951" s="48" t="s">
        <v>5591</v>
      </c>
      <c r="C951" s="48" t="s">
        <v>5256</v>
      </c>
      <c r="D951" s="48" t="s">
        <v>4888</v>
      </c>
      <c r="E951" s="48" t="s">
        <v>5195</v>
      </c>
      <c r="F951" s="14">
        <v>0</v>
      </c>
      <c r="G951" s="48" t="s">
        <v>5260</v>
      </c>
      <c r="H951" s="49"/>
      <c r="I951" s="22"/>
      <c r="O951" s="21"/>
    </row>
    <row r="952" spans="1:15" customFormat="1" ht="15" x14ac:dyDescent="0.25">
      <c r="A952" s="48" t="str">
        <f t="shared" si="40"/>
        <v>icssm_io_vddh1_dyn_off</v>
      </c>
      <c r="B952" s="48" t="s">
        <v>5591</v>
      </c>
      <c r="C952" s="48" t="s">
        <v>5256</v>
      </c>
      <c r="D952" s="48" t="s">
        <v>4798</v>
      </c>
      <c r="E952" s="48" t="s">
        <v>5195</v>
      </c>
      <c r="F952" s="14">
        <v>0</v>
      </c>
      <c r="G952" s="48" t="s">
        <v>5260</v>
      </c>
      <c r="H952" s="49"/>
      <c r="I952" s="22"/>
      <c r="O952" s="21"/>
    </row>
    <row r="953" spans="1:15" customFormat="1" ht="15" x14ac:dyDescent="0.25">
      <c r="A953" s="48" t="str">
        <f t="shared" si="40"/>
        <v>icssm_io_vddh1_dyn_profinet_1p8v</v>
      </c>
      <c r="B953" s="48" t="s">
        <v>5591</v>
      </c>
      <c r="C953" s="48" t="s">
        <v>5256</v>
      </c>
      <c r="D953" s="48" t="s">
        <v>4883</v>
      </c>
      <c r="E953" s="48" t="s">
        <v>5195</v>
      </c>
      <c r="F953" s="14">
        <v>6.3220046399999994</v>
      </c>
      <c r="G953" s="48" t="s">
        <v>5260</v>
      </c>
      <c r="H953" s="49"/>
      <c r="I953" s="22"/>
      <c r="O953" s="21"/>
    </row>
    <row r="954" spans="1:15" customFormat="1" ht="15" x14ac:dyDescent="0.25">
      <c r="A954" s="48" t="str">
        <f t="shared" si="40"/>
        <v>icssm_io_vddh1_dyn_profinet_3p3v</v>
      </c>
      <c r="B954" s="48" t="s">
        <v>5591</v>
      </c>
      <c r="C954" s="48" t="s">
        <v>5256</v>
      </c>
      <c r="D954" s="48" t="s">
        <v>4878</v>
      </c>
      <c r="E954" s="48" t="s">
        <v>5195</v>
      </c>
      <c r="F954" s="14">
        <v>0</v>
      </c>
      <c r="G954" s="48" t="s">
        <v>5260</v>
      </c>
      <c r="H954" s="49"/>
      <c r="I954" s="22"/>
      <c r="O954" s="21"/>
    </row>
    <row r="955" spans="1:15" customFormat="1" ht="15" x14ac:dyDescent="0.25">
      <c r="A955" s="48" t="str">
        <f t="shared" si="40"/>
        <v>icssm_io_vddh1_dyn_rmii_1p8v</v>
      </c>
      <c r="B955" s="48" t="s">
        <v>5591</v>
      </c>
      <c r="C955" s="48" t="s">
        <v>5256</v>
      </c>
      <c r="D955" s="48" t="s">
        <v>4881</v>
      </c>
      <c r="E955" s="48" t="s">
        <v>5195</v>
      </c>
      <c r="F955" s="14">
        <v>3.9575952000000001</v>
      </c>
      <c r="G955" s="48" t="s">
        <v>5260</v>
      </c>
      <c r="H955" s="49"/>
      <c r="I955" s="22"/>
      <c r="O955" s="21"/>
    </row>
    <row r="956" spans="1:15" customFormat="1" ht="15" x14ac:dyDescent="0.25">
      <c r="A956" s="48" t="str">
        <f t="shared" si="40"/>
        <v>icssm_io_vddh1_dyn_rmii_3p3v</v>
      </c>
      <c r="B956" s="48" t="s">
        <v>5591</v>
      </c>
      <c r="C956" s="48" t="s">
        <v>5256</v>
      </c>
      <c r="D956" s="48" t="s">
        <v>4876</v>
      </c>
      <c r="E956" s="48" t="s">
        <v>5195</v>
      </c>
      <c r="F956" s="14">
        <v>0</v>
      </c>
      <c r="G956" s="48" t="s">
        <v>5260</v>
      </c>
      <c r="H956" s="49"/>
      <c r="I956" s="22"/>
      <c r="O956" s="21"/>
    </row>
    <row r="957" spans="1:15" customFormat="1" ht="15" x14ac:dyDescent="0.25">
      <c r="A957" s="48" t="str">
        <f t="shared" si="40"/>
        <v>icssm_io_vddh1_dyn_rmii_rmii_1p8v</v>
      </c>
      <c r="B957" s="48" t="s">
        <v>5591</v>
      </c>
      <c r="C957" s="48" t="s">
        <v>5256</v>
      </c>
      <c r="D957" s="48" t="s">
        <v>4880</v>
      </c>
      <c r="E957" s="48" t="s">
        <v>5195</v>
      </c>
      <c r="F957" s="14">
        <v>7.9151904000000002</v>
      </c>
      <c r="G957" s="48" t="s">
        <v>5260</v>
      </c>
      <c r="H957" s="49"/>
      <c r="I957" s="22"/>
      <c r="O957" s="21"/>
    </row>
    <row r="958" spans="1:15" customFormat="1" ht="15" x14ac:dyDescent="0.25">
      <c r="A958" s="48" t="str">
        <f t="shared" si="40"/>
        <v>icssm_io_vddh1_dyn_rmii_rmii_3p3v</v>
      </c>
      <c r="B958" s="48" t="s">
        <v>5591</v>
      </c>
      <c r="C958" s="48" t="s">
        <v>5256</v>
      </c>
      <c r="D958" s="48" t="s">
        <v>4875</v>
      </c>
      <c r="E958" s="48" t="s">
        <v>5195</v>
      </c>
      <c r="F958" s="14">
        <v>0</v>
      </c>
      <c r="G958" s="48" t="s">
        <v>5260</v>
      </c>
      <c r="H958" s="49"/>
      <c r="I958" s="22"/>
      <c r="O958" s="21"/>
    </row>
    <row r="959" spans="1:15" customFormat="1" ht="15" x14ac:dyDescent="0.25">
      <c r="A959" s="48" t="str">
        <f t="shared" si="40"/>
        <v>icssm_io_vddh2_dyn_ethercat_1p8v</v>
      </c>
      <c r="B959" s="48" t="s">
        <v>5591</v>
      </c>
      <c r="C959" s="48" t="s">
        <v>5262</v>
      </c>
      <c r="D959" s="48" t="s">
        <v>4884</v>
      </c>
      <c r="E959" s="48" t="s">
        <v>5195</v>
      </c>
      <c r="F959" s="14">
        <v>0</v>
      </c>
      <c r="G959" s="48" t="s">
        <v>5260</v>
      </c>
      <c r="H959" s="49"/>
      <c r="I959" s="22"/>
      <c r="O959" s="21"/>
    </row>
    <row r="960" spans="1:15" customFormat="1" ht="15" x14ac:dyDescent="0.25">
      <c r="A960" s="48" t="str">
        <f t="shared" si="40"/>
        <v>icssm_io_vddh2_dyn_ethercat_3p3v</v>
      </c>
      <c r="B960" s="48" t="s">
        <v>5591</v>
      </c>
      <c r="C960" s="48" t="s">
        <v>5262</v>
      </c>
      <c r="D960" s="48" t="s">
        <v>4879</v>
      </c>
      <c r="E960" s="48" t="s">
        <v>5195</v>
      </c>
      <c r="F960" s="14">
        <v>32.565455999999998</v>
      </c>
      <c r="G960" s="48" t="s">
        <v>5260</v>
      </c>
      <c r="H960" s="49"/>
      <c r="I960" s="22"/>
      <c r="O960" s="21"/>
    </row>
    <row r="961" spans="1:15" customFormat="1" ht="15" x14ac:dyDescent="0.25">
      <c r="A961" s="48" t="str">
        <f t="shared" si="40"/>
        <v>icssm_io_vddh2_dyn_mii_1p8v</v>
      </c>
      <c r="B961" s="48" t="s">
        <v>5591</v>
      </c>
      <c r="C961" s="48" t="s">
        <v>5262</v>
      </c>
      <c r="D961" s="48" t="s">
        <v>4882</v>
      </c>
      <c r="E961" s="48" t="s">
        <v>5195</v>
      </c>
      <c r="F961" s="14">
        <v>0</v>
      </c>
      <c r="G961" s="48" t="s">
        <v>5260</v>
      </c>
      <c r="H961" s="49"/>
      <c r="I961" s="22"/>
      <c r="O961" s="21"/>
    </row>
    <row r="962" spans="1:15" customFormat="1" ht="15" x14ac:dyDescent="0.25">
      <c r="A962" s="48" t="str">
        <f t="shared" si="40"/>
        <v>icssm_io_vddh2_dyn_mii_3p3v</v>
      </c>
      <c r="B962" s="48" t="s">
        <v>5591</v>
      </c>
      <c r="C962" s="48" t="s">
        <v>5262</v>
      </c>
      <c r="D962" s="48" t="s">
        <v>4877</v>
      </c>
      <c r="E962" s="48" t="s">
        <v>5195</v>
      </c>
      <c r="F962" s="14">
        <v>32.565455999999998</v>
      </c>
      <c r="G962" s="48" t="s">
        <v>5260</v>
      </c>
      <c r="H962" s="49"/>
      <c r="I962" s="22"/>
      <c r="O962" s="21"/>
    </row>
    <row r="963" spans="1:15" customFormat="1" ht="15" x14ac:dyDescent="0.25">
      <c r="A963" s="48" t="str">
        <f t="shared" si="40"/>
        <v>icssm_io_vddh2_dyn_mii_mii_1p8v</v>
      </c>
      <c r="B963" s="48" t="s">
        <v>5591</v>
      </c>
      <c r="C963" s="48" t="s">
        <v>5262</v>
      </c>
      <c r="D963" s="48" t="s">
        <v>4889</v>
      </c>
      <c r="E963" s="48" t="s">
        <v>5195</v>
      </c>
      <c r="F963" s="14">
        <v>0</v>
      </c>
      <c r="G963" s="48" t="s">
        <v>5260</v>
      </c>
      <c r="H963" s="49"/>
      <c r="I963" s="22"/>
      <c r="O963" s="21"/>
    </row>
    <row r="964" spans="1:15" customFormat="1" ht="15" x14ac:dyDescent="0.25">
      <c r="A964" s="48" t="str">
        <f t="shared" si="40"/>
        <v>icssm_io_vddh2_dyn_mii_mii_3p3v</v>
      </c>
      <c r="B964" s="48" t="s">
        <v>5591</v>
      </c>
      <c r="C964" s="48" t="s">
        <v>5262</v>
      </c>
      <c r="D964" s="48" t="s">
        <v>4888</v>
      </c>
      <c r="E964" s="48" t="s">
        <v>5195</v>
      </c>
      <c r="F964" s="14">
        <v>32.565455999999998</v>
      </c>
      <c r="G964" s="48" t="s">
        <v>5260</v>
      </c>
      <c r="H964" s="49"/>
      <c r="I964" s="22"/>
      <c r="O964" s="21"/>
    </row>
    <row r="965" spans="1:15" s="22" customFormat="1" ht="15" x14ac:dyDescent="0.25">
      <c r="A965" s="48" t="str">
        <f t="shared" si="40"/>
        <v>icssm_io_vddh2_dyn_off</v>
      </c>
      <c r="B965" s="48" t="s">
        <v>5591</v>
      </c>
      <c r="C965" s="48" t="s">
        <v>5262</v>
      </c>
      <c r="D965" s="48" t="s">
        <v>4798</v>
      </c>
      <c r="E965" s="48" t="s">
        <v>5195</v>
      </c>
      <c r="F965" s="14">
        <v>0</v>
      </c>
      <c r="G965" s="48" t="s">
        <v>5260</v>
      </c>
      <c r="H965" s="49"/>
      <c r="O965" s="21"/>
    </row>
    <row r="966" spans="1:15" s="22" customFormat="1" ht="15" x14ac:dyDescent="0.25">
      <c r="A966" s="48" t="str">
        <f t="shared" si="40"/>
        <v>icssm_io_vddh2_dyn_profinet_1p8v</v>
      </c>
      <c r="B966" s="48" t="s">
        <v>5591</v>
      </c>
      <c r="C966" s="48" t="s">
        <v>5262</v>
      </c>
      <c r="D966" s="48" t="s">
        <v>4883</v>
      </c>
      <c r="E966" s="48" t="s">
        <v>5195</v>
      </c>
      <c r="F966" s="14">
        <v>0</v>
      </c>
      <c r="G966" s="48" t="s">
        <v>5260</v>
      </c>
      <c r="H966" s="49"/>
      <c r="O966" s="21"/>
    </row>
    <row r="967" spans="1:15" s="22" customFormat="1" ht="15" x14ac:dyDescent="0.25">
      <c r="A967" s="48" t="str">
        <f t="shared" si="40"/>
        <v>icssm_io_vddh2_dyn_profinet_3p3v</v>
      </c>
      <c r="B967" s="48" t="s">
        <v>5591</v>
      </c>
      <c r="C967" s="48" t="s">
        <v>5262</v>
      </c>
      <c r="D967" s="48" t="s">
        <v>4878</v>
      </c>
      <c r="E967" s="48" t="s">
        <v>5195</v>
      </c>
      <c r="F967" s="14">
        <v>32.565455999999998</v>
      </c>
      <c r="G967" s="48" t="s">
        <v>5260</v>
      </c>
      <c r="H967" s="49"/>
      <c r="O967" s="21"/>
    </row>
    <row r="968" spans="1:15" s="22" customFormat="1" ht="15" x14ac:dyDescent="0.25">
      <c r="A968" s="48" t="str">
        <f t="shared" si="40"/>
        <v>icssm_io_vddh2_dyn_rmii_1p8v</v>
      </c>
      <c r="B968" s="48" t="s">
        <v>5591</v>
      </c>
      <c r="C968" s="48" t="s">
        <v>5262</v>
      </c>
      <c r="D968" s="48" t="s">
        <v>4881</v>
      </c>
      <c r="E968" s="48" t="s">
        <v>5195</v>
      </c>
      <c r="F968" s="14">
        <v>0</v>
      </c>
      <c r="G968" s="48" t="s">
        <v>5260</v>
      </c>
      <c r="H968" s="49"/>
      <c r="O968" s="21"/>
    </row>
    <row r="969" spans="1:15" s="22" customFormat="1" ht="15" x14ac:dyDescent="0.25">
      <c r="A969" s="48" t="str">
        <f t="shared" si="40"/>
        <v>icssm_io_vddh2_dyn_rmii_3p3v</v>
      </c>
      <c r="B969" s="48" t="s">
        <v>5591</v>
      </c>
      <c r="C969" s="48" t="s">
        <v>5262</v>
      </c>
      <c r="D969" s="48" t="s">
        <v>4876</v>
      </c>
      <c r="E969" s="48" t="s">
        <v>5195</v>
      </c>
      <c r="F969" s="14">
        <v>20.386079999999996</v>
      </c>
      <c r="G969" s="48" t="s">
        <v>5260</v>
      </c>
      <c r="H969" s="49"/>
      <c r="O969" s="21"/>
    </row>
    <row r="970" spans="1:15" s="22" customFormat="1" ht="15" x14ac:dyDescent="0.25">
      <c r="A970" s="48" t="str">
        <f t="shared" si="40"/>
        <v>icssm_io_vddh2_dyn_rmii_rmii_1p8v</v>
      </c>
      <c r="B970" s="48" t="s">
        <v>5591</v>
      </c>
      <c r="C970" s="48" t="s">
        <v>5262</v>
      </c>
      <c r="D970" s="48" t="s">
        <v>4880</v>
      </c>
      <c r="E970" s="48" t="s">
        <v>5195</v>
      </c>
      <c r="F970" s="14">
        <v>0</v>
      </c>
      <c r="G970" s="48" t="s">
        <v>5260</v>
      </c>
      <c r="H970" s="49"/>
      <c r="O970" s="21"/>
    </row>
    <row r="971" spans="1:15" s="22" customFormat="1" ht="15" x14ac:dyDescent="0.25">
      <c r="A971" s="48" t="str">
        <f t="shared" si="40"/>
        <v>icssm_io_vddh2_dyn_rmii_rmii_3p3v</v>
      </c>
      <c r="B971" s="48" t="s">
        <v>5591</v>
      </c>
      <c r="C971" s="48" t="s">
        <v>5262</v>
      </c>
      <c r="D971" s="48" t="s">
        <v>4875</v>
      </c>
      <c r="E971" s="48" t="s">
        <v>5195</v>
      </c>
      <c r="F971" s="14">
        <v>40.772159999999992</v>
      </c>
      <c r="G971" s="48" t="s">
        <v>5260</v>
      </c>
      <c r="H971" s="49"/>
      <c r="O971" s="21"/>
    </row>
    <row r="972" spans="1:15" s="22" customFormat="1" ht="15" x14ac:dyDescent="0.25">
      <c r="A972" s="48" t="str">
        <f t="shared" ref="A972:A1018" si="41">B972&amp;"_"&amp;C972</f>
        <v>ihhv1833dvhyp18ll_ssdhv_Area</v>
      </c>
      <c r="B972" s="59" t="s">
        <v>4796</v>
      </c>
      <c r="C972" s="48" t="s">
        <v>5211</v>
      </c>
      <c r="D972" s="48"/>
      <c r="E972" s="48" t="s">
        <v>5192</v>
      </c>
      <c r="F972" s="14">
        <v>7.1999999999999998E-3</v>
      </c>
      <c r="G972" s="48"/>
      <c r="H972" s="13"/>
      <c r="O972" s="21"/>
    </row>
    <row r="973" spans="1:15" s="22" customFormat="1" ht="15" x14ac:dyDescent="0.25">
      <c r="A973" s="48" t="str">
        <f t="shared" si="41"/>
        <v>ihhv1833dvhyp18ll_ssdhv_beachfront</v>
      </c>
      <c r="B973" s="59" t="s">
        <v>4796</v>
      </c>
      <c r="C973" s="48" t="s">
        <v>5358</v>
      </c>
      <c r="D973" s="48"/>
      <c r="E973" s="48" t="s">
        <v>5192</v>
      </c>
      <c r="F973" s="14">
        <v>0.04</v>
      </c>
      <c r="G973" s="48"/>
      <c r="H973" s="13"/>
      <c r="O973" s="21"/>
    </row>
    <row r="974" spans="1:15" s="22" customFormat="1" ht="15" x14ac:dyDescent="0.25">
      <c r="A974" s="48" t="str">
        <f t="shared" si="41"/>
        <v>ihhv1833dvhyp18ll_ssdhv_description</v>
      </c>
      <c r="B974" s="59" t="s">
        <v>4796</v>
      </c>
      <c r="C974" s="48" t="s">
        <v>5379</v>
      </c>
      <c r="D974" s="48"/>
      <c r="E974" s="48" t="s">
        <v>5192</v>
      </c>
      <c r="F974" s="14" t="s">
        <v>5844</v>
      </c>
      <c r="G974" s="48"/>
      <c r="H974" s="13"/>
      <c r="O974" s="21"/>
    </row>
    <row r="975" spans="1:15" s="22" customFormat="1" ht="15" x14ac:dyDescent="0.25">
      <c r="A975" s="48" t="str">
        <f t="shared" si="41"/>
        <v>ihhv1833dvhyp18ll_ssdhv_first_soc</v>
      </c>
      <c r="B975" s="59" t="s">
        <v>4796</v>
      </c>
      <c r="C975" s="48" t="s">
        <v>5378</v>
      </c>
      <c r="D975" s="48"/>
      <c r="E975" s="48" t="s">
        <v>5192</v>
      </c>
      <c r="F975" s="14" t="s">
        <v>5381</v>
      </c>
      <c r="G975" s="48"/>
      <c r="H975" s="13"/>
      <c r="O975" s="21"/>
    </row>
    <row r="976" spans="1:15" s="22" customFormat="1" ht="15" x14ac:dyDescent="0.25">
      <c r="A976" s="48" t="str">
        <f t="shared" si="41"/>
        <v>ihhv1833dvhyp18ll_ssdhv_function</v>
      </c>
      <c r="B976" s="59" t="s">
        <v>4796</v>
      </c>
      <c r="C976" s="48" t="s">
        <v>5367</v>
      </c>
      <c r="D976" s="48"/>
      <c r="E976" s="48" t="s">
        <v>5192</v>
      </c>
      <c r="F976" s="14" t="s">
        <v>5415</v>
      </c>
      <c r="G976" s="48"/>
      <c r="H976" s="13"/>
      <c r="O976" s="21"/>
    </row>
    <row r="977" spans="1:15" s="22" customFormat="1" ht="15" x14ac:dyDescent="0.25">
      <c r="A977" s="48" t="str">
        <f t="shared" si="41"/>
        <v>ihhv1833dvhyp18ll_ssdhv_macro_area</v>
      </c>
      <c r="B977" s="59" t="s">
        <v>4796</v>
      </c>
      <c r="C977" s="48" t="s">
        <v>5228</v>
      </c>
      <c r="D977" s="48"/>
      <c r="E977" s="48" t="s">
        <v>5192</v>
      </c>
      <c r="F977" s="14">
        <v>7.1999999999999998E-3</v>
      </c>
      <c r="G977" s="48"/>
      <c r="H977" s="13"/>
      <c r="O977" s="21"/>
    </row>
    <row r="978" spans="1:15" s="22" customFormat="1" ht="15" x14ac:dyDescent="0.25">
      <c r="A978" s="48" t="str">
        <f t="shared" si="41"/>
        <v>ihhv1833dvhyp18ll_ssdhv_pins</v>
      </c>
      <c r="B978" s="59" t="s">
        <v>4796</v>
      </c>
      <c r="C978" s="48" t="s">
        <v>5359</v>
      </c>
      <c r="D978" s="48"/>
      <c r="E978" s="48" t="s">
        <v>5192</v>
      </c>
      <c r="F978" s="14">
        <v>0</v>
      </c>
      <c r="G978" s="48"/>
      <c r="H978" s="13"/>
      <c r="O978" s="21"/>
    </row>
    <row r="979" spans="1:15" s="22" customFormat="1" ht="15" x14ac:dyDescent="0.25">
      <c r="A979" s="48" t="str">
        <f t="shared" si="41"/>
        <v>ihhv1833dvhyp18ll_ssdhv_tag</v>
      </c>
      <c r="B979" s="59" t="s">
        <v>4796</v>
      </c>
      <c r="C979" s="48" t="s">
        <v>5234</v>
      </c>
      <c r="D979" s="48"/>
      <c r="E979" s="48" t="s">
        <v>5192</v>
      </c>
      <c r="F979" s="14" t="s">
        <v>5779</v>
      </c>
      <c r="G979" s="48"/>
      <c r="H979" s="13"/>
      <c r="O979" s="21"/>
    </row>
    <row r="980" spans="1:15" s="22" customFormat="1" ht="15" x14ac:dyDescent="0.25">
      <c r="A980" s="48" t="str">
        <f t="shared" si="41"/>
        <v>ihhv1833dvhyp18ll_ssdhv_type</v>
      </c>
      <c r="B980" s="59" t="s">
        <v>4796</v>
      </c>
      <c r="C980" s="48" t="s">
        <v>1</v>
      </c>
      <c r="D980" s="48"/>
      <c r="E980" s="48" t="s">
        <v>5192</v>
      </c>
      <c r="F980" s="14" t="s">
        <v>5784</v>
      </c>
      <c r="G980" s="48"/>
      <c r="H980" s="13"/>
      <c r="O980" s="21"/>
    </row>
    <row r="981" spans="1:15" s="22" customFormat="1" ht="15" x14ac:dyDescent="0.25">
      <c r="A981" s="48" t="str">
        <f t="shared" si="41"/>
        <v>ihhv1833dvhyp18ll_ssdhv_vdd_lkg</v>
      </c>
      <c r="B981" s="59" t="s">
        <v>4796</v>
      </c>
      <c r="C981" s="48" t="s">
        <v>5245</v>
      </c>
      <c r="D981" s="48"/>
      <c r="E981" s="48" t="s">
        <v>5192</v>
      </c>
      <c r="F981" s="14">
        <v>1E-3</v>
      </c>
      <c r="G981" s="48" t="s">
        <v>5416</v>
      </c>
      <c r="H981" s="13"/>
      <c r="O981" s="21"/>
    </row>
    <row r="982" spans="1:15" s="22" customFormat="1" ht="15" x14ac:dyDescent="0.25">
      <c r="A982" s="48" t="str">
        <f t="shared" si="41"/>
        <v>ihhv1833dvhyp18ll_ssdhv_vddh1_lkg</v>
      </c>
      <c r="B982" s="59" t="s">
        <v>4796</v>
      </c>
      <c r="C982" s="48" t="s">
        <v>5257</v>
      </c>
      <c r="D982" s="48"/>
      <c r="E982" s="48" t="s">
        <v>5192</v>
      </c>
      <c r="F982" s="14">
        <v>3.96E-3</v>
      </c>
      <c r="G982" s="48" t="s">
        <v>5416</v>
      </c>
      <c r="H982" s="13"/>
      <c r="O982" s="21"/>
    </row>
    <row r="983" spans="1:15" s="22" customFormat="1" ht="15" x14ac:dyDescent="0.25">
      <c r="A983" s="48" t="str">
        <f t="shared" si="41"/>
        <v>ihhv1833dvhyp18ll_ssdhv_vddh2_lkg</v>
      </c>
      <c r="B983" s="59" t="s">
        <v>4796</v>
      </c>
      <c r="C983" s="48" t="s">
        <v>5263</v>
      </c>
      <c r="D983" s="48"/>
      <c r="E983" s="48" t="s">
        <v>5192</v>
      </c>
      <c r="F983" s="14">
        <v>0.29039999999999994</v>
      </c>
      <c r="G983" s="48" t="s">
        <v>5416</v>
      </c>
      <c r="H983" s="13"/>
      <c r="O983" s="21"/>
    </row>
    <row r="984" spans="1:15" s="22" customFormat="1" ht="15" x14ac:dyDescent="0.25">
      <c r="A984" s="48" t="str">
        <f t="shared" si="41"/>
        <v>j7am_jtag_id_svt20_pct</v>
      </c>
      <c r="B984" s="48" t="s">
        <v>5322</v>
      </c>
      <c r="C984" s="48" t="s">
        <v>5233</v>
      </c>
      <c r="D984" s="48"/>
      <c r="E984" s="48" t="s">
        <v>5192</v>
      </c>
      <c r="F984" s="14">
        <v>0</v>
      </c>
      <c r="G984" s="48" t="s">
        <v>5249</v>
      </c>
      <c r="H984" s="51"/>
      <c r="O984" s="21"/>
    </row>
    <row r="985" spans="1:15" s="22" customFormat="1" ht="15" x14ac:dyDescent="0.25">
      <c r="A985" s="48" t="str">
        <f t="shared" si="41"/>
        <v>l_am241_core_vdd_dyn_max_pct</v>
      </c>
      <c r="B985" s="59" t="s">
        <v>4790</v>
      </c>
      <c r="C985" s="48" t="s">
        <v>5364</v>
      </c>
      <c r="D985" s="48"/>
      <c r="E985" s="48" t="s">
        <v>5192</v>
      </c>
      <c r="F985" s="14">
        <v>0.04</v>
      </c>
      <c r="G985" s="13" t="s">
        <v>5425</v>
      </c>
      <c r="H985" s="13"/>
      <c r="O985" s="21"/>
    </row>
    <row r="986" spans="1:15" s="22" customFormat="1" ht="15" x14ac:dyDescent="0.25">
      <c r="A986" s="48" t="str">
        <f t="shared" si="41"/>
        <v>l_am241_core_vdd_dyn_peak_pct</v>
      </c>
      <c r="B986" s="59" t="s">
        <v>4790</v>
      </c>
      <c r="C986" s="48" t="s">
        <v>5365</v>
      </c>
      <c r="D986" s="48"/>
      <c r="E986" s="48" t="s">
        <v>5192</v>
      </c>
      <c r="F986" s="14">
        <v>0.06</v>
      </c>
      <c r="G986" s="13" t="s">
        <v>5425</v>
      </c>
      <c r="H986" s="13"/>
      <c r="O986" s="21"/>
    </row>
    <row r="987" spans="1:15" s="22" customFormat="1" ht="15" x14ac:dyDescent="0.25">
      <c r="A987" s="48" t="str">
        <f t="shared" si="41"/>
        <v>l_am241_core_vdd_dyn_sw</v>
      </c>
      <c r="B987" s="59" t="s">
        <v>4790</v>
      </c>
      <c r="C987" s="48" t="s">
        <v>5362</v>
      </c>
      <c r="D987" s="48"/>
      <c r="E987" s="48" t="s">
        <v>5192</v>
      </c>
      <c r="F987" s="14">
        <v>8821.9700000000012</v>
      </c>
      <c r="G987" s="13" t="s">
        <v>5425</v>
      </c>
      <c r="H987" s="13"/>
      <c r="O987" s="21"/>
    </row>
    <row r="988" spans="1:15" s="22" customFormat="1" ht="15" x14ac:dyDescent="0.25">
      <c r="A988" s="48" t="str">
        <f t="shared" si="41"/>
        <v>l_am241_core_vdd_lkg</v>
      </c>
      <c r="B988" s="59" t="s">
        <v>4790</v>
      </c>
      <c r="C988" s="48" t="s">
        <v>5245</v>
      </c>
      <c r="D988" s="48"/>
      <c r="E988" s="48" t="s">
        <v>5192</v>
      </c>
      <c r="F988" s="14">
        <v>915.70880000000011</v>
      </c>
      <c r="G988" s="13" t="s">
        <v>5425</v>
      </c>
      <c r="H988" s="13"/>
      <c r="O988" s="21"/>
    </row>
    <row r="989" spans="1:15" customFormat="1" ht="15" x14ac:dyDescent="0.25">
      <c r="A989" s="48" t="str">
        <f t="shared" si="41"/>
        <v>l_am241_core_vddr_lkg</v>
      </c>
      <c r="B989" s="59" t="s">
        <v>4790</v>
      </c>
      <c r="C989" s="48" t="s">
        <v>5246</v>
      </c>
      <c r="D989" s="48"/>
      <c r="E989" s="48" t="s">
        <v>5192</v>
      </c>
      <c r="F989" s="14">
        <v>45.980000000000004</v>
      </c>
      <c r="G989" s="13" t="s">
        <v>5425</v>
      </c>
      <c r="H989" s="13"/>
      <c r="I989" s="22"/>
      <c r="O989" s="21"/>
    </row>
    <row r="990" spans="1:15" customFormat="1" ht="15" x14ac:dyDescent="0.25">
      <c r="A990" s="48" t="str">
        <f t="shared" si="41"/>
        <v>l_am241_core_xsvt_pct</v>
      </c>
      <c r="B990" s="59" t="s">
        <v>4790</v>
      </c>
      <c r="C990" s="48" t="s">
        <v>5355</v>
      </c>
      <c r="D990" s="48"/>
      <c r="E990" s="48" t="s">
        <v>5192</v>
      </c>
      <c r="F990" s="14">
        <v>0.26100000000000001</v>
      </c>
      <c r="G990" s="13" t="s">
        <v>5425</v>
      </c>
      <c r="H990" s="13"/>
      <c r="I990" s="22"/>
      <c r="O990" s="21"/>
    </row>
    <row r="991" spans="1:15" customFormat="1" ht="15" x14ac:dyDescent="0.25">
      <c r="A991" s="48" t="str">
        <f t="shared" si="41"/>
        <v>l_tpr12_core_accuracy_grade</v>
      </c>
      <c r="B991" s="59" t="s">
        <v>4730</v>
      </c>
      <c r="C991" s="48" t="s">
        <v>5366</v>
      </c>
      <c r="D991" s="48"/>
      <c r="E991" s="48" t="s">
        <v>5192</v>
      </c>
      <c r="F991" s="14" t="s">
        <v>5786</v>
      </c>
      <c r="G991" s="13" t="s">
        <v>5425</v>
      </c>
      <c r="H991" s="13"/>
      <c r="I991" s="22"/>
      <c r="O991" s="21"/>
    </row>
    <row r="992" spans="1:15" customFormat="1" ht="15" x14ac:dyDescent="0.25">
      <c r="A992" s="48" t="str">
        <f t="shared" si="41"/>
        <v>l_tpr12_core_area</v>
      </c>
      <c r="B992" s="59" t="s">
        <v>4730</v>
      </c>
      <c r="C992" s="48" t="s">
        <v>5360</v>
      </c>
      <c r="D992" s="48"/>
      <c r="E992" s="48" t="s">
        <v>5192</v>
      </c>
      <c r="F992" s="14">
        <v>30</v>
      </c>
      <c r="G992" s="13" t="s">
        <v>5425</v>
      </c>
      <c r="H992" s="13"/>
      <c r="I992" s="22"/>
      <c r="O992" s="21"/>
    </row>
    <row r="993" spans="1:15" customFormat="1" ht="15" x14ac:dyDescent="0.25">
      <c r="A993" s="48" t="str">
        <f t="shared" si="41"/>
        <v>l_tpr12_core_data_source</v>
      </c>
      <c r="B993" s="59" t="s">
        <v>4730</v>
      </c>
      <c r="C993" s="48" t="s">
        <v>5368</v>
      </c>
      <c r="D993" s="48"/>
      <c r="E993" s="48" t="s">
        <v>5192</v>
      </c>
      <c r="F993" s="14" t="s">
        <v>5369</v>
      </c>
      <c r="G993" s="13" t="s">
        <v>5425</v>
      </c>
      <c r="H993" s="13"/>
      <c r="I993" s="22"/>
      <c r="O993" s="21"/>
    </row>
    <row r="994" spans="1:15" customFormat="1" ht="15" x14ac:dyDescent="0.25">
      <c r="A994" s="48" t="str">
        <f t="shared" si="41"/>
        <v>l_tpr12_core_description</v>
      </c>
      <c r="B994" s="59" t="s">
        <v>4730</v>
      </c>
      <c r="C994" s="48" t="s">
        <v>5379</v>
      </c>
      <c r="D994" s="48"/>
      <c r="E994" s="48" t="s">
        <v>5192</v>
      </c>
      <c r="F994" s="14" t="s">
        <v>5797</v>
      </c>
      <c r="G994" s="13" t="s">
        <v>5425</v>
      </c>
      <c r="H994" s="13"/>
      <c r="I994" s="22"/>
      <c r="O994" s="21"/>
    </row>
    <row r="995" spans="1:15" customFormat="1" ht="15" x14ac:dyDescent="0.25">
      <c r="A995" s="48" t="str">
        <f t="shared" si="41"/>
        <v>l_tpr12_core_first_soc</v>
      </c>
      <c r="B995" s="59" t="s">
        <v>4730</v>
      </c>
      <c r="C995" s="48" t="s">
        <v>5378</v>
      </c>
      <c r="D995" s="48"/>
      <c r="E995" s="48" t="s">
        <v>5192</v>
      </c>
      <c r="F995" s="14" t="s">
        <v>5381</v>
      </c>
      <c r="G995" s="13" t="s">
        <v>5425</v>
      </c>
      <c r="H995" s="13"/>
      <c r="I995" s="22"/>
      <c r="O995" s="21"/>
    </row>
    <row r="996" spans="1:15" customFormat="1" ht="15" x14ac:dyDescent="0.25">
      <c r="A996" s="48" t="str">
        <f t="shared" si="41"/>
        <v>l_tpr12_core_freq_trk</v>
      </c>
      <c r="B996" s="59" t="s">
        <v>4730</v>
      </c>
      <c r="C996" s="48" t="s">
        <v>5220</v>
      </c>
      <c r="D996" s="48"/>
      <c r="E996" s="48" t="s">
        <v>5192</v>
      </c>
      <c r="F996" s="14">
        <v>200</v>
      </c>
      <c r="G996" s="13" t="s">
        <v>5425</v>
      </c>
      <c r="H996" s="13"/>
      <c r="I996" s="22"/>
      <c r="O996" s="21"/>
    </row>
    <row r="997" spans="1:15" customFormat="1" ht="15" x14ac:dyDescent="0.25">
      <c r="A997" s="48" t="str">
        <f t="shared" si="41"/>
        <v>l_tpr12_core_function</v>
      </c>
      <c r="B997" s="59" t="s">
        <v>4730</v>
      </c>
      <c r="C997" s="48" t="s">
        <v>5367</v>
      </c>
      <c r="D997" s="48"/>
      <c r="E997" s="48" t="s">
        <v>5192</v>
      </c>
      <c r="F997" s="14" t="s">
        <v>5851</v>
      </c>
      <c r="G997" s="13" t="s">
        <v>5425</v>
      </c>
      <c r="H997" s="13"/>
      <c r="I997" s="22"/>
      <c r="O997" s="21"/>
    </row>
    <row r="998" spans="1:15" customFormat="1" ht="15" x14ac:dyDescent="0.25">
      <c r="A998" s="48" t="str">
        <f t="shared" si="41"/>
        <v>l_tpr12_core_lvt_pct</v>
      </c>
      <c r="B998" s="59" t="s">
        <v>4730</v>
      </c>
      <c r="C998" s="48" t="s">
        <v>5357</v>
      </c>
      <c r="D998" s="48"/>
      <c r="E998" s="48" t="s">
        <v>5192</v>
      </c>
      <c r="F998" s="14">
        <v>2.6200000000000001E-2</v>
      </c>
      <c r="G998" s="13" t="s">
        <v>5425</v>
      </c>
      <c r="H998" s="13"/>
      <c r="I998" s="22"/>
      <c r="O998" s="21"/>
    </row>
    <row r="999" spans="1:15" customFormat="1" ht="15" x14ac:dyDescent="0.25">
      <c r="A999" s="48" t="str">
        <f t="shared" si="41"/>
        <v>l_tpr12_core_macro_area</v>
      </c>
      <c r="B999" s="59" t="s">
        <v>4730</v>
      </c>
      <c r="C999" s="48" t="s">
        <v>5228</v>
      </c>
      <c r="D999" s="48"/>
      <c r="E999" s="48" t="s">
        <v>5192</v>
      </c>
      <c r="F999" s="14">
        <v>17.507999999999999</v>
      </c>
      <c r="G999" s="13" t="s">
        <v>5425</v>
      </c>
      <c r="H999" s="13"/>
      <c r="I999" s="22"/>
      <c r="O999" s="21"/>
    </row>
    <row r="1000" spans="1:15" customFormat="1" ht="15" x14ac:dyDescent="0.25">
      <c r="A1000" s="48" t="str">
        <f t="shared" si="41"/>
        <v>l_tpr12_core_osvt_pct</v>
      </c>
      <c r="B1000" s="59" t="s">
        <v>4730</v>
      </c>
      <c r="C1000" s="48" t="s">
        <v>5354</v>
      </c>
      <c r="D1000" s="48"/>
      <c r="E1000" s="48" t="s">
        <v>5192</v>
      </c>
      <c r="F1000" s="14">
        <v>3.4500000000000003E-2</v>
      </c>
      <c r="G1000" s="13" t="s">
        <v>5425</v>
      </c>
      <c r="H1000" s="13"/>
      <c r="I1000" s="22"/>
      <c r="O1000" s="21"/>
    </row>
    <row r="1001" spans="1:15" customFormat="1" ht="15" x14ac:dyDescent="0.25">
      <c r="A1001" s="48" t="str">
        <f t="shared" si="41"/>
        <v>l_tpr12_core_stdcell_area</v>
      </c>
      <c r="B1001" s="59" t="s">
        <v>4730</v>
      </c>
      <c r="C1001" s="48" t="s">
        <v>5230</v>
      </c>
      <c r="D1001" s="48"/>
      <c r="E1001" s="48" t="s">
        <v>5192</v>
      </c>
      <c r="F1001" s="14">
        <v>8.0417000000000005</v>
      </c>
      <c r="G1001" s="13" t="s">
        <v>5425</v>
      </c>
      <c r="H1001" s="13"/>
      <c r="I1001" s="22"/>
      <c r="O1001" s="21"/>
    </row>
    <row r="1002" spans="1:15" customFormat="1" ht="15" x14ac:dyDescent="0.25">
      <c r="A1002" s="48" t="str">
        <f t="shared" si="41"/>
        <v>l_tpr12_core_svt_pct</v>
      </c>
      <c r="B1002" s="59" t="s">
        <v>4730</v>
      </c>
      <c r="C1002" s="48" t="s">
        <v>5356</v>
      </c>
      <c r="D1002" s="48"/>
      <c r="E1002" s="48" t="s">
        <v>5192</v>
      </c>
      <c r="F1002" s="14">
        <v>0.67720000000000002</v>
      </c>
      <c r="G1002" s="13" t="s">
        <v>5425</v>
      </c>
      <c r="H1002" s="13"/>
      <c r="I1002" s="22"/>
      <c r="O1002" s="21"/>
    </row>
    <row r="1003" spans="1:15" customFormat="1" ht="15" x14ac:dyDescent="0.25">
      <c r="A1003" s="48" t="str">
        <f t="shared" si="41"/>
        <v>l_tpr12_core_tag</v>
      </c>
      <c r="B1003" s="59" t="s">
        <v>4730</v>
      </c>
      <c r="C1003" s="48" t="s">
        <v>5234</v>
      </c>
      <c r="D1003" s="48"/>
      <c r="E1003" s="48" t="s">
        <v>5192</v>
      </c>
      <c r="F1003" s="14" t="s">
        <v>5370</v>
      </c>
      <c r="G1003" s="13" t="s">
        <v>5425</v>
      </c>
      <c r="H1003" s="13"/>
      <c r="I1003" s="22"/>
      <c r="O1003" s="21"/>
    </row>
    <row r="1004" spans="1:15" customFormat="1" ht="15" x14ac:dyDescent="0.25">
      <c r="A1004" s="48" t="str">
        <f t="shared" si="41"/>
        <v>l_tpr12_core_type</v>
      </c>
      <c r="B1004" s="59" t="s">
        <v>4730</v>
      </c>
      <c r="C1004" s="48" t="s">
        <v>1</v>
      </c>
      <c r="D1004" s="48"/>
      <c r="E1004" s="48" t="s">
        <v>5192</v>
      </c>
      <c r="F1004" s="14" t="s">
        <v>5782</v>
      </c>
      <c r="G1004" s="13" t="s">
        <v>5425</v>
      </c>
      <c r="H1004" s="13"/>
      <c r="I1004" s="22"/>
      <c r="O1004" s="21"/>
    </row>
    <row r="1005" spans="1:15" customFormat="1" ht="15" x14ac:dyDescent="0.25">
      <c r="A1005" s="48" t="str">
        <f t="shared" si="41"/>
        <v>l_tpr12_core_vdd_dyn_idle_pct</v>
      </c>
      <c r="B1005" s="59" t="s">
        <v>4730</v>
      </c>
      <c r="C1005" s="48" t="s">
        <v>5363</v>
      </c>
      <c r="D1005" s="48"/>
      <c r="E1005" s="48" t="s">
        <v>5192</v>
      </c>
      <c r="F1005" s="166">
        <v>1.9199999999999998E-2</v>
      </c>
      <c r="G1005" s="13" t="s">
        <v>6045</v>
      </c>
      <c r="H1005" s="13"/>
      <c r="I1005" s="22"/>
      <c r="O1005" s="21"/>
    </row>
    <row r="1006" spans="1:15" customFormat="1" ht="15" x14ac:dyDescent="0.25">
      <c r="A1006" s="48" t="str">
        <f t="shared" si="41"/>
        <v>l_tpr12_core_vdd_dyn_int</v>
      </c>
      <c r="B1006" s="59" t="s">
        <v>4730</v>
      </c>
      <c r="C1006" s="48" t="s">
        <v>5361</v>
      </c>
      <c r="D1006" s="48"/>
      <c r="E1006" s="48" t="s">
        <v>5192</v>
      </c>
      <c r="F1006" s="14">
        <v>6862.0500000000011</v>
      </c>
      <c r="G1006" s="13" t="s">
        <v>5425</v>
      </c>
      <c r="H1006" s="13"/>
      <c r="I1006" s="22"/>
      <c r="O1006" s="21"/>
    </row>
    <row r="1007" spans="1:15" customFormat="1" ht="15" x14ac:dyDescent="0.25">
      <c r="A1007" s="48" t="str">
        <f t="shared" si="41"/>
        <v>l_tpr12_core_vdd_dyn_max_pct</v>
      </c>
      <c r="B1007" s="59" t="s">
        <v>4730</v>
      </c>
      <c r="C1007" s="48" t="s">
        <v>5364</v>
      </c>
      <c r="D1007" s="48"/>
      <c r="E1007" s="48" t="s">
        <v>5192</v>
      </c>
      <c r="F1007" s="14">
        <v>0.04</v>
      </c>
      <c r="G1007" s="13" t="s">
        <v>5425</v>
      </c>
      <c r="H1007" s="13"/>
      <c r="I1007" s="22"/>
      <c r="O1007" s="21"/>
    </row>
    <row r="1008" spans="1:15" customFormat="1" ht="15" x14ac:dyDescent="0.25">
      <c r="A1008" s="48" t="str">
        <f t="shared" si="41"/>
        <v>l_tpr12_core_vdd_dyn_peak_pct</v>
      </c>
      <c r="B1008" s="59" t="s">
        <v>4730</v>
      </c>
      <c r="C1008" s="48" t="s">
        <v>5365</v>
      </c>
      <c r="D1008" s="48"/>
      <c r="E1008" s="48" t="s">
        <v>5192</v>
      </c>
      <c r="F1008" s="14">
        <v>0.06</v>
      </c>
      <c r="G1008" s="13" t="s">
        <v>5425</v>
      </c>
      <c r="H1008" s="13"/>
      <c r="I1008" s="22"/>
      <c r="O1008" s="21"/>
    </row>
    <row r="1009" spans="1:15" customFormat="1" ht="15" x14ac:dyDescent="0.25">
      <c r="A1009" s="48" t="str">
        <f t="shared" si="41"/>
        <v>l_tpr12_core_vdd_dyn_sw</v>
      </c>
      <c r="B1009" s="59" t="s">
        <v>4730</v>
      </c>
      <c r="C1009" s="48" t="s">
        <v>5362</v>
      </c>
      <c r="D1009" s="48"/>
      <c r="E1009" s="48" t="s">
        <v>5192</v>
      </c>
      <c r="F1009" s="14">
        <v>8821.9700000000012</v>
      </c>
      <c r="G1009" s="13" t="s">
        <v>5425</v>
      </c>
      <c r="H1009" s="13"/>
      <c r="I1009" s="22"/>
      <c r="O1009" s="21"/>
    </row>
    <row r="1010" spans="1:15" customFormat="1" ht="15" x14ac:dyDescent="0.25">
      <c r="A1010" s="48" t="str">
        <f t="shared" si="41"/>
        <v>l_tpr12_core_vdd_lkg</v>
      </c>
      <c r="B1010" s="59" t="s">
        <v>4730</v>
      </c>
      <c r="C1010" s="48" t="s">
        <v>5245</v>
      </c>
      <c r="D1010" s="48"/>
      <c r="E1010" s="48" t="s">
        <v>5192</v>
      </c>
      <c r="F1010" s="14">
        <v>915.70880000000011</v>
      </c>
      <c r="G1010" s="13" t="s">
        <v>5425</v>
      </c>
      <c r="H1010" s="13"/>
      <c r="I1010" s="22"/>
      <c r="O1010" s="21"/>
    </row>
    <row r="1011" spans="1:15" customFormat="1" ht="15" x14ac:dyDescent="0.25">
      <c r="A1011" s="48" t="str">
        <f t="shared" si="41"/>
        <v>l_tpr12_core_vddr_lkg</v>
      </c>
      <c r="B1011" s="59" t="s">
        <v>4730</v>
      </c>
      <c r="C1011" s="48" t="s">
        <v>5246</v>
      </c>
      <c r="D1011" s="48"/>
      <c r="E1011" s="48" t="s">
        <v>5192</v>
      </c>
      <c r="F1011" s="14">
        <v>45.980000000000004</v>
      </c>
      <c r="G1011" s="13" t="s">
        <v>5425</v>
      </c>
      <c r="H1011" s="13"/>
      <c r="I1011" s="22"/>
      <c r="O1011" s="21"/>
    </row>
    <row r="1012" spans="1:15" customFormat="1" ht="15" x14ac:dyDescent="0.25">
      <c r="A1012" s="48" t="str">
        <f t="shared" si="41"/>
        <v>l_tpr12_core_xsvt_pct</v>
      </c>
      <c r="B1012" s="59" t="s">
        <v>4730</v>
      </c>
      <c r="C1012" s="48" t="s">
        <v>5355</v>
      </c>
      <c r="D1012" s="48"/>
      <c r="E1012" s="48" t="s">
        <v>5192</v>
      </c>
      <c r="F1012" s="14">
        <v>0.26100000000000001</v>
      </c>
      <c r="G1012" s="13" t="s">
        <v>5425</v>
      </c>
      <c r="H1012" s="13"/>
      <c r="I1012" s="22"/>
      <c r="O1012" s="21"/>
    </row>
    <row r="1013" spans="1:15" customFormat="1" ht="15" x14ac:dyDescent="0.25">
      <c r="A1013" s="48" t="str">
        <f t="shared" si="41"/>
        <v>lin_Description</v>
      </c>
      <c r="B1013" s="48" t="s">
        <v>5323</v>
      </c>
      <c r="C1013" s="48" t="s">
        <v>42</v>
      </c>
      <c r="D1013" s="48"/>
      <c r="E1013" s="48" t="s">
        <v>5192</v>
      </c>
      <c r="F1013" s="14" t="s">
        <v>5842</v>
      </c>
      <c r="G1013" s="48" t="s">
        <v>5324</v>
      </c>
      <c r="H1013" s="13"/>
      <c r="I1013" s="22"/>
      <c r="O1013" s="21"/>
    </row>
    <row r="1014" spans="1:15" customFormat="1" ht="15" x14ac:dyDescent="0.25">
      <c r="A1014" s="48" t="str">
        <f t="shared" si="41"/>
        <v>lin_First_SoC</v>
      </c>
      <c r="B1014" s="48" t="s">
        <v>5323</v>
      </c>
      <c r="C1014" s="48" t="s">
        <v>5216</v>
      </c>
      <c r="D1014" s="48"/>
      <c r="E1014" s="48" t="s">
        <v>5192</v>
      </c>
      <c r="F1014" s="14" t="s">
        <v>5795</v>
      </c>
      <c r="G1014" s="48"/>
      <c r="H1014" s="13"/>
      <c r="I1014" s="22"/>
      <c r="O1014" s="21"/>
    </row>
    <row r="1015" spans="1:15" customFormat="1" ht="15" x14ac:dyDescent="0.25">
      <c r="A1015" s="48" t="str">
        <f t="shared" si="41"/>
        <v>lin_Function</v>
      </c>
      <c r="B1015" s="48" t="s">
        <v>5323</v>
      </c>
      <c r="C1015" s="48" t="s">
        <v>5222</v>
      </c>
      <c r="D1015" s="48"/>
      <c r="E1015" s="48" t="s">
        <v>5192</v>
      </c>
      <c r="F1015" s="14" t="s">
        <v>5323</v>
      </c>
      <c r="G1015" s="48"/>
      <c r="H1015" s="13"/>
      <c r="I1015" s="22"/>
      <c r="O1015" s="21"/>
    </row>
    <row r="1016" spans="1:15" s="22" customFormat="1" ht="15" x14ac:dyDescent="0.25">
      <c r="A1016" s="48" t="str">
        <f t="shared" si="41"/>
        <v>lin_pinmux</v>
      </c>
      <c r="B1016" s="48" t="s">
        <v>5323</v>
      </c>
      <c r="C1016" s="48" t="s">
        <v>5270</v>
      </c>
      <c r="D1016" s="48"/>
      <c r="E1016" s="48" t="s">
        <v>5192</v>
      </c>
      <c r="F1016" s="14">
        <v>2</v>
      </c>
      <c r="G1016" s="48"/>
      <c r="H1016" s="49"/>
      <c r="O1016" s="21"/>
    </row>
    <row r="1017" spans="1:15" s="22" customFormat="1" ht="15" x14ac:dyDescent="0.25">
      <c r="A1017" s="48" t="str">
        <f t="shared" si="41"/>
        <v>lin_tag</v>
      </c>
      <c r="B1017" s="49" t="s">
        <v>5323</v>
      </c>
      <c r="C1017" s="49" t="s">
        <v>5234</v>
      </c>
      <c r="D1017" s="49"/>
      <c r="E1017" s="49" t="s">
        <v>5192</v>
      </c>
      <c r="F1017" s="14">
        <v>44499</v>
      </c>
      <c r="G1017" s="49" t="s">
        <v>5254</v>
      </c>
      <c r="H1017" s="49"/>
      <c r="O1017" s="21"/>
    </row>
    <row r="1018" spans="1:15" customFormat="1" ht="15" x14ac:dyDescent="0.25">
      <c r="A1018" s="48" t="str">
        <f t="shared" si="41"/>
        <v>lin_Type</v>
      </c>
      <c r="B1018" s="48" t="s">
        <v>5323</v>
      </c>
      <c r="C1018" s="48" t="s">
        <v>0</v>
      </c>
      <c r="D1018" s="48"/>
      <c r="E1018" s="48" t="s">
        <v>5192</v>
      </c>
      <c r="F1018" s="14" t="s">
        <v>5785</v>
      </c>
      <c r="G1018" s="48"/>
      <c r="H1018" s="13"/>
      <c r="I1018" s="22"/>
      <c r="O1018" s="21"/>
    </row>
    <row r="1019" spans="1:15" customFormat="1" ht="15" x14ac:dyDescent="0.25">
      <c r="A1019" s="48" t="str">
        <f>B1019&amp;"_"&amp;C1019&amp;"_"&amp;D1019</f>
        <v>lin_vdd_dyn_on_1p8v</v>
      </c>
      <c r="B1019" s="48" t="s">
        <v>5323</v>
      </c>
      <c r="C1019" s="48" t="s">
        <v>5255</v>
      </c>
      <c r="D1019" s="48" t="s">
        <v>5160</v>
      </c>
      <c r="E1019" s="48" t="s">
        <v>5195</v>
      </c>
      <c r="F1019" s="14">
        <v>1.9910670911999997E-7</v>
      </c>
      <c r="G1019" s="48"/>
      <c r="H1019" s="49"/>
      <c r="I1019" s="22"/>
      <c r="O1019" s="21"/>
    </row>
    <row r="1020" spans="1:15" customFormat="1" ht="15" x14ac:dyDescent="0.25">
      <c r="A1020" s="48" t="str">
        <f>B1020&amp;"_"&amp;C1020&amp;"_"&amp;D1020</f>
        <v>lin_vdd_dyn_on_3p3v</v>
      </c>
      <c r="B1020" s="48" t="s">
        <v>5323</v>
      </c>
      <c r="C1020" s="48" t="s">
        <v>5255</v>
      </c>
      <c r="D1020" s="48" t="s">
        <v>5159</v>
      </c>
      <c r="E1020" s="48" t="s">
        <v>5195</v>
      </c>
      <c r="F1020" s="14">
        <v>5.5307419200000008E-8</v>
      </c>
      <c r="G1020" s="48"/>
      <c r="H1020" s="49"/>
      <c r="I1020" s="22"/>
      <c r="O1020" s="21"/>
    </row>
    <row r="1021" spans="1:15" customFormat="1" ht="15" x14ac:dyDescent="0.25">
      <c r="A1021" s="48" t="str">
        <f>B1021&amp;"_"&amp;C1021&amp;"_"&amp;D1021</f>
        <v>lin_vddh1_dyn_on_1p8v</v>
      </c>
      <c r="B1021" s="48" t="s">
        <v>5323</v>
      </c>
      <c r="C1021" s="48" t="s">
        <v>5256</v>
      </c>
      <c r="D1021" s="48" t="s">
        <v>5160</v>
      </c>
      <c r="E1021" s="48" t="s">
        <v>5195</v>
      </c>
      <c r="F1021" s="14">
        <v>0.1500841872</v>
      </c>
      <c r="G1021" s="48"/>
      <c r="H1021" s="49"/>
      <c r="I1021" s="22"/>
      <c r="O1021" s="21"/>
    </row>
    <row r="1022" spans="1:15" customFormat="1" ht="15" x14ac:dyDescent="0.25">
      <c r="A1022" s="48" t="str">
        <f>B1022&amp;"_"&amp;C1022&amp;"_"&amp;D1022</f>
        <v>lin_vddh2_dyn_on_3p3v</v>
      </c>
      <c r="B1022" s="48" t="s">
        <v>5323</v>
      </c>
      <c r="C1022" s="48" t="s">
        <v>5262</v>
      </c>
      <c r="D1022" s="48" t="s">
        <v>5159</v>
      </c>
      <c r="E1022" s="48" t="s">
        <v>5195</v>
      </c>
      <c r="F1022" s="14">
        <v>2.6135999999999998E-3</v>
      </c>
      <c r="G1022" s="48"/>
      <c r="H1022" s="49"/>
      <c r="I1022" s="22"/>
      <c r="O1022" s="21"/>
    </row>
    <row r="1023" spans="1:15" customFormat="1" ht="15" x14ac:dyDescent="0.25">
      <c r="A1023" s="48" t="str">
        <f t="shared" ref="A1023:A1028" si="42">B1023&amp;"_"&amp;C1023</f>
        <v>lpc_Description</v>
      </c>
      <c r="B1023" s="48" t="s">
        <v>5325</v>
      </c>
      <c r="C1023" s="48" t="s">
        <v>42</v>
      </c>
      <c r="D1023" s="48"/>
      <c r="E1023" s="48" t="s">
        <v>5192</v>
      </c>
      <c r="F1023" s="14" t="s">
        <v>5843</v>
      </c>
      <c r="G1023" s="48" t="s">
        <v>5326</v>
      </c>
      <c r="H1023" s="13"/>
      <c r="I1023" s="22"/>
      <c r="O1023" s="21"/>
    </row>
    <row r="1024" spans="1:15" customFormat="1" ht="15" x14ac:dyDescent="0.25">
      <c r="A1024" s="48" t="str">
        <f t="shared" si="42"/>
        <v>lpc_First_SoC</v>
      </c>
      <c r="B1024" s="48" t="s">
        <v>5325</v>
      </c>
      <c r="C1024" s="48" t="s">
        <v>5216</v>
      </c>
      <c r="D1024" s="48"/>
      <c r="E1024" s="48" t="s">
        <v>5192</v>
      </c>
      <c r="F1024" s="14" t="s">
        <v>5800</v>
      </c>
      <c r="G1024" s="48"/>
      <c r="H1024" s="13"/>
      <c r="I1024" s="22"/>
      <c r="O1024" s="21"/>
    </row>
    <row r="1025" spans="1:15" customFormat="1" ht="15" x14ac:dyDescent="0.25">
      <c r="A1025" s="48" t="str">
        <f t="shared" si="42"/>
        <v>lpc_Function</v>
      </c>
      <c r="B1025" s="48" t="s">
        <v>5325</v>
      </c>
      <c r="C1025" s="48" t="s">
        <v>5222</v>
      </c>
      <c r="D1025" s="48"/>
      <c r="E1025" s="48" t="s">
        <v>5192</v>
      </c>
      <c r="F1025" s="14" t="s">
        <v>5805</v>
      </c>
      <c r="G1025" s="48"/>
      <c r="H1025" s="13"/>
      <c r="I1025" s="22"/>
      <c r="O1025" s="21"/>
    </row>
    <row r="1026" spans="1:15" customFormat="1" ht="15" x14ac:dyDescent="0.25">
      <c r="A1026" s="48" t="str">
        <f t="shared" si="42"/>
        <v>lpc_pinmux</v>
      </c>
      <c r="B1026" s="48" t="s">
        <v>5325</v>
      </c>
      <c r="C1026" s="48" t="s">
        <v>5270</v>
      </c>
      <c r="D1026" s="48"/>
      <c r="E1026" s="48" t="s">
        <v>5192</v>
      </c>
      <c r="F1026" s="14">
        <v>2</v>
      </c>
      <c r="G1026" s="48"/>
      <c r="H1026" s="49"/>
      <c r="I1026" s="22"/>
      <c r="O1026" s="21"/>
    </row>
    <row r="1027" spans="1:15" customFormat="1" ht="15" x14ac:dyDescent="0.25">
      <c r="A1027" s="48" t="str">
        <f t="shared" si="42"/>
        <v>lpc_tag</v>
      </c>
      <c r="B1027" s="49" t="s">
        <v>5325</v>
      </c>
      <c r="C1027" s="49" t="s">
        <v>5234</v>
      </c>
      <c r="D1027" s="49"/>
      <c r="E1027" s="49" t="s">
        <v>5192</v>
      </c>
      <c r="F1027" s="14">
        <v>44499</v>
      </c>
      <c r="G1027" s="49" t="s">
        <v>5254</v>
      </c>
      <c r="H1027" s="49"/>
      <c r="I1027" s="22"/>
      <c r="O1027" s="21"/>
    </row>
    <row r="1028" spans="1:15" customFormat="1" ht="15" x14ac:dyDescent="0.25">
      <c r="A1028" s="48" t="str">
        <f t="shared" si="42"/>
        <v>lpc_Type</v>
      </c>
      <c r="B1028" s="48" t="s">
        <v>5325</v>
      </c>
      <c r="C1028" s="48" t="s">
        <v>0</v>
      </c>
      <c r="D1028" s="48"/>
      <c r="E1028" s="48" t="s">
        <v>5192</v>
      </c>
      <c r="F1028" s="14" t="s">
        <v>5785</v>
      </c>
      <c r="G1028" s="48" t="s">
        <v>5288</v>
      </c>
      <c r="H1028" s="13"/>
      <c r="I1028" s="22"/>
      <c r="O1028" s="21"/>
    </row>
    <row r="1029" spans="1:15" customFormat="1" ht="15" x14ac:dyDescent="0.25">
      <c r="A1029" s="48" t="str">
        <f>B1029&amp;"_"&amp;C1029&amp;"_"&amp;D1029</f>
        <v>lpc_vdd_dyn_on_1p8v</v>
      </c>
      <c r="B1029" s="48" t="s">
        <v>5325</v>
      </c>
      <c r="C1029" s="48" t="s">
        <v>5255</v>
      </c>
      <c r="D1029" s="48" t="s">
        <v>5160</v>
      </c>
      <c r="E1029" s="48" t="s">
        <v>5195</v>
      </c>
      <c r="F1029" s="14">
        <v>1.9910670911999997E-7</v>
      </c>
      <c r="G1029" s="48"/>
      <c r="H1029" s="49"/>
      <c r="I1029" s="22"/>
      <c r="O1029" s="21"/>
    </row>
    <row r="1030" spans="1:15" customFormat="1" ht="15" x14ac:dyDescent="0.25">
      <c r="A1030" s="48" t="str">
        <f>B1030&amp;"_"&amp;C1030&amp;"_"&amp;D1030</f>
        <v>lpc_vdd_dyn_on_3p3v</v>
      </c>
      <c r="B1030" s="48" t="s">
        <v>5325</v>
      </c>
      <c r="C1030" s="48" t="s">
        <v>5255</v>
      </c>
      <c r="D1030" s="48" t="s">
        <v>5159</v>
      </c>
      <c r="E1030" s="48" t="s">
        <v>5195</v>
      </c>
      <c r="F1030" s="14">
        <v>5.5307419200000008E-8</v>
      </c>
      <c r="G1030" s="48"/>
      <c r="H1030" s="49"/>
      <c r="I1030" s="22"/>
      <c r="O1030" s="21"/>
    </row>
    <row r="1031" spans="1:15" customFormat="1" ht="15" x14ac:dyDescent="0.25">
      <c r="A1031" s="48" t="str">
        <f>B1031&amp;"_"&amp;C1031&amp;"_"&amp;D1031</f>
        <v>lpc_vddh1_dyn_on_1p8v</v>
      </c>
      <c r="B1031" s="48" t="s">
        <v>5325</v>
      </c>
      <c r="C1031" s="48" t="s">
        <v>5256</v>
      </c>
      <c r="D1031" s="48" t="s">
        <v>5160</v>
      </c>
      <c r="E1031" s="48" t="s">
        <v>5195</v>
      </c>
      <c r="F1031" s="14">
        <v>0.1500841872</v>
      </c>
      <c r="G1031" s="48"/>
      <c r="H1031" s="49"/>
      <c r="I1031" s="22"/>
      <c r="O1031" s="21"/>
    </row>
    <row r="1032" spans="1:15" customFormat="1" ht="15" x14ac:dyDescent="0.25">
      <c r="A1032" s="48" t="str">
        <f>B1032&amp;"_"&amp;C1032&amp;"_"&amp;D1032</f>
        <v>lpc_vddh2_dyn_on_3p3v</v>
      </c>
      <c r="B1032" s="48" t="s">
        <v>5325</v>
      </c>
      <c r="C1032" s="48" t="s">
        <v>5262</v>
      </c>
      <c r="D1032" s="48" t="s">
        <v>5159</v>
      </c>
      <c r="E1032" s="48" t="s">
        <v>5195</v>
      </c>
      <c r="F1032" s="14">
        <v>2.6135999999999998E-3</v>
      </c>
      <c r="G1032" s="48"/>
      <c r="H1032" s="49"/>
      <c r="I1032" s="22"/>
      <c r="O1032" s="21"/>
    </row>
    <row r="1033" spans="1:15" s="208" customFormat="1" x14ac:dyDescent="0.2">
      <c r="A1033" s="214" t="str">
        <f t="shared" ref="A1033:A1050" si="43">B1033&amp;"_"&amp;C1033</f>
        <v>lvcmos_ddr_reset_3p3_1p8_Area</v>
      </c>
      <c r="B1033" s="215" t="s">
        <v>4791</v>
      </c>
      <c r="C1033" s="214" t="s">
        <v>5211</v>
      </c>
      <c r="D1033" s="214"/>
      <c r="E1033" s="214" t="s">
        <v>5192</v>
      </c>
      <c r="F1033" s="216">
        <v>7.1999999999999998E-3</v>
      </c>
      <c r="G1033" s="214"/>
      <c r="H1033" s="217"/>
      <c r="O1033" s="211"/>
    </row>
    <row r="1034" spans="1:15" s="208" customFormat="1" x14ac:dyDescent="0.2">
      <c r="A1034" s="214" t="str">
        <f t="shared" si="43"/>
        <v>lvcmos_ddr_reset_3p3_1p8_beachfront</v>
      </c>
      <c r="B1034" s="215" t="s">
        <v>4791</v>
      </c>
      <c r="C1034" s="214" t="s">
        <v>5358</v>
      </c>
      <c r="D1034" s="214"/>
      <c r="E1034" s="214" t="s">
        <v>5192</v>
      </c>
      <c r="F1034" s="216">
        <v>0.05</v>
      </c>
      <c r="G1034" s="214"/>
      <c r="H1034" s="217"/>
      <c r="O1034" s="211"/>
    </row>
    <row r="1035" spans="1:15" s="208" customFormat="1" x14ac:dyDescent="0.2">
      <c r="A1035" s="214" t="str">
        <f t="shared" si="43"/>
        <v>lvcmos_ddr_reset_3p3_1p8_description</v>
      </c>
      <c r="B1035" s="215" t="s">
        <v>4791</v>
      </c>
      <c r="C1035" s="214" t="s">
        <v>5379</v>
      </c>
      <c r="D1035" s="214"/>
      <c r="E1035" s="214" t="s">
        <v>5192</v>
      </c>
      <c r="F1035" s="216" t="s">
        <v>5815</v>
      </c>
      <c r="G1035" s="214"/>
      <c r="H1035" s="217"/>
      <c r="O1035" s="211"/>
    </row>
    <row r="1036" spans="1:15" s="208" customFormat="1" x14ac:dyDescent="0.2">
      <c r="A1036" s="214" t="str">
        <f t="shared" si="43"/>
        <v>lvcmos_ddr_reset_3p3_1p8_first_soc</v>
      </c>
      <c r="B1036" s="215" t="s">
        <v>4791</v>
      </c>
      <c r="C1036" s="214" t="s">
        <v>5378</v>
      </c>
      <c r="D1036" s="214"/>
      <c r="E1036" s="214" t="s">
        <v>5192</v>
      </c>
      <c r="F1036" s="216" t="s">
        <v>5381</v>
      </c>
      <c r="G1036" s="214"/>
      <c r="H1036" s="217"/>
      <c r="O1036" s="211"/>
    </row>
    <row r="1037" spans="1:15" s="208" customFormat="1" x14ac:dyDescent="0.2">
      <c r="A1037" s="214" t="str">
        <f t="shared" si="43"/>
        <v>lvcmos_ddr_reset_3p3_1p8_function</v>
      </c>
      <c r="B1037" s="215" t="s">
        <v>4791</v>
      </c>
      <c r="C1037" s="214" t="s">
        <v>5367</v>
      </c>
      <c r="D1037" s="214"/>
      <c r="E1037" s="214" t="s">
        <v>5192</v>
      </c>
      <c r="F1037" s="216" t="s">
        <v>5415</v>
      </c>
      <c r="G1037" s="214"/>
      <c r="H1037" s="217"/>
      <c r="O1037" s="211"/>
    </row>
    <row r="1038" spans="1:15" s="208" customFormat="1" x14ac:dyDescent="0.2">
      <c r="A1038" s="214" t="str">
        <f t="shared" si="43"/>
        <v>lvcmos_ddr_reset_3p3_1p8_macro_area</v>
      </c>
      <c r="B1038" s="215" t="s">
        <v>4791</v>
      </c>
      <c r="C1038" s="214" t="s">
        <v>5228</v>
      </c>
      <c r="D1038" s="214"/>
      <c r="E1038" s="214" t="s">
        <v>5192</v>
      </c>
      <c r="F1038" s="216">
        <v>7.1999999999999998E-3</v>
      </c>
      <c r="G1038" s="214"/>
      <c r="H1038" s="217"/>
      <c r="O1038" s="211"/>
    </row>
    <row r="1039" spans="1:15" s="208" customFormat="1" x14ac:dyDescent="0.2">
      <c r="A1039" s="214" t="str">
        <f t="shared" si="43"/>
        <v>lvcmos_ddr_reset_3p3_1p8_pins</v>
      </c>
      <c r="B1039" s="215" t="s">
        <v>4791</v>
      </c>
      <c r="C1039" s="214" t="s">
        <v>5359</v>
      </c>
      <c r="D1039" s="214"/>
      <c r="E1039" s="214" t="s">
        <v>5192</v>
      </c>
      <c r="F1039" s="216">
        <v>0</v>
      </c>
      <c r="G1039" s="214"/>
      <c r="H1039" s="217"/>
      <c r="O1039" s="211"/>
    </row>
    <row r="1040" spans="1:15" s="208" customFormat="1" x14ac:dyDescent="0.2">
      <c r="A1040" s="214" t="str">
        <f t="shared" si="43"/>
        <v>lvcmos_ddr_reset_3p3_1p8_tag</v>
      </c>
      <c r="B1040" s="215" t="s">
        <v>4791</v>
      </c>
      <c r="C1040" s="214" t="s">
        <v>5234</v>
      </c>
      <c r="D1040" s="214"/>
      <c r="E1040" s="214" t="s">
        <v>5192</v>
      </c>
      <c r="F1040" s="216" t="s">
        <v>5418</v>
      </c>
      <c r="G1040" s="214"/>
      <c r="H1040" s="217"/>
      <c r="O1040" s="211"/>
    </row>
    <row r="1041" spans="1:15" s="208" customFormat="1" x14ac:dyDescent="0.2">
      <c r="A1041" s="214" t="str">
        <f t="shared" si="43"/>
        <v>lvcmos_ddr_reset_3p3_1p8_type</v>
      </c>
      <c r="B1041" s="215" t="s">
        <v>4791</v>
      </c>
      <c r="C1041" s="214" t="s">
        <v>1</v>
      </c>
      <c r="D1041" s="214"/>
      <c r="E1041" s="214" t="s">
        <v>5192</v>
      </c>
      <c r="F1041" s="216" t="s">
        <v>5784</v>
      </c>
      <c r="G1041" s="214"/>
      <c r="H1041" s="217"/>
      <c r="O1041" s="211"/>
    </row>
    <row r="1042" spans="1:15" s="208" customFormat="1" x14ac:dyDescent="0.2">
      <c r="A1042" s="214" t="str">
        <f t="shared" si="43"/>
        <v>lvcmos_ddr_reset_3p3_1p8_vdd_lkg</v>
      </c>
      <c r="B1042" s="215" t="s">
        <v>4791</v>
      </c>
      <c r="C1042" s="214" t="s">
        <v>5245</v>
      </c>
      <c r="D1042" s="214"/>
      <c r="E1042" s="214" t="s">
        <v>5192</v>
      </c>
      <c r="F1042" s="216">
        <v>1E-3</v>
      </c>
      <c r="G1042" s="214"/>
      <c r="H1042" s="217"/>
      <c r="O1042" s="211"/>
    </row>
    <row r="1043" spans="1:15" s="208" customFormat="1" x14ac:dyDescent="0.2">
      <c r="A1043" s="214" t="str">
        <f t="shared" si="43"/>
        <v>lvcmos_ddr_reset_3p3_1p8_vddh1_lkg</v>
      </c>
      <c r="B1043" s="215" t="s">
        <v>4791</v>
      </c>
      <c r="C1043" s="214" t="s">
        <v>5257</v>
      </c>
      <c r="D1043" s="214"/>
      <c r="E1043" s="214" t="s">
        <v>5192</v>
      </c>
      <c r="F1043" s="216">
        <v>0.1</v>
      </c>
      <c r="G1043" s="214"/>
      <c r="H1043" s="217"/>
      <c r="O1043" s="211"/>
    </row>
    <row r="1044" spans="1:15" s="208" customFormat="1" x14ac:dyDescent="0.2">
      <c r="A1044" s="214" t="str">
        <f t="shared" si="43"/>
        <v>lvcmos_ddr_reset_3p3_1p8_vddh2_lkg</v>
      </c>
      <c r="B1044" s="215" t="s">
        <v>4791</v>
      </c>
      <c r="C1044" s="214" t="s">
        <v>5263</v>
      </c>
      <c r="D1044" s="214"/>
      <c r="E1044" s="214" t="s">
        <v>5192</v>
      </c>
      <c r="F1044" s="216">
        <v>0.1</v>
      </c>
      <c r="G1044" s="214"/>
      <c r="H1044" s="217"/>
      <c r="O1044" s="211"/>
    </row>
    <row r="1045" spans="1:15" customFormat="1" ht="15" x14ac:dyDescent="0.25">
      <c r="A1045" s="48" t="str">
        <f t="shared" si="43"/>
        <v>mcasp_Description</v>
      </c>
      <c r="B1045" s="48" t="s">
        <v>5327</v>
      </c>
      <c r="C1045" s="48" t="s">
        <v>42</v>
      </c>
      <c r="D1045" s="48"/>
      <c r="E1045" s="48" t="s">
        <v>5192</v>
      </c>
      <c r="F1045" s="14" t="s">
        <v>5848</v>
      </c>
      <c r="G1045" s="48" t="s">
        <v>5328</v>
      </c>
      <c r="H1045" s="13"/>
      <c r="I1045" s="22"/>
      <c r="O1045" s="21"/>
    </row>
    <row r="1046" spans="1:15" customFormat="1" ht="15" x14ac:dyDescent="0.25">
      <c r="A1046" s="48" t="str">
        <f t="shared" si="43"/>
        <v>mcasp_First_SoC</v>
      </c>
      <c r="B1046" s="48" t="s">
        <v>5327</v>
      </c>
      <c r="C1046" s="48" t="s">
        <v>5216</v>
      </c>
      <c r="D1046" s="48"/>
      <c r="E1046" s="48" t="s">
        <v>5192</v>
      </c>
      <c r="F1046" s="14" t="s">
        <v>5841</v>
      </c>
      <c r="G1046" s="48"/>
      <c r="H1046" s="13"/>
      <c r="I1046" s="22"/>
      <c r="O1046" s="21"/>
    </row>
    <row r="1047" spans="1:15" customFormat="1" ht="15" x14ac:dyDescent="0.25">
      <c r="A1047" s="48" t="str">
        <f t="shared" si="43"/>
        <v>mcasp_Function</v>
      </c>
      <c r="B1047" s="48" t="s">
        <v>5327</v>
      </c>
      <c r="C1047" s="48" t="s">
        <v>5222</v>
      </c>
      <c r="D1047" s="48"/>
      <c r="E1047" s="48" t="s">
        <v>5192</v>
      </c>
      <c r="F1047" s="14" t="s">
        <v>5327</v>
      </c>
      <c r="G1047" s="48" t="s">
        <v>5260</v>
      </c>
      <c r="H1047" s="13"/>
      <c r="I1047" s="22"/>
      <c r="O1047" s="21"/>
    </row>
    <row r="1048" spans="1:15" customFormat="1" ht="15" x14ac:dyDescent="0.25">
      <c r="A1048" s="48" t="str">
        <f t="shared" si="43"/>
        <v>mcasp_Pinmux</v>
      </c>
      <c r="B1048" s="48" t="s">
        <v>5327</v>
      </c>
      <c r="C1048" s="48" t="s">
        <v>5261</v>
      </c>
      <c r="D1048" s="48"/>
      <c r="E1048" s="48" t="s">
        <v>5192</v>
      </c>
      <c r="F1048" s="14">
        <v>10</v>
      </c>
      <c r="G1048" s="48" t="s">
        <v>5329</v>
      </c>
      <c r="H1048" s="49"/>
      <c r="I1048" s="22"/>
      <c r="O1048" s="21"/>
    </row>
    <row r="1049" spans="1:15" customFormat="1" ht="15" x14ac:dyDescent="0.25">
      <c r="A1049" s="48" t="str">
        <f t="shared" si="43"/>
        <v>mcasp_tag</v>
      </c>
      <c r="B1049" s="49" t="s">
        <v>5327</v>
      </c>
      <c r="C1049" s="49" t="s">
        <v>5234</v>
      </c>
      <c r="D1049" s="49"/>
      <c r="E1049" s="49" t="s">
        <v>5192</v>
      </c>
      <c r="F1049" s="14">
        <v>44499</v>
      </c>
      <c r="G1049" s="49" t="s">
        <v>5254</v>
      </c>
      <c r="H1049" s="49"/>
      <c r="I1049" s="22"/>
      <c r="O1049" s="21"/>
    </row>
    <row r="1050" spans="1:15" customFormat="1" ht="15" x14ac:dyDescent="0.25">
      <c r="A1050" s="48" t="str">
        <f t="shared" si="43"/>
        <v>mcasp_Type</v>
      </c>
      <c r="B1050" s="48" t="s">
        <v>5327</v>
      </c>
      <c r="C1050" s="48" t="s">
        <v>0</v>
      </c>
      <c r="D1050" s="48"/>
      <c r="E1050" s="48" t="s">
        <v>5192</v>
      </c>
      <c r="F1050" s="14" t="s">
        <v>5785</v>
      </c>
      <c r="G1050" s="48" t="s">
        <v>5260</v>
      </c>
      <c r="H1050" s="13"/>
      <c r="I1050" s="22"/>
      <c r="O1050" s="21"/>
    </row>
    <row r="1051" spans="1:15" customFormat="1" ht="15" x14ac:dyDescent="0.25">
      <c r="A1051" s="48" t="str">
        <f t="shared" ref="A1051:A1082" si="44">B1051&amp;"_"&amp;C1051&amp;"_"&amp;D1051</f>
        <v>mcasp_vdd_dyn_12Ch_RXTX_48_ksps_24b_1p8v</v>
      </c>
      <c r="B1051" s="48" t="s">
        <v>5327</v>
      </c>
      <c r="C1051" s="48" t="s">
        <v>5255</v>
      </c>
      <c r="D1051" s="48" t="s">
        <v>5095</v>
      </c>
      <c r="E1051" s="48" t="s">
        <v>5195</v>
      </c>
      <c r="F1051" s="14">
        <v>6.1680716697599998E-7</v>
      </c>
      <c r="G1051" s="48" t="s">
        <v>5260</v>
      </c>
      <c r="H1051" s="49"/>
      <c r="I1051" s="22"/>
      <c r="O1051" s="21"/>
    </row>
    <row r="1052" spans="1:15" customFormat="1" ht="15" x14ac:dyDescent="0.25">
      <c r="A1052" s="48" t="str">
        <f t="shared" si="44"/>
        <v>mcasp_vdd_dyn_12Ch_RXTX_48_ksps_24b_3p3v</v>
      </c>
      <c r="B1052" s="48" t="s">
        <v>5327</v>
      </c>
      <c r="C1052" s="48" t="s">
        <v>5255</v>
      </c>
      <c r="D1052" s="48" t="s">
        <v>5082</v>
      </c>
      <c r="E1052" s="48" t="s">
        <v>5195</v>
      </c>
      <c r="F1052" s="14">
        <v>6.1680716697599998E-7</v>
      </c>
      <c r="G1052" s="48" t="s">
        <v>5260</v>
      </c>
      <c r="H1052" s="49"/>
      <c r="I1052" s="22"/>
      <c r="O1052" s="21"/>
    </row>
    <row r="1053" spans="1:15" customFormat="1" ht="15" x14ac:dyDescent="0.25">
      <c r="A1053" s="48" t="str">
        <f t="shared" si="44"/>
        <v>mcasp_vdd_dyn_12Ch_TX_48_ksps_24b_1p8v</v>
      </c>
      <c r="B1053" s="48" t="s">
        <v>5327</v>
      </c>
      <c r="C1053" s="48" t="s">
        <v>5255</v>
      </c>
      <c r="D1053" s="48" t="s">
        <v>5090</v>
      </c>
      <c r="E1053" s="48" t="s">
        <v>5195</v>
      </c>
      <c r="F1053" s="14">
        <v>5.3188155187199992E-7</v>
      </c>
      <c r="G1053" s="48" t="s">
        <v>5260</v>
      </c>
      <c r="H1053" s="49"/>
      <c r="I1053" s="22"/>
      <c r="O1053" s="21"/>
    </row>
    <row r="1054" spans="1:15" customFormat="1" ht="15" x14ac:dyDescent="0.25">
      <c r="A1054" s="48" t="str">
        <f t="shared" si="44"/>
        <v>mcasp_vdd_dyn_12Ch_TX_48_ksps_24b_3p3v</v>
      </c>
      <c r="B1054" s="48" t="s">
        <v>5327</v>
      </c>
      <c r="C1054" s="48" t="s">
        <v>5255</v>
      </c>
      <c r="D1054" s="48" t="s">
        <v>5077</v>
      </c>
      <c r="E1054" s="48" t="s">
        <v>5195</v>
      </c>
      <c r="F1054" s="14">
        <v>5.3188155187199992E-7</v>
      </c>
      <c r="G1054" s="48" t="s">
        <v>5260</v>
      </c>
      <c r="H1054" s="49"/>
      <c r="I1054" s="22"/>
      <c r="O1054" s="21"/>
    </row>
    <row r="1055" spans="1:15" customFormat="1" ht="15" x14ac:dyDescent="0.25">
      <c r="A1055" s="48" t="str">
        <f t="shared" si="44"/>
        <v>mcasp_vdd_dyn_16Ch_RXTX_48ksps_24b_1p8v</v>
      </c>
      <c r="B1055" s="48" t="s">
        <v>5327</v>
      </c>
      <c r="C1055" s="48" t="s">
        <v>5255</v>
      </c>
      <c r="D1055" s="48" t="s">
        <v>5094</v>
      </c>
      <c r="E1055" s="48" t="s">
        <v>5195</v>
      </c>
      <c r="F1055" s="14">
        <v>7.3376263065599995E-7</v>
      </c>
      <c r="G1055" s="48" t="s">
        <v>5260</v>
      </c>
      <c r="H1055" s="49"/>
      <c r="I1055" s="22"/>
      <c r="O1055" s="21"/>
    </row>
    <row r="1056" spans="1:15" customFormat="1" ht="15" x14ac:dyDescent="0.25">
      <c r="A1056" s="48" t="str">
        <f t="shared" si="44"/>
        <v>mcasp_vdd_dyn_16Ch_RXTX_48ksps_24b_3p3v</v>
      </c>
      <c r="B1056" s="48" t="s">
        <v>5327</v>
      </c>
      <c r="C1056" s="48" t="s">
        <v>5255</v>
      </c>
      <c r="D1056" s="48" t="s">
        <v>5081</v>
      </c>
      <c r="E1056" s="48" t="s">
        <v>5195</v>
      </c>
      <c r="F1056" s="14">
        <v>7.3376263065599995E-7</v>
      </c>
      <c r="G1056" s="48" t="s">
        <v>5260</v>
      </c>
      <c r="H1056" s="49"/>
      <c r="I1056" s="22"/>
      <c r="O1056" s="21"/>
    </row>
    <row r="1057" spans="1:15" customFormat="1" ht="15" x14ac:dyDescent="0.25">
      <c r="A1057" s="48" t="str">
        <f t="shared" si="44"/>
        <v>mcasp_vdd_dyn_16Ch_TX_48_ksps_24b_1p8v</v>
      </c>
      <c r="B1057" s="48" t="s">
        <v>5327</v>
      </c>
      <c r="C1057" s="48" t="s">
        <v>5255</v>
      </c>
      <c r="D1057" s="48" t="s">
        <v>5089</v>
      </c>
      <c r="E1057" s="48" t="s">
        <v>5195</v>
      </c>
      <c r="F1057" s="14">
        <v>6.6485193983999984E-7</v>
      </c>
      <c r="G1057" s="48" t="s">
        <v>5260</v>
      </c>
      <c r="H1057" s="49"/>
      <c r="I1057" s="22"/>
      <c r="O1057" s="21"/>
    </row>
    <row r="1058" spans="1:15" customFormat="1" ht="15" x14ac:dyDescent="0.25">
      <c r="A1058" s="48" t="str">
        <f t="shared" si="44"/>
        <v>mcasp_vdd_dyn_16Ch_TX_48_ksps_24b_3p3v</v>
      </c>
      <c r="B1058" s="48" t="s">
        <v>5327</v>
      </c>
      <c r="C1058" s="48" t="s">
        <v>5255</v>
      </c>
      <c r="D1058" s="48" t="s">
        <v>5076</v>
      </c>
      <c r="E1058" s="48" t="s">
        <v>5195</v>
      </c>
      <c r="F1058" s="14">
        <v>6.6485193983999984E-7</v>
      </c>
      <c r="G1058" s="48" t="s">
        <v>5260</v>
      </c>
      <c r="H1058" s="49"/>
      <c r="I1058" s="22"/>
      <c r="O1058" s="21"/>
    </row>
    <row r="1059" spans="1:15" customFormat="1" ht="15" x14ac:dyDescent="0.25">
      <c r="A1059" s="48" t="str">
        <f t="shared" si="44"/>
        <v>mcasp_vdd_dyn_2Ch_RX_48_ksps_24b_1p8v</v>
      </c>
      <c r="B1059" s="48" t="s">
        <v>5327</v>
      </c>
      <c r="C1059" s="48" t="s">
        <v>5255</v>
      </c>
      <c r="D1059" s="48" t="s">
        <v>5088</v>
      </c>
      <c r="E1059" s="48" t="s">
        <v>5195</v>
      </c>
      <c r="F1059" s="14">
        <v>1.6220925388799997E-7</v>
      </c>
      <c r="G1059" s="48" t="s">
        <v>5260</v>
      </c>
      <c r="H1059" s="49"/>
      <c r="I1059" s="22"/>
      <c r="O1059" s="21"/>
    </row>
    <row r="1060" spans="1:15" customFormat="1" ht="15" x14ac:dyDescent="0.25">
      <c r="A1060" s="48" t="str">
        <f t="shared" si="44"/>
        <v>mcasp_vdd_dyn_2Ch_RX_48_ksps_24b_3p3v</v>
      </c>
      <c r="B1060" s="48" t="s">
        <v>5327</v>
      </c>
      <c r="C1060" s="48" t="s">
        <v>5255</v>
      </c>
      <c r="D1060" s="48" t="s">
        <v>5075</v>
      </c>
      <c r="E1060" s="48" t="s">
        <v>5195</v>
      </c>
      <c r="F1060" s="14">
        <v>1.6220925388799997E-7</v>
      </c>
      <c r="G1060" s="48" t="s">
        <v>5260</v>
      </c>
      <c r="H1060" s="49"/>
      <c r="I1060" s="22"/>
      <c r="O1060" s="21"/>
    </row>
    <row r="1061" spans="1:15" customFormat="1" ht="15" x14ac:dyDescent="0.25">
      <c r="A1061" s="48" t="str">
        <f t="shared" si="44"/>
        <v>mcasp_vdd_dyn_2Ch_RXTX_48_ksps_24b_1p8v</v>
      </c>
      <c r="B1061" s="48" t="s">
        <v>5327</v>
      </c>
      <c r="C1061" s="48" t="s">
        <v>5255</v>
      </c>
      <c r="D1061" s="48" t="s">
        <v>5098</v>
      </c>
      <c r="E1061" s="48" t="s">
        <v>5195</v>
      </c>
      <c r="F1061" s="14">
        <v>3.2441850777599994E-7</v>
      </c>
      <c r="G1061" s="48" t="s">
        <v>5260</v>
      </c>
      <c r="H1061" s="49"/>
      <c r="I1061" s="22"/>
      <c r="O1061" s="21"/>
    </row>
    <row r="1062" spans="1:15" customFormat="1" ht="15" x14ac:dyDescent="0.25">
      <c r="A1062" s="48" t="str">
        <f t="shared" si="44"/>
        <v>mcasp_vdd_dyn_2Ch_RXTX_48_ksps_24b_3p3v</v>
      </c>
      <c r="B1062" s="48" t="s">
        <v>5327</v>
      </c>
      <c r="C1062" s="48" t="s">
        <v>5255</v>
      </c>
      <c r="D1062" s="48" t="s">
        <v>5085</v>
      </c>
      <c r="E1062" s="48" t="s">
        <v>5195</v>
      </c>
      <c r="F1062" s="14">
        <v>3.2441850777599994E-7</v>
      </c>
      <c r="G1062" s="48" t="s">
        <v>5260</v>
      </c>
      <c r="H1062" s="49"/>
      <c r="I1062" s="22"/>
      <c r="O1062" s="21"/>
    </row>
    <row r="1063" spans="1:15" customFormat="1" ht="15" x14ac:dyDescent="0.25">
      <c r="A1063" s="48" t="str">
        <f t="shared" si="44"/>
        <v>mcasp_vdd_dyn_2Ch_TX_48_ksps_24b_1p8v</v>
      </c>
      <c r="B1063" s="48" t="s">
        <v>5327</v>
      </c>
      <c r="C1063" s="48" t="s">
        <v>5255</v>
      </c>
      <c r="D1063" s="48" t="s">
        <v>5093</v>
      </c>
      <c r="E1063" s="48" t="s">
        <v>5195</v>
      </c>
      <c r="F1063" s="14">
        <v>3.9891116390399999E-7</v>
      </c>
      <c r="G1063" s="48" t="s">
        <v>5260</v>
      </c>
      <c r="H1063" s="49"/>
      <c r="I1063" s="22"/>
      <c r="O1063" s="21"/>
    </row>
    <row r="1064" spans="1:15" customFormat="1" ht="15" x14ac:dyDescent="0.25">
      <c r="A1064" s="48" t="str">
        <f t="shared" si="44"/>
        <v>mcasp_vdd_dyn_2Ch_TX_48_ksps_24b_3p3v</v>
      </c>
      <c r="B1064" s="48" t="s">
        <v>5327</v>
      </c>
      <c r="C1064" s="48" t="s">
        <v>5255</v>
      </c>
      <c r="D1064" s="48" t="s">
        <v>5080</v>
      </c>
      <c r="E1064" s="48" t="s">
        <v>5195</v>
      </c>
      <c r="F1064" s="14">
        <v>3.9891116390399999E-7</v>
      </c>
      <c r="G1064" s="48" t="s">
        <v>5260</v>
      </c>
      <c r="H1064" s="49"/>
      <c r="I1064" s="22"/>
      <c r="O1064" s="21"/>
    </row>
    <row r="1065" spans="1:15" customFormat="1" ht="15" x14ac:dyDescent="0.25">
      <c r="A1065" s="48" t="str">
        <f t="shared" si="44"/>
        <v>mcasp_vdd_dyn_4Ch_RX_48_ksps_24b_1p8v</v>
      </c>
      <c r="B1065" s="48" t="s">
        <v>5327</v>
      </c>
      <c r="C1065" s="48" t="s">
        <v>5255</v>
      </c>
      <c r="D1065" s="48" t="s">
        <v>5087</v>
      </c>
      <c r="E1065" s="48" t="s">
        <v>5195</v>
      </c>
      <c r="F1065" s="14">
        <v>1.9144811980799996E-7</v>
      </c>
      <c r="G1065" s="48" t="s">
        <v>5260</v>
      </c>
      <c r="H1065" s="49"/>
      <c r="I1065" s="22"/>
      <c r="O1065" s="21"/>
    </row>
    <row r="1066" spans="1:15" customFormat="1" ht="15" x14ac:dyDescent="0.25">
      <c r="A1066" s="48" t="str">
        <f t="shared" si="44"/>
        <v>mcasp_vdd_dyn_4Ch_RX_48_ksps_24b_3p3v</v>
      </c>
      <c r="B1066" s="48" t="s">
        <v>5327</v>
      </c>
      <c r="C1066" s="48" t="s">
        <v>5255</v>
      </c>
      <c r="D1066" s="48" t="s">
        <v>5074</v>
      </c>
      <c r="E1066" s="48" t="s">
        <v>5195</v>
      </c>
      <c r="F1066" s="14">
        <v>1.9144811980799996E-7</v>
      </c>
      <c r="G1066" s="48" t="s">
        <v>5260</v>
      </c>
      <c r="H1066" s="49"/>
      <c r="I1066" s="22"/>
      <c r="O1066" s="21"/>
    </row>
    <row r="1067" spans="1:15" customFormat="1" ht="15" x14ac:dyDescent="0.25">
      <c r="A1067" s="48" t="str">
        <f t="shared" si="44"/>
        <v>mcasp_vdd_dyn_4Ch_RXTX_48_ksps_24b_1p8v</v>
      </c>
      <c r="B1067" s="48" t="s">
        <v>5327</v>
      </c>
      <c r="C1067" s="48" t="s">
        <v>5255</v>
      </c>
      <c r="D1067" s="48" t="s">
        <v>5097</v>
      </c>
      <c r="E1067" s="48" t="s">
        <v>5195</v>
      </c>
      <c r="F1067" s="14">
        <v>3.8289623961599993E-7</v>
      </c>
      <c r="G1067" s="48" t="s">
        <v>5260</v>
      </c>
      <c r="H1067" s="49"/>
      <c r="I1067" s="22"/>
      <c r="O1067" s="21"/>
    </row>
    <row r="1068" spans="1:15" customFormat="1" ht="15" x14ac:dyDescent="0.25">
      <c r="A1068" s="48" t="str">
        <f t="shared" si="44"/>
        <v>mcasp_vdd_dyn_4Ch_RXTX_48_ksps_24b_3p3v</v>
      </c>
      <c r="B1068" s="48" t="s">
        <v>5327</v>
      </c>
      <c r="C1068" s="48" t="s">
        <v>5255</v>
      </c>
      <c r="D1068" s="48" t="s">
        <v>5084</v>
      </c>
      <c r="E1068" s="48" t="s">
        <v>5195</v>
      </c>
      <c r="F1068" s="14">
        <v>3.8289623961599993E-7</v>
      </c>
      <c r="G1068" s="48" t="s">
        <v>5260</v>
      </c>
      <c r="H1068" s="49"/>
      <c r="I1068" s="22"/>
      <c r="O1068" s="21"/>
    </row>
    <row r="1069" spans="1:15" customFormat="1" ht="15" x14ac:dyDescent="0.25">
      <c r="A1069" s="48" t="str">
        <f t="shared" si="44"/>
        <v>mcasp_vdd_dyn_4Ch_TX_48_ksps_24b_1p8v</v>
      </c>
      <c r="B1069" s="48" t="s">
        <v>5327</v>
      </c>
      <c r="C1069" s="48" t="s">
        <v>5255</v>
      </c>
      <c r="D1069" s="48" t="s">
        <v>5092</v>
      </c>
      <c r="E1069" s="48" t="s">
        <v>5195</v>
      </c>
      <c r="F1069" s="14">
        <v>5.3188155187199992E-7</v>
      </c>
      <c r="G1069" s="48" t="s">
        <v>5260</v>
      </c>
      <c r="H1069" s="49"/>
      <c r="I1069" s="22"/>
      <c r="O1069" s="21"/>
    </row>
    <row r="1070" spans="1:15" customFormat="1" ht="15" x14ac:dyDescent="0.25">
      <c r="A1070" s="48" t="str">
        <f t="shared" si="44"/>
        <v>mcasp_vdd_dyn_4Ch_TX_48_ksps_24b_3p3v</v>
      </c>
      <c r="B1070" s="48" t="s">
        <v>5327</v>
      </c>
      <c r="C1070" s="48" t="s">
        <v>5255</v>
      </c>
      <c r="D1070" s="48" t="s">
        <v>5079</v>
      </c>
      <c r="E1070" s="48" t="s">
        <v>5195</v>
      </c>
      <c r="F1070" s="14">
        <v>5.3188155187199992E-7</v>
      </c>
      <c r="G1070" s="48" t="s">
        <v>5260</v>
      </c>
      <c r="H1070" s="49"/>
      <c r="I1070" s="22"/>
      <c r="O1070" s="21"/>
    </row>
    <row r="1071" spans="1:15" customFormat="1" ht="15" x14ac:dyDescent="0.25">
      <c r="A1071" s="48" t="str">
        <f t="shared" si="44"/>
        <v>mcasp_vdd_dyn_8Ch_RX_48_ksps_24b_1p8v</v>
      </c>
      <c r="B1071" s="48" t="s">
        <v>5327</v>
      </c>
      <c r="C1071" s="48" t="s">
        <v>5255</v>
      </c>
      <c r="D1071" s="48" t="s">
        <v>5086</v>
      </c>
      <c r="E1071" s="48" t="s">
        <v>5195</v>
      </c>
      <c r="F1071" s="14">
        <v>2.4992585164799995E-7</v>
      </c>
      <c r="G1071" s="48" t="s">
        <v>5260</v>
      </c>
      <c r="H1071" s="49"/>
      <c r="I1071" s="22"/>
      <c r="O1071" s="21"/>
    </row>
    <row r="1072" spans="1:15" customFormat="1" ht="15" x14ac:dyDescent="0.25">
      <c r="A1072" s="48" t="str">
        <f t="shared" si="44"/>
        <v>mcasp_vdd_dyn_8Ch_RX_48_ksps_24b_3p3v</v>
      </c>
      <c r="B1072" s="48" t="s">
        <v>5327</v>
      </c>
      <c r="C1072" s="48" t="s">
        <v>5255</v>
      </c>
      <c r="D1072" s="48" t="s">
        <v>5073</v>
      </c>
      <c r="E1072" s="48" t="s">
        <v>5195</v>
      </c>
      <c r="F1072" s="14">
        <v>2.4992585164799995E-7</v>
      </c>
      <c r="G1072" s="48" t="s">
        <v>5260</v>
      </c>
      <c r="H1072" s="49"/>
      <c r="I1072" s="22"/>
      <c r="O1072" s="21"/>
    </row>
    <row r="1073" spans="1:15" customFormat="1" ht="15" x14ac:dyDescent="0.25">
      <c r="A1073" s="48" t="str">
        <f t="shared" si="44"/>
        <v>mcasp_vdd_dyn_8Ch_RXTX_48_ksps_24b_1p8v</v>
      </c>
      <c r="B1073" s="48" t="s">
        <v>5327</v>
      </c>
      <c r="C1073" s="48" t="s">
        <v>5255</v>
      </c>
      <c r="D1073" s="48" t="s">
        <v>5096</v>
      </c>
      <c r="E1073" s="48" t="s">
        <v>5195</v>
      </c>
      <c r="F1073" s="14">
        <v>4.998517032959999E-7</v>
      </c>
      <c r="G1073" s="48" t="s">
        <v>5260</v>
      </c>
      <c r="H1073" s="49"/>
      <c r="I1073" s="22"/>
      <c r="O1073" s="21"/>
    </row>
    <row r="1074" spans="1:15" customFormat="1" ht="15" x14ac:dyDescent="0.25">
      <c r="A1074" s="48" t="str">
        <f t="shared" si="44"/>
        <v>mcasp_vdd_dyn_8Ch_RXTX_48_ksps_24b_3p3v</v>
      </c>
      <c r="B1074" s="48" t="s">
        <v>5327</v>
      </c>
      <c r="C1074" s="48" t="s">
        <v>5255</v>
      </c>
      <c r="D1074" s="48" t="s">
        <v>5083</v>
      </c>
      <c r="E1074" s="48" t="s">
        <v>5195</v>
      </c>
      <c r="F1074" s="14">
        <v>4.998517032959999E-7</v>
      </c>
      <c r="G1074" s="48" t="s">
        <v>5260</v>
      </c>
      <c r="H1074" s="49"/>
      <c r="I1074" s="22"/>
      <c r="O1074" s="21"/>
    </row>
    <row r="1075" spans="1:15" customFormat="1" ht="15" x14ac:dyDescent="0.25">
      <c r="A1075" s="48" t="str">
        <f t="shared" si="44"/>
        <v>mcasp_vdd_dyn_8Ch_TX_48_ksps_24b_1p8v</v>
      </c>
      <c r="B1075" s="48" t="s">
        <v>5327</v>
      </c>
      <c r="C1075" s="48" t="s">
        <v>5255</v>
      </c>
      <c r="D1075" s="48" t="s">
        <v>5091</v>
      </c>
      <c r="E1075" s="48" t="s">
        <v>5195</v>
      </c>
      <c r="F1075" s="14">
        <v>3.9891116390399999E-7</v>
      </c>
      <c r="G1075" s="48" t="s">
        <v>5260</v>
      </c>
      <c r="H1075" s="49"/>
      <c r="I1075" s="22"/>
      <c r="O1075" s="21"/>
    </row>
    <row r="1076" spans="1:15" customFormat="1" ht="15" x14ac:dyDescent="0.25">
      <c r="A1076" s="48" t="str">
        <f t="shared" si="44"/>
        <v>mcasp_vdd_dyn_8Ch_TX_48_ksps_24b_3p3v</v>
      </c>
      <c r="B1076" s="48" t="s">
        <v>5327</v>
      </c>
      <c r="C1076" s="48" t="s">
        <v>5255</v>
      </c>
      <c r="D1076" s="48" t="s">
        <v>5078</v>
      </c>
      <c r="E1076" s="48" t="s">
        <v>5195</v>
      </c>
      <c r="F1076" s="14">
        <v>3.9891116390399999E-7</v>
      </c>
      <c r="G1076" s="48" t="s">
        <v>5260</v>
      </c>
      <c r="H1076" s="49"/>
      <c r="I1076" s="22"/>
      <c r="O1076" s="21"/>
    </row>
    <row r="1077" spans="1:15" customFormat="1" ht="15" x14ac:dyDescent="0.25">
      <c r="A1077" s="48" t="str">
        <f t="shared" si="44"/>
        <v>mcasp_vdd_dyn_off</v>
      </c>
      <c r="B1077" s="48" t="s">
        <v>5327</v>
      </c>
      <c r="C1077" s="48" t="s">
        <v>5255</v>
      </c>
      <c r="D1077" s="48" t="s">
        <v>4798</v>
      </c>
      <c r="E1077" s="48" t="s">
        <v>5195</v>
      </c>
      <c r="F1077" s="14">
        <v>0</v>
      </c>
      <c r="G1077" s="48" t="s">
        <v>5260</v>
      </c>
      <c r="H1077" s="49"/>
      <c r="I1077" s="22"/>
      <c r="O1077" s="21"/>
    </row>
    <row r="1078" spans="1:15" customFormat="1" ht="15" x14ac:dyDescent="0.25">
      <c r="A1078" s="48" t="str">
        <f t="shared" si="44"/>
        <v>mcasp_vddh1_dyn_12Ch_RXTX_48_ksps_24b_1p8v</v>
      </c>
      <c r="B1078" s="48" t="s">
        <v>5327</v>
      </c>
      <c r="C1078" s="48" t="s">
        <v>5256</v>
      </c>
      <c r="D1078" s="48" t="s">
        <v>5095</v>
      </c>
      <c r="E1078" s="48" t="s">
        <v>5195</v>
      </c>
      <c r="F1078" s="14">
        <v>0.37687022254079999</v>
      </c>
      <c r="G1078" s="48" t="s">
        <v>5260</v>
      </c>
      <c r="H1078" s="49"/>
      <c r="I1078" s="22"/>
      <c r="O1078" s="21"/>
    </row>
    <row r="1079" spans="1:15" customFormat="1" ht="15" x14ac:dyDescent="0.25">
      <c r="A1079" s="48" t="str">
        <f t="shared" si="44"/>
        <v>mcasp_vddh1_dyn_12Ch_TX_48_ksps_24b_1p8v</v>
      </c>
      <c r="B1079" s="48" t="s">
        <v>5327</v>
      </c>
      <c r="C1079" s="48" t="s">
        <v>5256</v>
      </c>
      <c r="D1079" s="48" t="s">
        <v>5090</v>
      </c>
      <c r="E1079" s="48" t="s">
        <v>5195</v>
      </c>
      <c r="F1079" s="14">
        <v>0.75374044508159999</v>
      </c>
      <c r="G1079" s="48" t="s">
        <v>5260</v>
      </c>
      <c r="H1079" s="49"/>
      <c r="I1079" s="22"/>
      <c r="O1079" s="21"/>
    </row>
    <row r="1080" spans="1:15" customFormat="1" ht="15" x14ac:dyDescent="0.25">
      <c r="A1080" s="48" t="str">
        <f t="shared" si="44"/>
        <v>mcasp_vddh1_dyn_16Ch_RXTX_48ksps_24b_1p8v</v>
      </c>
      <c r="B1080" s="48" t="s">
        <v>5327</v>
      </c>
      <c r="C1080" s="48" t="s">
        <v>5256</v>
      </c>
      <c r="D1080" s="48" t="s">
        <v>5094</v>
      </c>
      <c r="E1080" s="48" t="s">
        <v>5195</v>
      </c>
      <c r="F1080" s="14">
        <v>0.37687022254079999</v>
      </c>
      <c r="G1080" s="48" t="s">
        <v>5260</v>
      </c>
      <c r="H1080" s="49"/>
      <c r="I1080" s="22"/>
      <c r="O1080" s="21"/>
    </row>
    <row r="1081" spans="1:15" customFormat="1" ht="15" x14ac:dyDescent="0.25">
      <c r="A1081" s="48" t="str">
        <f t="shared" si="44"/>
        <v>mcasp_vddh1_dyn_16Ch_TX_48_ksps_24b_1p8v</v>
      </c>
      <c r="B1081" s="48" t="s">
        <v>5327</v>
      </c>
      <c r="C1081" s="48" t="s">
        <v>5256</v>
      </c>
      <c r="D1081" s="48" t="s">
        <v>5089</v>
      </c>
      <c r="E1081" s="48" t="s">
        <v>5195</v>
      </c>
      <c r="F1081" s="14">
        <v>0.9421755563519999</v>
      </c>
      <c r="G1081" s="48" t="s">
        <v>5260</v>
      </c>
      <c r="H1081" s="49"/>
      <c r="I1081" s="22"/>
      <c r="O1081" s="21"/>
    </row>
    <row r="1082" spans="1:15" customFormat="1" ht="15" x14ac:dyDescent="0.25">
      <c r="A1082" s="48" t="str">
        <f t="shared" si="44"/>
        <v>mcasp_vddh1_dyn_2Ch_RX_48_ksps_24b_1p8v</v>
      </c>
      <c r="B1082" s="48" t="s">
        <v>5327</v>
      </c>
      <c r="C1082" s="48" t="s">
        <v>5256</v>
      </c>
      <c r="D1082" s="48" t="s">
        <v>5088</v>
      </c>
      <c r="E1082" s="48" t="s">
        <v>5195</v>
      </c>
      <c r="F1082" s="14">
        <v>0.1884351112704</v>
      </c>
      <c r="G1082" s="48" t="s">
        <v>5260</v>
      </c>
      <c r="H1082" s="49"/>
      <c r="I1082" s="22"/>
      <c r="O1082" s="21"/>
    </row>
    <row r="1083" spans="1:15" customFormat="1" ht="15" x14ac:dyDescent="0.25">
      <c r="A1083" s="48" t="str">
        <f t="shared" ref="A1083:A1103" si="45">B1083&amp;"_"&amp;C1083&amp;"_"&amp;D1083</f>
        <v>mcasp_vddh1_dyn_2Ch_RXTX_48_ksps_24b_1p8v</v>
      </c>
      <c r="B1083" s="48" t="s">
        <v>5327</v>
      </c>
      <c r="C1083" s="48" t="s">
        <v>5256</v>
      </c>
      <c r="D1083" s="48" t="s">
        <v>5098</v>
      </c>
      <c r="E1083" s="48" t="s">
        <v>5195</v>
      </c>
      <c r="F1083" s="14">
        <v>0.37687022254079999</v>
      </c>
      <c r="G1083" s="48" t="s">
        <v>5260</v>
      </c>
      <c r="H1083" s="49"/>
      <c r="I1083" s="22"/>
      <c r="O1083" s="21"/>
    </row>
    <row r="1084" spans="1:15" customFormat="1" ht="15" x14ac:dyDescent="0.25">
      <c r="A1084" s="48" t="str">
        <f t="shared" si="45"/>
        <v>mcasp_vddh1_dyn_2Ch_TX_48_ksps_24b_1p8v</v>
      </c>
      <c r="B1084" s="48" t="s">
        <v>5327</v>
      </c>
      <c r="C1084" s="48" t="s">
        <v>5256</v>
      </c>
      <c r="D1084" s="48" t="s">
        <v>5093</v>
      </c>
      <c r="E1084" s="48" t="s">
        <v>5195</v>
      </c>
      <c r="F1084" s="14">
        <v>0.56530533381119996</v>
      </c>
      <c r="G1084" s="48" t="s">
        <v>5260</v>
      </c>
      <c r="H1084" s="49"/>
      <c r="I1084" s="22"/>
      <c r="O1084" s="21"/>
    </row>
    <row r="1085" spans="1:15" customFormat="1" ht="15" x14ac:dyDescent="0.25">
      <c r="A1085" s="48" t="str">
        <f t="shared" si="45"/>
        <v>mcasp_vddh1_dyn_4Ch_RX_48_ksps_24b_1p8v</v>
      </c>
      <c r="B1085" s="48" t="s">
        <v>5327</v>
      </c>
      <c r="C1085" s="48" t="s">
        <v>5256</v>
      </c>
      <c r="D1085" s="48" t="s">
        <v>5087</v>
      </c>
      <c r="E1085" s="48" t="s">
        <v>5195</v>
      </c>
      <c r="F1085" s="14">
        <v>0.1884351112704</v>
      </c>
      <c r="G1085" s="48" t="s">
        <v>5260</v>
      </c>
      <c r="H1085" s="49"/>
      <c r="I1085" s="22"/>
      <c r="O1085" s="21"/>
    </row>
    <row r="1086" spans="1:15" customFormat="1" ht="15" x14ac:dyDescent="0.25">
      <c r="A1086" s="48" t="str">
        <f t="shared" si="45"/>
        <v>mcasp_vddh1_dyn_4Ch_RXTX_48_ksps_24b_1p8v</v>
      </c>
      <c r="B1086" s="48" t="s">
        <v>5327</v>
      </c>
      <c r="C1086" s="48" t="s">
        <v>5256</v>
      </c>
      <c r="D1086" s="48" t="s">
        <v>5097</v>
      </c>
      <c r="E1086" s="48" t="s">
        <v>5195</v>
      </c>
      <c r="F1086" s="14">
        <v>0.37687022254079999</v>
      </c>
      <c r="G1086" s="48" t="s">
        <v>5260</v>
      </c>
      <c r="H1086" s="49"/>
      <c r="I1086" s="22"/>
      <c r="O1086" s="21"/>
    </row>
    <row r="1087" spans="1:15" customFormat="1" ht="15" x14ac:dyDescent="0.25">
      <c r="A1087" s="48" t="str">
        <f t="shared" si="45"/>
        <v>mcasp_vddh1_dyn_4Ch_TX_48_ksps_24b_1p8v</v>
      </c>
      <c r="B1087" s="48" t="s">
        <v>5327</v>
      </c>
      <c r="C1087" s="48" t="s">
        <v>5256</v>
      </c>
      <c r="D1087" s="48" t="s">
        <v>5092</v>
      </c>
      <c r="E1087" s="48" t="s">
        <v>5195</v>
      </c>
      <c r="F1087" s="14">
        <v>0.75374044508159999</v>
      </c>
      <c r="G1087" s="48" t="s">
        <v>5260</v>
      </c>
      <c r="H1087" s="49"/>
      <c r="I1087" s="22"/>
      <c r="O1087" s="21"/>
    </row>
    <row r="1088" spans="1:15" customFormat="1" ht="15" x14ac:dyDescent="0.25">
      <c r="A1088" s="48" t="str">
        <f t="shared" si="45"/>
        <v>mcasp_vddh1_dyn_8Ch_RX_48_ksps_24b_1p8v</v>
      </c>
      <c r="B1088" s="48" t="s">
        <v>5327</v>
      </c>
      <c r="C1088" s="48" t="s">
        <v>5256</v>
      </c>
      <c r="D1088" s="48" t="s">
        <v>5086</v>
      </c>
      <c r="E1088" s="48" t="s">
        <v>5195</v>
      </c>
      <c r="F1088" s="14">
        <v>0.1884351112704</v>
      </c>
      <c r="G1088" s="48" t="s">
        <v>5260</v>
      </c>
      <c r="H1088" s="49"/>
      <c r="I1088" s="22"/>
      <c r="O1088" s="21"/>
    </row>
    <row r="1089" spans="1:15" customFormat="1" ht="15" x14ac:dyDescent="0.25">
      <c r="A1089" s="48" t="str">
        <f t="shared" si="45"/>
        <v>mcasp_vddh1_dyn_8Ch_RXTX_48_ksps_24b_1p8v</v>
      </c>
      <c r="B1089" s="48" t="s">
        <v>5327</v>
      </c>
      <c r="C1089" s="48" t="s">
        <v>5256</v>
      </c>
      <c r="D1089" s="48" t="s">
        <v>5096</v>
      </c>
      <c r="E1089" s="48" t="s">
        <v>5195</v>
      </c>
      <c r="F1089" s="14">
        <v>0.37687022254079999</v>
      </c>
      <c r="G1089" s="48" t="s">
        <v>5260</v>
      </c>
      <c r="H1089" s="49"/>
      <c r="I1089" s="22"/>
      <c r="O1089" s="21"/>
    </row>
    <row r="1090" spans="1:15" customFormat="1" ht="15" x14ac:dyDescent="0.25">
      <c r="A1090" s="48" t="str">
        <f t="shared" si="45"/>
        <v>mcasp_vddh1_dyn_8Ch_TX_48_ksps_24b_1p8v</v>
      </c>
      <c r="B1090" s="48" t="s">
        <v>5327</v>
      </c>
      <c r="C1090" s="48" t="s">
        <v>5256</v>
      </c>
      <c r="D1090" s="48" t="s">
        <v>5091</v>
      </c>
      <c r="E1090" s="48" t="s">
        <v>5195</v>
      </c>
      <c r="F1090" s="14">
        <v>0.56530533381119996</v>
      </c>
      <c r="G1090" s="48" t="s">
        <v>5260</v>
      </c>
      <c r="H1090" s="49"/>
      <c r="I1090" s="22"/>
      <c r="O1090" s="21"/>
    </row>
    <row r="1091" spans="1:15" customFormat="1" ht="15" x14ac:dyDescent="0.25">
      <c r="A1091" s="48" t="str">
        <f t="shared" si="45"/>
        <v>mcasp_vddh2_dyn_12Ch_RXTX_48_ksps_24b_3p3v</v>
      </c>
      <c r="B1091" s="48" t="s">
        <v>5327</v>
      </c>
      <c r="C1091" s="48" t="s">
        <v>5262</v>
      </c>
      <c r="D1091" s="48" t="s">
        <v>5082</v>
      </c>
      <c r="E1091" s="48" t="s">
        <v>5195</v>
      </c>
      <c r="F1091" s="14">
        <v>2.2090732646399993</v>
      </c>
      <c r="G1091" s="48" t="s">
        <v>5260</v>
      </c>
      <c r="H1091" s="49"/>
      <c r="I1091" s="22"/>
      <c r="O1091" s="21"/>
    </row>
    <row r="1092" spans="1:15" customFormat="1" ht="15" x14ac:dyDescent="0.25">
      <c r="A1092" s="48" t="str">
        <f t="shared" si="45"/>
        <v>mcasp_vddh2_dyn_12Ch_TX_48_ksps_24b_3p3v</v>
      </c>
      <c r="B1092" s="48" t="s">
        <v>5327</v>
      </c>
      <c r="C1092" s="48" t="s">
        <v>5262</v>
      </c>
      <c r="D1092" s="48" t="s">
        <v>5077</v>
      </c>
      <c r="E1092" s="48" t="s">
        <v>5195</v>
      </c>
      <c r="F1092" s="14">
        <v>4.4181465292799986</v>
      </c>
      <c r="G1092" s="48" t="s">
        <v>5260</v>
      </c>
      <c r="H1092" s="49"/>
      <c r="I1092" s="22"/>
      <c r="O1092" s="21"/>
    </row>
    <row r="1093" spans="1:15" customFormat="1" ht="15" x14ac:dyDescent="0.25">
      <c r="A1093" s="48" t="str">
        <f t="shared" si="45"/>
        <v>mcasp_vddh2_dyn_16Ch_RXTX_48ksps_24b_3p3v</v>
      </c>
      <c r="B1093" s="48" t="s">
        <v>5327</v>
      </c>
      <c r="C1093" s="48" t="s">
        <v>5262</v>
      </c>
      <c r="D1093" s="48" t="s">
        <v>5081</v>
      </c>
      <c r="E1093" s="48" t="s">
        <v>5195</v>
      </c>
      <c r="F1093" s="14">
        <v>2.2090732646399993</v>
      </c>
      <c r="G1093" s="48" t="s">
        <v>5260</v>
      </c>
      <c r="H1093" s="49"/>
      <c r="I1093" s="22"/>
      <c r="O1093" s="21"/>
    </row>
    <row r="1094" spans="1:15" customFormat="1" ht="15" x14ac:dyDescent="0.25">
      <c r="A1094" s="48" t="str">
        <f t="shared" si="45"/>
        <v>mcasp_vddh2_dyn_16Ch_TX_48_ksps_24b_3p3v</v>
      </c>
      <c r="B1094" s="48" t="s">
        <v>5327</v>
      </c>
      <c r="C1094" s="48" t="s">
        <v>5262</v>
      </c>
      <c r="D1094" s="48" t="s">
        <v>5076</v>
      </c>
      <c r="E1094" s="48" t="s">
        <v>5195</v>
      </c>
      <c r="F1094" s="14">
        <v>5.5226831615999981</v>
      </c>
      <c r="G1094" s="48" t="s">
        <v>5260</v>
      </c>
      <c r="H1094" s="49"/>
      <c r="I1094" s="22"/>
      <c r="O1094" s="21"/>
    </row>
    <row r="1095" spans="1:15" customFormat="1" ht="15" x14ac:dyDescent="0.25">
      <c r="A1095" s="48" t="str">
        <f t="shared" si="45"/>
        <v>mcasp_vddh2_dyn_2Ch_RX_48_ksps_24b_3p3v</v>
      </c>
      <c r="B1095" s="48" t="s">
        <v>5327</v>
      </c>
      <c r="C1095" s="48" t="s">
        <v>5262</v>
      </c>
      <c r="D1095" s="48" t="s">
        <v>5075</v>
      </c>
      <c r="E1095" s="48" t="s">
        <v>5195</v>
      </c>
      <c r="F1095" s="14">
        <v>1.1045366323199997</v>
      </c>
      <c r="G1095" s="48" t="s">
        <v>5260</v>
      </c>
      <c r="H1095" s="49"/>
      <c r="I1095" s="22"/>
      <c r="O1095" s="21"/>
    </row>
    <row r="1096" spans="1:15" customFormat="1" ht="15" x14ac:dyDescent="0.25">
      <c r="A1096" s="48" t="str">
        <f t="shared" si="45"/>
        <v>mcasp_vddh2_dyn_2Ch_RXTX_48_ksps_24b_3p3v</v>
      </c>
      <c r="B1096" s="48" t="s">
        <v>5327</v>
      </c>
      <c r="C1096" s="48" t="s">
        <v>5262</v>
      </c>
      <c r="D1096" s="48" t="s">
        <v>5085</v>
      </c>
      <c r="E1096" s="48" t="s">
        <v>5195</v>
      </c>
      <c r="F1096" s="14">
        <v>2.2090732646399993</v>
      </c>
      <c r="G1096" s="48" t="s">
        <v>5260</v>
      </c>
      <c r="H1096" s="49"/>
      <c r="I1096" s="22"/>
      <c r="O1096" s="21"/>
    </row>
    <row r="1097" spans="1:15" customFormat="1" ht="15" x14ac:dyDescent="0.25">
      <c r="A1097" s="48" t="str">
        <f t="shared" si="45"/>
        <v>mcasp_vddh2_dyn_2Ch_TX_48_ksps_24b_3p3v</v>
      </c>
      <c r="B1097" s="48" t="s">
        <v>5327</v>
      </c>
      <c r="C1097" s="48" t="s">
        <v>5262</v>
      </c>
      <c r="D1097" s="48" t="s">
        <v>5080</v>
      </c>
      <c r="E1097" s="48" t="s">
        <v>5195</v>
      </c>
      <c r="F1097" s="14">
        <v>3.3136098969599992</v>
      </c>
      <c r="G1097" s="48" t="s">
        <v>5260</v>
      </c>
      <c r="H1097" s="49"/>
      <c r="I1097" s="22"/>
      <c r="O1097" s="21"/>
    </row>
    <row r="1098" spans="1:15" customFormat="1" ht="15" x14ac:dyDescent="0.25">
      <c r="A1098" s="48" t="str">
        <f t="shared" si="45"/>
        <v>mcasp_vddh2_dyn_4Ch_RX_48_ksps_24b_3p3v</v>
      </c>
      <c r="B1098" s="48" t="s">
        <v>5327</v>
      </c>
      <c r="C1098" s="48" t="s">
        <v>5262</v>
      </c>
      <c r="D1098" s="48" t="s">
        <v>5074</v>
      </c>
      <c r="E1098" s="48" t="s">
        <v>5195</v>
      </c>
      <c r="F1098" s="14">
        <v>1.1045366323199997</v>
      </c>
      <c r="G1098" s="48" t="s">
        <v>5260</v>
      </c>
      <c r="H1098" s="49"/>
      <c r="I1098" s="22"/>
      <c r="O1098" s="21"/>
    </row>
    <row r="1099" spans="1:15" customFormat="1" ht="15" x14ac:dyDescent="0.25">
      <c r="A1099" s="48" t="str">
        <f t="shared" si="45"/>
        <v>mcasp_vddh2_dyn_4Ch_RXTX_48_ksps_24b_3p3v</v>
      </c>
      <c r="B1099" s="48" t="s">
        <v>5327</v>
      </c>
      <c r="C1099" s="48" t="s">
        <v>5262</v>
      </c>
      <c r="D1099" s="48" t="s">
        <v>5084</v>
      </c>
      <c r="E1099" s="48" t="s">
        <v>5195</v>
      </c>
      <c r="F1099" s="14">
        <v>2.2090732646399993</v>
      </c>
      <c r="G1099" s="48" t="s">
        <v>5260</v>
      </c>
      <c r="H1099" s="49"/>
      <c r="I1099" s="22"/>
      <c r="O1099" s="21"/>
    </row>
    <row r="1100" spans="1:15" customFormat="1" ht="15" x14ac:dyDescent="0.25">
      <c r="A1100" s="48" t="str">
        <f t="shared" si="45"/>
        <v>mcasp_vddh2_dyn_4Ch_TX_48_ksps_24b_3p3v</v>
      </c>
      <c r="B1100" s="48" t="s">
        <v>5327</v>
      </c>
      <c r="C1100" s="48" t="s">
        <v>5262</v>
      </c>
      <c r="D1100" s="48" t="s">
        <v>5079</v>
      </c>
      <c r="E1100" s="48" t="s">
        <v>5195</v>
      </c>
      <c r="F1100" s="14">
        <v>4.4181465292799986</v>
      </c>
      <c r="G1100" s="48" t="s">
        <v>5260</v>
      </c>
      <c r="H1100" s="49"/>
      <c r="I1100" s="22"/>
      <c r="O1100" s="21"/>
    </row>
    <row r="1101" spans="1:15" customFormat="1" ht="15" x14ac:dyDescent="0.25">
      <c r="A1101" s="48" t="str">
        <f t="shared" si="45"/>
        <v>mcasp_vddh2_dyn_8Ch_RX_48_ksps_24b_3p3v</v>
      </c>
      <c r="B1101" s="48" t="s">
        <v>5327</v>
      </c>
      <c r="C1101" s="48" t="s">
        <v>5262</v>
      </c>
      <c r="D1101" s="48" t="s">
        <v>5073</v>
      </c>
      <c r="E1101" s="48" t="s">
        <v>5195</v>
      </c>
      <c r="F1101" s="14">
        <v>1.1045366323199997</v>
      </c>
      <c r="G1101" s="48" t="s">
        <v>5260</v>
      </c>
      <c r="H1101" s="49"/>
      <c r="I1101" s="22"/>
      <c r="O1101" s="21"/>
    </row>
    <row r="1102" spans="1:15" customFormat="1" ht="15" x14ac:dyDescent="0.25">
      <c r="A1102" s="48" t="str">
        <f t="shared" si="45"/>
        <v>mcasp_vddh2_dyn_8Ch_RXTX_48_ksps_24b_3p3v</v>
      </c>
      <c r="B1102" s="48" t="s">
        <v>5327</v>
      </c>
      <c r="C1102" s="48" t="s">
        <v>5262</v>
      </c>
      <c r="D1102" s="48" t="s">
        <v>5083</v>
      </c>
      <c r="E1102" s="48" t="s">
        <v>5195</v>
      </c>
      <c r="F1102" s="14">
        <v>2.2090732646399993</v>
      </c>
      <c r="G1102" s="48" t="s">
        <v>5260</v>
      </c>
      <c r="H1102" s="49"/>
      <c r="I1102" s="22"/>
      <c r="O1102" s="21"/>
    </row>
    <row r="1103" spans="1:15" customFormat="1" ht="15" x14ac:dyDescent="0.25">
      <c r="A1103" s="48" t="str">
        <f t="shared" si="45"/>
        <v>mcasp_vddh2_dyn_8Ch_TX_48_ksps_24b_3p3v</v>
      </c>
      <c r="B1103" s="48" t="s">
        <v>5327</v>
      </c>
      <c r="C1103" s="48" t="s">
        <v>5262</v>
      </c>
      <c r="D1103" s="48" t="s">
        <v>5078</v>
      </c>
      <c r="E1103" s="48" t="s">
        <v>5195</v>
      </c>
      <c r="F1103" s="14">
        <v>3.3136098969599992</v>
      </c>
      <c r="G1103" s="48" t="s">
        <v>5260</v>
      </c>
      <c r="H1103" s="49"/>
      <c r="I1103" s="22"/>
      <c r="O1103" s="21"/>
    </row>
    <row r="1104" spans="1:15" customFormat="1" ht="15" x14ac:dyDescent="0.25">
      <c r="A1104" s="48" t="str">
        <f t="shared" ref="A1104:A1112" si="46">B1104&amp;"_"&amp;C1104</f>
        <v>n16ffc_hfxosc_Area</v>
      </c>
      <c r="B1104" s="48" t="s">
        <v>5458</v>
      </c>
      <c r="C1104" s="50" t="s">
        <v>5211</v>
      </c>
      <c r="D1104" s="48"/>
      <c r="E1104" s="48" t="s">
        <v>5192</v>
      </c>
      <c r="F1104" s="14">
        <v>5.8799999999999998E-2</v>
      </c>
      <c r="G1104" s="48" t="s">
        <v>5331</v>
      </c>
      <c r="H1104" s="49"/>
      <c r="I1104" s="22"/>
      <c r="O1104" s="21"/>
    </row>
    <row r="1105" spans="1:15" customFormat="1" ht="15" x14ac:dyDescent="0.25">
      <c r="A1105" s="48" t="str">
        <f t="shared" si="46"/>
        <v>n16ffc_hfxosc_Beachfront</v>
      </c>
      <c r="B1105" s="48" t="s">
        <v>5458</v>
      </c>
      <c r="C1105" s="50" t="s">
        <v>5250</v>
      </c>
      <c r="D1105" s="48"/>
      <c r="E1105" s="48" t="s">
        <v>5192</v>
      </c>
      <c r="F1105" s="14">
        <v>0.12</v>
      </c>
      <c r="G1105" s="48" t="s">
        <v>5251</v>
      </c>
      <c r="H1105" s="49"/>
      <c r="I1105" s="22"/>
      <c r="O1105" s="21"/>
    </row>
    <row r="1106" spans="1:15" customFormat="1" ht="15" x14ac:dyDescent="0.25">
      <c r="A1106" s="48" t="str">
        <f t="shared" si="46"/>
        <v>n16ffc_hfxosc_Description</v>
      </c>
      <c r="B1106" s="48" t="s">
        <v>5458</v>
      </c>
      <c r="C1106" s="50" t="s">
        <v>42</v>
      </c>
      <c r="D1106" s="48"/>
      <c r="E1106" s="48" t="s">
        <v>5192</v>
      </c>
      <c r="F1106" s="14" t="s">
        <v>5832</v>
      </c>
      <c r="G1106" s="48" t="s">
        <v>5331</v>
      </c>
      <c r="H1106" s="13"/>
      <c r="I1106" s="22"/>
      <c r="O1106" s="21"/>
    </row>
    <row r="1107" spans="1:15" customFormat="1" ht="15" x14ac:dyDescent="0.25">
      <c r="A1107" s="48" t="str">
        <f t="shared" si="46"/>
        <v>n16ffc_hfxosc_First_SoC</v>
      </c>
      <c r="B1107" s="48" t="s">
        <v>5458</v>
      </c>
      <c r="C1107" s="48" t="s">
        <v>5216</v>
      </c>
      <c r="D1107" s="48"/>
      <c r="E1107" s="48" t="s">
        <v>5192</v>
      </c>
      <c r="F1107" s="14" t="s">
        <v>5841</v>
      </c>
      <c r="G1107" s="48" t="s">
        <v>5252</v>
      </c>
      <c r="H1107" s="13"/>
      <c r="I1107" s="22"/>
      <c r="O1107" s="21"/>
    </row>
    <row r="1108" spans="1:15" customFormat="1" ht="15" x14ac:dyDescent="0.25">
      <c r="A1108" s="48" t="str">
        <f t="shared" si="46"/>
        <v>n16ffc_hfxosc_Function</v>
      </c>
      <c r="B1108" s="48" t="s">
        <v>5458</v>
      </c>
      <c r="C1108" s="50" t="s">
        <v>5222</v>
      </c>
      <c r="D1108" s="48"/>
      <c r="E1108" s="48" t="s">
        <v>5192</v>
      </c>
      <c r="F1108" s="14" t="s">
        <v>5854</v>
      </c>
      <c r="G1108" s="48" t="s">
        <v>5331</v>
      </c>
      <c r="H1108" s="13"/>
      <c r="I1108" s="22"/>
      <c r="O1108" s="21"/>
    </row>
    <row r="1109" spans="1:15" customFormat="1" ht="15" x14ac:dyDescent="0.25">
      <c r="A1109" s="48" t="str">
        <f t="shared" si="46"/>
        <v>n16ffc_hfxosc_macro_area</v>
      </c>
      <c r="B1109" s="52" t="s">
        <v>5458</v>
      </c>
      <c r="C1109" s="52" t="s">
        <v>5228</v>
      </c>
      <c r="D1109" s="52"/>
      <c r="E1109" s="52" t="s">
        <v>5192</v>
      </c>
      <c r="F1109" s="14">
        <v>5.8799999999999998E-2</v>
      </c>
      <c r="G1109" s="48" t="s">
        <v>5331</v>
      </c>
      <c r="H1109" s="49"/>
      <c r="I1109" s="22"/>
      <c r="O1109" s="21"/>
    </row>
    <row r="1110" spans="1:15" customFormat="1" ht="15" x14ac:dyDescent="0.25">
      <c r="A1110" s="48" t="str">
        <f t="shared" si="46"/>
        <v>n16ffc_hfxosc_Pins</v>
      </c>
      <c r="B1110" s="48" t="s">
        <v>5458</v>
      </c>
      <c r="C1110" s="50" t="s">
        <v>5253</v>
      </c>
      <c r="D1110" s="48"/>
      <c r="E1110" s="48" t="s">
        <v>5192</v>
      </c>
      <c r="F1110" s="14">
        <v>2</v>
      </c>
      <c r="G1110" s="48" t="s">
        <v>5331</v>
      </c>
      <c r="H1110" s="49"/>
      <c r="I1110" s="22"/>
      <c r="O1110" s="21"/>
    </row>
    <row r="1111" spans="1:15" customFormat="1" ht="15" x14ac:dyDescent="0.25">
      <c r="A1111" s="48" t="str">
        <f t="shared" si="46"/>
        <v>n16ffc_hfxosc_tag</v>
      </c>
      <c r="B1111" s="49" t="s">
        <v>5458</v>
      </c>
      <c r="C1111" s="49" t="s">
        <v>5234</v>
      </c>
      <c r="D1111" s="49"/>
      <c r="E1111" s="49" t="s">
        <v>5192</v>
      </c>
      <c r="F1111" s="14">
        <v>44499</v>
      </c>
      <c r="G1111" s="49" t="s">
        <v>5254</v>
      </c>
      <c r="H1111" s="49"/>
      <c r="I1111" s="22"/>
      <c r="O1111" s="21"/>
    </row>
    <row r="1112" spans="1:15" customFormat="1" ht="15" x14ac:dyDescent="0.25">
      <c r="A1112" s="48" t="str">
        <f t="shared" si="46"/>
        <v>n16ffc_hfxosc_Type</v>
      </c>
      <c r="B1112" s="48" t="s">
        <v>5458</v>
      </c>
      <c r="C1112" s="50" t="s">
        <v>0</v>
      </c>
      <c r="D1112" s="48"/>
      <c r="E1112" s="48" t="s">
        <v>5192</v>
      </c>
      <c r="F1112" s="14" t="s">
        <v>5784</v>
      </c>
      <c r="G1112" s="48" t="s">
        <v>5331</v>
      </c>
      <c r="H1112" s="13"/>
      <c r="I1112" s="22"/>
      <c r="O1112" s="21"/>
    </row>
    <row r="1113" spans="1:15" customFormat="1" ht="15" x14ac:dyDescent="0.25">
      <c r="A1113" s="48" t="str">
        <f>B1113&amp;"_"&amp;C1113&amp;"_"&amp;D1113</f>
        <v>n16ffc_hfxosc_vddh1_dyn_on</v>
      </c>
      <c r="B1113" s="48" t="s">
        <v>5458</v>
      </c>
      <c r="C1113" s="48" t="s">
        <v>5256</v>
      </c>
      <c r="D1113" s="48" t="s">
        <v>4872</v>
      </c>
      <c r="E1113" s="48" t="s">
        <v>5192</v>
      </c>
      <c r="F1113" s="14">
        <v>5.58</v>
      </c>
      <c r="G1113" s="48" t="s">
        <v>5331</v>
      </c>
      <c r="H1113" s="49"/>
      <c r="I1113" s="22"/>
      <c r="O1113" s="21"/>
    </row>
    <row r="1114" spans="1:15" customFormat="1" ht="15" x14ac:dyDescent="0.25">
      <c r="A1114" s="48" t="str">
        <f t="shared" ref="A1114:A1123" si="47">B1114&amp;"_"&amp;C1114</f>
        <v>n16ffc_hfxosc_vddh1_lkg</v>
      </c>
      <c r="B1114" s="48" t="s">
        <v>5458</v>
      </c>
      <c r="C1114" s="48" t="s">
        <v>5257</v>
      </c>
      <c r="D1114" s="48" t="s">
        <v>4872</v>
      </c>
      <c r="E1114" s="48" t="s">
        <v>5192</v>
      </c>
      <c r="F1114" s="14">
        <v>1.7820080686888683E-2</v>
      </c>
      <c r="G1114" s="48" t="s">
        <v>5331</v>
      </c>
      <c r="H1114" s="49"/>
      <c r="I1114" s="22"/>
      <c r="O1114" s="21"/>
    </row>
    <row r="1115" spans="1:15" customFormat="1" ht="15" x14ac:dyDescent="0.25">
      <c r="A1115" s="48" t="str">
        <f t="shared" si="47"/>
        <v>olvds18_ssdhh_area</v>
      </c>
      <c r="B1115" s="59" t="s">
        <v>4797</v>
      </c>
      <c r="C1115" s="48" t="s">
        <v>5360</v>
      </c>
      <c r="D1115" s="48"/>
      <c r="E1115" s="48" t="s">
        <v>5192</v>
      </c>
      <c r="F1115" s="14">
        <f>0.25*0.08</f>
        <v>0.02</v>
      </c>
      <c r="G1115" s="13"/>
      <c r="H1115" s="13"/>
      <c r="I1115" s="22"/>
      <c r="O1115" s="21"/>
    </row>
    <row r="1116" spans="1:15" customFormat="1" ht="15" x14ac:dyDescent="0.25">
      <c r="A1116" s="48" t="str">
        <f t="shared" si="47"/>
        <v>olvds18_ssdhh_beachfront</v>
      </c>
      <c r="B1116" s="59" t="s">
        <v>4797</v>
      </c>
      <c r="C1116" s="48" t="s">
        <v>5358</v>
      </c>
      <c r="D1116" s="48"/>
      <c r="E1116" s="48" t="s">
        <v>5192</v>
      </c>
      <c r="F1116" s="14">
        <v>0.09</v>
      </c>
      <c r="G1116" s="13"/>
      <c r="H1116" s="13"/>
      <c r="I1116" s="22"/>
      <c r="O1116" s="21"/>
    </row>
    <row r="1117" spans="1:15" customFormat="1" ht="15" x14ac:dyDescent="0.25">
      <c r="A1117" s="48" t="str">
        <f t="shared" si="47"/>
        <v>olvds18_ssdhh_description</v>
      </c>
      <c r="B1117" s="59" t="s">
        <v>4797</v>
      </c>
      <c r="C1117" s="48" t="s">
        <v>5379</v>
      </c>
      <c r="D1117" s="48"/>
      <c r="E1117" s="48" t="s">
        <v>5192</v>
      </c>
      <c r="F1117" s="14" t="s">
        <v>5993</v>
      </c>
      <c r="G1117" s="13"/>
      <c r="H1117" s="13"/>
      <c r="I1117" s="22"/>
      <c r="O1117" s="21"/>
    </row>
    <row r="1118" spans="1:15" customFormat="1" ht="15" x14ac:dyDescent="0.25">
      <c r="A1118" s="48" t="str">
        <f t="shared" si="47"/>
        <v>olvds18_ssdhh_first_soc</v>
      </c>
      <c r="B1118" s="59" t="s">
        <v>4797</v>
      </c>
      <c r="C1118" s="48" t="s">
        <v>5378</v>
      </c>
      <c r="D1118" s="48"/>
      <c r="E1118" s="48" t="s">
        <v>5192</v>
      </c>
      <c r="F1118" s="14" t="s">
        <v>5381</v>
      </c>
      <c r="G1118" s="13" t="s">
        <v>5423</v>
      </c>
      <c r="H1118" s="13"/>
      <c r="I1118" s="22"/>
      <c r="O1118" s="21"/>
    </row>
    <row r="1119" spans="1:15" customFormat="1" ht="15" x14ac:dyDescent="0.25">
      <c r="A1119" s="48" t="str">
        <f t="shared" si="47"/>
        <v>olvds18_ssdhh_function</v>
      </c>
      <c r="B1119" s="59" t="s">
        <v>4797</v>
      </c>
      <c r="C1119" s="48" t="s">
        <v>5367</v>
      </c>
      <c r="D1119" s="48"/>
      <c r="E1119" s="48" t="s">
        <v>5192</v>
      </c>
      <c r="F1119" s="14" t="s">
        <v>5864</v>
      </c>
      <c r="G1119" s="13"/>
      <c r="H1119" s="13"/>
      <c r="I1119" s="22"/>
      <c r="O1119" s="21"/>
    </row>
    <row r="1120" spans="1:15" customFormat="1" ht="15" x14ac:dyDescent="0.25">
      <c r="A1120" s="48" t="str">
        <f t="shared" si="47"/>
        <v>olvds18_ssdhh_macro_area</v>
      </c>
      <c r="B1120" s="59" t="s">
        <v>4797</v>
      </c>
      <c r="C1120" s="48" t="s">
        <v>5228</v>
      </c>
      <c r="D1120" s="48"/>
      <c r="E1120" s="48" t="s">
        <v>5192</v>
      </c>
      <c r="F1120" s="14">
        <f>0.25*0.08</f>
        <v>0.02</v>
      </c>
      <c r="G1120" s="13"/>
      <c r="H1120" s="13"/>
      <c r="I1120" s="22"/>
      <c r="O1120" s="21"/>
    </row>
    <row r="1121" spans="1:15" customFormat="1" ht="15" x14ac:dyDescent="0.25">
      <c r="A1121" s="48" t="str">
        <f t="shared" si="47"/>
        <v>olvds18_ssdhh_pins</v>
      </c>
      <c r="B1121" s="59" t="s">
        <v>4797</v>
      </c>
      <c r="C1121" s="48" t="s">
        <v>5359</v>
      </c>
      <c r="D1121" s="48"/>
      <c r="E1121" s="48" t="s">
        <v>5192</v>
      </c>
      <c r="F1121" s="14">
        <v>2</v>
      </c>
      <c r="G1121" s="13"/>
      <c r="H1121" s="13"/>
      <c r="I1121" s="22"/>
      <c r="O1121" s="21"/>
    </row>
    <row r="1122" spans="1:15" customFormat="1" ht="15" x14ac:dyDescent="0.25">
      <c r="A1122" s="48" t="str">
        <f t="shared" si="47"/>
        <v>olvds18_ssdhh_tag</v>
      </c>
      <c r="B1122" s="59" t="s">
        <v>4797</v>
      </c>
      <c r="C1122" s="48" t="s">
        <v>5234</v>
      </c>
      <c r="D1122" s="48"/>
      <c r="E1122" s="48" t="s">
        <v>5192</v>
      </c>
      <c r="F1122" s="14" t="s">
        <v>5424</v>
      </c>
      <c r="G1122" s="13"/>
      <c r="H1122" s="13"/>
      <c r="I1122" s="22"/>
      <c r="O1122" s="21"/>
    </row>
    <row r="1123" spans="1:15" customFormat="1" ht="15" x14ac:dyDescent="0.25">
      <c r="A1123" s="48" t="str">
        <f t="shared" si="47"/>
        <v>olvds18_ssdhh_type</v>
      </c>
      <c r="B1123" s="59" t="s">
        <v>4797</v>
      </c>
      <c r="C1123" s="48" t="s">
        <v>1</v>
      </c>
      <c r="D1123" s="48"/>
      <c r="E1123" s="48" t="s">
        <v>5192</v>
      </c>
      <c r="F1123" s="14" t="s">
        <v>5784</v>
      </c>
      <c r="G1123" s="13"/>
      <c r="H1123" s="13"/>
      <c r="I1123" s="22"/>
      <c r="O1123" s="21"/>
    </row>
    <row r="1124" spans="1:15" customFormat="1" ht="15" x14ac:dyDescent="0.25">
      <c r="A1124" s="48" t="str">
        <f t="shared" ref="A1124:A1130" si="48">B1124&amp;"_"&amp;C1124&amp;"_"&amp;D1124</f>
        <v>olvds18_ssdhh_vdd_dyn_aurora 150 mbs</v>
      </c>
      <c r="B1124" s="59" t="s">
        <v>4797</v>
      </c>
      <c r="C1124" s="48" t="s">
        <v>5255</v>
      </c>
      <c r="D1124" s="48" t="s">
        <v>5897</v>
      </c>
      <c r="E1124" s="48" t="s">
        <v>5192</v>
      </c>
      <c r="F1124" s="14">
        <v>1.6E-2</v>
      </c>
      <c r="G1124" s="13" t="str">
        <f t="shared" ref="G1124:G1129" si="49">LOWER(D1124)</f>
        <v>aurora 150 mbs</v>
      </c>
      <c r="H1124" s="13"/>
      <c r="I1124" s="22"/>
      <c r="O1124" s="21"/>
    </row>
    <row r="1125" spans="1:15" customFormat="1" ht="15" x14ac:dyDescent="0.25">
      <c r="A1125" s="48" t="str">
        <f t="shared" si="48"/>
        <v>olvds18_ssdhh_vdd_dyn_aurora 225 mbs</v>
      </c>
      <c r="B1125" s="59" t="s">
        <v>4797</v>
      </c>
      <c r="C1125" s="48" t="s">
        <v>5255</v>
      </c>
      <c r="D1125" s="48" t="s">
        <v>5898</v>
      </c>
      <c r="E1125" s="48" t="s">
        <v>5192</v>
      </c>
      <c r="F1125" s="14">
        <v>1.6E-2</v>
      </c>
      <c r="G1125" s="13" t="str">
        <f t="shared" si="49"/>
        <v>aurora 225 mbs</v>
      </c>
      <c r="H1125" s="13"/>
      <c r="I1125" s="22"/>
      <c r="O1125" s="21"/>
    </row>
    <row r="1126" spans="1:15" customFormat="1" ht="15" x14ac:dyDescent="0.25">
      <c r="A1126" s="48" t="str">
        <f t="shared" si="48"/>
        <v>olvds18_ssdhh_vdd_dyn_aurora 400 mbs</v>
      </c>
      <c r="B1126" s="59" t="s">
        <v>4797</v>
      </c>
      <c r="C1126" s="48" t="s">
        <v>5255</v>
      </c>
      <c r="D1126" s="48" t="s">
        <v>5899</v>
      </c>
      <c r="E1126" s="48" t="s">
        <v>5192</v>
      </c>
      <c r="F1126" s="14">
        <v>1.6E-2</v>
      </c>
      <c r="G1126" s="13" t="str">
        <f t="shared" si="49"/>
        <v>aurora 400 mbs</v>
      </c>
      <c r="H1126" s="13"/>
      <c r="I1126" s="22"/>
      <c r="O1126" s="21"/>
    </row>
    <row r="1127" spans="1:15" customFormat="1" ht="15" x14ac:dyDescent="0.25">
      <c r="A1127" s="48" t="str">
        <f t="shared" si="48"/>
        <v>olvds18_ssdhh_vdd_dyn_aurora 450 mbp</v>
      </c>
      <c r="B1127" s="59" t="s">
        <v>4797</v>
      </c>
      <c r="C1127" s="48" t="s">
        <v>5255</v>
      </c>
      <c r="D1127" s="48" t="s">
        <v>5900</v>
      </c>
      <c r="E1127" s="48" t="s">
        <v>5192</v>
      </c>
      <c r="F1127" s="14">
        <v>1.6E-2</v>
      </c>
      <c r="G1127" s="13" t="str">
        <f t="shared" si="49"/>
        <v>aurora 450 mbp</v>
      </c>
      <c r="H1127" s="13"/>
      <c r="I1127" s="22"/>
      <c r="O1127" s="21"/>
    </row>
    <row r="1128" spans="1:15" customFormat="1" ht="15" x14ac:dyDescent="0.25">
      <c r="A1128" s="48" t="str">
        <f t="shared" si="48"/>
        <v>olvds18_ssdhh_vdd_dyn_aurora 600 mbs</v>
      </c>
      <c r="B1128" s="59" t="s">
        <v>4797</v>
      </c>
      <c r="C1128" s="48" t="s">
        <v>5255</v>
      </c>
      <c r="D1128" s="48" t="s">
        <v>5901</v>
      </c>
      <c r="E1128" s="48" t="s">
        <v>5192</v>
      </c>
      <c r="F1128" s="14">
        <v>1.6E-2</v>
      </c>
      <c r="G1128" s="13" t="str">
        <f t="shared" si="49"/>
        <v>aurora 600 mbs</v>
      </c>
      <c r="H1128" s="13"/>
      <c r="I1128" s="22"/>
      <c r="O1128" s="21"/>
    </row>
    <row r="1129" spans="1:15" customFormat="1" ht="15" x14ac:dyDescent="0.25">
      <c r="A1129" s="48" t="str">
        <f t="shared" si="48"/>
        <v>olvds18_ssdhh_vdd_dyn_aurora 900 mbs</v>
      </c>
      <c r="B1129" s="59" t="s">
        <v>4797</v>
      </c>
      <c r="C1129" s="48" t="s">
        <v>5255</v>
      </c>
      <c r="D1129" s="48" t="s">
        <v>5902</v>
      </c>
      <c r="E1129" s="48" t="s">
        <v>5192</v>
      </c>
      <c r="F1129" s="14">
        <v>1.6E-2</v>
      </c>
      <c r="G1129" s="13" t="str">
        <f t="shared" si="49"/>
        <v>aurora 900 mbs</v>
      </c>
      <c r="H1129" s="13"/>
      <c r="I1129" s="22"/>
      <c r="O1129" s="21"/>
    </row>
    <row r="1130" spans="1:15" customFormat="1" ht="15" x14ac:dyDescent="0.25">
      <c r="A1130" s="48" t="str">
        <f t="shared" si="48"/>
        <v>olvds18_ssdhh_vdd_dyn_off</v>
      </c>
      <c r="B1130" s="59" t="s">
        <v>4797</v>
      </c>
      <c r="C1130" s="48" t="s">
        <v>5255</v>
      </c>
      <c r="D1130" s="48" t="s">
        <v>4798</v>
      </c>
      <c r="E1130" s="48" t="s">
        <v>5192</v>
      </c>
      <c r="F1130" s="14">
        <v>0.1</v>
      </c>
      <c r="G1130" s="13"/>
      <c r="H1130" s="13"/>
      <c r="I1130" s="22"/>
      <c r="O1130" s="21"/>
    </row>
    <row r="1131" spans="1:15" customFormat="1" ht="15" x14ac:dyDescent="0.25">
      <c r="A1131" s="48" t="str">
        <f>B1131&amp;"_"&amp;C1131</f>
        <v>olvds18_ssdhh_vdd_lkg</v>
      </c>
      <c r="B1131" s="59" t="s">
        <v>4797</v>
      </c>
      <c r="C1131" s="48" t="s">
        <v>5245</v>
      </c>
      <c r="D1131" s="48"/>
      <c r="E1131" s="48" t="s">
        <v>5192</v>
      </c>
      <c r="F1131" s="14">
        <v>0.02</v>
      </c>
      <c r="G1131" s="13"/>
      <c r="H1131" s="13"/>
      <c r="I1131" s="22"/>
      <c r="O1131" s="21"/>
    </row>
    <row r="1132" spans="1:15" customFormat="1" ht="15" x14ac:dyDescent="0.25">
      <c r="A1132" s="48" t="str">
        <f t="shared" ref="A1132:A1138" si="50">B1132&amp;"_"&amp;C1132&amp;"_"&amp;D1132</f>
        <v>olvds18_ssdhh_vddh1_dyn_aurora 150 mbs</v>
      </c>
      <c r="B1132" s="59" t="s">
        <v>4797</v>
      </c>
      <c r="C1132" s="48" t="s">
        <v>5256</v>
      </c>
      <c r="D1132" s="48" t="s">
        <v>5897</v>
      </c>
      <c r="E1132" s="48" t="s">
        <v>5192</v>
      </c>
      <c r="F1132" s="14">
        <v>11.900826446280993</v>
      </c>
      <c r="G1132" s="13"/>
      <c r="H1132" s="13"/>
      <c r="I1132" s="22"/>
      <c r="O1132" s="21"/>
    </row>
    <row r="1133" spans="1:15" customFormat="1" ht="15" x14ac:dyDescent="0.25">
      <c r="A1133" s="48" t="str">
        <f t="shared" si="50"/>
        <v>olvds18_ssdhh_vddh1_dyn_aurora 225 mbs</v>
      </c>
      <c r="B1133" s="59" t="s">
        <v>4797</v>
      </c>
      <c r="C1133" s="48" t="s">
        <v>5256</v>
      </c>
      <c r="D1133" s="48" t="s">
        <v>5898</v>
      </c>
      <c r="E1133" s="48" t="s">
        <v>5192</v>
      </c>
      <c r="F1133" s="14">
        <v>11.900826446280993</v>
      </c>
      <c r="G1133" s="13"/>
      <c r="H1133" s="13"/>
      <c r="I1133" s="22"/>
      <c r="O1133" s="21"/>
    </row>
    <row r="1134" spans="1:15" customFormat="1" ht="15" x14ac:dyDescent="0.25">
      <c r="A1134" s="48" t="str">
        <f t="shared" si="50"/>
        <v>olvds18_ssdhh_vddh1_dyn_aurora 400 mbs</v>
      </c>
      <c r="B1134" s="59" t="s">
        <v>4797</v>
      </c>
      <c r="C1134" s="48" t="s">
        <v>5256</v>
      </c>
      <c r="D1134" s="48" t="s">
        <v>5899</v>
      </c>
      <c r="E1134" s="48" t="s">
        <v>5192</v>
      </c>
      <c r="F1134" s="14">
        <v>11.900826446280993</v>
      </c>
      <c r="G1134" s="13"/>
      <c r="H1134" s="13"/>
      <c r="I1134" s="22"/>
      <c r="O1134" s="21"/>
    </row>
    <row r="1135" spans="1:15" customFormat="1" ht="15" x14ac:dyDescent="0.25">
      <c r="A1135" s="48" t="str">
        <f t="shared" si="50"/>
        <v>olvds18_ssdhh_vddh1_dyn_aurora 450 mbp</v>
      </c>
      <c r="B1135" s="59" t="s">
        <v>4797</v>
      </c>
      <c r="C1135" s="48" t="s">
        <v>5256</v>
      </c>
      <c r="D1135" s="48" t="s">
        <v>5900</v>
      </c>
      <c r="E1135" s="48" t="s">
        <v>5192</v>
      </c>
      <c r="F1135" s="14">
        <v>14.809917355371903</v>
      </c>
      <c r="G1135" s="13"/>
      <c r="H1135" s="13"/>
      <c r="I1135" s="22"/>
      <c r="O1135" s="21"/>
    </row>
    <row r="1136" spans="1:15" customFormat="1" ht="15" x14ac:dyDescent="0.25">
      <c r="A1136" s="48" t="str">
        <f t="shared" si="50"/>
        <v>olvds18_ssdhh_vddh1_dyn_aurora 600 mbs</v>
      </c>
      <c r="B1136" s="59" t="s">
        <v>4797</v>
      </c>
      <c r="C1136" s="48" t="s">
        <v>5256</v>
      </c>
      <c r="D1136" s="48" t="s">
        <v>5901</v>
      </c>
      <c r="E1136" s="48" t="s">
        <v>5192</v>
      </c>
      <c r="F1136" s="14">
        <v>17.917355371900832</v>
      </c>
      <c r="G1136" s="13"/>
      <c r="H1136" s="13"/>
      <c r="I1136" s="22"/>
      <c r="O1136" s="21"/>
    </row>
    <row r="1137" spans="1:15" customFormat="1" ht="15" x14ac:dyDescent="0.25">
      <c r="A1137" s="48" t="str">
        <f t="shared" si="50"/>
        <v>olvds18_ssdhh_vddh1_dyn_aurora 900 mbs</v>
      </c>
      <c r="B1137" s="59" t="s">
        <v>4797</v>
      </c>
      <c r="C1137" s="48" t="s">
        <v>5256</v>
      </c>
      <c r="D1137" s="48" t="s">
        <v>5902</v>
      </c>
      <c r="E1137" s="48" t="s">
        <v>5192</v>
      </c>
      <c r="F1137" s="14">
        <v>20.826446280991735</v>
      </c>
      <c r="G1137" s="13"/>
      <c r="H1137" s="13"/>
      <c r="I1137" s="22"/>
      <c r="O1137" s="21"/>
    </row>
    <row r="1138" spans="1:15" customFormat="1" ht="15" x14ac:dyDescent="0.25">
      <c r="A1138" s="48" t="str">
        <f t="shared" si="50"/>
        <v>olvds18_ssdhh_vddh1_dyn_off</v>
      </c>
      <c r="B1138" s="59" t="s">
        <v>4797</v>
      </c>
      <c r="C1138" s="48" t="s">
        <v>5256</v>
      </c>
      <c r="D1138" s="48" t="s">
        <v>4798</v>
      </c>
      <c r="E1138" s="48" t="s">
        <v>5192</v>
      </c>
      <c r="F1138" s="14">
        <v>3.7866666666666667E-2</v>
      </c>
      <c r="G1138" s="13"/>
      <c r="H1138" s="13"/>
      <c r="I1138" s="22"/>
      <c r="O1138" s="21"/>
    </row>
    <row r="1139" spans="1:15" customFormat="1" ht="15" x14ac:dyDescent="0.25">
      <c r="A1139" s="48" t="str">
        <f t="shared" ref="A1139:A1145" si="51">B1139&amp;"_"&amp;C1139</f>
        <v>olvds18_ssdhh_vddh1_lkg</v>
      </c>
      <c r="B1139" s="59" t="s">
        <v>4797</v>
      </c>
      <c r="C1139" s="48" t="s">
        <v>5257</v>
      </c>
      <c r="D1139" s="48"/>
      <c r="E1139" s="48" t="s">
        <v>5192</v>
      </c>
      <c r="F1139" s="14">
        <v>8.3000000000000004E-2</v>
      </c>
      <c r="G1139" s="13"/>
      <c r="H1139" s="13"/>
      <c r="I1139" s="22"/>
      <c r="O1139" s="21"/>
    </row>
    <row r="1140" spans="1:15" customFormat="1" ht="15" x14ac:dyDescent="0.25">
      <c r="A1140" s="48" t="str">
        <f t="shared" si="51"/>
        <v>ospi_Description</v>
      </c>
      <c r="B1140" s="48" t="s">
        <v>5590</v>
      </c>
      <c r="C1140" s="48" t="s">
        <v>42</v>
      </c>
      <c r="D1140" s="48"/>
      <c r="E1140" s="48" t="s">
        <v>5192</v>
      </c>
      <c r="F1140" s="14" t="s">
        <v>5829</v>
      </c>
      <c r="G1140" s="48" t="s">
        <v>5306</v>
      </c>
      <c r="H1140" s="13"/>
      <c r="I1140" s="22"/>
      <c r="O1140" s="21"/>
    </row>
    <row r="1141" spans="1:15" customFormat="1" ht="15" x14ac:dyDescent="0.25">
      <c r="A1141" s="48" t="str">
        <f t="shared" si="51"/>
        <v>ospi_First_SoC</v>
      </c>
      <c r="B1141" s="48" t="s">
        <v>5590</v>
      </c>
      <c r="C1141" s="48" t="s">
        <v>5216</v>
      </c>
      <c r="D1141" s="48"/>
      <c r="E1141" s="48" t="s">
        <v>5192</v>
      </c>
      <c r="F1141" s="14" t="s">
        <v>5801</v>
      </c>
      <c r="G1141" s="48"/>
      <c r="H1141" s="13"/>
      <c r="I1141" s="22"/>
      <c r="O1141" s="21"/>
    </row>
    <row r="1142" spans="1:15" customFormat="1" ht="15" x14ac:dyDescent="0.25">
      <c r="A1142" s="48" t="str">
        <f t="shared" si="51"/>
        <v>ospi_Function</v>
      </c>
      <c r="B1142" s="48" t="s">
        <v>5590</v>
      </c>
      <c r="C1142" s="48" t="s">
        <v>5222</v>
      </c>
      <c r="D1142" s="48"/>
      <c r="E1142" s="48" t="s">
        <v>5192</v>
      </c>
      <c r="F1142" s="14" t="s">
        <v>5855</v>
      </c>
      <c r="G1142" s="48" t="s">
        <v>5260</v>
      </c>
      <c r="H1142" s="13"/>
      <c r="I1142" s="22"/>
      <c r="O1142" s="21"/>
    </row>
    <row r="1143" spans="1:15" customFormat="1" ht="15" x14ac:dyDescent="0.25">
      <c r="A1143" s="48" t="str">
        <f t="shared" si="51"/>
        <v>ospi_Pinmux</v>
      </c>
      <c r="B1143" s="48" t="s">
        <v>5590</v>
      </c>
      <c r="C1143" s="48" t="s">
        <v>5261</v>
      </c>
      <c r="D1143" s="48"/>
      <c r="E1143" s="48" t="s">
        <v>5192</v>
      </c>
      <c r="F1143" s="14">
        <v>10</v>
      </c>
      <c r="G1143" s="48" t="s">
        <v>5297</v>
      </c>
      <c r="H1143" s="49"/>
      <c r="I1143" s="22"/>
      <c r="O1143" s="21"/>
    </row>
    <row r="1144" spans="1:15" customFormat="1" ht="15" x14ac:dyDescent="0.25">
      <c r="A1144" s="48" t="str">
        <f t="shared" si="51"/>
        <v>ospi_tag</v>
      </c>
      <c r="B1144" s="49" t="s">
        <v>5590</v>
      </c>
      <c r="C1144" s="49" t="s">
        <v>5234</v>
      </c>
      <c r="D1144" s="49"/>
      <c r="E1144" s="49" t="s">
        <v>5192</v>
      </c>
      <c r="F1144" s="14">
        <v>44499</v>
      </c>
      <c r="G1144" s="49" t="s">
        <v>5254</v>
      </c>
      <c r="H1144" s="49"/>
      <c r="I1144" s="22"/>
      <c r="O1144" s="21"/>
    </row>
    <row r="1145" spans="1:15" customFormat="1" ht="15" x14ac:dyDescent="0.25">
      <c r="A1145" s="48" t="str">
        <f t="shared" si="51"/>
        <v>ospi_Type</v>
      </c>
      <c r="B1145" s="48" t="s">
        <v>5590</v>
      </c>
      <c r="C1145" s="48" t="s">
        <v>0</v>
      </c>
      <c r="D1145" s="48"/>
      <c r="E1145" s="48" t="s">
        <v>5192</v>
      </c>
      <c r="F1145" s="14" t="s">
        <v>5785</v>
      </c>
      <c r="G1145" s="48" t="s">
        <v>5260</v>
      </c>
      <c r="H1145" s="13"/>
      <c r="I1145" s="22"/>
      <c r="O1145" s="21"/>
    </row>
    <row r="1146" spans="1:15" customFormat="1" ht="15" x14ac:dyDescent="0.25">
      <c r="A1146" s="48" t="str">
        <f t="shared" ref="A1146:A1177" si="52">B1146&amp;"_"&amp;C1146&amp;"_"&amp;D1146</f>
        <v>ospi_vdd_dyn_off</v>
      </c>
      <c r="B1146" s="48" t="s">
        <v>5590</v>
      </c>
      <c r="C1146" s="48" t="s">
        <v>5255</v>
      </c>
      <c r="D1146" s="48" t="s">
        <v>4798</v>
      </c>
      <c r="E1146" s="48" t="s">
        <v>5195</v>
      </c>
      <c r="F1146" s="14">
        <v>0</v>
      </c>
      <c r="G1146" s="48" t="s">
        <v>5260</v>
      </c>
      <c r="H1146" s="49"/>
      <c r="I1146" s="22"/>
      <c r="O1146" s="21"/>
    </row>
    <row r="1147" spans="1:15" customFormat="1" ht="15" x14ac:dyDescent="0.25">
      <c r="A1147" s="48" t="str">
        <f t="shared" si="52"/>
        <v>ospi_vdd_dyn_ospi_ddr_master_133_1p8v</v>
      </c>
      <c r="B1147" s="48" t="s">
        <v>5590</v>
      </c>
      <c r="C1147" s="48" t="s">
        <v>5255</v>
      </c>
      <c r="D1147" s="48" t="s">
        <v>5298</v>
      </c>
      <c r="E1147" s="48" t="s">
        <v>5195</v>
      </c>
      <c r="F1147" s="14">
        <v>3.6522806304599992E-5</v>
      </c>
      <c r="G1147" s="48" t="s">
        <v>5260</v>
      </c>
      <c r="H1147" s="49"/>
      <c r="I1147" s="22"/>
      <c r="O1147" s="21"/>
    </row>
    <row r="1148" spans="1:15" customFormat="1" ht="15" x14ac:dyDescent="0.25">
      <c r="A1148" s="48" t="str">
        <f t="shared" si="52"/>
        <v>ospi_vdd_dyn_ospi_ddr_master_133_3p3v</v>
      </c>
      <c r="B1148" s="48" t="s">
        <v>5590</v>
      </c>
      <c r="C1148" s="48" t="s">
        <v>5255</v>
      </c>
      <c r="D1148" s="48" t="s">
        <v>4923</v>
      </c>
      <c r="E1148" s="48" t="s">
        <v>5195</v>
      </c>
      <c r="F1148" s="14">
        <v>3.6522806304599992E-5</v>
      </c>
      <c r="G1148" s="48" t="s">
        <v>5260</v>
      </c>
      <c r="H1148" s="49"/>
      <c r="I1148" s="22"/>
      <c r="O1148" s="21"/>
    </row>
    <row r="1149" spans="1:15" customFormat="1" ht="15" x14ac:dyDescent="0.25">
      <c r="A1149" s="48" t="str">
        <f t="shared" si="52"/>
        <v>ospi_vdd_dyn_ospi_ddr_master_160_1p8v</v>
      </c>
      <c r="B1149" s="48" t="s">
        <v>5590</v>
      </c>
      <c r="C1149" s="48" t="s">
        <v>5255</v>
      </c>
      <c r="D1149" s="48" t="s">
        <v>5299</v>
      </c>
      <c r="E1149" s="48" t="s">
        <v>5195</v>
      </c>
      <c r="F1149" s="14">
        <v>4.3937210591999991E-5</v>
      </c>
      <c r="G1149" s="48" t="s">
        <v>5260</v>
      </c>
      <c r="H1149" s="49"/>
      <c r="I1149" s="22"/>
      <c r="O1149" s="21"/>
    </row>
    <row r="1150" spans="1:15" customFormat="1" ht="15" x14ac:dyDescent="0.25">
      <c r="A1150" s="48" t="str">
        <f t="shared" si="52"/>
        <v>ospi_vdd_dyn_ospi_ddr_master_160_3p3v</v>
      </c>
      <c r="B1150" s="48" t="s">
        <v>5590</v>
      </c>
      <c r="C1150" s="48" t="s">
        <v>5255</v>
      </c>
      <c r="D1150" s="48" t="s">
        <v>4922</v>
      </c>
      <c r="E1150" s="48" t="s">
        <v>5195</v>
      </c>
      <c r="F1150" s="14">
        <v>4.3937210591999991E-5</v>
      </c>
      <c r="G1150" s="48" t="s">
        <v>5260</v>
      </c>
      <c r="H1150" s="49"/>
      <c r="I1150" s="22"/>
      <c r="O1150" s="21"/>
    </row>
    <row r="1151" spans="1:15" customFormat="1" ht="15" x14ac:dyDescent="0.25">
      <c r="A1151" s="48" t="str">
        <f t="shared" si="52"/>
        <v>ospi_vdd_dyn_ospi_ddr_master_200_1p8v</v>
      </c>
      <c r="B1151" s="48" t="s">
        <v>5590</v>
      </c>
      <c r="C1151" s="48" t="s">
        <v>5255</v>
      </c>
      <c r="D1151" s="48" t="s">
        <v>6063</v>
      </c>
      <c r="E1151" s="48" t="s">
        <v>5195</v>
      </c>
      <c r="F1151" s="14">
        <v>4.3937210591999991E-5</v>
      </c>
      <c r="G1151" s="48" t="s">
        <v>5260</v>
      </c>
      <c r="H1151" s="49"/>
      <c r="I1151" s="22"/>
      <c r="O1151" s="21"/>
    </row>
    <row r="1152" spans="1:15" customFormat="1" ht="15" x14ac:dyDescent="0.25">
      <c r="A1152" s="48" t="str">
        <f t="shared" si="52"/>
        <v>ospi_vdd_dyn_ospi_ddr_master_200_3p3v</v>
      </c>
      <c r="B1152" s="48" t="s">
        <v>5590</v>
      </c>
      <c r="C1152" s="48" t="s">
        <v>5255</v>
      </c>
      <c r="D1152" s="48" t="s">
        <v>6062</v>
      </c>
      <c r="E1152" s="48" t="s">
        <v>5195</v>
      </c>
      <c r="F1152" s="14">
        <v>4.3937210591999991E-5</v>
      </c>
      <c r="G1152" s="48" t="s">
        <v>5260</v>
      </c>
      <c r="H1152" s="49"/>
      <c r="I1152" s="22"/>
      <c r="O1152" s="21"/>
    </row>
    <row r="1153" spans="1:15" customFormat="1" ht="15" x14ac:dyDescent="0.25">
      <c r="A1153" s="48" t="str">
        <f t="shared" si="52"/>
        <v>ospi_vdd_dyn_ospi_sdr_master_108_1p8v</v>
      </c>
      <c r="B1153" s="48" t="s">
        <v>5590</v>
      </c>
      <c r="C1153" s="48" t="s">
        <v>5255</v>
      </c>
      <c r="D1153" s="48" t="s">
        <v>5300</v>
      </c>
      <c r="E1153" s="48" t="s">
        <v>5195</v>
      </c>
      <c r="F1153" s="14">
        <v>3.5887489149599993E-5</v>
      </c>
      <c r="G1153" s="48" t="s">
        <v>5260</v>
      </c>
      <c r="H1153" s="49"/>
      <c r="I1153" s="22"/>
      <c r="O1153" s="21"/>
    </row>
    <row r="1154" spans="1:15" customFormat="1" ht="15" x14ac:dyDescent="0.25">
      <c r="A1154" s="48" t="str">
        <f t="shared" si="52"/>
        <v>ospi_vdd_dyn_ospi_sdr_master_108_3p3v</v>
      </c>
      <c r="B1154" s="48" t="s">
        <v>5590</v>
      </c>
      <c r="C1154" s="48" t="s">
        <v>5255</v>
      </c>
      <c r="D1154" s="48" t="s">
        <v>4925</v>
      </c>
      <c r="E1154" s="48" t="s">
        <v>5195</v>
      </c>
      <c r="F1154" s="14">
        <v>3.5887489149599993E-5</v>
      </c>
      <c r="G1154" s="48" t="s">
        <v>5260</v>
      </c>
      <c r="H1154" s="49"/>
      <c r="I1154" s="22"/>
      <c r="O1154" s="21"/>
    </row>
    <row r="1155" spans="1:15" customFormat="1" ht="15" x14ac:dyDescent="0.25">
      <c r="A1155" s="48" t="str">
        <f t="shared" si="52"/>
        <v>ospi_vdd_dyn_ospi_sdr_master_133_1p8v</v>
      </c>
      <c r="B1155" s="48" t="s">
        <v>5590</v>
      </c>
      <c r="C1155" s="48" t="s">
        <v>5255</v>
      </c>
      <c r="D1155" s="48" t="s">
        <v>5301</v>
      </c>
      <c r="E1155" s="48" t="s">
        <v>5195</v>
      </c>
      <c r="F1155" s="14">
        <v>4.4194778304599986E-5</v>
      </c>
      <c r="G1155" s="48" t="s">
        <v>5260</v>
      </c>
      <c r="H1155" s="49"/>
      <c r="I1155" s="22"/>
      <c r="O1155" s="21"/>
    </row>
    <row r="1156" spans="1:15" customFormat="1" ht="15" x14ac:dyDescent="0.25">
      <c r="A1156" s="48" t="str">
        <f t="shared" si="52"/>
        <v>ospi_vdd_dyn_ospi_sdr_master_133_3p3v</v>
      </c>
      <c r="B1156" s="48" t="s">
        <v>5590</v>
      </c>
      <c r="C1156" s="48" t="s">
        <v>5255</v>
      </c>
      <c r="D1156" s="48" t="s">
        <v>4924</v>
      </c>
      <c r="E1156" s="48" t="s">
        <v>5195</v>
      </c>
      <c r="F1156" s="14">
        <v>4.4194778304599986E-5</v>
      </c>
      <c r="G1156" s="48" t="s">
        <v>5260</v>
      </c>
      <c r="H1156" s="49"/>
      <c r="I1156" s="22"/>
      <c r="O1156" s="21"/>
    </row>
    <row r="1157" spans="1:15" customFormat="1" ht="15" x14ac:dyDescent="0.25">
      <c r="A1157" s="48" t="str">
        <f t="shared" si="52"/>
        <v>ospi_vdd_dyn_qspi_ddr_master_133_1p8v</v>
      </c>
      <c r="B1157" s="48" t="s">
        <v>5590</v>
      </c>
      <c r="C1157" s="48" t="s">
        <v>5255</v>
      </c>
      <c r="D1157" s="48" t="s">
        <v>5302</v>
      </c>
      <c r="E1157" s="48" t="s">
        <v>5195</v>
      </c>
      <c r="F1157" s="14">
        <v>2.2099498944599998E-5</v>
      </c>
      <c r="G1157" s="48" t="s">
        <v>5260</v>
      </c>
      <c r="H1157" s="49"/>
      <c r="I1157" s="22"/>
      <c r="O1157" s="21"/>
    </row>
    <row r="1158" spans="1:15" customFormat="1" ht="15" x14ac:dyDescent="0.25">
      <c r="A1158" s="48" t="str">
        <f t="shared" si="52"/>
        <v>ospi_vdd_dyn_qspi_ddr_master_133_3p3v</v>
      </c>
      <c r="B1158" s="48" t="s">
        <v>5590</v>
      </c>
      <c r="C1158" s="48" t="s">
        <v>5255</v>
      </c>
      <c r="D1158" s="48" t="s">
        <v>4919</v>
      </c>
      <c r="E1158" s="48" t="s">
        <v>5195</v>
      </c>
      <c r="F1158" s="14">
        <v>2.2099498944599998E-5</v>
      </c>
      <c r="G1158" s="48" t="s">
        <v>5260</v>
      </c>
      <c r="H1158" s="49"/>
      <c r="I1158" s="22"/>
      <c r="O1158" s="21"/>
    </row>
    <row r="1159" spans="1:15" customFormat="1" ht="15" x14ac:dyDescent="0.25">
      <c r="A1159" s="48" t="str">
        <f t="shared" si="52"/>
        <v>ospi_vdd_dyn_qspi_ddr_master_160_1p8v</v>
      </c>
      <c r="B1159" s="48" t="s">
        <v>5590</v>
      </c>
      <c r="C1159" s="48" t="s">
        <v>5255</v>
      </c>
      <c r="D1159" s="48" t="s">
        <v>5303</v>
      </c>
      <c r="E1159" s="48" t="s">
        <v>5195</v>
      </c>
      <c r="F1159" s="14">
        <v>2.6585863391999995E-5</v>
      </c>
      <c r="G1159" s="48" t="s">
        <v>5260</v>
      </c>
      <c r="H1159" s="49"/>
      <c r="I1159" s="22"/>
      <c r="O1159" s="21"/>
    </row>
    <row r="1160" spans="1:15" customFormat="1" ht="15" x14ac:dyDescent="0.25">
      <c r="A1160" s="48" t="str">
        <f t="shared" si="52"/>
        <v>ospi_vdd_dyn_qspi_ddr_master_160_3p3v</v>
      </c>
      <c r="B1160" s="48" t="s">
        <v>5590</v>
      </c>
      <c r="C1160" s="48" t="s">
        <v>5255</v>
      </c>
      <c r="D1160" s="48" t="s">
        <v>4918</v>
      </c>
      <c r="E1160" s="48" t="s">
        <v>5195</v>
      </c>
      <c r="F1160" s="14">
        <v>2.6585863391999995E-5</v>
      </c>
      <c r="G1160" s="48" t="s">
        <v>5260</v>
      </c>
      <c r="H1160" s="49"/>
      <c r="I1160" s="22"/>
      <c r="O1160" s="21"/>
    </row>
    <row r="1161" spans="1:15" customFormat="1" ht="15" x14ac:dyDescent="0.25">
      <c r="A1161" s="48" t="str">
        <f t="shared" si="52"/>
        <v>ospi_vdd_dyn_qspi_sdr_master_108_1p8v</v>
      </c>
      <c r="B1161" s="48" t="s">
        <v>5590</v>
      </c>
      <c r="C1161" s="48" t="s">
        <v>5255</v>
      </c>
      <c r="D1161" s="48" t="s">
        <v>5304</v>
      </c>
      <c r="E1161" s="48" t="s">
        <v>5195</v>
      </c>
      <c r="F1161" s="14">
        <v>2.4175329789599995E-5</v>
      </c>
      <c r="G1161" s="48" t="s">
        <v>5260</v>
      </c>
      <c r="H1161" s="49"/>
      <c r="I1161" s="22"/>
      <c r="O1161" s="21"/>
    </row>
    <row r="1162" spans="1:15" customFormat="1" ht="15" x14ac:dyDescent="0.25">
      <c r="A1162" s="48" t="str">
        <f t="shared" si="52"/>
        <v>ospi_vdd_dyn_qspi_sdr_master_108_3p3v</v>
      </c>
      <c r="B1162" s="48" t="s">
        <v>5590</v>
      </c>
      <c r="C1162" s="48" t="s">
        <v>5255</v>
      </c>
      <c r="D1162" s="48" t="s">
        <v>4921</v>
      </c>
      <c r="E1162" s="48" t="s">
        <v>5195</v>
      </c>
      <c r="F1162" s="14">
        <v>2.4175329789599995E-5</v>
      </c>
      <c r="G1162" s="48" t="s">
        <v>5260</v>
      </c>
      <c r="H1162" s="49"/>
      <c r="I1162" s="22"/>
      <c r="O1162" s="21"/>
    </row>
    <row r="1163" spans="1:15" customFormat="1" ht="15" x14ac:dyDescent="0.25">
      <c r="A1163" s="48" t="str">
        <f t="shared" si="52"/>
        <v>ospi_vdd_dyn_qspi_sdr_master_133_1p8v</v>
      </c>
      <c r="B1163" s="48" t="s">
        <v>5590</v>
      </c>
      <c r="C1163" s="48" t="s">
        <v>5255</v>
      </c>
      <c r="D1163" s="48" t="s">
        <v>5305</v>
      </c>
      <c r="E1163" s="48" t="s">
        <v>5195</v>
      </c>
      <c r="F1163" s="14">
        <v>2.9771470944599992E-5</v>
      </c>
      <c r="G1163" s="48" t="s">
        <v>5260</v>
      </c>
      <c r="H1163" s="49"/>
      <c r="I1163" s="22"/>
      <c r="O1163" s="21"/>
    </row>
    <row r="1164" spans="1:15" customFormat="1" ht="15" x14ac:dyDescent="0.25">
      <c r="A1164" s="48" t="str">
        <f t="shared" si="52"/>
        <v>ospi_vdd_dyn_qspi_sdr_master_133_3p3v</v>
      </c>
      <c r="B1164" s="48" t="s">
        <v>5590</v>
      </c>
      <c r="C1164" s="48" t="s">
        <v>5255</v>
      </c>
      <c r="D1164" s="48" t="s">
        <v>4920</v>
      </c>
      <c r="E1164" s="48" t="s">
        <v>5195</v>
      </c>
      <c r="F1164" s="14">
        <v>2.9771470944599992E-5</v>
      </c>
      <c r="G1164" s="48" t="s">
        <v>5260</v>
      </c>
      <c r="H1164" s="49"/>
      <c r="I1164" s="22"/>
      <c r="O1164" s="21"/>
    </row>
    <row r="1165" spans="1:15" customFormat="1" ht="15" x14ac:dyDescent="0.25">
      <c r="A1165" s="48" t="str">
        <f t="shared" si="52"/>
        <v>ospi_vddh1_dyn_ospi_ddr_master_200_1p8v</v>
      </c>
      <c r="B1165" s="48" t="s">
        <v>5590</v>
      </c>
      <c r="C1165" s="48" t="s">
        <v>5256</v>
      </c>
      <c r="D1165" s="48" t="s">
        <v>6063</v>
      </c>
      <c r="E1165" s="48" t="s">
        <v>5195</v>
      </c>
      <c r="F1165" s="14">
        <v>15.227101224</v>
      </c>
      <c r="G1165" s="48" t="s">
        <v>6157</v>
      </c>
      <c r="H1165" s="49"/>
      <c r="I1165" s="22"/>
      <c r="O1165" s="21"/>
    </row>
    <row r="1166" spans="1:15" customFormat="1" ht="15" x14ac:dyDescent="0.25">
      <c r="A1166" s="48" t="str">
        <f t="shared" si="52"/>
        <v>ospi_vddh1_dyn_ospi_ddr_master_160_1p8v</v>
      </c>
      <c r="B1166" s="48" t="s">
        <v>5590</v>
      </c>
      <c r="C1166" s="48" t="s">
        <v>5256</v>
      </c>
      <c r="D1166" s="48" t="s">
        <v>5299</v>
      </c>
      <c r="E1166" s="48" t="s">
        <v>5195</v>
      </c>
      <c r="F1166" s="14">
        <v>12.181680979199999</v>
      </c>
      <c r="G1166" s="48" t="s">
        <v>6157</v>
      </c>
      <c r="H1166" s="49"/>
      <c r="I1166" s="22"/>
      <c r="O1166" s="21"/>
    </row>
    <row r="1167" spans="1:15" customFormat="1" ht="15" x14ac:dyDescent="0.25">
      <c r="A1167" s="48" t="str">
        <f t="shared" si="52"/>
        <v>ospi_vddh1_dyn_ospi_ddr_master_133_1p8v</v>
      </c>
      <c r="B1167" s="48" t="s">
        <v>5590</v>
      </c>
      <c r="C1167" s="48" t="s">
        <v>5256</v>
      </c>
      <c r="D1167" s="48" t="s">
        <v>5298</v>
      </c>
      <c r="E1167" s="48" t="s">
        <v>5195</v>
      </c>
      <c r="F1167" s="14">
        <v>10.12602231396</v>
      </c>
      <c r="G1167" s="48" t="s">
        <v>6157</v>
      </c>
      <c r="H1167" s="49"/>
      <c r="I1167" s="22"/>
      <c r="O1167" s="21"/>
    </row>
    <row r="1168" spans="1:15" customFormat="1" ht="15" x14ac:dyDescent="0.25">
      <c r="A1168" s="48" t="str">
        <f t="shared" si="52"/>
        <v>ospi_vddh1_dyn_ospi_ddr_master_100_1p8v</v>
      </c>
      <c r="B1168" s="48" t="s">
        <v>5590</v>
      </c>
      <c r="C1168" s="48" t="s">
        <v>5256</v>
      </c>
      <c r="D1168" s="48" t="s">
        <v>6088</v>
      </c>
      <c r="E1168" s="48" t="s">
        <v>5195</v>
      </c>
      <c r="F1168" s="14">
        <v>7.6135506120000001</v>
      </c>
      <c r="G1168" s="48" t="s">
        <v>6157</v>
      </c>
      <c r="H1168" s="49"/>
      <c r="I1168" s="22"/>
      <c r="O1168" s="21"/>
    </row>
    <row r="1169" spans="1:15" customFormat="1" ht="15" x14ac:dyDescent="0.25">
      <c r="A1169" s="48" t="str">
        <f t="shared" si="52"/>
        <v>ospi_vddh1_dyn_ospi_ddr_master_80_1p8v</v>
      </c>
      <c r="B1169" s="48" t="s">
        <v>5590</v>
      </c>
      <c r="C1169" s="48" t="s">
        <v>5256</v>
      </c>
      <c r="D1169" s="48" t="s">
        <v>6089</v>
      </c>
      <c r="E1169" s="48" t="s">
        <v>5195</v>
      </c>
      <c r="F1169" s="14">
        <v>6.0908404895999997</v>
      </c>
      <c r="G1169" s="48" t="s">
        <v>6157</v>
      </c>
      <c r="H1169" s="49"/>
      <c r="I1169" s="22"/>
      <c r="O1169" s="21"/>
    </row>
    <row r="1170" spans="1:15" customFormat="1" ht="15" x14ac:dyDescent="0.25">
      <c r="A1170" s="48" t="str">
        <f t="shared" si="52"/>
        <v>ospi_vddh1_dyn_ospi_ddr_master_67_1p8v</v>
      </c>
      <c r="B1170" s="48" t="s">
        <v>5590</v>
      </c>
      <c r="C1170" s="48" t="s">
        <v>5256</v>
      </c>
      <c r="D1170" s="48" t="s">
        <v>6090</v>
      </c>
      <c r="E1170" s="48" t="s">
        <v>5195</v>
      </c>
      <c r="F1170" s="14">
        <v>5.1010789100400009</v>
      </c>
      <c r="G1170" s="48" t="s">
        <v>6157</v>
      </c>
      <c r="H1170" s="49"/>
      <c r="I1170" s="22"/>
      <c r="O1170" s="21"/>
    </row>
    <row r="1171" spans="1:15" customFormat="1" ht="15" x14ac:dyDescent="0.25">
      <c r="A1171" s="48" t="str">
        <f t="shared" si="52"/>
        <v>ospi_vddh1_dyn_ospi_ddr_master_60_1p8v</v>
      </c>
      <c r="B1171" s="48" t="s">
        <v>5590</v>
      </c>
      <c r="C1171" s="48" t="s">
        <v>5256</v>
      </c>
      <c r="D1171" s="48" t="s">
        <v>6091</v>
      </c>
      <c r="E1171" s="48" t="s">
        <v>5195</v>
      </c>
      <c r="F1171" s="14">
        <v>4.5681303672000011</v>
      </c>
      <c r="G1171" s="48" t="s">
        <v>6157</v>
      </c>
      <c r="H1171" s="49"/>
      <c r="I1171" s="22"/>
      <c r="O1171" s="21"/>
    </row>
    <row r="1172" spans="1:15" customFormat="1" ht="15" x14ac:dyDescent="0.25">
      <c r="A1172" s="48" t="str">
        <f t="shared" si="52"/>
        <v>ospi_vddh1_dyn_ospi_ddr_master_40_1p8v</v>
      </c>
      <c r="B1172" s="48" t="s">
        <v>5590</v>
      </c>
      <c r="C1172" s="48" t="s">
        <v>5256</v>
      </c>
      <c r="D1172" s="48" t="s">
        <v>6092</v>
      </c>
      <c r="E1172" s="48" t="s">
        <v>5195</v>
      </c>
      <c r="F1172" s="14">
        <v>3.0454202447999998</v>
      </c>
      <c r="G1172" s="48" t="s">
        <v>6157</v>
      </c>
      <c r="H1172" s="49"/>
      <c r="I1172" s="22"/>
      <c r="O1172" s="21"/>
    </row>
    <row r="1173" spans="1:15" s="22" customFormat="1" ht="15" x14ac:dyDescent="0.25">
      <c r="A1173" s="48" t="str">
        <f t="shared" si="52"/>
        <v>ospi_vddh1_dyn_ospi_sdr_master_160_1p8v</v>
      </c>
      <c r="B1173" s="48" t="s">
        <v>5590</v>
      </c>
      <c r="C1173" s="48" t="s">
        <v>5256</v>
      </c>
      <c r="D1173" s="48" t="s">
        <v>6093</v>
      </c>
      <c r="E1173" s="48" t="s">
        <v>5195</v>
      </c>
      <c r="F1173" s="14">
        <v>16.2407529792</v>
      </c>
      <c r="G1173" s="48" t="s">
        <v>6157</v>
      </c>
      <c r="H1173" s="49"/>
      <c r="O1173" s="21"/>
    </row>
    <row r="1174" spans="1:15" s="22" customFormat="1" ht="15" x14ac:dyDescent="0.25">
      <c r="A1174" s="48" t="str">
        <f t="shared" si="52"/>
        <v>ospi_vddh1_dyn_ospi_sdr_master_133_1p8v</v>
      </c>
      <c r="B1174" s="48" t="s">
        <v>5590</v>
      </c>
      <c r="C1174" s="48" t="s">
        <v>5256</v>
      </c>
      <c r="D1174" s="48" t="s">
        <v>5301</v>
      </c>
      <c r="E1174" s="48" t="s">
        <v>5195</v>
      </c>
      <c r="F1174" s="14">
        <v>13.500125913960002</v>
      </c>
      <c r="G1174" s="48" t="s">
        <v>6157</v>
      </c>
      <c r="H1174" s="49"/>
      <c r="O1174" s="21"/>
    </row>
    <row r="1175" spans="1:15" s="22" customFormat="1" ht="15" x14ac:dyDescent="0.25">
      <c r="A1175" s="48" t="str">
        <f t="shared" si="52"/>
        <v>ospi_vddh1_dyn_ospi_sdr_master_100_1p8v</v>
      </c>
      <c r="B1175" s="48" t="s">
        <v>5590</v>
      </c>
      <c r="C1175" s="48" t="s">
        <v>5256</v>
      </c>
      <c r="D1175" s="48" t="s">
        <v>6094</v>
      </c>
      <c r="E1175" s="48" t="s">
        <v>5195</v>
      </c>
      <c r="F1175" s="14">
        <v>10.150470611999999</v>
      </c>
      <c r="G1175" s="48" t="s">
        <v>6157</v>
      </c>
      <c r="H1175" s="49"/>
      <c r="O1175" s="21"/>
    </row>
    <row r="1176" spans="1:15" s="22" customFormat="1" ht="15" x14ac:dyDescent="0.25">
      <c r="A1176" s="48" t="str">
        <f t="shared" si="52"/>
        <v>ospi_vddh1_dyn_ospi_sdr_master_80_1p8v</v>
      </c>
      <c r="B1176" s="48" t="s">
        <v>5590</v>
      </c>
      <c r="C1176" s="48" t="s">
        <v>5256</v>
      </c>
      <c r="D1176" s="48" t="s">
        <v>6095</v>
      </c>
      <c r="E1176" s="48" t="s">
        <v>5195</v>
      </c>
      <c r="F1176" s="14">
        <v>8.1203764895999999</v>
      </c>
      <c r="G1176" s="48" t="s">
        <v>6157</v>
      </c>
      <c r="H1176" s="49"/>
      <c r="O1176" s="21"/>
    </row>
    <row r="1177" spans="1:15" s="22" customFormat="1" ht="15" x14ac:dyDescent="0.25">
      <c r="A1177" s="48" t="str">
        <f t="shared" si="52"/>
        <v>ospi_vddh1_dyn_ospi_sdr_master_67_1p8v</v>
      </c>
      <c r="B1177" s="48" t="s">
        <v>5590</v>
      </c>
      <c r="C1177" s="48" t="s">
        <v>5256</v>
      </c>
      <c r="D1177" s="48" t="s">
        <v>6096</v>
      </c>
      <c r="E1177" s="48" t="s">
        <v>5195</v>
      </c>
      <c r="F1177" s="14">
        <v>6.8008153100400008</v>
      </c>
      <c r="G1177" s="48" t="s">
        <v>6157</v>
      </c>
      <c r="H1177" s="49"/>
      <c r="O1177" s="21"/>
    </row>
    <row r="1178" spans="1:15" s="22" customFormat="1" ht="15" x14ac:dyDescent="0.25">
      <c r="A1178" s="48" t="str">
        <f t="shared" ref="A1178:A1209" si="53">B1178&amp;"_"&amp;C1178&amp;"_"&amp;D1178</f>
        <v>ospi_vddh1_dyn_ospi_sdr_master_60_1p8v</v>
      </c>
      <c r="B1178" s="48" t="s">
        <v>5590</v>
      </c>
      <c r="C1178" s="48" t="s">
        <v>5256</v>
      </c>
      <c r="D1178" s="48" t="s">
        <v>6097</v>
      </c>
      <c r="E1178" s="48" t="s">
        <v>5195</v>
      </c>
      <c r="F1178" s="14">
        <v>6.0902823672000013</v>
      </c>
      <c r="G1178" s="48" t="s">
        <v>6157</v>
      </c>
      <c r="H1178" s="49"/>
      <c r="O1178" s="21"/>
    </row>
    <row r="1179" spans="1:15" s="22" customFormat="1" ht="15" x14ac:dyDescent="0.25">
      <c r="A1179" s="48" t="str">
        <f t="shared" si="53"/>
        <v>ospi_vddh1_dyn_ospi_sdr_master_40_1p8v</v>
      </c>
      <c r="B1179" s="48" t="s">
        <v>5590</v>
      </c>
      <c r="C1179" s="48" t="s">
        <v>5256</v>
      </c>
      <c r="D1179" s="48" t="s">
        <v>6098</v>
      </c>
      <c r="E1179" s="48" t="s">
        <v>5195</v>
      </c>
      <c r="F1179" s="14">
        <v>4.0601882448</v>
      </c>
      <c r="G1179" s="48" t="s">
        <v>6157</v>
      </c>
      <c r="H1179" s="49"/>
      <c r="O1179" s="21"/>
    </row>
    <row r="1180" spans="1:15" s="22" customFormat="1" ht="15" x14ac:dyDescent="0.25">
      <c r="A1180" s="48" t="str">
        <f t="shared" si="53"/>
        <v>ospi_vddh1_dyn_ospi_ddr_slave_160_1p8v</v>
      </c>
      <c r="B1180" s="48" t="s">
        <v>5590</v>
      </c>
      <c r="C1180" s="48" t="s">
        <v>5256</v>
      </c>
      <c r="D1180" s="48" t="s">
        <v>6099</v>
      </c>
      <c r="E1180" s="48" t="s">
        <v>5195</v>
      </c>
      <c r="F1180" s="14">
        <v>8.1181439999999991</v>
      </c>
      <c r="G1180" s="48" t="s">
        <v>6157</v>
      </c>
      <c r="H1180" s="49"/>
      <c r="O1180" s="21"/>
    </row>
    <row r="1181" spans="1:15" s="22" customFormat="1" ht="15" x14ac:dyDescent="0.25">
      <c r="A1181" s="48" t="str">
        <f t="shared" si="53"/>
        <v>ospi_vddh1_dyn_ospi_ddr_slave_133_1p8v</v>
      </c>
      <c r="B1181" s="48" t="s">
        <v>5590</v>
      </c>
      <c r="C1181" s="48" t="s">
        <v>5256</v>
      </c>
      <c r="D1181" s="48" t="s">
        <v>6100</v>
      </c>
      <c r="E1181" s="48" t="s">
        <v>5195</v>
      </c>
      <c r="F1181" s="14">
        <v>6.7482072000000004</v>
      </c>
      <c r="G1181" s="48" t="s">
        <v>6157</v>
      </c>
      <c r="H1181" s="49"/>
      <c r="O1181" s="21"/>
    </row>
    <row r="1182" spans="1:15" s="22" customFormat="1" ht="15" x14ac:dyDescent="0.25">
      <c r="A1182" s="48" t="str">
        <f t="shared" si="53"/>
        <v>ospi_vddh1_dyn_ospi_ddr_slave_100_1p8v</v>
      </c>
      <c r="B1182" s="48" t="s">
        <v>5590</v>
      </c>
      <c r="C1182" s="48" t="s">
        <v>5256</v>
      </c>
      <c r="D1182" s="48" t="s">
        <v>6101</v>
      </c>
      <c r="E1182" s="48" t="s">
        <v>5195</v>
      </c>
      <c r="F1182" s="14">
        <v>5.0738399999999997</v>
      </c>
      <c r="G1182" s="48" t="s">
        <v>6157</v>
      </c>
      <c r="H1182" s="49"/>
      <c r="O1182" s="21"/>
    </row>
    <row r="1183" spans="1:15" s="22" customFormat="1" ht="15" x14ac:dyDescent="0.25">
      <c r="A1183" s="48" t="str">
        <f t="shared" si="53"/>
        <v>ospi_vddh1_dyn_ospi_ddr_slave_80_1p8v</v>
      </c>
      <c r="B1183" s="48" t="s">
        <v>5590</v>
      </c>
      <c r="C1183" s="48" t="s">
        <v>5256</v>
      </c>
      <c r="D1183" s="48" t="s">
        <v>6102</v>
      </c>
      <c r="E1183" s="48" t="s">
        <v>5195</v>
      </c>
      <c r="F1183" s="14">
        <v>4.0590719999999996</v>
      </c>
      <c r="G1183" s="48" t="s">
        <v>6157</v>
      </c>
      <c r="H1183" s="49"/>
      <c r="O1183" s="21"/>
    </row>
    <row r="1184" spans="1:15" s="22" customFormat="1" ht="15" x14ac:dyDescent="0.25">
      <c r="A1184" s="48" t="str">
        <f t="shared" si="53"/>
        <v>ospi_vddh1_dyn_ospi_ddr_slave_67_1p8v</v>
      </c>
      <c r="B1184" s="48" t="s">
        <v>5590</v>
      </c>
      <c r="C1184" s="48" t="s">
        <v>5256</v>
      </c>
      <c r="D1184" s="48" t="s">
        <v>6103</v>
      </c>
      <c r="E1184" s="48" t="s">
        <v>5195</v>
      </c>
      <c r="F1184" s="14">
        <v>3.3994728000000003</v>
      </c>
      <c r="G1184" s="48" t="s">
        <v>6157</v>
      </c>
      <c r="H1184" s="49"/>
      <c r="O1184" s="21"/>
    </row>
    <row r="1185" spans="1:15" s="22" customFormat="1" ht="15" x14ac:dyDescent="0.25">
      <c r="A1185" s="48" t="str">
        <f t="shared" si="53"/>
        <v>ospi_vddh1_dyn_ospi_ddr_slave_60_1p8v</v>
      </c>
      <c r="B1185" s="48" t="s">
        <v>5590</v>
      </c>
      <c r="C1185" s="48" t="s">
        <v>5256</v>
      </c>
      <c r="D1185" s="48" t="s">
        <v>6104</v>
      </c>
      <c r="E1185" s="48" t="s">
        <v>5195</v>
      </c>
      <c r="F1185" s="14">
        <v>3.0443040000000003</v>
      </c>
      <c r="G1185" s="48" t="s">
        <v>6157</v>
      </c>
      <c r="H1185" s="49"/>
      <c r="O1185" s="21"/>
    </row>
    <row r="1186" spans="1:15" s="22" customFormat="1" ht="15" x14ac:dyDescent="0.25">
      <c r="A1186" s="48" t="str">
        <f t="shared" si="53"/>
        <v>ospi_vddh1_dyn_ospi_ddr_slave_40_1p8v</v>
      </c>
      <c r="B1186" s="48" t="s">
        <v>5590</v>
      </c>
      <c r="C1186" s="48" t="s">
        <v>5256</v>
      </c>
      <c r="D1186" s="48" t="s">
        <v>6105</v>
      </c>
      <c r="E1186" s="48" t="s">
        <v>5195</v>
      </c>
      <c r="F1186" s="14">
        <v>2.0295359999999998</v>
      </c>
      <c r="G1186" s="48" t="s">
        <v>6157</v>
      </c>
      <c r="H1186" s="49"/>
      <c r="O1186" s="21"/>
    </row>
    <row r="1187" spans="1:15" s="22" customFormat="1" ht="15" x14ac:dyDescent="0.25">
      <c r="A1187" s="48" t="str">
        <f t="shared" si="53"/>
        <v>ospi_vddh1_dyn_ospi_sdr_slave_160_1p8v</v>
      </c>
      <c r="B1187" s="48" t="s">
        <v>5590</v>
      </c>
      <c r="C1187" s="48" t="s">
        <v>5256</v>
      </c>
      <c r="D1187" s="48" t="s">
        <v>6106</v>
      </c>
      <c r="E1187" s="48" t="s">
        <v>5195</v>
      </c>
      <c r="F1187" s="14">
        <v>8.1181439999999991</v>
      </c>
      <c r="G1187" s="48" t="s">
        <v>6157</v>
      </c>
      <c r="H1187" s="49"/>
      <c r="O1187" s="21"/>
    </row>
    <row r="1188" spans="1:15" s="22" customFormat="1" ht="15" x14ac:dyDescent="0.25">
      <c r="A1188" s="48" t="str">
        <f t="shared" si="53"/>
        <v>ospi_vddh1_dyn_ospi_sdr_slave_133_1p8v</v>
      </c>
      <c r="B1188" s="48" t="s">
        <v>5590</v>
      </c>
      <c r="C1188" s="48" t="s">
        <v>5256</v>
      </c>
      <c r="D1188" s="48" t="s">
        <v>6107</v>
      </c>
      <c r="E1188" s="48" t="s">
        <v>5195</v>
      </c>
      <c r="F1188" s="14">
        <v>6.7482072000000004</v>
      </c>
      <c r="G1188" s="48" t="s">
        <v>6157</v>
      </c>
      <c r="H1188" s="49"/>
      <c r="O1188" s="21"/>
    </row>
    <row r="1189" spans="1:15" s="22" customFormat="1" ht="15" x14ac:dyDescent="0.25">
      <c r="A1189" s="48" t="str">
        <f t="shared" si="53"/>
        <v>ospi_vddh1_dyn_ospi_sdr_slave_100_1p8v</v>
      </c>
      <c r="B1189" s="48" t="s">
        <v>5590</v>
      </c>
      <c r="C1189" s="48" t="s">
        <v>5256</v>
      </c>
      <c r="D1189" s="48" t="s">
        <v>6108</v>
      </c>
      <c r="E1189" s="48" t="s">
        <v>5195</v>
      </c>
      <c r="F1189" s="14">
        <v>5.0738399999999997</v>
      </c>
      <c r="G1189" s="48" t="s">
        <v>6157</v>
      </c>
      <c r="H1189" s="49"/>
      <c r="O1189" s="21"/>
    </row>
    <row r="1190" spans="1:15" s="22" customFormat="1" ht="15" x14ac:dyDescent="0.25">
      <c r="A1190" s="48" t="str">
        <f t="shared" si="53"/>
        <v>ospi_vddh1_dyn_ospi_sdr_slave_80_1p8v</v>
      </c>
      <c r="B1190" s="48" t="s">
        <v>5590</v>
      </c>
      <c r="C1190" s="48" t="s">
        <v>5256</v>
      </c>
      <c r="D1190" s="48" t="s">
        <v>6109</v>
      </c>
      <c r="E1190" s="48" t="s">
        <v>5195</v>
      </c>
      <c r="F1190" s="14">
        <v>4.0590719999999996</v>
      </c>
      <c r="G1190" s="48" t="s">
        <v>6157</v>
      </c>
      <c r="H1190" s="49"/>
      <c r="O1190" s="21"/>
    </row>
    <row r="1191" spans="1:15" s="22" customFormat="1" ht="15" x14ac:dyDescent="0.25">
      <c r="A1191" s="48" t="str">
        <f t="shared" si="53"/>
        <v>ospi_vddh1_dyn_ospi_sdr_slave_67_1p8v</v>
      </c>
      <c r="B1191" s="48" t="s">
        <v>5590</v>
      </c>
      <c r="C1191" s="48" t="s">
        <v>5256</v>
      </c>
      <c r="D1191" s="48" t="s">
        <v>6110</v>
      </c>
      <c r="E1191" s="48" t="s">
        <v>5195</v>
      </c>
      <c r="F1191" s="14">
        <v>3.3994728000000003</v>
      </c>
      <c r="G1191" s="48" t="s">
        <v>6157</v>
      </c>
      <c r="H1191" s="49"/>
      <c r="O1191" s="21"/>
    </row>
    <row r="1192" spans="1:15" s="22" customFormat="1" ht="15" x14ac:dyDescent="0.25">
      <c r="A1192" s="48" t="str">
        <f t="shared" si="53"/>
        <v>ospi_vddh1_dyn_ospi_sdr_slave_60_1p8v</v>
      </c>
      <c r="B1192" s="48" t="s">
        <v>5590</v>
      </c>
      <c r="C1192" s="48" t="s">
        <v>5256</v>
      </c>
      <c r="D1192" s="48" t="s">
        <v>6111</v>
      </c>
      <c r="E1192" s="48" t="s">
        <v>5195</v>
      </c>
      <c r="F1192" s="14">
        <v>3.0443040000000003</v>
      </c>
      <c r="G1192" s="48" t="s">
        <v>6157</v>
      </c>
      <c r="H1192" s="49"/>
      <c r="O1192" s="21"/>
    </row>
    <row r="1193" spans="1:15" s="22" customFormat="1" ht="15" x14ac:dyDescent="0.25">
      <c r="A1193" s="48" t="str">
        <f t="shared" si="53"/>
        <v>ospi_vddh1_dyn_ospi_sdr_slave_40_1p8v</v>
      </c>
      <c r="B1193" s="48" t="s">
        <v>5590</v>
      </c>
      <c r="C1193" s="48" t="s">
        <v>5256</v>
      </c>
      <c r="D1193" s="48" t="s">
        <v>6112</v>
      </c>
      <c r="E1193" s="48" t="s">
        <v>5195</v>
      </c>
      <c r="F1193" s="14">
        <v>2.0295359999999998</v>
      </c>
      <c r="G1193" s="48" t="s">
        <v>6157</v>
      </c>
      <c r="H1193" s="49"/>
      <c r="O1193" s="21"/>
    </row>
    <row r="1194" spans="1:15" customFormat="1" ht="15" x14ac:dyDescent="0.25">
      <c r="A1194" s="48" t="str">
        <f t="shared" si="53"/>
        <v>ospi_vddh1_dyn_ospi_off</v>
      </c>
      <c r="B1194" s="48" t="s">
        <v>5590</v>
      </c>
      <c r="C1194" s="48" t="s">
        <v>5256</v>
      </c>
      <c r="D1194" s="48" t="s">
        <v>6065</v>
      </c>
      <c r="E1194" s="48" t="s">
        <v>5195</v>
      </c>
      <c r="F1194" s="14">
        <v>0</v>
      </c>
      <c r="G1194" s="48" t="s">
        <v>6157</v>
      </c>
      <c r="H1194" s="49"/>
      <c r="I1194" s="22"/>
      <c r="O1194" s="21"/>
    </row>
    <row r="1195" spans="1:15" customFormat="1" ht="15" x14ac:dyDescent="0.25">
      <c r="A1195" s="48" t="str">
        <f t="shared" si="53"/>
        <v>ospi_vddh2_dyn_ospi_ddr_master_200_3p3v</v>
      </c>
      <c r="B1195" s="48" t="s">
        <v>5590</v>
      </c>
      <c r="C1195" s="48" t="s">
        <v>5262</v>
      </c>
      <c r="D1195" s="48" t="s">
        <v>6062</v>
      </c>
      <c r="E1195" s="48" t="s">
        <v>5195</v>
      </c>
      <c r="F1195" s="14">
        <v>78.436749599999985</v>
      </c>
      <c r="G1195" s="48" t="s">
        <v>6157</v>
      </c>
      <c r="H1195" s="49"/>
      <c r="I1195" s="22"/>
      <c r="O1195" s="21"/>
    </row>
    <row r="1196" spans="1:15" customFormat="1" ht="15" x14ac:dyDescent="0.25">
      <c r="A1196" s="48" t="str">
        <f t="shared" si="53"/>
        <v>ospi_vddh2_dyn_ospi_ddr_master_160_3p3v</v>
      </c>
      <c r="B1196" s="48" t="s">
        <v>5590</v>
      </c>
      <c r="C1196" s="48" t="s">
        <v>5262</v>
      </c>
      <c r="D1196" s="48" t="s">
        <v>4922</v>
      </c>
      <c r="E1196" s="48" t="s">
        <v>5195</v>
      </c>
      <c r="F1196" s="14">
        <v>62.749399679999989</v>
      </c>
      <c r="G1196" s="48" t="s">
        <v>6157</v>
      </c>
      <c r="H1196" s="49"/>
      <c r="I1196" s="22"/>
      <c r="O1196" s="21"/>
    </row>
    <row r="1197" spans="1:15" customFormat="1" ht="15" x14ac:dyDescent="0.25">
      <c r="A1197" s="48" t="str">
        <f t="shared" si="53"/>
        <v>ospi_vddh2_dyn_ospi_ddr_master_133_3p3v</v>
      </c>
      <c r="B1197" s="48" t="s">
        <v>5590</v>
      </c>
      <c r="C1197" s="48" t="s">
        <v>5262</v>
      </c>
      <c r="D1197" s="48" t="s">
        <v>4923</v>
      </c>
      <c r="E1197" s="48" t="s">
        <v>5195</v>
      </c>
      <c r="F1197" s="14">
        <v>52.16043848399999</v>
      </c>
      <c r="G1197" s="48" t="s">
        <v>6157</v>
      </c>
      <c r="H1197" s="49"/>
      <c r="I1197" s="22"/>
      <c r="O1197" s="21"/>
    </row>
    <row r="1198" spans="1:15" customFormat="1" ht="15" x14ac:dyDescent="0.25">
      <c r="A1198" s="48" t="str">
        <f t="shared" si="53"/>
        <v>ospi_vddh2_dyn_ospi_ddr_master_100_3p3v</v>
      </c>
      <c r="B1198" s="48" t="s">
        <v>5590</v>
      </c>
      <c r="C1198" s="48" t="s">
        <v>5262</v>
      </c>
      <c r="D1198" s="48" t="s">
        <v>6060</v>
      </c>
      <c r="E1198" s="48" t="s">
        <v>5195</v>
      </c>
      <c r="F1198" s="14">
        <v>39.218374799999992</v>
      </c>
      <c r="G1198" s="48" t="s">
        <v>6157</v>
      </c>
      <c r="H1198" s="49"/>
      <c r="I1198" s="22"/>
      <c r="O1198" s="21"/>
    </row>
    <row r="1199" spans="1:15" customFormat="1" ht="15" x14ac:dyDescent="0.25">
      <c r="A1199" s="48" t="str">
        <f t="shared" si="53"/>
        <v>ospi_vddh2_dyn_ospi_ddr_master_80_3p3v</v>
      </c>
      <c r="B1199" s="48" t="s">
        <v>5590</v>
      </c>
      <c r="C1199" s="48" t="s">
        <v>5262</v>
      </c>
      <c r="D1199" s="48" t="s">
        <v>6059</v>
      </c>
      <c r="E1199" s="48" t="s">
        <v>5195</v>
      </c>
      <c r="F1199" s="14">
        <v>31.374699839999995</v>
      </c>
      <c r="G1199" s="48" t="s">
        <v>6157</v>
      </c>
      <c r="H1199" s="49"/>
      <c r="I1199" s="22"/>
      <c r="O1199" s="21"/>
    </row>
    <row r="1200" spans="1:15" customFormat="1" ht="15" x14ac:dyDescent="0.25">
      <c r="A1200" s="48" t="str">
        <f t="shared" si="53"/>
        <v>ospi_vddh2_dyn_ospi_ddr_master_67_3p3v</v>
      </c>
      <c r="B1200" s="48" t="s">
        <v>5590</v>
      </c>
      <c r="C1200" s="48" t="s">
        <v>5262</v>
      </c>
      <c r="D1200" s="48" t="s">
        <v>6067</v>
      </c>
      <c r="E1200" s="48" t="s">
        <v>5195</v>
      </c>
      <c r="F1200" s="14">
        <v>26.276311115999999</v>
      </c>
      <c r="G1200" s="48" t="s">
        <v>6157</v>
      </c>
      <c r="H1200" s="49"/>
      <c r="I1200" s="22"/>
      <c r="O1200" s="21"/>
    </row>
    <row r="1201" spans="1:15" customFormat="1" ht="15" x14ac:dyDescent="0.25">
      <c r="A1201" s="48" t="str">
        <f t="shared" si="53"/>
        <v>ospi_vddh2_dyn_ospi_ddr_master_60_3p3v</v>
      </c>
      <c r="B1201" s="48" t="s">
        <v>5590</v>
      </c>
      <c r="C1201" s="48" t="s">
        <v>5262</v>
      </c>
      <c r="D1201" s="48" t="s">
        <v>6068</v>
      </c>
      <c r="E1201" s="48" t="s">
        <v>5195</v>
      </c>
      <c r="F1201" s="14">
        <v>23.531024879999997</v>
      </c>
      <c r="G1201" s="48" t="s">
        <v>6157</v>
      </c>
      <c r="H1201" s="49"/>
      <c r="I1201" s="22"/>
      <c r="O1201" s="21"/>
    </row>
    <row r="1202" spans="1:15" customFormat="1" ht="15" x14ac:dyDescent="0.25">
      <c r="A1202" s="48" t="str">
        <f t="shared" si="53"/>
        <v>ospi_vddh2_dyn_ospi_ddr_master_40_3p3v</v>
      </c>
      <c r="B1202" s="48" t="s">
        <v>5590</v>
      </c>
      <c r="C1202" s="48" t="s">
        <v>5262</v>
      </c>
      <c r="D1202" s="48" t="s">
        <v>6069</v>
      </c>
      <c r="E1202" s="48" t="s">
        <v>5195</v>
      </c>
      <c r="F1202" s="14">
        <v>15.687349919999997</v>
      </c>
      <c r="G1202" s="48" t="s">
        <v>6157</v>
      </c>
      <c r="H1202" s="49"/>
      <c r="I1202" s="22"/>
      <c r="O1202" s="21"/>
    </row>
    <row r="1203" spans="1:15" customFormat="1" ht="15" x14ac:dyDescent="0.25">
      <c r="A1203" s="48" t="str">
        <f t="shared" si="53"/>
        <v>ospi_vddh2_dyn_ospi_sdr_master_160_3p3v</v>
      </c>
      <c r="B1203" s="48" t="s">
        <v>5590</v>
      </c>
      <c r="C1203" s="48" t="s">
        <v>5262</v>
      </c>
      <c r="D1203" s="48" t="s">
        <v>6058</v>
      </c>
      <c r="E1203" s="48" t="s">
        <v>5195</v>
      </c>
      <c r="F1203" s="14">
        <v>83.658199679999981</v>
      </c>
      <c r="G1203" s="48" t="s">
        <v>6157</v>
      </c>
      <c r="H1203" s="49"/>
      <c r="I1203" s="22"/>
      <c r="O1203" s="21"/>
    </row>
    <row r="1204" spans="1:15" customFormat="1" ht="15" x14ac:dyDescent="0.25">
      <c r="A1204" s="48" t="str">
        <f t="shared" si="53"/>
        <v>ospi_vddh2_dyn_ospi_sdr_master_133_3p3v</v>
      </c>
      <c r="B1204" s="48" t="s">
        <v>5590</v>
      </c>
      <c r="C1204" s="48" t="s">
        <v>5262</v>
      </c>
      <c r="D1204" s="48" t="s">
        <v>4924</v>
      </c>
      <c r="E1204" s="48" t="s">
        <v>5195</v>
      </c>
      <c r="F1204" s="14">
        <v>69.54087848399999</v>
      </c>
      <c r="G1204" s="48" t="s">
        <v>6157</v>
      </c>
      <c r="H1204" s="49"/>
      <c r="I1204" s="22"/>
      <c r="O1204" s="21"/>
    </row>
    <row r="1205" spans="1:15" customFormat="1" ht="15" x14ac:dyDescent="0.25">
      <c r="A1205" s="48" t="str">
        <f t="shared" si="53"/>
        <v>ospi_vddh2_dyn_ospi_sdr_master_100_3p3v</v>
      </c>
      <c r="B1205" s="48" t="s">
        <v>5590</v>
      </c>
      <c r="C1205" s="48" t="s">
        <v>5262</v>
      </c>
      <c r="D1205" s="48" t="s">
        <v>6061</v>
      </c>
      <c r="E1205" s="48" t="s">
        <v>5195</v>
      </c>
      <c r="F1205" s="14">
        <v>52.28637479999999</v>
      </c>
      <c r="G1205" s="48" t="s">
        <v>6157</v>
      </c>
      <c r="H1205" s="49"/>
      <c r="I1205" s="22"/>
      <c r="O1205" s="21"/>
    </row>
    <row r="1206" spans="1:15" s="22" customFormat="1" ht="15" x14ac:dyDescent="0.25">
      <c r="A1206" s="48" t="str">
        <f t="shared" si="53"/>
        <v>ospi_vddh2_dyn_ospi_sdr_master_80_3p3v</v>
      </c>
      <c r="B1206" s="48" t="s">
        <v>5590</v>
      </c>
      <c r="C1206" s="48" t="s">
        <v>5262</v>
      </c>
      <c r="D1206" s="48" t="s">
        <v>6070</v>
      </c>
      <c r="E1206" s="48" t="s">
        <v>5195</v>
      </c>
      <c r="F1206" s="14">
        <v>41.829099839999991</v>
      </c>
      <c r="G1206" s="48" t="s">
        <v>6157</v>
      </c>
      <c r="H1206" s="49"/>
      <c r="O1206" s="21"/>
    </row>
    <row r="1207" spans="1:15" customFormat="1" ht="15" x14ac:dyDescent="0.25">
      <c r="A1207" s="48" t="str">
        <f t="shared" si="53"/>
        <v>ospi_vddh2_dyn_ospi_sdr_master_67_3p3v</v>
      </c>
      <c r="B1207" s="48" t="s">
        <v>5590</v>
      </c>
      <c r="C1207" s="48" t="s">
        <v>5262</v>
      </c>
      <c r="D1207" s="48" t="s">
        <v>6071</v>
      </c>
      <c r="E1207" s="48" t="s">
        <v>5195</v>
      </c>
      <c r="F1207" s="14">
        <v>35.031871115999998</v>
      </c>
      <c r="G1207" s="48" t="s">
        <v>6157</v>
      </c>
      <c r="H1207" s="49"/>
      <c r="I1207" s="22"/>
      <c r="O1207" s="21"/>
    </row>
    <row r="1208" spans="1:15" customFormat="1" ht="15" x14ac:dyDescent="0.25">
      <c r="A1208" s="48" t="str">
        <f t="shared" si="53"/>
        <v>ospi_vddh2_dyn_ospi_sdr_master_60_3p3v</v>
      </c>
      <c r="B1208" s="48" t="s">
        <v>5590</v>
      </c>
      <c r="C1208" s="48" t="s">
        <v>5262</v>
      </c>
      <c r="D1208" s="48" t="s">
        <v>6072</v>
      </c>
      <c r="E1208" s="48" t="s">
        <v>5195</v>
      </c>
      <c r="F1208" s="14">
        <v>31.371824879999995</v>
      </c>
      <c r="G1208" s="48" t="s">
        <v>6157</v>
      </c>
      <c r="H1208" s="49"/>
      <c r="I1208" s="22"/>
      <c r="O1208" s="21"/>
    </row>
    <row r="1209" spans="1:15" customFormat="1" ht="15" x14ac:dyDescent="0.25">
      <c r="A1209" s="48" t="str">
        <f t="shared" si="53"/>
        <v>ospi_vddh2_dyn_ospi_sdr_master_40_3p3v</v>
      </c>
      <c r="B1209" s="48" t="s">
        <v>5590</v>
      </c>
      <c r="C1209" s="48" t="s">
        <v>5262</v>
      </c>
      <c r="D1209" s="48" t="s">
        <v>6073</v>
      </c>
      <c r="E1209" s="48" t="s">
        <v>5195</v>
      </c>
      <c r="F1209" s="14">
        <v>20.914549919999995</v>
      </c>
      <c r="G1209" s="48" t="s">
        <v>6157</v>
      </c>
      <c r="H1209" s="49"/>
      <c r="I1209" s="22"/>
      <c r="O1209" s="21"/>
    </row>
    <row r="1210" spans="1:15" customFormat="1" ht="15" x14ac:dyDescent="0.25">
      <c r="A1210" s="48" t="str">
        <f t="shared" ref="A1210:A1223" si="54">B1210&amp;"_"&amp;C1210&amp;"_"&amp;D1210</f>
        <v>ospi_vddh2_dyn_ospi_ddr_slave_160_3p3v</v>
      </c>
      <c r="B1210" s="48" t="s">
        <v>5590</v>
      </c>
      <c r="C1210" s="48" t="s">
        <v>5262</v>
      </c>
      <c r="D1210" s="48" t="s">
        <v>6074</v>
      </c>
      <c r="E1210" s="48" t="s">
        <v>5195</v>
      </c>
      <c r="F1210" s="14">
        <v>41.817599999999992</v>
      </c>
      <c r="G1210" s="48" t="s">
        <v>6157</v>
      </c>
      <c r="H1210" s="49"/>
      <c r="I1210" s="22"/>
      <c r="O1210" s="21"/>
    </row>
    <row r="1211" spans="1:15" s="22" customFormat="1" ht="15" x14ac:dyDescent="0.25">
      <c r="A1211" s="48" t="str">
        <f t="shared" si="54"/>
        <v>ospi_vddh2_dyn_ospi_ddr_slave_133_3p3v</v>
      </c>
      <c r="B1211" s="48" t="s">
        <v>5590</v>
      </c>
      <c r="C1211" s="48" t="s">
        <v>5262</v>
      </c>
      <c r="D1211" s="48" t="s">
        <v>6075</v>
      </c>
      <c r="E1211" s="48" t="s">
        <v>5195</v>
      </c>
      <c r="F1211" s="14">
        <v>34.760879999999993</v>
      </c>
      <c r="G1211" s="48" t="s">
        <v>6157</v>
      </c>
      <c r="H1211" s="49"/>
      <c r="O1211" s="21"/>
    </row>
    <row r="1212" spans="1:15" s="22" customFormat="1" ht="15" x14ac:dyDescent="0.25">
      <c r="A1212" s="48" t="str">
        <f t="shared" si="54"/>
        <v>ospi_vddh2_dyn_ospi_ddr_slave_100_3p3v</v>
      </c>
      <c r="B1212" s="48" t="s">
        <v>5590</v>
      </c>
      <c r="C1212" s="48" t="s">
        <v>5262</v>
      </c>
      <c r="D1212" s="48" t="s">
        <v>6076</v>
      </c>
      <c r="E1212" s="48" t="s">
        <v>5195</v>
      </c>
      <c r="F1212" s="14">
        <v>26.135999999999996</v>
      </c>
      <c r="G1212" s="48" t="s">
        <v>6157</v>
      </c>
      <c r="H1212" s="49"/>
      <c r="O1212" s="21"/>
    </row>
    <row r="1213" spans="1:15" s="22" customFormat="1" ht="15" x14ac:dyDescent="0.25">
      <c r="A1213" s="48" t="str">
        <f t="shared" si="54"/>
        <v>ospi_vddh2_dyn_ospi_ddr_slave_80_3p3v</v>
      </c>
      <c r="B1213" s="48" t="s">
        <v>5590</v>
      </c>
      <c r="C1213" s="48" t="s">
        <v>5262</v>
      </c>
      <c r="D1213" s="48" t="s">
        <v>6077</v>
      </c>
      <c r="E1213" s="48" t="s">
        <v>5195</v>
      </c>
      <c r="F1213" s="14">
        <v>20.908799999999996</v>
      </c>
      <c r="G1213" s="48" t="s">
        <v>6157</v>
      </c>
      <c r="H1213" s="49"/>
      <c r="O1213" s="21"/>
    </row>
    <row r="1214" spans="1:15" s="22" customFormat="1" ht="15" x14ac:dyDescent="0.25">
      <c r="A1214" s="48" t="str">
        <f t="shared" si="54"/>
        <v>ospi_vddh2_dyn_ospi_ddr_slave_67_3p3v</v>
      </c>
      <c r="B1214" s="48" t="s">
        <v>5590</v>
      </c>
      <c r="C1214" s="48" t="s">
        <v>5262</v>
      </c>
      <c r="D1214" s="48" t="s">
        <v>6078</v>
      </c>
      <c r="E1214" s="48" t="s">
        <v>5195</v>
      </c>
      <c r="F1214" s="14">
        <v>17.511119999999998</v>
      </c>
      <c r="G1214" s="48" t="s">
        <v>6157</v>
      </c>
      <c r="H1214" s="49"/>
      <c r="O1214" s="21"/>
    </row>
    <row r="1215" spans="1:15" s="22" customFormat="1" ht="15" x14ac:dyDescent="0.25">
      <c r="A1215" s="48" t="str">
        <f t="shared" si="54"/>
        <v>ospi_vddh2_dyn_ospi_ddr_slave_60_3p3v</v>
      </c>
      <c r="B1215" s="48" t="s">
        <v>5590</v>
      </c>
      <c r="C1215" s="48" t="s">
        <v>5262</v>
      </c>
      <c r="D1215" s="48" t="s">
        <v>6079</v>
      </c>
      <c r="E1215" s="48" t="s">
        <v>5195</v>
      </c>
      <c r="F1215" s="14">
        <v>15.681599999999998</v>
      </c>
      <c r="G1215" s="48" t="s">
        <v>6157</v>
      </c>
      <c r="H1215" s="49"/>
      <c r="O1215" s="21"/>
    </row>
    <row r="1216" spans="1:15" s="22" customFormat="1" ht="15" x14ac:dyDescent="0.25">
      <c r="A1216" s="48" t="str">
        <f t="shared" si="54"/>
        <v>ospi_vddh2_dyn_ospi_ddr_slave_40_3p3v</v>
      </c>
      <c r="B1216" s="48" t="s">
        <v>5590</v>
      </c>
      <c r="C1216" s="48" t="s">
        <v>5262</v>
      </c>
      <c r="D1216" s="48" t="s">
        <v>6080</v>
      </c>
      <c r="E1216" s="48" t="s">
        <v>5195</v>
      </c>
      <c r="F1216" s="14">
        <v>10.454399999999998</v>
      </c>
      <c r="G1216" s="48" t="s">
        <v>6157</v>
      </c>
      <c r="H1216" s="49"/>
      <c r="O1216" s="21"/>
    </row>
    <row r="1217" spans="1:15" s="22" customFormat="1" ht="15" x14ac:dyDescent="0.25">
      <c r="A1217" s="48" t="str">
        <f t="shared" si="54"/>
        <v>ospi_vddh2_dyn_ospi_sdr_slave_160_3p3v</v>
      </c>
      <c r="B1217" s="48" t="s">
        <v>5590</v>
      </c>
      <c r="C1217" s="48" t="s">
        <v>5262</v>
      </c>
      <c r="D1217" s="48" t="s">
        <v>6081</v>
      </c>
      <c r="E1217" s="48" t="s">
        <v>5195</v>
      </c>
      <c r="F1217" s="14">
        <v>41.817599999999992</v>
      </c>
      <c r="G1217" s="48" t="s">
        <v>6157</v>
      </c>
      <c r="H1217" s="49"/>
      <c r="O1217" s="21"/>
    </row>
    <row r="1218" spans="1:15" s="22" customFormat="1" ht="15" x14ac:dyDescent="0.25">
      <c r="A1218" s="48" t="str">
        <f t="shared" si="54"/>
        <v>ospi_vddh2_dyn_ospi_sdr_slave_133_3p3v</v>
      </c>
      <c r="B1218" s="48" t="s">
        <v>5590</v>
      </c>
      <c r="C1218" s="48" t="s">
        <v>5262</v>
      </c>
      <c r="D1218" s="48" t="s">
        <v>6082</v>
      </c>
      <c r="E1218" s="48" t="s">
        <v>5195</v>
      </c>
      <c r="F1218" s="14">
        <v>34.760879999999993</v>
      </c>
      <c r="G1218" s="48" t="s">
        <v>6157</v>
      </c>
      <c r="H1218" s="49"/>
      <c r="O1218" s="21"/>
    </row>
    <row r="1219" spans="1:15" s="22" customFormat="1" ht="15" x14ac:dyDescent="0.25">
      <c r="A1219" s="48" t="str">
        <f t="shared" si="54"/>
        <v>ospi_vddh2_dyn_ospi_sdr_slave_100_3p3v</v>
      </c>
      <c r="B1219" s="48" t="s">
        <v>5590</v>
      </c>
      <c r="C1219" s="48" t="s">
        <v>5262</v>
      </c>
      <c r="D1219" s="48" t="s">
        <v>6083</v>
      </c>
      <c r="E1219" s="48" t="s">
        <v>5195</v>
      </c>
      <c r="F1219" s="14">
        <v>26.135999999999996</v>
      </c>
      <c r="G1219" s="48" t="s">
        <v>6157</v>
      </c>
      <c r="H1219" s="49"/>
      <c r="O1219" s="21"/>
    </row>
    <row r="1220" spans="1:15" s="22" customFormat="1" ht="15" x14ac:dyDescent="0.25">
      <c r="A1220" s="48" t="str">
        <f t="shared" si="54"/>
        <v>ospi_vddh2_dyn_ospi_sdr_slave_80_3p3v</v>
      </c>
      <c r="B1220" s="48" t="s">
        <v>5590</v>
      </c>
      <c r="C1220" s="48" t="s">
        <v>5262</v>
      </c>
      <c r="D1220" s="48" t="s">
        <v>6084</v>
      </c>
      <c r="E1220" s="48" t="s">
        <v>5195</v>
      </c>
      <c r="F1220" s="14">
        <v>20.908799999999996</v>
      </c>
      <c r="G1220" s="48" t="s">
        <v>6157</v>
      </c>
      <c r="H1220" s="49"/>
      <c r="O1220" s="21"/>
    </row>
    <row r="1221" spans="1:15" s="22" customFormat="1" ht="15" x14ac:dyDescent="0.25">
      <c r="A1221" s="48" t="str">
        <f t="shared" si="54"/>
        <v>ospi_vddh2_dyn_ospi_sdr_slave_67_3p3v</v>
      </c>
      <c r="B1221" s="48" t="s">
        <v>5590</v>
      </c>
      <c r="C1221" s="48" t="s">
        <v>5262</v>
      </c>
      <c r="D1221" s="48" t="s">
        <v>6085</v>
      </c>
      <c r="E1221" s="48" t="s">
        <v>5195</v>
      </c>
      <c r="F1221" s="14">
        <v>17.511119999999998</v>
      </c>
      <c r="G1221" s="48" t="s">
        <v>6157</v>
      </c>
      <c r="H1221" s="49"/>
      <c r="O1221" s="21"/>
    </row>
    <row r="1222" spans="1:15" s="22" customFormat="1" ht="15" x14ac:dyDescent="0.25">
      <c r="A1222" s="48" t="str">
        <f t="shared" si="54"/>
        <v>ospi_vddh2_dyn_ospi_sdr_slave_60_3p3v</v>
      </c>
      <c r="B1222" s="48" t="s">
        <v>5590</v>
      </c>
      <c r="C1222" s="48" t="s">
        <v>5262</v>
      </c>
      <c r="D1222" s="48" t="s">
        <v>6086</v>
      </c>
      <c r="E1222" s="48" t="s">
        <v>5195</v>
      </c>
      <c r="F1222" s="14">
        <v>15.681599999999998</v>
      </c>
      <c r="G1222" s="48" t="s">
        <v>6157</v>
      </c>
      <c r="H1222" s="49"/>
      <c r="O1222" s="21"/>
    </row>
    <row r="1223" spans="1:15" s="22" customFormat="1" ht="15" x14ac:dyDescent="0.25">
      <c r="A1223" s="48" t="str">
        <f t="shared" si="54"/>
        <v>ospi_vddh2_dyn_ospi_sdr_slave_40_3p3v</v>
      </c>
      <c r="B1223" s="48" t="s">
        <v>5590</v>
      </c>
      <c r="C1223" s="48" t="s">
        <v>5262</v>
      </c>
      <c r="D1223" s="48" t="s">
        <v>6087</v>
      </c>
      <c r="E1223" s="48" t="s">
        <v>5195</v>
      </c>
      <c r="F1223" s="14">
        <v>10.454399999999998</v>
      </c>
      <c r="G1223" s="48" t="s">
        <v>6157</v>
      </c>
      <c r="H1223" s="49"/>
      <c r="O1223" s="21"/>
    </row>
    <row r="1224" spans="1:15" s="22" customFormat="1" ht="15" x14ac:dyDescent="0.25">
      <c r="A1224" s="48" t="str">
        <f t="shared" ref="A1224:A1229" si="55">B1224&amp;"_"&amp;C1224</f>
        <v>peci_Description</v>
      </c>
      <c r="B1224" s="48" t="s">
        <v>5332</v>
      </c>
      <c r="C1224" s="48" t="s">
        <v>42</v>
      </c>
      <c r="D1224" s="48"/>
      <c r="E1224" s="48" t="s">
        <v>5192</v>
      </c>
      <c r="F1224" s="14" t="s">
        <v>5857</v>
      </c>
      <c r="G1224" s="48" t="s">
        <v>5333</v>
      </c>
      <c r="H1224" s="13"/>
      <c r="O1224" s="21"/>
    </row>
    <row r="1225" spans="1:15" s="22" customFormat="1" ht="15" x14ac:dyDescent="0.25">
      <c r="A1225" s="48" t="str">
        <f t="shared" si="55"/>
        <v>peci_First_SoC</v>
      </c>
      <c r="B1225" s="48" t="s">
        <v>5332</v>
      </c>
      <c r="C1225" s="48" t="s">
        <v>5216</v>
      </c>
      <c r="D1225" s="48"/>
      <c r="E1225" s="48" t="s">
        <v>5192</v>
      </c>
      <c r="F1225" s="14" t="s">
        <v>5800</v>
      </c>
      <c r="G1225" s="48"/>
      <c r="H1225" s="13"/>
      <c r="O1225" s="21"/>
    </row>
    <row r="1226" spans="1:15" s="22" customFormat="1" ht="15" x14ac:dyDescent="0.25">
      <c r="A1226" s="48" t="str">
        <f t="shared" si="55"/>
        <v>peci_Function</v>
      </c>
      <c r="B1226" s="48" t="s">
        <v>5332</v>
      </c>
      <c r="C1226" s="48" t="s">
        <v>5222</v>
      </c>
      <c r="D1226" s="48"/>
      <c r="E1226" s="48" t="s">
        <v>5192</v>
      </c>
      <c r="F1226" s="14" t="s">
        <v>5805</v>
      </c>
      <c r="G1226" s="48"/>
      <c r="H1226" s="13"/>
      <c r="O1226" s="21"/>
    </row>
    <row r="1227" spans="1:15" s="22" customFormat="1" ht="15" x14ac:dyDescent="0.25">
      <c r="A1227" s="48" t="str">
        <f t="shared" si="55"/>
        <v>peci_pinmux</v>
      </c>
      <c r="B1227" s="48" t="s">
        <v>5332</v>
      </c>
      <c r="C1227" s="48" t="s">
        <v>5270</v>
      </c>
      <c r="D1227" s="48"/>
      <c r="E1227" s="48" t="s">
        <v>5192</v>
      </c>
      <c r="F1227" s="14">
        <v>2</v>
      </c>
      <c r="G1227" s="48"/>
      <c r="H1227" s="49"/>
      <c r="O1227" s="21"/>
    </row>
    <row r="1228" spans="1:15" customFormat="1" ht="15" x14ac:dyDescent="0.25">
      <c r="A1228" s="48" t="str">
        <f t="shared" si="55"/>
        <v>peci_tag</v>
      </c>
      <c r="B1228" s="49" t="s">
        <v>5332</v>
      </c>
      <c r="C1228" s="49" t="s">
        <v>5234</v>
      </c>
      <c r="D1228" s="49"/>
      <c r="E1228" s="49" t="s">
        <v>5192</v>
      </c>
      <c r="F1228" s="14">
        <v>44499</v>
      </c>
      <c r="G1228" s="49" t="s">
        <v>5254</v>
      </c>
      <c r="H1228" s="49"/>
      <c r="I1228" s="22"/>
      <c r="O1228" s="21"/>
    </row>
    <row r="1229" spans="1:15" customFormat="1" ht="15" x14ac:dyDescent="0.25">
      <c r="A1229" s="48" t="str">
        <f t="shared" si="55"/>
        <v>peci_Type</v>
      </c>
      <c r="B1229" s="48" t="s">
        <v>5332</v>
      </c>
      <c r="C1229" s="48" t="s">
        <v>0</v>
      </c>
      <c r="D1229" s="48"/>
      <c r="E1229" s="48" t="s">
        <v>5192</v>
      </c>
      <c r="F1229" s="14" t="s">
        <v>5785</v>
      </c>
      <c r="G1229" s="48" t="s">
        <v>5288</v>
      </c>
      <c r="H1229" s="13"/>
      <c r="I1229" s="22"/>
      <c r="O1229" s="21"/>
    </row>
    <row r="1230" spans="1:15" customFormat="1" ht="15" x14ac:dyDescent="0.25">
      <c r="A1230" s="48" t="str">
        <f>B1230&amp;"_"&amp;C1230&amp;"_"&amp;D1230</f>
        <v>peci_vdd_dyn_on_1p8v</v>
      </c>
      <c r="B1230" s="48" t="s">
        <v>5332</v>
      </c>
      <c r="C1230" s="48" t="s">
        <v>5255</v>
      </c>
      <c r="D1230" s="48" t="s">
        <v>5160</v>
      </c>
      <c r="E1230" s="48" t="s">
        <v>5195</v>
      </c>
      <c r="F1230" s="14">
        <v>1.9910670911999997E-7</v>
      </c>
      <c r="G1230" s="48"/>
      <c r="H1230" s="49"/>
      <c r="I1230" s="22"/>
      <c r="O1230" s="21"/>
    </row>
    <row r="1231" spans="1:15" customFormat="1" ht="15" x14ac:dyDescent="0.25">
      <c r="A1231" s="48" t="str">
        <f>B1231&amp;"_"&amp;C1231&amp;"_"&amp;D1231</f>
        <v>peci_vdd_dyn_on_3p3v</v>
      </c>
      <c r="B1231" s="48" t="s">
        <v>5332</v>
      </c>
      <c r="C1231" s="48" t="s">
        <v>5255</v>
      </c>
      <c r="D1231" s="48" t="s">
        <v>5159</v>
      </c>
      <c r="E1231" s="48" t="s">
        <v>5195</v>
      </c>
      <c r="F1231" s="14">
        <v>5.5307419200000008E-8</v>
      </c>
      <c r="G1231" s="48"/>
      <c r="H1231" s="49"/>
      <c r="I1231" s="22"/>
      <c r="O1231" s="21"/>
    </row>
    <row r="1232" spans="1:15" customFormat="1" ht="15" x14ac:dyDescent="0.25">
      <c r="A1232" s="48" t="str">
        <f>B1232&amp;"_"&amp;C1232&amp;"_"&amp;D1232</f>
        <v>peci_vddh1_dyn_on_1p8v</v>
      </c>
      <c r="B1232" s="48" t="s">
        <v>5332</v>
      </c>
      <c r="C1232" s="48" t="s">
        <v>5256</v>
      </c>
      <c r="D1232" s="48" t="s">
        <v>5160</v>
      </c>
      <c r="E1232" s="48" t="s">
        <v>5195</v>
      </c>
      <c r="F1232" s="14">
        <v>0.1500841872</v>
      </c>
      <c r="G1232" s="48"/>
      <c r="H1232" s="49"/>
      <c r="I1232" s="22"/>
      <c r="O1232" s="21"/>
    </row>
    <row r="1233" spans="1:15" customFormat="1" ht="15" x14ac:dyDescent="0.25">
      <c r="A1233" s="48" t="str">
        <f>B1233&amp;"_"&amp;C1233&amp;"_"&amp;D1233</f>
        <v>peci_vddh2_dyn_on_3p3v</v>
      </c>
      <c r="B1233" s="48" t="s">
        <v>5332</v>
      </c>
      <c r="C1233" s="48" t="s">
        <v>5262</v>
      </c>
      <c r="D1233" s="48" t="s">
        <v>5159</v>
      </c>
      <c r="E1233" s="48" t="s">
        <v>5195</v>
      </c>
      <c r="F1233" s="14">
        <v>2.6135999999999998E-3</v>
      </c>
      <c r="G1233" s="48"/>
      <c r="H1233" s="49"/>
      <c r="I1233" s="22"/>
      <c r="O1233" s="21"/>
    </row>
    <row r="1234" spans="1:15" customFormat="1" ht="15" x14ac:dyDescent="0.25">
      <c r="A1234" s="48" t="str">
        <f t="shared" ref="A1234:A1242" si="56">B1234&amp;"_"&amp;C1234</f>
        <v>pllts16ffclafracf_Area</v>
      </c>
      <c r="B1234" s="48" t="s">
        <v>5459</v>
      </c>
      <c r="C1234" s="50" t="s">
        <v>5211</v>
      </c>
      <c r="D1234" s="48"/>
      <c r="E1234" s="48" t="s">
        <v>5192</v>
      </c>
      <c r="F1234" s="14">
        <v>3.9599999999999996E-2</v>
      </c>
      <c r="G1234" s="48" t="s">
        <v>5334</v>
      </c>
      <c r="H1234" s="49"/>
      <c r="I1234" s="22"/>
      <c r="O1234" s="21"/>
    </row>
    <row r="1235" spans="1:15" customFormat="1" ht="15" x14ac:dyDescent="0.25">
      <c r="A1235" s="48" t="str">
        <f t="shared" si="56"/>
        <v>pllts16ffclafracf_Beachfront</v>
      </c>
      <c r="B1235" s="48" t="s">
        <v>5459</v>
      </c>
      <c r="C1235" s="50" t="s">
        <v>5250</v>
      </c>
      <c r="D1235" s="48"/>
      <c r="E1235" s="48" t="s">
        <v>5192</v>
      </c>
      <c r="F1235" s="14">
        <v>0</v>
      </c>
      <c r="G1235" s="48" t="s">
        <v>5251</v>
      </c>
      <c r="H1235" s="49"/>
      <c r="I1235" s="22"/>
      <c r="O1235" s="21"/>
    </row>
    <row r="1236" spans="1:15" customFormat="1" ht="15" x14ac:dyDescent="0.25">
      <c r="A1236" s="48" t="str">
        <f t="shared" si="56"/>
        <v>pllts16ffclafracf_Description</v>
      </c>
      <c r="B1236" s="48" t="s">
        <v>5459</v>
      </c>
      <c r="C1236" s="50" t="s">
        <v>42</v>
      </c>
      <c r="D1236" s="48"/>
      <c r="E1236" s="48" t="s">
        <v>5192</v>
      </c>
      <c r="F1236" s="14" t="s">
        <v>5790</v>
      </c>
      <c r="G1236" s="48" t="s">
        <v>5334</v>
      </c>
      <c r="H1236" s="13"/>
      <c r="I1236" s="22"/>
      <c r="O1236" s="21"/>
    </row>
    <row r="1237" spans="1:15" customFormat="1" ht="15" x14ac:dyDescent="0.25">
      <c r="A1237" s="48" t="str">
        <f t="shared" si="56"/>
        <v>pllts16ffclafracf_First_SoC</v>
      </c>
      <c r="B1237" s="48" t="s">
        <v>5459</v>
      </c>
      <c r="C1237" s="48" t="s">
        <v>5216</v>
      </c>
      <c r="D1237" s="48"/>
      <c r="E1237" s="48" t="s">
        <v>5192</v>
      </c>
      <c r="F1237" s="14" t="s">
        <v>5841</v>
      </c>
      <c r="G1237" s="48" t="s">
        <v>5252</v>
      </c>
      <c r="H1237" s="13"/>
      <c r="I1237" s="22"/>
      <c r="O1237" s="21"/>
    </row>
    <row r="1238" spans="1:15" customFormat="1" ht="15" x14ac:dyDescent="0.25">
      <c r="A1238" s="48" t="str">
        <f t="shared" si="56"/>
        <v>pllts16ffclafracf_Function</v>
      </c>
      <c r="B1238" s="48" t="s">
        <v>5459</v>
      </c>
      <c r="C1238" s="50" t="s">
        <v>5222</v>
      </c>
      <c r="D1238" s="48"/>
      <c r="E1238" s="48" t="s">
        <v>5192</v>
      </c>
      <c r="F1238" s="14" t="s">
        <v>5380</v>
      </c>
      <c r="G1238" s="48" t="s">
        <v>5334</v>
      </c>
      <c r="H1238" s="13"/>
      <c r="I1238" s="22"/>
      <c r="O1238" s="21"/>
    </row>
    <row r="1239" spans="1:15" customFormat="1" ht="15" x14ac:dyDescent="0.25">
      <c r="A1239" s="48" t="str">
        <f t="shared" si="56"/>
        <v>pllts16ffclafracf_macro_area</v>
      </c>
      <c r="B1239" s="52" t="s">
        <v>5459</v>
      </c>
      <c r="C1239" s="52" t="s">
        <v>5228</v>
      </c>
      <c r="D1239" s="52"/>
      <c r="E1239" s="52" t="s">
        <v>5192</v>
      </c>
      <c r="F1239" s="14">
        <v>3.9599999999999996E-2</v>
      </c>
      <c r="G1239" s="48" t="s">
        <v>5334</v>
      </c>
      <c r="H1239" s="49"/>
      <c r="I1239" s="22"/>
      <c r="O1239" s="21"/>
    </row>
    <row r="1240" spans="1:15" customFormat="1" ht="15" x14ac:dyDescent="0.25">
      <c r="A1240" s="48" t="str">
        <f t="shared" si="56"/>
        <v>pllts16ffclafracf_Pins</v>
      </c>
      <c r="B1240" s="48" t="s">
        <v>5459</v>
      </c>
      <c r="C1240" s="50" t="s">
        <v>5253</v>
      </c>
      <c r="D1240" s="48"/>
      <c r="E1240" s="48" t="s">
        <v>5192</v>
      </c>
      <c r="F1240" s="14">
        <v>0</v>
      </c>
      <c r="G1240" s="48" t="s">
        <v>5334</v>
      </c>
      <c r="H1240" s="49"/>
      <c r="I1240" s="22"/>
      <c r="O1240" s="21"/>
    </row>
    <row r="1241" spans="1:15" customFormat="1" ht="15" x14ac:dyDescent="0.25">
      <c r="A1241" s="48" t="str">
        <f t="shared" si="56"/>
        <v>pllts16ffclafracf_tag</v>
      </c>
      <c r="B1241" s="49" t="s">
        <v>5459</v>
      </c>
      <c r="C1241" s="49" t="s">
        <v>5234</v>
      </c>
      <c r="D1241" s="49"/>
      <c r="E1241" s="49" t="s">
        <v>5192</v>
      </c>
      <c r="F1241" s="14">
        <v>44499</v>
      </c>
      <c r="G1241" s="49" t="s">
        <v>5254</v>
      </c>
      <c r="H1241" s="49"/>
      <c r="I1241" s="22"/>
      <c r="O1241" s="21"/>
    </row>
    <row r="1242" spans="1:15" customFormat="1" ht="15" x14ac:dyDescent="0.25">
      <c r="A1242" s="48" t="str">
        <f t="shared" si="56"/>
        <v>pllts16ffclafracf_Type</v>
      </c>
      <c r="B1242" s="48" t="s">
        <v>5459</v>
      </c>
      <c r="C1242" s="50" t="s">
        <v>0</v>
      </c>
      <c r="D1242" s="48"/>
      <c r="E1242" s="48" t="s">
        <v>5192</v>
      </c>
      <c r="F1242" s="14" t="s">
        <v>5783</v>
      </c>
      <c r="G1242" s="48" t="s">
        <v>5334</v>
      </c>
      <c r="H1242" s="13"/>
      <c r="I1242" s="22"/>
      <c r="O1242" s="21"/>
    </row>
    <row r="1243" spans="1:15" customFormat="1" ht="15" x14ac:dyDescent="0.25">
      <c r="A1243" s="48" t="str">
        <f t="shared" ref="A1243:A1258" si="57">B1243&amp;"_"&amp;C1243&amp;"_"&amp;D1243</f>
        <v>pllts16ffclafracf_vdd_dyn_0</v>
      </c>
      <c r="B1243" s="48" t="s">
        <v>5459</v>
      </c>
      <c r="C1243" s="48" t="s">
        <v>5255</v>
      </c>
      <c r="D1243" s="48">
        <v>0</v>
      </c>
      <c r="E1243" s="48" t="s">
        <v>5192</v>
      </c>
      <c r="F1243" s="14">
        <v>0</v>
      </c>
      <c r="G1243" s="48" t="s">
        <v>5335</v>
      </c>
      <c r="H1243" s="49"/>
      <c r="I1243" s="22"/>
      <c r="O1243" s="21"/>
    </row>
    <row r="1244" spans="1:15" customFormat="1" ht="15" x14ac:dyDescent="0.25">
      <c r="A1244" s="48" t="str">
        <f t="shared" si="57"/>
        <v>pllts16ffclafracf_vdd_dyn_250</v>
      </c>
      <c r="B1244" s="48" t="s">
        <v>5459</v>
      </c>
      <c r="C1244" s="48" t="s">
        <v>5255</v>
      </c>
      <c r="D1244" s="48">
        <v>250</v>
      </c>
      <c r="E1244" s="48" t="s">
        <v>5192</v>
      </c>
      <c r="F1244" s="14">
        <v>0.3</v>
      </c>
      <c r="G1244" s="48" t="s">
        <v>5335</v>
      </c>
      <c r="H1244" s="49"/>
      <c r="I1244" s="22"/>
      <c r="O1244" s="21"/>
    </row>
    <row r="1245" spans="1:15" s="22" customFormat="1" ht="15" x14ac:dyDescent="0.25">
      <c r="A1245" s="48" t="str">
        <f t="shared" si="57"/>
        <v>pllts16ffclafracf_vdd_dyn_500</v>
      </c>
      <c r="B1245" s="48" t="s">
        <v>5459</v>
      </c>
      <c r="C1245" s="48" t="s">
        <v>5255</v>
      </c>
      <c r="D1245" s="48">
        <v>500</v>
      </c>
      <c r="E1245" s="48" t="s">
        <v>5192</v>
      </c>
      <c r="F1245" s="14">
        <v>0.47520000000000001</v>
      </c>
      <c r="G1245" s="48" t="s">
        <v>5334</v>
      </c>
      <c r="H1245" s="49"/>
      <c r="O1245" s="21"/>
    </row>
    <row r="1246" spans="1:15" customFormat="1" ht="15" x14ac:dyDescent="0.25">
      <c r="A1246" s="48" t="str">
        <f t="shared" si="57"/>
        <v>pllts16ffclafracf_vdd_dyn_750</v>
      </c>
      <c r="B1246" s="48" t="s">
        <v>5459</v>
      </c>
      <c r="C1246" s="48" t="s">
        <v>5255</v>
      </c>
      <c r="D1246" s="48">
        <v>750</v>
      </c>
      <c r="E1246" s="48" t="s">
        <v>5192</v>
      </c>
      <c r="F1246" s="14">
        <v>0.7128000000000001</v>
      </c>
      <c r="G1246" s="48" t="s">
        <v>5334</v>
      </c>
      <c r="H1246" s="49"/>
      <c r="I1246" s="22"/>
      <c r="O1246" s="21"/>
    </row>
    <row r="1247" spans="1:15" customFormat="1" ht="15" x14ac:dyDescent="0.25">
      <c r="A1247" s="48" t="str">
        <f t="shared" si="57"/>
        <v>pllts16ffclafracf_vdd_dyn_1000</v>
      </c>
      <c r="B1247" s="48" t="s">
        <v>5459</v>
      </c>
      <c r="C1247" s="48" t="s">
        <v>5255</v>
      </c>
      <c r="D1247" s="48">
        <v>1000</v>
      </c>
      <c r="E1247" s="48" t="s">
        <v>5192</v>
      </c>
      <c r="F1247" s="14">
        <v>0.95040000000000002</v>
      </c>
      <c r="G1247" s="48" t="s">
        <v>5334</v>
      </c>
      <c r="H1247" s="49"/>
      <c r="I1247" s="22"/>
      <c r="O1247" s="21"/>
    </row>
    <row r="1248" spans="1:15" customFormat="1" ht="15" x14ac:dyDescent="0.25">
      <c r="A1248" s="48" t="str">
        <f t="shared" si="57"/>
        <v>pllts16ffclafracf_vdd_dyn_1250</v>
      </c>
      <c r="B1248" s="48" t="s">
        <v>5459</v>
      </c>
      <c r="C1248" s="48" t="s">
        <v>5255</v>
      </c>
      <c r="D1248" s="48">
        <v>1250</v>
      </c>
      <c r="E1248" s="48" t="s">
        <v>5192</v>
      </c>
      <c r="F1248" s="14">
        <v>1.1880000000000002</v>
      </c>
      <c r="G1248" s="48" t="s">
        <v>5334</v>
      </c>
      <c r="H1248" s="49"/>
      <c r="I1248" s="22"/>
      <c r="O1248" s="21"/>
    </row>
    <row r="1249" spans="1:15" s="22" customFormat="1" ht="15" x14ac:dyDescent="0.25">
      <c r="A1249" s="48" t="str">
        <f t="shared" si="57"/>
        <v>pllts16ffclafracf_vdd_dyn_1500</v>
      </c>
      <c r="B1249" s="48" t="s">
        <v>5459</v>
      </c>
      <c r="C1249" s="48" t="s">
        <v>5255</v>
      </c>
      <c r="D1249" s="48">
        <v>1500</v>
      </c>
      <c r="E1249" s="48" t="s">
        <v>5192</v>
      </c>
      <c r="F1249" s="14">
        <v>1.4256000000000002</v>
      </c>
      <c r="G1249" s="48" t="s">
        <v>5334</v>
      </c>
      <c r="H1249" s="49"/>
      <c r="O1249" s="21"/>
    </row>
    <row r="1250" spans="1:15" s="22" customFormat="1" ht="15" x14ac:dyDescent="0.25">
      <c r="A1250" s="48" t="str">
        <f t="shared" si="57"/>
        <v>pllts16ffclafracf_vdd_dyn_1750</v>
      </c>
      <c r="B1250" s="48" t="s">
        <v>5459</v>
      </c>
      <c r="C1250" s="48" t="s">
        <v>5255</v>
      </c>
      <c r="D1250" s="48">
        <v>1750</v>
      </c>
      <c r="E1250" s="48" t="s">
        <v>5192</v>
      </c>
      <c r="F1250" s="14">
        <v>1.6632000000000002</v>
      </c>
      <c r="G1250" s="48" t="s">
        <v>5334</v>
      </c>
      <c r="H1250" s="49"/>
      <c r="O1250" s="21"/>
    </row>
    <row r="1251" spans="1:15" customFormat="1" ht="15" x14ac:dyDescent="0.25">
      <c r="A1251" s="48" t="str">
        <f t="shared" si="57"/>
        <v>pllts16ffclafracf_vdd_dyn_2000</v>
      </c>
      <c r="B1251" s="48" t="s">
        <v>5459</v>
      </c>
      <c r="C1251" s="48" t="s">
        <v>5255</v>
      </c>
      <c r="D1251" s="48">
        <v>2000</v>
      </c>
      <c r="E1251" s="48" t="s">
        <v>5192</v>
      </c>
      <c r="F1251" s="14">
        <v>1.9008</v>
      </c>
      <c r="G1251" s="48" t="s">
        <v>5334</v>
      </c>
      <c r="H1251" s="49"/>
      <c r="I1251" s="22"/>
      <c r="O1251" s="21"/>
    </row>
    <row r="1252" spans="1:15" customFormat="1" ht="15" x14ac:dyDescent="0.25">
      <c r="A1252" s="48" t="str">
        <f t="shared" si="57"/>
        <v>pllts16ffclafracf_vdd_dyn_2250</v>
      </c>
      <c r="B1252" s="48" t="s">
        <v>5459</v>
      </c>
      <c r="C1252" s="48" t="s">
        <v>5255</v>
      </c>
      <c r="D1252" s="48">
        <v>2250</v>
      </c>
      <c r="E1252" s="48" t="s">
        <v>5192</v>
      </c>
      <c r="F1252" s="14">
        <v>2.1384000000000003</v>
      </c>
      <c r="G1252" s="48" t="s">
        <v>5334</v>
      </c>
      <c r="H1252" s="49"/>
      <c r="I1252" s="22"/>
      <c r="O1252" s="21"/>
    </row>
    <row r="1253" spans="1:15" customFormat="1" ht="15" x14ac:dyDescent="0.25">
      <c r="A1253" s="48" t="str">
        <f t="shared" si="57"/>
        <v>pllts16ffclafracf_vdd_dyn_2500</v>
      </c>
      <c r="B1253" s="48" t="s">
        <v>5459</v>
      </c>
      <c r="C1253" s="48" t="s">
        <v>5255</v>
      </c>
      <c r="D1253" s="48">
        <v>2500</v>
      </c>
      <c r="E1253" s="48" t="s">
        <v>5192</v>
      </c>
      <c r="F1253" s="14">
        <v>2.3760000000000003</v>
      </c>
      <c r="G1253" s="48" t="s">
        <v>5334</v>
      </c>
      <c r="H1253" s="49"/>
      <c r="I1253" s="22"/>
      <c r="O1253" s="21"/>
    </row>
    <row r="1254" spans="1:15" customFormat="1" ht="15" x14ac:dyDescent="0.25">
      <c r="A1254" s="48" t="str">
        <f t="shared" si="57"/>
        <v>pllts16ffclafracf_vdd_dyn_2750</v>
      </c>
      <c r="B1254" s="48" t="s">
        <v>5459</v>
      </c>
      <c r="C1254" s="48" t="s">
        <v>5255</v>
      </c>
      <c r="D1254" s="48">
        <v>2750</v>
      </c>
      <c r="E1254" s="48" t="s">
        <v>5192</v>
      </c>
      <c r="F1254" s="14">
        <v>2.6136000000000004</v>
      </c>
      <c r="G1254" s="48" t="s">
        <v>5334</v>
      </c>
      <c r="H1254" s="49"/>
      <c r="I1254" s="22"/>
      <c r="O1254" s="21"/>
    </row>
    <row r="1255" spans="1:15" customFormat="1" ht="15" x14ac:dyDescent="0.25">
      <c r="A1255" s="48" t="str">
        <f t="shared" si="57"/>
        <v>pllts16ffclafracf_vdd_dyn_3000</v>
      </c>
      <c r="B1255" s="48" t="s">
        <v>5459</v>
      </c>
      <c r="C1255" s="48" t="s">
        <v>5255</v>
      </c>
      <c r="D1255" s="48">
        <v>3000</v>
      </c>
      <c r="E1255" s="48" t="s">
        <v>5192</v>
      </c>
      <c r="F1255" s="14">
        <v>2.8512000000000004</v>
      </c>
      <c r="G1255" s="48" t="s">
        <v>5334</v>
      </c>
      <c r="H1255" s="49"/>
      <c r="I1255" s="22"/>
      <c r="O1255" s="21"/>
    </row>
    <row r="1256" spans="1:15" customFormat="1" ht="15" x14ac:dyDescent="0.25">
      <c r="A1256" s="48" t="str">
        <f t="shared" si="57"/>
        <v>pllts16ffclafracf_vdd_dyn_3250</v>
      </c>
      <c r="B1256" s="48" t="s">
        <v>5459</v>
      </c>
      <c r="C1256" s="48" t="s">
        <v>5255</v>
      </c>
      <c r="D1256" s="48">
        <v>3250</v>
      </c>
      <c r="E1256" s="48" t="s">
        <v>5192</v>
      </c>
      <c r="F1256" s="14">
        <v>3.0888000000000004</v>
      </c>
      <c r="G1256" s="48" t="s">
        <v>5334</v>
      </c>
      <c r="H1256" s="49"/>
      <c r="I1256" s="22"/>
      <c r="O1256" s="21"/>
    </row>
    <row r="1257" spans="1:15" customFormat="1" ht="15" x14ac:dyDescent="0.25">
      <c r="A1257" s="48" t="str">
        <f t="shared" si="57"/>
        <v>pllts16ffclafracf_vdd_dyn_3500</v>
      </c>
      <c r="B1257" s="48" t="s">
        <v>5459</v>
      </c>
      <c r="C1257" s="48" t="s">
        <v>5255</v>
      </c>
      <c r="D1257" s="48">
        <v>3500</v>
      </c>
      <c r="E1257" s="48" t="s">
        <v>5192</v>
      </c>
      <c r="F1257" s="14">
        <v>3.3264000000000005</v>
      </c>
      <c r="G1257" s="48" t="s">
        <v>5334</v>
      </c>
      <c r="H1257" s="49"/>
      <c r="I1257" s="22"/>
      <c r="O1257" s="21"/>
    </row>
    <row r="1258" spans="1:15" customFormat="1" ht="15" x14ac:dyDescent="0.25">
      <c r="A1258" s="48" t="str">
        <f t="shared" si="57"/>
        <v>pllts16ffclafracf_vdd_dyn_3750</v>
      </c>
      <c r="B1258" s="48" t="s">
        <v>5459</v>
      </c>
      <c r="C1258" s="48" t="s">
        <v>5255</v>
      </c>
      <c r="D1258" s="48">
        <v>3750</v>
      </c>
      <c r="E1258" s="48" t="s">
        <v>5192</v>
      </c>
      <c r="F1258" s="14">
        <v>3.5640000000000005</v>
      </c>
      <c r="G1258" s="48" t="s">
        <v>5334</v>
      </c>
      <c r="H1258" s="49"/>
      <c r="I1258" s="22"/>
      <c r="O1258" s="21"/>
    </row>
    <row r="1259" spans="1:15" customFormat="1" ht="15" x14ac:dyDescent="0.25">
      <c r="A1259" s="48" t="str">
        <f>B1259&amp;"_"&amp;C1259</f>
        <v>pllts16ffclafracf_vdd_lkg</v>
      </c>
      <c r="B1259" s="48" t="s">
        <v>5459</v>
      </c>
      <c r="C1259" s="48" t="s">
        <v>5245</v>
      </c>
      <c r="D1259" s="48" t="s">
        <v>4872</v>
      </c>
      <c r="E1259" s="48" t="s">
        <v>5192</v>
      </c>
      <c r="F1259" s="14">
        <v>3.8885176066760181E-2</v>
      </c>
      <c r="G1259" s="48" t="s">
        <v>5334</v>
      </c>
      <c r="H1259" s="49"/>
      <c r="I1259" s="22"/>
      <c r="O1259" s="21"/>
    </row>
    <row r="1260" spans="1:15" customFormat="1" ht="15" x14ac:dyDescent="0.25">
      <c r="A1260" s="48" t="str">
        <f t="shared" ref="A1260:A1276" si="58">B1260&amp;"_"&amp;C1260&amp;"_"&amp;D1260</f>
        <v>pllts16ffclafracf_vddh1_dyn_0</v>
      </c>
      <c r="B1260" s="48" t="s">
        <v>5459</v>
      </c>
      <c r="C1260" s="48" t="s">
        <v>5256</v>
      </c>
      <c r="D1260" s="48">
        <v>0</v>
      </c>
      <c r="E1260" s="48" t="s">
        <v>5192</v>
      </c>
      <c r="F1260" s="14">
        <v>0</v>
      </c>
      <c r="G1260" s="48" t="s">
        <v>5334</v>
      </c>
      <c r="H1260" s="49"/>
      <c r="I1260" s="22"/>
      <c r="O1260" s="21"/>
    </row>
    <row r="1261" spans="1:15" s="22" customFormat="1" ht="15" x14ac:dyDescent="0.25">
      <c r="A1261" s="48" t="str">
        <f t="shared" si="58"/>
        <v>pllts16ffclafracf_vddh1_dyn_250</v>
      </c>
      <c r="B1261" s="48" t="s">
        <v>5459</v>
      </c>
      <c r="C1261" s="48" t="s">
        <v>5256</v>
      </c>
      <c r="D1261" s="48">
        <v>250</v>
      </c>
      <c r="E1261" s="48" t="s">
        <v>5192</v>
      </c>
      <c r="F1261" s="14">
        <v>0.3</v>
      </c>
      <c r="G1261" s="48" t="s">
        <v>5334</v>
      </c>
      <c r="H1261" s="49"/>
      <c r="O1261" s="21"/>
    </row>
    <row r="1262" spans="1:15" s="22" customFormat="1" ht="15" x14ac:dyDescent="0.25">
      <c r="A1262" s="48" t="str">
        <f t="shared" si="58"/>
        <v>pllts16ffclafracf_vddh1_dyn_500</v>
      </c>
      <c r="B1262" s="48" t="s">
        <v>5459</v>
      </c>
      <c r="C1262" s="48" t="s">
        <v>5256</v>
      </c>
      <c r="D1262" s="48">
        <v>500</v>
      </c>
      <c r="E1262" s="48" t="s">
        <v>5192</v>
      </c>
      <c r="F1262" s="14">
        <v>0.76265243257342086</v>
      </c>
      <c r="G1262" s="48" t="s">
        <v>5334</v>
      </c>
      <c r="H1262" s="49"/>
      <c r="O1262" s="21"/>
    </row>
    <row r="1263" spans="1:15" s="22" customFormat="1" ht="15" x14ac:dyDescent="0.25">
      <c r="A1263" s="48" t="str">
        <f t="shared" si="58"/>
        <v>pllts16ffclafracf_vddh1_dyn_750</v>
      </c>
      <c r="B1263" s="48" t="s">
        <v>5459</v>
      </c>
      <c r="C1263" s="48" t="s">
        <v>5256</v>
      </c>
      <c r="D1263" s="48">
        <v>750</v>
      </c>
      <c r="E1263" s="48" t="s">
        <v>5192</v>
      </c>
      <c r="F1263" s="14">
        <v>1.4010819831729253</v>
      </c>
      <c r="G1263" s="48" t="s">
        <v>5334</v>
      </c>
      <c r="H1263" s="49"/>
      <c r="O1263" s="21"/>
    </row>
    <row r="1264" spans="1:15" customFormat="1" ht="15" x14ac:dyDescent="0.25">
      <c r="A1264" s="48" t="str">
        <f t="shared" si="58"/>
        <v>pllts16ffclafracf_vddh1_dyn_1000</v>
      </c>
      <c r="B1264" s="48" t="s">
        <v>5459</v>
      </c>
      <c r="C1264" s="48" t="s">
        <v>5256</v>
      </c>
      <c r="D1264" s="48">
        <v>1000</v>
      </c>
      <c r="E1264" s="48" t="s">
        <v>5192</v>
      </c>
      <c r="F1264" s="14">
        <v>2.1571068270443288</v>
      </c>
      <c r="G1264" s="48" t="s">
        <v>5334</v>
      </c>
      <c r="H1264" s="56"/>
      <c r="I1264" s="22"/>
      <c r="O1264" s="21"/>
    </row>
    <row r="1265" spans="1:15" customFormat="1" ht="15" x14ac:dyDescent="0.25">
      <c r="A1265" s="48" t="str">
        <f t="shared" si="58"/>
        <v>pllts16ffclafracf_vddh1_dyn_1250</v>
      </c>
      <c r="B1265" s="48" t="s">
        <v>5459</v>
      </c>
      <c r="C1265" s="48" t="s">
        <v>5256</v>
      </c>
      <c r="D1265" s="48">
        <v>1250</v>
      </c>
      <c r="E1265" s="48" t="s">
        <v>5192</v>
      </c>
      <c r="F1265" s="14">
        <v>3.0146484375</v>
      </c>
      <c r="G1265" s="48" t="s">
        <v>5334</v>
      </c>
      <c r="H1265" s="56"/>
      <c r="I1265" s="22"/>
      <c r="O1265" s="21"/>
    </row>
    <row r="1266" spans="1:15" customFormat="1" ht="15" x14ac:dyDescent="0.25">
      <c r="A1266" s="48" t="str">
        <f t="shared" si="58"/>
        <v>pllts16ffclafracf_vddh1_dyn_1500</v>
      </c>
      <c r="B1266" s="48" t="s">
        <v>5459</v>
      </c>
      <c r="C1266" s="48" t="s">
        <v>5256</v>
      </c>
      <c r="D1266" s="48">
        <v>1500</v>
      </c>
      <c r="E1266" s="48" t="s">
        <v>5192</v>
      </c>
      <c r="F1266" s="14">
        <v>3.9628582851994874</v>
      </c>
      <c r="G1266" s="48" t="s">
        <v>5334</v>
      </c>
      <c r="H1266" s="56"/>
      <c r="I1266" s="22"/>
      <c r="O1266" s="21"/>
    </row>
    <row r="1267" spans="1:15" customFormat="1" ht="15" x14ac:dyDescent="0.25">
      <c r="A1267" s="48" t="str">
        <f t="shared" si="58"/>
        <v>pllts16ffclafracf_vddh1_dyn_1750</v>
      </c>
      <c r="B1267" s="48" t="s">
        <v>5459</v>
      </c>
      <c r="C1267" s="48" t="s">
        <v>5256</v>
      </c>
      <c r="D1267" s="48">
        <v>1750</v>
      </c>
      <c r="E1267" s="48" t="s">
        <v>5192</v>
      </c>
      <c r="F1267" s="14">
        <v>4.9937721887890474</v>
      </c>
      <c r="G1267" s="48" t="s">
        <v>5334</v>
      </c>
      <c r="H1267" s="56"/>
      <c r="I1267" s="22"/>
      <c r="O1267" s="21"/>
    </row>
    <row r="1268" spans="1:15" customFormat="1" ht="15" x14ac:dyDescent="0.25">
      <c r="A1268" s="48" t="str">
        <f t="shared" si="58"/>
        <v>pllts16ffclafracf_vddh1_dyn_2000</v>
      </c>
      <c r="B1268" s="48" t="s">
        <v>5459</v>
      </c>
      <c r="C1268" s="48" t="s">
        <v>5256</v>
      </c>
      <c r="D1268" s="48">
        <v>2000</v>
      </c>
      <c r="E1268" s="48" t="s">
        <v>5192</v>
      </c>
      <c r="F1268" s="14">
        <v>6.1012194605873669</v>
      </c>
      <c r="G1268" s="48" t="s">
        <v>5334</v>
      </c>
      <c r="H1268" s="56"/>
      <c r="I1268" s="22"/>
      <c r="O1268" s="21"/>
    </row>
    <row r="1269" spans="1:15" customFormat="1" ht="15" x14ac:dyDescent="0.25">
      <c r="A1269" s="48" t="str">
        <f t="shared" si="58"/>
        <v>pllts16ffclafracf_vddh1_dyn_2250</v>
      </c>
      <c r="B1269" s="48" t="s">
        <v>5459</v>
      </c>
      <c r="C1269" s="48" t="s">
        <v>5256</v>
      </c>
      <c r="D1269" s="48">
        <v>2250</v>
      </c>
      <c r="E1269" s="48" t="s">
        <v>5192</v>
      </c>
      <c r="F1269" s="14">
        <v>7.2802355412746094</v>
      </c>
      <c r="G1269" s="48" t="s">
        <v>5334</v>
      </c>
      <c r="H1269" s="56"/>
      <c r="I1269" s="22"/>
      <c r="O1269" s="21"/>
    </row>
    <row r="1270" spans="1:15" customFormat="1" ht="15" x14ac:dyDescent="0.25">
      <c r="A1270" s="48" t="str">
        <f t="shared" si="58"/>
        <v>pllts16ffclafracf_vddh1_dyn_2500</v>
      </c>
      <c r="B1270" s="48" t="s">
        <v>5459</v>
      </c>
      <c r="C1270" s="48" t="s">
        <v>5256</v>
      </c>
      <c r="D1270" s="48">
        <v>2500</v>
      </c>
      <c r="E1270" s="48" t="s">
        <v>5192</v>
      </c>
      <c r="F1270" s="14">
        <v>8.5267134121987205</v>
      </c>
      <c r="G1270" s="48" t="s">
        <v>5334</v>
      </c>
      <c r="H1270" s="56"/>
      <c r="I1270" s="22"/>
      <c r="O1270" s="21"/>
    </row>
    <row r="1271" spans="1:15" customFormat="1" ht="15" x14ac:dyDescent="0.25">
      <c r="A1271" s="48" t="str">
        <f t="shared" si="58"/>
        <v>pllts16ffclafracf_vddh1_dyn_2750</v>
      </c>
      <c r="B1271" s="48" t="s">
        <v>5459</v>
      </c>
      <c r="C1271" s="48" t="s">
        <v>5256</v>
      </c>
      <c r="D1271" s="48">
        <v>2750</v>
      </c>
      <c r="E1271" s="48" t="s">
        <v>5192</v>
      </c>
      <c r="F1271" s="14">
        <v>9.8371817100077603</v>
      </c>
      <c r="G1271" s="48" t="s">
        <v>5334</v>
      </c>
      <c r="H1271" s="56"/>
      <c r="I1271" s="22"/>
      <c r="O1271" s="21"/>
    </row>
    <row r="1272" spans="1:15" customFormat="1" ht="15" x14ac:dyDescent="0.25">
      <c r="A1272" s="48" t="str">
        <f t="shared" si="58"/>
        <v>pllts16ffclafracf_vddh1_dyn_3000</v>
      </c>
      <c r="B1272" s="48" t="s">
        <v>5459</v>
      </c>
      <c r="C1272" s="48" t="s">
        <v>5256</v>
      </c>
      <c r="D1272" s="48">
        <v>3000</v>
      </c>
      <c r="E1272" s="48" t="s">
        <v>5192</v>
      </c>
      <c r="F1272" s="14">
        <v>11.208655865383403</v>
      </c>
      <c r="G1272" s="48" t="s">
        <v>5334</v>
      </c>
      <c r="H1272" s="56"/>
      <c r="I1272" s="22"/>
      <c r="O1272" s="21"/>
    </row>
    <row r="1273" spans="1:15" customFormat="1" ht="15" x14ac:dyDescent="0.25">
      <c r="A1273" s="48" t="str">
        <f t="shared" si="58"/>
        <v>pllts16ffclafracf_vddh1_dyn_3250</v>
      </c>
      <c r="B1273" s="48" t="s">
        <v>5459</v>
      </c>
      <c r="C1273" s="48" t="s">
        <v>5256</v>
      </c>
      <c r="D1273" s="48">
        <v>3250</v>
      </c>
      <c r="E1273" s="48" t="s">
        <v>5192</v>
      </c>
      <c r="F1273" s="14">
        <v>12.638533816287858</v>
      </c>
      <c r="G1273" s="48" t="s">
        <v>5334</v>
      </c>
      <c r="H1273" s="56"/>
      <c r="I1273" s="22"/>
      <c r="O1273" s="21"/>
    </row>
    <row r="1274" spans="1:15" customFormat="1" ht="15" x14ac:dyDescent="0.25">
      <c r="A1274" s="48" t="str">
        <f t="shared" si="58"/>
        <v>pllts16ffclafracf_vddh1_dyn_3500</v>
      </c>
      <c r="B1274" s="48" t="s">
        <v>5459</v>
      </c>
      <c r="C1274" s="48" t="s">
        <v>5256</v>
      </c>
      <c r="D1274" s="48">
        <v>3500</v>
      </c>
      <c r="E1274" s="48" t="s">
        <v>5192</v>
      </c>
      <c r="F1274" s="14">
        <v>14.124520713574091</v>
      </c>
      <c r="G1274" s="48" t="s">
        <v>5334</v>
      </c>
      <c r="H1274" s="56"/>
      <c r="I1274" s="22"/>
      <c r="O1274" s="21"/>
    </row>
    <row r="1275" spans="1:15" customFormat="1" ht="15" x14ac:dyDescent="0.25">
      <c r="A1275" s="48" t="str">
        <f t="shared" si="58"/>
        <v>pllts16ffclafracf_vddh1_dyn_3750</v>
      </c>
      <c r="B1275" s="48" t="s">
        <v>5459</v>
      </c>
      <c r="C1275" s="48" t="s">
        <v>5256</v>
      </c>
      <c r="D1275" s="48">
        <v>3750</v>
      </c>
      <c r="E1275" s="48" t="s">
        <v>5192</v>
      </c>
      <c r="F1275" s="14">
        <v>15.66457278212439</v>
      </c>
      <c r="G1275" s="48" t="s">
        <v>5334</v>
      </c>
      <c r="H1275" s="56"/>
      <c r="I1275" s="22"/>
      <c r="O1275" s="21"/>
    </row>
    <row r="1276" spans="1:15" s="22" customFormat="1" ht="15" x14ac:dyDescent="0.25">
      <c r="A1276" s="48" t="str">
        <f t="shared" si="58"/>
        <v>pllts16ffclafracf_vddh1_dyn_</v>
      </c>
      <c r="B1276" s="48" t="s">
        <v>5459</v>
      </c>
      <c r="C1276" s="48" t="s">
        <v>5256</v>
      </c>
      <c r="D1276" s="48"/>
      <c r="E1276" s="48" t="s">
        <v>5192</v>
      </c>
      <c r="F1276" s="53">
        <v>0</v>
      </c>
      <c r="G1276" s="48" t="s">
        <v>5334</v>
      </c>
      <c r="H1276" s="56"/>
      <c r="O1276" s="21"/>
    </row>
    <row r="1277" spans="1:15" s="22" customFormat="1" ht="15" x14ac:dyDescent="0.25">
      <c r="A1277" s="48" t="str">
        <f t="shared" ref="A1277:A1290" si="59">B1277&amp;"_"&amp;C1277</f>
        <v>pllts16ffclafracf_vddh1_lkg</v>
      </c>
      <c r="B1277" s="48" t="s">
        <v>5459</v>
      </c>
      <c r="C1277" s="48" t="s">
        <v>5257</v>
      </c>
      <c r="D1277" s="48" t="s">
        <v>4872</v>
      </c>
      <c r="E1277" s="48" t="s">
        <v>5192</v>
      </c>
      <c r="F1277" s="14">
        <v>4.54502057923171E-6</v>
      </c>
      <c r="G1277" s="48" t="s">
        <v>5334</v>
      </c>
      <c r="H1277" s="56"/>
      <c r="O1277" s="21"/>
    </row>
    <row r="1278" spans="1:15" customFormat="1" ht="15" x14ac:dyDescent="0.25">
      <c r="A1278" s="48" t="str">
        <f t="shared" si="59"/>
        <v>pmclkcio_area</v>
      </c>
      <c r="B1278" s="59" t="s">
        <v>5460</v>
      </c>
      <c r="C1278" s="48" t="s">
        <v>5360</v>
      </c>
      <c r="D1278" s="48"/>
      <c r="E1278" s="48" t="s">
        <v>5192</v>
      </c>
      <c r="F1278" s="14">
        <v>0.88</v>
      </c>
      <c r="G1278" s="13" t="s">
        <v>5422</v>
      </c>
      <c r="H1278" s="21"/>
      <c r="I1278" s="22"/>
      <c r="O1278" s="21"/>
    </row>
    <row r="1279" spans="1:15" customFormat="1" ht="15" x14ac:dyDescent="0.25">
      <c r="A1279" s="48" t="str">
        <f t="shared" si="59"/>
        <v>pmclkcio_description</v>
      </c>
      <c r="B1279" s="59" t="s">
        <v>5460</v>
      </c>
      <c r="C1279" s="48" t="s">
        <v>5379</v>
      </c>
      <c r="D1279" s="48"/>
      <c r="E1279" s="48" t="s">
        <v>5192</v>
      </c>
      <c r="F1279" s="14" t="s">
        <v>5809</v>
      </c>
      <c r="G1279" s="13"/>
      <c r="H1279" s="21"/>
      <c r="I1279" s="22"/>
      <c r="O1279" s="21"/>
    </row>
    <row r="1280" spans="1:15" customFormat="1" ht="15" x14ac:dyDescent="0.25">
      <c r="A1280" s="48" t="str">
        <f t="shared" si="59"/>
        <v>pmclkcio_first_soc</v>
      </c>
      <c r="B1280" s="59" t="s">
        <v>5460</v>
      </c>
      <c r="C1280" s="48" t="s">
        <v>5378</v>
      </c>
      <c r="D1280" s="48"/>
      <c r="E1280" s="48" t="s">
        <v>5192</v>
      </c>
      <c r="F1280" s="14" t="s">
        <v>5381</v>
      </c>
      <c r="G1280" s="13"/>
      <c r="H1280" s="21"/>
      <c r="I1280" s="22"/>
      <c r="O1280" s="21"/>
    </row>
    <row r="1281" spans="1:15" customFormat="1" ht="15" x14ac:dyDescent="0.25">
      <c r="A1281" s="48" t="str">
        <f t="shared" si="59"/>
        <v>pmclkcio_function</v>
      </c>
      <c r="B1281" s="59" t="s">
        <v>5460</v>
      </c>
      <c r="C1281" s="48" t="s">
        <v>5367</v>
      </c>
      <c r="D1281" s="48"/>
      <c r="E1281" s="48" t="s">
        <v>5192</v>
      </c>
      <c r="F1281" s="14" t="s">
        <v>5380</v>
      </c>
      <c r="G1281" s="13"/>
      <c r="H1281" s="21"/>
      <c r="I1281" s="22"/>
      <c r="O1281" s="21"/>
    </row>
    <row r="1282" spans="1:15" customFormat="1" ht="15" x14ac:dyDescent="0.25">
      <c r="A1282" s="48" t="str">
        <f t="shared" si="59"/>
        <v>pmclkcio_macro_area</v>
      </c>
      <c r="B1282" s="59" t="s">
        <v>5460</v>
      </c>
      <c r="C1282" s="48" t="s">
        <v>5228</v>
      </c>
      <c r="D1282" s="48"/>
      <c r="E1282" s="48" t="s">
        <v>5192</v>
      </c>
      <c r="F1282" s="14">
        <v>0.88</v>
      </c>
      <c r="G1282" s="13"/>
      <c r="H1282" s="21"/>
      <c r="I1282" s="22"/>
      <c r="O1282" s="21"/>
    </row>
    <row r="1283" spans="1:15" customFormat="1" ht="15" x14ac:dyDescent="0.25">
      <c r="A1283" s="48" t="str">
        <f t="shared" si="59"/>
        <v>pmclkcio_tag</v>
      </c>
      <c r="B1283" s="59" t="s">
        <v>5460</v>
      </c>
      <c r="C1283" s="48" t="s">
        <v>5234</v>
      </c>
      <c r="D1283" s="48"/>
      <c r="E1283" s="48" t="s">
        <v>5192</v>
      </c>
      <c r="F1283" s="14" t="s">
        <v>5419</v>
      </c>
      <c r="G1283" s="13"/>
      <c r="H1283" s="21"/>
      <c r="I1283" s="22"/>
      <c r="O1283" s="21"/>
    </row>
    <row r="1284" spans="1:15" customFormat="1" ht="15" x14ac:dyDescent="0.25">
      <c r="A1284" s="48" t="str">
        <f t="shared" si="59"/>
        <v>pmclkcio_type</v>
      </c>
      <c r="B1284" s="59" t="s">
        <v>5460</v>
      </c>
      <c r="C1284" s="48" t="s">
        <v>1</v>
      </c>
      <c r="D1284" s="48"/>
      <c r="E1284" s="48" t="s">
        <v>5192</v>
      </c>
      <c r="F1284" s="14" t="s">
        <v>5783</v>
      </c>
      <c r="G1284" s="13"/>
      <c r="H1284" s="21"/>
      <c r="I1284" s="22"/>
      <c r="O1284" s="21"/>
    </row>
    <row r="1285" spans="1:15" customFormat="1" ht="15" x14ac:dyDescent="0.25">
      <c r="A1285" s="48" t="str">
        <f t="shared" si="59"/>
        <v>qspi_Description</v>
      </c>
      <c r="B1285" s="57" t="s">
        <v>5352</v>
      </c>
      <c r="C1285" s="48" t="s">
        <v>42</v>
      </c>
      <c r="D1285" s="48"/>
      <c r="E1285" s="48" t="s">
        <v>5192</v>
      </c>
      <c r="F1285" s="14" t="s">
        <v>5829</v>
      </c>
      <c r="G1285" s="48" t="s">
        <v>5296</v>
      </c>
      <c r="H1285" s="21"/>
      <c r="I1285" s="22"/>
      <c r="O1285" s="21"/>
    </row>
    <row r="1286" spans="1:15" customFormat="1" ht="15" x14ac:dyDescent="0.25">
      <c r="A1286" s="48" t="str">
        <f t="shared" si="59"/>
        <v>qspi_First_SoC</v>
      </c>
      <c r="B1286" s="57" t="s">
        <v>5352</v>
      </c>
      <c r="C1286" s="48" t="s">
        <v>5216</v>
      </c>
      <c r="D1286" s="48"/>
      <c r="E1286" s="48" t="s">
        <v>5192</v>
      </c>
      <c r="F1286" s="14" t="s">
        <v>5841</v>
      </c>
      <c r="G1286" s="48"/>
      <c r="H1286" s="21"/>
      <c r="I1286" s="22"/>
      <c r="O1286" s="21"/>
    </row>
    <row r="1287" spans="1:15" customFormat="1" ht="15" x14ac:dyDescent="0.25">
      <c r="A1287" s="48" t="str">
        <f t="shared" si="59"/>
        <v>qspi_Function</v>
      </c>
      <c r="B1287" s="57" t="s">
        <v>5352</v>
      </c>
      <c r="C1287" s="48" t="s">
        <v>5222</v>
      </c>
      <c r="D1287" s="48"/>
      <c r="E1287" s="48" t="s">
        <v>5192</v>
      </c>
      <c r="F1287" s="14" t="s">
        <v>5856</v>
      </c>
      <c r="G1287" s="48" t="s">
        <v>5260</v>
      </c>
      <c r="H1287" s="21"/>
      <c r="I1287" s="22"/>
      <c r="O1287" s="21"/>
    </row>
    <row r="1288" spans="1:15" customFormat="1" ht="15" x14ac:dyDescent="0.25">
      <c r="A1288" s="48" t="str">
        <f t="shared" si="59"/>
        <v>qspi_Pinmux</v>
      </c>
      <c r="B1288" s="57" t="s">
        <v>5352</v>
      </c>
      <c r="C1288" s="48" t="s">
        <v>5261</v>
      </c>
      <c r="D1288" s="48"/>
      <c r="E1288" s="48" t="s">
        <v>5192</v>
      </c>
      <c r="F1288" s="14">
        <v>13</v>
      </c>
      <c r="G1288" s="48" t="s">
        <v>5297</v>
      </c>
      <c r="H1288" s="56"/>
      <c r="I1288" s="22"/>
      <c r="O1288" s="21"/>
    </row>
    <row r="1289" spans="1:15" customFormat="1" ht="15" x14ac:dyDescent="0.25">
      <c r="A1289" s="48" t="str">
        <f t="shared" si="59"/>
        <v>qspi_tag</v>
      </c>
      <c r="B1289" s="58" t="s">
        <v>5352</v>
      </c>
      <c r="C1289" s="49" t="s">
        <v>5234</v>
      </c>
      <c r="D1289" s="49"/>
      <c r="E1289" s="49" t="s">
        <v>5192</v>
      </c>
      <c r="F1289" s="14">
        <v>44499</v>
      </c>
      <c r="G1289" s="49" t="s">
        <v>5254</v>
      </c>
      <c r="H1289" s="56"/>
      <c r="I1289" s="22"/>
      <c r="O1289" s="21"/>
    </row>
    <row r="1290" spans="1:15" customFormat="1" ht="15" x14ac:dyDescent="0.25">
      <c r="A1290" s="48" t="str">
        <f t="shared" si="59"/>
        <v>qspi_Type</v>
      </c>
      <c r="B1290" s="57" t="s">
        <v>5352</v>
      </c>
      <c r="C1290" s="48" t="s">
        <v>0</v>
      </c>
      <c r="D1290" s="48"/>
      <c r="E1290" s="48" t="s">
        <v>5192</v>
      </c>
      <c r="F1290" s="14" t="s">
        <v>5785</v>
      </c>
      <c r="G1290" s="48" t="s">
        <v>5260</v>
      </c>
      <c r="H1290" s="21"/>
      <c r="I1290" s="22"/>
      <c r="O1290" s="21"/>
    </row>
    <row r="1291" spans="1:15" customFormat="1" ht="15" x14ac:dyDescent="0.25">
      <c r="A1291" s="48" t="str">
        <f t="shared" ref="A1291:A1322" si="60">B1291&amp;"_"&amp;C1291&amp;"_"&amp;D1291</f>
        <v>qspi_vdd_dyn_qspi_ddr_master_67_1p8v</v>
      </c>
      <c r="B1291" s="57" t="s">
        <v>5352</v>
      </c>
      <c r="C1291" s="48" t="s">
        <v>5255</v>
      </c>
      <c r="D1291" s="48" t="s">
        <v>5981</v>
      </c>
      <c r="E1291" s="48" t="s">
        <v>5195</v>
      </c>
      <c r="F1291" s="14">
        <v>1.1049749472299999E-5</v>
      </c>
      <c r="G1291" s="48" t="s">
        <v>5260</v>
      </c>
      <c r="H1291" s="56">
        <f t="shared" ref="H1291:H1298" si="61">F1291/2</f>
        <v>5.5248747361499995E-6</v>
      </c>
      <c r="I1291" s="22"/>
      <c r="O1291" s="21"/>
    </row>
    <row r="1292" spans="1:15" customFormat="1" ht="15" x14ac:dyDescent="0.25">
      <c r="A1292" s="48" t="str">
        <f t="shared" si="60"/>
        <v>qspi_vdd_dyn_qspi_ddr_master_67_3p3v</v>
      </c>
      <c r="B1292" s="57" t="s">
        <v>5352</v>
      </c>
      <c r="C1292" s="48" t="s">
        <v>5255</v>
      </c>
      <c r="D1292" s="48" t="s">
        <v>5982</v>
      </c>
      <c r="E1292" s="48" t="s">
        <v>5195</v>
      </c>
      <c r="F1292" s="14">
        <v>1.1049749472299999E-5</v>
      </c>
      <c r="G1292" s="48" t="s">
        <v>5260</v>
      </c>
      <c r="H1292" s="56">
        <f t="shared" si="61"/>
        <v>5.5248747361499995E-6</v>
      </c>
      <c r="I1292" s="22"/>
      <c r="O1292" s="21"/>
    </row>
    <row r="1293" spans="1:15" customFormat="1" ht="15" x14ac:dyDescent="0.25">
      <c r="A1293" s="48" t="str">
        <f t="shared" si="60"/>
        <v>qspi_vdd_dyn_qspi_ddr_master_80_1p8v</v>
      </c>
      <c r="B1293" s="57" t="s">
        <v>5352</v>
      </c>
      <c r="C1293" s="48" t="s">
        <v>5255</v>
      </c>
      <c r="D1293" s="48" t="s">
        <v>5983</v>
      </c>
      <c r="E1293" s="48" t="s">
        <v>5195</v>
      </c>
      <c r="F1293" s="14">
        <v>1.3292931695999997E-5</v>
      </c>
      <c r="G1293" s="48" t="s">
        <v>5260</v>
      </c>
      <c r="H1293" s="56">
        <f t="shared" si="61"/>
        <v>6.6464658479999987E-6</v>
      </c>
      <c r="I1293" s="22"/>
      <c r="O1293" s="21"/>
    </row>
    <row r="1294" spans="1:15" customFormat="1" ht="15" x14ac:dyDescent="0.25">
      <c r="A1294" s="48" t="str">
        <f t="shared" si="60"/>
        <v>qspi_vdd_dyn_qspi_ddr_master_80_3p3v</v>
      </c>
      <c r="B1294" s="57" t="s">
        <v>5352</v>
      </c>
      <c r="C1294" s="48" t="s">
        <v>5255</v>
      </c>
      <c r="D1294" s="48" t="s">
        <v>5984</v>
      </c>
      <c r="E1294" s="48" t="s">
        <v>5195</v>
      </c>
      <c r="F1294" s="14">
        <v>1.3292931695999997E-5</v>
      </c>
      <c r="G1294" s="48" t="s">
        <v>5260</v>
      </c>
      <c r="H1294" s="56">
        <f t="shared" si="61"/>
        <v>6.6464658479999987E-6</v>
      </c>
      <c r="I1294" s="22"/>
      <c r="O1294" s="21"/>
    </row>
    <row r="1295" spans="1:15" customFormat="1" ht="15" x14ac:dyDescent="0.25">
      <c r="A1295" s="48" t="str">
        <f t="shared" si="60"/>
        <v>qspi_vdd_dyn_qspi_sdr_master_54_1p8v</v>
      </c>
      <c r="B1295" s="57" t="s">
        <v>5352</v>
      </c>
      <c r="C1295" s="48" t="s">
        <v>5255</v>
      </c>
      <c r="D1295" s="48" t="s">
        <v>5985</v>
      </c>
      <c r="E1295" s="48" t="s">
        <v>5195</v>
      </c>
      <c r="F1295" s="14">
        <v>1.2087664894799997E-5</v>
      </c>
      <c r="G1295" s="48" t="s">
        <v>5260</v>
      </c>
      <c r="H1295" s="56">
        <f t="shared" si="61"/>
        <v>6.0438324473999987E-6</v>
      </c>
      <c r="I1295" s="22"/>
      <c r="O1295" s="21"/>
    </row>
    <row r="1296" spans="1:15" customFormat="1" ht="15" x14ac:dyDescent="0.25">
      <c r="A1296" s="48" t="str">
        <f t="shared" si="60"/>
        <v>qspi_vdd_dyn_qspi_sdr_master_54_3p3v</v>
      </c>
      <c r="B1296" s="57" t="s">
        <v>5352</v>
      </c>
      <c r="C1296" s="48" t="s">
        <v>5255</v>
      </c>
      <c r="D1296" s="48" t="s">
        <v>5986</v>
      </c>
      <c r="E1296" s="48" t="s">
        <v>5195</v>
      </c>
      <c r="F1296" s="14">
        <v>1.2087664894799997E-5</v>
      </c>
      <c r="G1296" s="48" t="s">
        <v>5260</v>
      </c>
      <c r="H1296" s="56">
        <f t="shared" si="61"/>
        <v>6.0438324473999987E-6</v>
      </c>
      <c r="I1296" s="22"/>
      <c r="O1296" s="21"/>
    </row>
    <row r="1297" spans="1:15" customFormat="1" ht="15" x14ac:dyDescent="0.25">
      <c r="A1297" s="48" t="str">
        <f t="shared" si="60"/>
        <v>qspi_vdd_dyn_qspi_sdr_master_67_1p8v</v>
      </c>
      <c r="B1297" s="57" t="s">
        <v>5352</v>
      </c>
      <c r="C1297" s="48" t="s">
        <v>5255</v>
      </c>
      <c r="D1297" s="48" t="s">
        <v>5987</v>
      </c>
      <c r="E1297" s="48" t="s">
        <v>5195</v>
      </c>
      <c r="F1297" s="14">
        <v>1.4885735472299996E-5</v>
      </c>
      <c r="G1297" s="48" t="s">
        <v>5260</v>
      </c>
      <c r="H1297" s="56">
        <f t="shared" si="61"/>
        <v>7.4428677361499979E-6</v>
      </c>
      <c r="I1297" s="22"/>
      <c r="O1297" s="21"/>
    </row>
    <row r="1298" spans="1:15" customFormat="1" ht="15" x14ac:dyDescent="0.25">
      <c r="A1298" s="48" t="str">
        <f t="shared" si="60"/>
        <v>qspi_vdd_dyn_qspi_sdr_master_67_3p3v</v>
      </c>
      <c r="B1298" s="57" t="s">
        <v>5352</v>
      </c>
      <c r="C1298" s="48" t="s">
        <v>5255</v>
      </c>
      <c r="D1298" s="48" t="s">
        <v>5988</v>
      </c>
      <c r="E1298" s="48" t="s">
        <v>5195</v>
      </c>
      <c r="F1298" s="14">
        <v>1.4885735472299996E-5</v>
      </c>
      <c r="G1298" s="48" t="s">
        <v>5260</v>
      </c>
      <c r="H1298" s="56">
        <f t="shared" si="61"/>
        <v>7.4428677361499979E-6</v>
      </c>
      <c r="I1298" s="22"/>
      <c r="O1298" s="21"/>
    </row>
    <row r="1299" spans="1:15" customFormat="1" ht="15" x14ac:dyDescent="0.25">
      <c r="A1299" s="48" t="str">
        <f t="shared" si="60"/>
        <v>qspi_vddh1_dyn_qspi_ddr_master_200_1p8v</v>
      </c>
      <c r="B1299" s="48" t="s">
        <v>5352</v>
      </c>
      <c r="C1299" s="48" t="s">
        <v>5256</v>
      </c>
      <c r="D1299" s="48" t="s">
        <v>6113</v>
      </c>
      <c r="E1299" s="48" t="s">
        <v>5195</v>
      </c>
      <c r="F1299" s="14">
        <v>10.153261224</v>
      </c>
      <c r="G1299" s="48" t="s">
        <v>6157</v>
      </c>
      <c r="H1299" s="56"/>
      <c r="I1299" s="22"/>
      <c r="O1299" s="21"/>
    </row>
    <row r="1300" spans="1:15" customFormat="1" ht="15" x14ac:dyDescent="0.25">
      <c r="A1300" s="48" t="str">
        <f t="shared" si="60"/>
        <v>qspi_vddh1_dyn_qspi_ddr_master_160_1p8v</v>
      </c>
      <c r="B1300" s="48" t="s">
        <v>5352</v>
      </c>
      <c r="C1300" s="48" t="s">
        <v>5256</v>
      </c>
      <c r="D1300" s="48" t="s">
        <v>5303</v>
      </c>
      <c r="E1300" s="48" t="s">
        <v>5195</v>
      </c>
      <c r="F1300" s="14">
        <v>8.1226089791999989</v>
      </c>
      <c r="G1300" s="48" t="s">
        <v>6157</v>
      </c>
      <c r="H1300" s="56"/>
      <c r="I1300" s="22"/>
      <c r="O1300" s="21"/>
    </row>
    <row r="1301" spans="1:15" customFormat="1" ht="15" x14ac:dyDescent="0.25">
      <c r="A1301" s="48" t="str">
        <f t="shared" si="60"/>
        <v>qspi_vddh1_dyn_qspi_ddr_master_133_1p8v</v>
      </c>
      <c r="B1301" s="48" t="s">
        <v>5352</v>
      </c>
      <c r="C1301" s="48" t="s">
        <v>5256</v>
      </c>
      <c r="D1301" s="48" t="s">
        <v>5302</v>
      </c>
      <c r="E1301" s="48" t="s">
        <v>5195</v>
      </c>
      <c r="F1301" s="14">
        <v>6.7519187139600003</v>
      </c>
      <c r="G1301" s="48" t="s">
        <v>6157</v>
      </c>
      <c r="H1301" s="56"/>
      <c r="I1301" s="22"/>
      <c r="O1301" s="21"/>
    </row>
    <row r="1302" spans="1:15" customFormat="1" ht="15" x14ac:dyDescent="0.25">
      <c r="A1302" s="48" t="str">
        <f t="shared" si="60"/>
        <v>qspi_vddh1_dyn_qspi_ddr_master_100_1p8v</v>
      </c>
      <c r="B1302" s="48" t="s">
        <v>5352</v>
      </c>
      <c r="C1302" s="48" t="s">
        <v>5256</v>
      </c>
      <c r="D1302" s="48" t="s">
        <v>6114</v>
      </c>
      <c r="E1302" s="48" t="s">
        <v>5195</v>
      </c>
      <c r="F1302" s="14">
        <v>5.0766306119999998</v>
      </c>
      <c r="G1302" s="48" t="s">
        <v>6157</v>
      </c>
      <c r="H1302" s="56"/>
      <c r="I1302" s="22"/>
      <c r="O1302" s="21"/>
    </row>
    <row r="1303" spans="1:15" customFormat="1" ht="15" x14ac:dyDescent="0.25">
      <c r="A1303" s="48" t="str">
        <f t="shared" si="60"/>
        <v>qspi_vddh1_dyn_qspi_ddr_master_80_1p8v</v>
      </c>
      <c r="B1303" s="48" t="s">
        <v>5352</v>
      </c>
      <c r="C1303" s="48" t="s">
        <v>5256</v>
      </c>
      <c r="D1303" s="48" t="s">
        <v>5983</v>
      </c>
      <c r="E1303" s="48" t="s">
        <v>5195</v>
      </c>
      <c r="F1303" s="14">
        <v>4.0613044895999995</v>
      </c>
      <c r="G1303" s="48" t="s">
        <v>6157</v>
      </c>
      <c r="H1303" s="56"/>
      <c r="I1303" s="22"/>
      <c r="O1303" s="21"/>
    </row>
    <row r="1304" spans="1:15" customFormat="1" ht="15" x14ac:dyDescent="0.25">
      <c r="A1304" s="48" t="str">
        <f t="shared" si="60"/>
        <v>qspi_vddh1_dyn_qspi_ddr_master_67_1p8v</v>
      </c>
      <c r="B1304" s="48" t="s">
        <v>5352</v>
      </c>
      <c r="C1304" s="48" t="s">
        <v>5256</v>
      </c>
      <c r="D1304" s="48" t="s">
        <v>5981</v>
      </c>
      <c r="E1304" s="48" t="s">
        <v>5195</v>
      </c>
      <c r="F1304" s="14">
        <v>3.4013425100400005</v>
      </c>
      <c r="G1304" s="48" t="s">
        <v>6157</v>
      </c>
      <c r="H1304" s="56"/>
      <c r="I1304" s="22"/>
      <c r="O1304" s="21"/>
    </row>
    <row r="1305" spans="1:15" customFormat="1" ht="15" x14ac:dyDescent="0.25">
      <c r="A1305" s="48" t="str">
        <f t="shared" si="60"/>
        <v>qspi_vddh1_dyn_qspi_ddr_master_60_1p8v</v>
      </c>
      <c r="B1305" s="48" t="s">
        <v>5352</v>
      </c>
      <c r="C1305" s="48" t="s">
        <v>5256</v>
      </c>
      <c r="D1305" s="48" t="s">
        <v>6115</v>
      </c>
      <c r="E1305" s="48" t="s">
        <v>5195</v>
      </c>
      <c r="F1305" s="14">
        <v>3.0459783672000005</v>
      </c>
      <c r="G1305" s="48" t="s">
        <v>6157</v>
      </c>
      <c r="H1305" s="56"/>
      <c r="I1305" s="22"/>
      <c r="O1305" s="21"/>
    </row>
    <row r="1306" spans="1:15" customFormat="1" ht="15" x14ac:dyDescent="0.25">
      <c r="A1306" s="48" t="str">
        <f t="shared" si="60"/>
        <v>qspi_vddh1_dyn_qspi_ddr_master_40_1p8v</v>
      </c>
      <c r="B1306" s="48" t="s">
        <v>5352</v>
      </c>
      <c r="C1306" s="48" t="s">
        <v>5256</v>
      </c>
      <c r="D1306" s="48" t="s">
        <v>6116</v>
      </c>
      <c r="E1306" s="48" t="s">
        <v>5195</v>
      </c>
      <c r="F1306" s="14">
        <v>2.0306522447999997</v>
      </c>
      <c r="G1306" s="48" t="s">
        <v>6157</v>
      </c>
      <c r="H1306" s="56"/>
      <c r="I1306" s="22"/>
      <c r="O1306" s="21"/>
    </row>
    <row r="1307" spans="1:15" customFormat="1" ht="15" x14ac:dyDescent="0.25">
      <c r="A1307" s="48" t="str">
        <f t="shared" si="60"/>
        <v>qspi_vddh1_dyn_qspi_sdr_master_160_1p8v</v>
      </c>
      <c r="B1307" s="48" t="s">
        <v>5352</v>
      </c>
      <c r="C1307" s="48" t="s">
        <v>5256</v>
      </c>
      <c r="D1307" s="48" t="s">
        <v>6117</v>
      </c>
      <c r="E1307" s="48" t="s">
        <v>5195</v>
      </c>
      <c r="F1307" s="14">
        <v>12.181680979199999</v>
      </c>
      <c r="G1307" s="48" t="s">
        <v>6157</v>
      </c>
      <c r="H1307" s="56"/>
      <c r="I1307" s="22"/>
      <c r="O1307" s="21"/>
    </row>
    <row r="1308" spans="1:15" customFormat="1" ht="15" x14ac:dyDescent="0.25">
      <c r="A1308" s="48" t="str">
        <f t="shared" si="60"/>
        <v>qspi_vddh1_dyn_qspi_sdr_master_133_1p8v</v>
      </c>
      <c r="B1308" s="48" t="s">
        <v>5352</v>
      </c>
      <c r="C1308" s="48" t="s">
        <v>5256</v>
      </c>
      <c r="D1308" s="48" t="s">
        <v>5305</v>
      </c>
      <c r="E1308" s="48" t="s">
        <v>5195</v>
      </c>
      <c r="F1308" s="14">
        <v>10.12602231396</v>
      </c>
      <c r="G1308" s="48" t="s">
        <v>6157</v>
      </c>
      <c r="H1308" s="56"/>
      <c r="I1308" s="22"/>
      <c r="O1308" s="21"/>
    </row>
    <row r="1309" spans="1:15" customFormat="1" ht="15" x14ac:dyDescent="0.25">
      <c r="A1309" s="48" t="str">
        <f t="shared" si="60"/>
        <v>qspi_vddh1_dyn_qspi_sdr_master_100_1p8v</v>
      </c>
      <c r="B1309" s="48" t="s">
        <v>5352</v>
      </c>
      <c r="C1309" s="48" t="s">
        <v>5256</v>
      </c>
      <c r="D1309" s="48" t="s">
        <v>6118</v>
      </c>
      <c r="E1309" s="48" t="s">
        <v>5195</v>
      </c>
      <c r="F1309" s="14">
        <v>7.6135506120000001</v>
      </c>
      <c r="G1309" s="48" t="s">
        <v>6157</v>
      </c>
      <c r="H1309" s="56"/>
      <c r="I1309" s="22"/>
      <c r="O1309" s="21"/>
    </row>
    <row r="1310" spans="1:15" customFormat="1" ht="15" x14ac:dyDescent="0.25">
      <c r="A1310" s="48" t="str">
        <f t="shared" si="60"/>
        <v>qspi_vddh1_dyn_qspi_sdr_master_80_1p8v</v>
      </c>
      <c r="B1310" s="48" t="s">
        <v>5352</v>
      </c>
      <c r="C1310" s="48" t="s">
        <v>5256</v>
      </c>
      <c r="D1310" s="48" t="s">
        <v>5994</v>
      </c>
      <c r="E1310" s="48" t="s">
        <v>5195</v>
      </c>
      <c r="F1310" s="14">
        <v>6.0908404895999997</v>
      </c>
      <c r="G1310" s="48" t="s">
        <v>6157</v>
      </c>
      <c r="H1310" s="56"/>
      <c r="I1310" s="22"/>
      <c r="O1310" s="21"/>
    </row>
    <row r="1311" spans="1:15" customFormat="1" ht="15" x14ac:dyDescent="0.25">
      <c r="A1311" s="48" t="str">
        <f t="shared" si="60"/>
        <v>qspi_vddh1_dyn_qspi_sdr_master_67_1p8v</v>
      </c>
      <c r="B1311" s="48" t="s">
        <v>5352</v>
      </c>
      <c r="C1311" s="48" t="s">
        <v>5256</v>
      </c>
      <c r="D1311" s="48" t="s">
        <v>5987</v>
      </c>
      <c r="E1311" s="48" t="s">
        <v>5195</v>
      </c>
      <c r="F1311" s="14">
        <v>5.1010789100400009</v>
      </c>
      <c r="G1311" s="48" t="s">
        <v>6157</v>
      </c>
      <c r="H1311" s="56"/>
      <c r="I1311" s="22"/>
      <c r="O1311" s="21"/>
    </row>
    <row r="1312" spans="1:15" customFormat="1" ht="15" x14ac:dyDescent="0.25">
      <c r="A1312" s="48" t="str">
        <f t="shared" si="60"/>
        <v>qspi_vddh1_dyn_qspi_sdr_master_60_1p8v</v>
      </c>
      <c r="B1312" s="48" t="s">
        <v>5352</v>
      </c>
      <c r="C1312" s="48" t="s">
        <v>5256</v>
      </c>
      <c r="D1312" s="48" t="s">
        <v>6119</v>
      </c>
      <c r="E1312" s="48" t="s">
        <v>5195</v>
      </c>
      <c r="F1312" s="14">
        <v>4.5681303672000011</v>
      </c>
      <c r="G1312" s="48" t="s">
        <v>6157</v>
      </c>
      <c r="H1312" s="56"/>
      <c r="I1312" s="22"/>
      <c r="O1312" s="21"/>
    </row>
    <row r="1313" spans="1:15" customFormat="1" ht="15" x14ac:dyDescent="0.25">
      <c r="A1313" s="48" t="str">
        <f t="shared" si="60"/>
        <v>qspi_vddh1_dyn_qspi_sdr_master_40_1p8v</v>
      </c>
      <c r="B1313" s="48" t="s">
        <v>5352</v>
      </c>
      <c r="C1313" s="48" t="s">
        <v>5256</v>
      </c>
      <c r="D1313" s="48" t="s">
        <v>6120</v>
      </c>
      <c r="E1313" s="48" t="s">
        <v>5195</v>
      </c>
      <c r="F1313" s="14">
        <v>3.0454202447999998</v>
      </c>
      <c r="G1313" s="48" t="s">
        <v>6157</v>
      </c>
      <c r="H1313" s="56"/>
      <c r="I1313" s="22"/>
      <c r="O1313" s="21"/>
    </row>
    <row r="1314" spans="1:15" customFormat="1" ht="15" x14ac:dyDescent="0.25">
      <c r="A1314" s="48" t="str">
        <f t="shared" si="60"/>
        <v>qspi_vddh1_dyn_qspi_ddr_slave_160_1p8v</v>
      </c>
      <c r="B1314" s="48" t="s">
        <v>5352</v>
      </c>
      <c r="C1314" s="48" t="s">
        <v>5256</v>
      </c>
      <c r="D1314" s="48" t="s">
        <v>6121</v>
      </c>
      <c r="E1314" s="48" t="s">
        <v>5195</v>
      </c>
      <c r="F1314" s="14">
        <v>4.0590719999999996</v>
      </c>
      <c r="G1314" s="48" t="s">
        <v>6157</v>
      </c>
      <c r="H1314" s="56"/>
      <c r="I1314" s="22"/>
      <c r="O1314" s="21"/>
    </row>
    <row r="1315" spans="1:15" customFormat="1" ht="15" x14ac:dyDescent="0.25">
      <c r="A1315" s="48" t="str">
        <f t="shared" si="60"/>
        <v>qspi_vddh1_dyn_qspi_ddr_slave_133_1p8v</v>
      </c>
      <c r="B1315" s="48" t="s">
        <v>5352</v>
      </c>
      <c r="C1315" s="48" t="s">
        <v>5256</v>
      </c>
      <c r="D1315" s="48" t="s">
        <v>6122</v>
      </c>
      <c r="E1315" s="48" t="s">
        <v>5195</v>
      </c>
      <c r="F1315" s="14">
        <v>3.3741036000000002</v>
      </c>
      <c r="G1315" s="48" t="s">
        <v>6157</v>
      </c>
      <c r="H1315" s="56"/>
      <c r="I1315" s="22"/>
      <c r="O1315" s="21"/>
    </row>
    <row r="1316" spans="1:15" customFormat="1" ht="15" x14ac:dyDescent="0.25">
      <c r="A1316" s="48" t="str">
        <f t="shared" si="60"/>
        <v>qspi_vddh1_dyn_qspi_ddr_slave_100_1p8v</v>
      </c>
      <c r="B1316" s="48" t="s">
        <v>5352</v>
      </c>
      <c r="C1316" s="48" t="s">
        <v>5256</v>
      </c>
      <c r="D1316" s="48" t="s">
        <v>6123</v>
      </c>
      <c r="E1316" s="48" t="s">
        <v>5195</v>
      </c>
      <c r="F1316" s="14">
        <v>2.5369199999999998</v>
      </c>
      <c r="G1316" s="48" t="s">
        <v>6157</v>
      </c>
      <c r="H1316" s="56"/>
      <c r="I1316" s="22"/>
      <c r="O1316" s="21"/>
    </row>
    <row r="1317" spans="1:15" customFormat="1" ht="15" x14ac:dyDescent="0.25">
      <c r="A1317" s="48" t="str">
        <f t="shared" si="60"/>
        <v>qspi_vddh1_dyn_qspi_ddr_slave_80_1p8v</v>
      </c>
      <c r="B1317" s="48" t="s">
        <v>5352</v>
      </c>
      <c r="C1317" s="48" t="s">
        <v>5256</v>
      </c>
      <c r="D1317" s="48" t="s">
        <v>6124</v>
      </c>
      <c r="E1317" s="48" t="s">
        <v>5195</v>
      </c>
      <c r="F1317" s="14">
        <v>2.0295359999999998</v>
      </c>
      <c r="G1317" s="48" t="s">
        <v>6157</v>
      </c>
      <c r="H1317" s="56"/>
      <c r="I1317" s="22"/>
      <c r="O1317" s="21"/>
    </row>
    <row r="1318" spans="1:15" customFormat="1" ht="15" x14ac:dyDescent="0.25">
      <c r="A1318" s="48" t="str">
        <f t="shared" si="60"/>
        <v>qspi_vddh1_dyn_qspi_ddr_slave_67_1p8v</v>
      </c>
      <c r="B1318" s="48" t="s">
        <v>5352</v>
      </c>
      <c r="C1318" s="48" t="s">
        <v>5256</v>
      </c>
      <c r="D1318" s="48" t="s">
        <v>6125</v>
      </c>
      <c r="E1318" s="48" t="s">
        <v>5195</v>
      </c>
      <c r="F1318" s="14">
        <v>1.6997364000000001</v>
      </c>
      <c r="G1318" s="48" t="s">
        <v>6157</v>
      </c>
      <c r="H1318" s="56"/>
      <c r="I1318" s="22"/>
      <c r="O1318" s="21"/>
    </row>
    <row r="1319" spans="1:15" customFormat="1" ht="15" x14ac:dyDescent="0.25">
      <c r="A1319" s="48" t="str">
        <f t="shared" si="60"/>
        <v>qspi_vddh1_dyn_qspi_ddr_slave_60_1p8v</v>
      </c>
      <c r="B1319" s="48" t="s">
        <v>5352</v>
      </c>
      <c r="C1319" s="48" t="s">
        <v>5256</v>
      </c>
      <c r="D1319" s="48" t="s">
        <v>6126</v>
      </c>
      <c r="E1319" s="48" t="s">
        <v>5195</v>
      </c>
      <c r="F1319" s="14">
        <v>1.5221520000000002</v>
      </c>
      <c r="G1319" s="48" t="s">
        <v>6157</v>
      </c>
      <c r="H1319" s="56"/>
      <c r="I1319" s="22"/>
      <c r="O1319" s="21"/>
    </row>
    <row r="1320" spans="1:15" customFormat="1" ht="15" x14ac:dyDescent="0.25">
      <c r="A1320" s="48" t="str">
        <f t="shared" si="60"/>
        <v>qspi_vddh1_dyn_qspi_ddr_slave_40_1p8v</v>
      </c>
      <c r="B1320" s="48" t="s">
        <v>5352</v>
      </c>
      <c r="C1320" s="48" t="s">
        <v>5256</v>
      </c>
      <c r="D1320" s="48" t="s">
        <v>6127</v>
      </c>
      <c r="E1320" s="48" t="s">
        <v>5195</v>
      </c>
      <c r="F1320" s="14">
        <v>1.0147679999999999</v>
      </c>
      <c r="G1320" s="48" t="s">
        <v>6157</v>
      </c>
      <c r="H1320" s="56"/>
      <c r="I1320" s="22"/>
      <c r="O1320" s="21"/>
    </row>
    <row r="1321" spans="1:15" customFormat="1" ht="15" x14ac:dyDescent="0.25">
      <c r="A1321" s="48" t="str">
        <f t="shared" si="60"/>
        <v>qspi_vddh1_dyn_qspi_sdr_slave_160_1p8v</v>
      </c>
      <c r="B1321" s="48" t="s">
        <v>5352</v>
      </c>
      <c r="C1321" s="48" t="s">
        <v>5256</v>
      </c>
      <c r="D1321" s="48" t="s">
        <v>6128</v>
      </c>
      <c r="E1321" s="48" t="s">
        <v>5195</v>
      </c>
      <c r="F1321" s="14">
        <v>4.0590719999999996</v>
      </c>
      <c r="G1321" s="48" t="s">
        <v>6157</v>
      </c>
      <c r="H1321" s="56"/>
      <c r="I1321" s="22"/>
      <c r="O1321" s="21"/>
    </row>
    <row r="1322" spans="1:15" customFormat="1" ht="15" x14ac:dyDescent="0.25">
      <c r="A1322" s="48" t="str">
        <f t="shared" si="60"/>
        <v>qspi_vddh1_dyn_qspi_sdr_slave_133_1p8v</v>
      </c>
      <c r="B1322" s="48" t="s">
        <v>5352</v>
      </c>
      <c r="C1322" s="48" t="s">
        <v>5256</v>
      </c>
      <c r="D1322" s="48" t="s">
        <v>6129</v>
      </c>
      <c r="E1322" s="48" t="s">
        <v>5195</v>
      </c>
      <c r="F1322" s="14">
        <v>3.3741036000000002</v>
      </c>
      <c r="G1322" s="48" t="s">
        <v>6157</v>
      </c>
      <c r="H1322" s="56"/>
      <c r="I1322" s="22"/>
      <c r="O1322" s="21"/>
    </row>
    <row r="1323" spans="1:15" customFormat="1" ht="15" x14ac:dyDescent="0.25">
      <c r="A1323" s="48" t="str">
        <f t="shared" ref="A1323:A1354" si="62">B1323&amp;"_"&amp;C1323&amp;"_"&amp;D1323</f>
        <v>qspi_vddh1_dyn_qspi_sdr_slave_100_1p8v</v>
      </c>
      <c r="B1323" s="48" t="s">
        <v>5352</v>
      </c>
      <c r="C1323" s="48" t="s">
        <v>5256</v>
      </c>
      <c r="D1323" s="48" t="s">
        <v>6130</v>
      </c>
      <c r="E1323" s="48" t="s">
        <v>5195</v>
      </c>
      <c r="F1323" s="14">
        <v>2.5369199999999998</v>
      </c>
      <c r="G1323" s="48" t="s">
        <v>6157</v>
      </c>
      <c r="H1323" s="56"/>
      <c r="I1323" s="22"/>
      <c r="O1323" s="21"/>
    </row>
    <row r="1324" spans="1:15" customFormat="1" ht="15" x14ac:dyDescent="0.25">
      <c r="A1324" s="48" t="str">
        <f t="shared" si="62"/>
        <v>qspi_vddh1_dyn_qspi_sdr_slave_80_1p8v</v>
      </c>
      <c r="B1324" s="48" t="s">
        <v>5352</v>
      </c>
      <c r="C1324" s="48" t="s">
        <v>5256</v>
      </c>
      <c r="D1324" s="48" t="s">
        <v>6131</v>
      </c>
      <c r="E1324" s="48" t="s">
        <v>5195</v>
      </c>
      <c r="F1324" s="14">
        <v>2.0295359999999998</v>
      </c>
      <c r="G1324" s="48" t="s">
        <v>6157</v>
      </c>
      <c r="H1324" s="56"/>
      <c r="I1324" s="22"/>
      <c r="O1324" s="21"/>
    </row>
    <row r="1325" spans="1:15" customFormat="1" ht="15" x14ac:dyDescent="0.25">
      <c r="A1325" s="48" t="str">
        <f t="shared" si="62"/>
        <v>qspi_vddh1_dyn_qspi_sdr_slave_67_1p8v</v>
      </c>
      <c r="B1325" s="48" t="s">
        <v>5352</v>
      </c>
      <c r="C1325" s="48" t="s">
        <v>5256</v>
      </c>
      <c r="D1325" s="48" t="s">
        <v>6132</v>
      </c>
      <c r="E1325" s="48" t="s">
        <v>5195</v>
      </c>
      <c r="F1325" s="14">
        <v>1.6997364000000001</v>
      </c>
      <c r="G1325" s="48" t="s">
        <v>6157</v>
      </c>
      <c r="H1325" s="56"/>
      <c r="I1325" s="22"/>
      <c r="O1325" s="21"/>
    </row>
    <row r="1326" spans="1:15" customFormat="1" ht="15" x14ac:dyDescent="0.25">
      <c r="A1326" s="48" t="str">
        <f t="shared" si="62"/>
        <v>qspi_vddh1_dyn_qspi_sdr_slave_60_1p8v</v>
      </c>
      <c r="B1326" s="48" t="s">
        <v>5352</v>
      </c>
      <c r="C1326" s="48" t="s">
        <v>5256</v>
      </c>
      <c r="D1326" s="48" t="s">
        <v>6133</v>
      </c>
      <c r="E1326" s="48" t="s">
        <v>5195</v>
      </c>
      <c r="F1326" s="14">
        <v>1.5221520000000002</v>
      </c>
      <c r="G1326" s="48" t="s">
        <v>6157</v>
      </c>
      <c r="H1326" s="56"/>
      <c r="I1326" s="22"/>
      <c r="O1326" s="21"/>
    </row>
    <row r="1327" spans="1:15" customFormat="1" ht="15" x14ac:dyDescent="0.25">
      <c r="A1327" s="48" t="str">
        <f t="shared" si="62"/>
        <v>qspi_vddh1_dyn_qspi_sdr_slave_40_1p8v</v>
      </c>
      <c r="B1327" s="48" t="s">
        <v>5352</v>
      </c>
      <c r="C1327" s="48" t="s">
        <v>5256</v>
      </c>
      <c r="D1327" s="48" t="s">
        <v>6134</v>
      </c>
      <c r="E1327" s="48" t="s">
        <v>5195</v>
      </c>
      <c r="F1327" s="14">
        <v>1.0147679999999999</v>
      </c>
      <c r="G1327" s="48" t="s">
        <v>6157</v>
      </c>
      <c r="H1327" s="56"/>
      <c r="I1327" s="22"/>
      <c r="O1327" s="21"/>
    </row>
    <row r="1328" spans="1:15" customFormat="1" ht="15" x14ac:dyDescent="0.25">
      <c r="A1328" s="48" t="str">
        <f t="shared" si="62"/>
        <v>qspi_vddh1_dyn_qspi_off</v>
      </c>
      <c r="B1328" s="48" t="s">
        <v>5352</v>
      </c>
      <c r="C1328" s="48" t="s">
        <v>5256</v>
      </c>
      <c r="D1328" s="48" t="s">
        <v>6066</v>
      </c>
      <c r="E1328" s="48" t="s">
        <v>5195</v>
      </c>
      <c r="F1328" s="14">
        <v>0</v>
      </c>
      <c r="G1328" s="48" t="s">
        <v>6157</v>
      </c>
      <c r="H1328" s="56"/>
      <c r="I1328" s="22"/>
      <c r="O1328" s="21"/>
    </row>
    <row r="1329" spans="1:15" customFormat="1" ht="15" x14ac:dyDescent="0.25">
      <c r="A1329" s="48" t="str">
        <f t="shared" si="62"/>
        <v>qspi_vddh2_dyn_qspi_ddr_master_200_3p3v</v>
      </c>
      <c r="B1329" s="48" t="s">
        <v>5352</v>
      </c>
      <c r="C1329" s="48" t="s">
        <v>5262</v>
      </c>
      <c r="D1329" s="48" t="s">
        <v>6135</v>
      </c>
      <c r="E1329" s="48" t="s">
        <v>5195</v>
      </c>
      <c r="F1329" s="14">
        <v>52.300749599999996</v>
      </c>
      <c r="G1329" s="48" t="s">
        <v>6157</v>
      </c>
      <c r="H1329" s="56"/>
      <c r="I1329" s="22"/>
      <c r="O1329" s="21"/>
    </row>
    <row r="1330" spans="1:15" customFormat="1" ht="15" x14ac:dyDescent="0.25">
      <c r="A1330" s="48" t="str">
        <f t="shared" si="62"/>
        <v>qspi_vddh2_dyn_qspi_ddr_master_160_3p3v</v>
      </c>
      <c r="B1330" s="48" t="s">
        <v>5352</v>
      </c>
      <c r="C1330" s="48" t="s">
        <v>5262</v>
      </c>
      <c r="D1330" s="48" t="s">
        <v>4918</v>
      </c>
      <c r="E1330" s="48" t="s">
        <v>5195</v>
      </c>
      <c r="F1330" s="14">
        <v>41.840599679999997</v>
      </c>
      <c r="G1330" s="48" t="s">
        <v>6157</v>
      </c>
      <c r="H1330" s="56"/>
      <c r="I1330" s="22"/>
      <c r="O1330" s="21"/>
    </row>
    <row r="1331" spans="1:15" customFormat="1" ht="15" x14ac:dyDescent="0.25">
      <c r="A1331" s="48" t="str">
        <f t="shared" si="62"/>
        <v>qspi_vddh2_dyn_qspi_ddr_master_133_3p3v</v>
      </c>
      <c r="B1331" s="48" t="s">
        <v>5352</v>
      </c>
      <c r="C1331" s="48" t="s">
        <v>5262</v>
      </c>
      <c r="D1331" s="48" t="s">
        <v>4919</v>
      </c>
      <c r="E1331" s="48" t="s">
        <v>5195</v>
      </c>
      <c r="F1331" s="14">
        <v>34.779998483999996</v>
      </c>
      <c r="G1331" s="48" t="s">
        <v>6157</v>
      </c>
      <c r="H1331" s="56"/>
      <c r="I1331" s="22"/>
      <c r="O1331" s="21"/>
    </row>
    <row r="1332" spans="1:15" customFormat="1" ht="15" x14ac:dyDescent="0.25">
      <c r="A1332" s="48" t="str">
        <f t="shared" si="62"/>
        <v>qspi_vddh2_dyn_qspi_ddr_master_100_3p3v</v>
      </c>
      <c r="B1332" s="48" t="s">
        <v>5352</v>
      </c>
      <c r="C1332" s="48" t="s">
        <v>5262</v>
      </c>
      <c r="D1332" s="48" t="s">
        <v>6136</v>
      </c>
      <c r="E1332" s="48" t="s">
        <v>5195</v>
      </c>
      <c r="F1332" s="14">
        <v>26.150374799999998</v>
      </c>
      <c r="G1332" s="48" t="s">
        <v>6157</v>
      </c>
      <c r="H1332" s="56"/>
      <c r="I1332" s="22"/>
      <c r="O1332" s="21"/>
    </row>
    <row r="1333" spans="1:15" customFormat="1" ht="15" x14ac:dyDescent="0.25">
      <c r="A1333" s="48" t="str">
        <f t="shared" si="62"/>
        <v>qspi_vddh2_dyn_qspi_ddr_master_80_3p3v</v>
      </c>
      <c r="B1333" s="48" t="s">
        <v>5352</v>
      </c>
      <c r="C1333" s="48" t="s">
        <v>5262</v>
      </c>
      <c r="D1333" s="48" t="s">
        <v>5984</v>
      </c>
      <c r="E1333" s="48" t="s">
        <v>5195</v>
      </c>
      <c r="F1333" s="14">
        <v>20.920299839999998</v>
      </c>
      <c r="G1333" s="48" t="s">
        <v>6157</v>
      </c>
      <c r="H1333" s="56"/>
      <c r="I1333" s="22"/>
      <c r="O1333" s="21"/>
    </row>
    <row r="1334" spans="1:15" customFormat="1" ht="15" x14ac:dyDescent="0.25">
      <c r="A1334" s="48" t="str">
        <f t="shared" si="62"/>
        <v>qspi_vddh2_dyn_qspi_ddr_master_67_3p3v</v>
      </c>
      <c r="B1334" s="48" t="s">
        <v>5352</v>
      </c>
      <c r="C1334" s="48" t="s">
        <v>5262</v>
      </c>
      <c r="D1334" s="48" t="s">
        <v>5982</v>
      </c>
      <c r="E1334" s="48" t="s">
        <v>5195</v>
      </c>
      <c r="F1334" s="14">
        <v>17.520751116</v>
      </c>
      <c r="G1334" s="48" t="s">
        <v>6157</v>
      </c>
      <c r="H1334" s="56"/>
      <c r="I1334" s="22"/>
      <c r="O1334" s="21"/>
    </row>
    <row r="1335" spans="1:15" customFormat="1" ht="15" x14ac:dyDescent="0.25">
      <c r="A1335" s="48" t="str">
        <f t="shared" si="62"/>
        <v>qspi_vddh2_dyn_qspi_ddr_master_60_3p3v</v>
      </c>
      <c r="B1335" s="48" t="s">
        <v>5352</v>
      </c>
      <c r="C1335" s="48" t="s">
        <v>5262</v>
      </c>
      <c r="D1335" s="48" t="s">
        <v>6137</v>
      </c>
      <c r="E1335" s="48" t="s">
        <v>5195</v>
      </c>
      <c r="F1335" s="14">
        <v>15.690224879999999</v>
      </c>
      <c r="G1335" s="48" t="s">
        <v>6157</v>
      </c>
      <c r="H1335" s="56"/>
      <c r="I1335" s="22"/>
      <c r="O1335" s="21"/>
    </row>
    <row r="1336" spans="1:15" customFormat="1" ht="15" x14ac:dyDescent="0.25">
      <c r="A1336" s="48" t="str">
        <f t="shared" si="62"/>
        <v>qspi_vddh2_dyn_qspi_ddr_master_40_3p3v</v>
      </c>
      <c r="B1336" s="48" t="s">
        <v>5352</v>
      </c>
      <c r="C1336" s="48" t="s">
        <v>5262</v>
      </c>
      <c r="D1336" s="48" t="s">
        <v>6138</v>
      </c>
      <c r="E1336" s="48" t="s">
        <v>5195</v>
      </c>
      <c r="F1336" s="14">
        <v>10.460149919999999</v>
      </c>
      <c r="G1336" s="48" t="s">
        <v>6157</v>
      </c>
      <c r="H1336" s="56"/>
      <c r="I1336" s="22"/>
      <c r="O1336" s="21"/>
    </row>
    <row r="1337" spans="1:15" customFormat="1" ht="15" x14ac:dyDescent="0.25">
      <c r="A1337" s="48" t="str">
        <f t="shared" si="62"/>
        <v>qspi_vddh2_dyn_qspi_sdr_master_160_3p3v</v>
      </c>
      <c r="B1337" s="48" t="s">
        <v>5352</v>
      </c>
      <c r="C1337" s="48" t="s">
        <v>5262</v>
      </c>
      <c r="D1337" s="48" t="s">
        <v>6139</v>
      </c>
      <c r="E1337" s="48" t="s">
        <v>5195</v>
      </c>
      <c r="F1337" s="14">
        <v>62.749399679999989</v>
      </c>
      <c r="G1337" s="48" t="s">
        <v>6157</v>
      </c>
      <c r="H1337" s="56"/>
      <c r="I1337" s="22"/>
      <c r="O1337" s="21"/>
    </row>
    <row r="1338" spans="1:15" customFormat="1" ht="15" x14ac:dyDescent="0.25">
      <c r="A1338" s="48" t="str">
        <f t="shared" si="62"/>
        <v>qspi_vddh2_dyn_qspi_sdr_master_133_3p3v</v>
      </c>
      <c r="B1338" s="48" t="s">
        <v>5352</v>
      </c>
      <c r="C1338" s="48" t="s">
        <v>5262</v>
      </c>
      <c r="D1338" s="48" t="s">
        <v>4920</v>
      </c>
      <c r="E1338" s="48" t="s">
        <v>5195</v>
      </c>
      <c r="F1338" s="14">
        <v>52.16043848399999</v>
      </c>
      <c r="G1338" s="48" t="s">
        <v>6157</v>
      </c>
      <c r="H1338" s="56"/>
      <c r="I1338" s="22"/>
      <c r="O1338" s="21"/>
    </row>
    <row r="1339" spans="1:15" customFormat="1" ht="15" x14ac:dyDescent="0.25">
      <c r="A1339" s="48" t="str">
        <f t="shared" si="62"/>
        <v>qspi_vddh2_dyn_qspi_sdr_master_100_3p3v</v>
      </c>
      <c r="B1339" s="48" t="s">
        <v>5352</v>
      </c>
      <c r="C1339" s="48" t="s">
        <v>5262</v>
      </c>
      <c r="D1339" s="48" t="s">
        <v>6140</v>
      </c>
      <c r="E1339" s="48" t="s">
        <v>5195</v>
      </c>
      <c r="F1339" s="14">
        <v>39.218374799999992</v>
      </c>
      <c r="G1339" s="48" t="s">
        <v>6157</v>
      </c>
      <c r="H1339" s="56"/>
      <c r="I1339" s="22"/>
      <c r="O1339" s="21"/>
    </row>
    <row r="1340" spans="1:15" customFormat="1" ht="15" x14ac:dyDescent="0.25">
      <c r="A1340" s="48" t="str">
        <f t="shared" si="62"/>
        <v>qspi_vddh2_dyn_qspi_sdr_master_80_3p3v</v>
      </c>
      <c r="B1340" s="48" t="s">
        <v>5352</v>
      </c>
      <c r="C1340" s="48" t="s">
        <v>5262</v>
      </c>
      <c r="D1340" s="48" t="s">
        <v>5995</v>
      </c>
      <c r="E1340" s="48" t="s">
        <v>5195</v>
      </c>
      <c r="F1340" s="14">
        <v>31.374699839999995</v>
      </c>
      <c r="G1340" s="48" t="s">
        <v>6157</v>
      </c>
      <c r="H1340" s="56"/>
      <c r="I1340" s="22"/>
      <c r="O1340" s="21"/>
    </row>
    <row r="1341" spans="1:15" s="22" customFormat="1" ht="15" x14ac:dyDescent="0.25">
      <c r="A1341" s="48" t="str">
        <f t="shared" si="62"/>
        <v>qspi_vddh2_dyn_qspi_sdr_master_67_3p3v</v>
      </c>
      <c r="B1341" s="48" t="s">
        <v>5352</v>
      </c>
      <c r="C1341" s="48" t="s">
        <v>5262</v>
      </c>
      <c r="D1341" s="48" t="s">
        <v>5988</v>
      </c>
      <c r="E1341" s="48" t="s">
        <v>5195</v>
      </c>
      <c r="F1341" s="14">
        <v>26.276311115999999</v>
      </c>
      <c r="G1341" s="48" t="s">
        <v>6157</v>
      </c>
      <c r="H1341" s="56"/>
      <c r="O1341" s="21"/>
    </row>
    <row r="1342" spans="1:15" s="22" customFormat="1" ht="15" x14ac:dyDescent="0.25">
      <c r="A1342" s="48" t="str">
        <f t="shared" si="62"/>
        <v>qspi_vddh2_dyn_qspi_sdr_master_60_3p3v</v>
      </c>
      <c r="B1342" s="48" t="s">
        <v>5352</v>
      </c>
      <c r="C1342" s="48" t="s">
        <v>5262</v>
      </c>
      <c r="D1342" s="48" t="s">
        <v>6141</v>
      </c>
      <c r="E1342" s="48" t="s">
        <v>5195</v>
      </c>
      <c r="F1342" s="14">
        <v>23.531024879999997</v>
      </c>
      <c r="G1342" s="48" t="s">
        <v>6157</v>
      </c>
      <c r="H1342" s="56"/>
      <c r="O1342" s="21"/>
    </row>
    <row r="1343" spans="1:15" s="22" customFormat="1" ht="15" x14ac:dyDescent="0.25">
      <c r="A1343" s="48" t="str">
        <f t="shared" si="62"/>
        <v>qspi_vddh2_dyn_qspi_sdr_master_40_3p3v</v>
      </c>
      <c r="B1343" s="48" t="s">
        <v>5352</v>
      </c>
      <c r="C1343" s="48" t="s">
        <v>5262</v>
      </c>
      <c r="D1343" s="48" t="s">
        <v>6142</v>
      </c>
      <c r="E1343" s="48" t="s">
        <v>5195</v>
      </c>
      <c r="F1343" s="14">
        <v>15.687349919999997</v>
      </c>
      <c r="G1343" s="48" t="s">
        <v>6157</v>
      </c>
      <c r="H1343" s="56"/>
      <c r="O1343" s="21"/>
    </row>
    <row r="1344" spans="1:15" s="22" customFormat="1" ht="15" x14ac:dyDescent="0.25">
      <c r="A1344" s="48" t="str">
        <f t="shared" si="62"/>
        <v>qspi_vddh2_dyn_qspi_ddr_slave_160_3p3v</v>
      </c>
      <c r="B1344" s="48" t="s">
        <v>5352</v>
      </c>
      <c r="C1344" s="48" t="s">
        <v>5262</v>
      </c>
      <c r="D1344" s="48" t="s">
        <v>6143</v>
      </c>
      <c r="E1344" s="48" t="s">
        <v>5195</v>
      </c>
      <c r="F1344" s="14">
        <v>20.908799999999996</v>
      </c>
      <c r="G1344" s="48" t="s">
        <v>6157</v>
      </c>
      <c r="H1344" s="56"/>
      <c r="O1344" s="21"/>
    </row>
    <row r="1345" spans="1:15" s="22" customFormat="1" ht="15" x14ac:dyDescent="0.25">
      <c r="A1345" s="48" t="str">
        <f t="shared" si="62"/>
        <v>qspi_vddh2_dyn_qspi_ddr_slave_133_3p3v</v>
      </c>
      <c r="B1345" s="48" t="s">
        <v>5352</v>
      </c>
      <c r="C1345" s="48" t="s">
        <v>5262</v>
      </c>
      <c r="D1345" s="48" t="s">
        <v>6144</v>
      </c>
      <c r="E1345" s="48" t="s">
        <v>5195</v>
      </c>
      <c r="F1345" s="14">
        <v>17.380439999999997</v>
      </c>
      <c r="G1345" s="48" t="s">
        <v>6157</v>
      </c>
      <c r="H1345" s="56"/>
      <c r="O1345" s="21"/>
    </row>
    <row r="1346" spans="1:15" s="22" customFormat="1" ht="15" x14ac:dyDescent="0.25">
      <c r="A1346" s="48" t="str">
        <f t="shared" si="62"/>
        <v>qspi_vddh2_dyn_qspi_ddr_slave_100_3p3v</v>
      </c>
      <c r="B1346" s="48" t="s">
        <v>5352</v>
      </c>
      <c r="C1346" s="48" t="s">
        <v>5262</v>
      </c>
      <c r="D1346" s="48" t="s">
        <v>6145</v>
      </c>
      <c r="E1346" s="48" t="s">
        <v>5195</v>
      </c>
      <c r="F1346" s="14">
        <v>13.067999999999998</v>
      </c>
      <c r="G1346" s="48" t="s">
        <v>6157</v>
      </c>
      <c r="H1346" s="56"/>
      <c r="O1346" s="21"/>
    </row>
    <row r="1347" spans="1:15" s="22" customFormat="1" ht="15" x14ac:dyDescent="0.25">
      <c r="A1347" s="48" t="str">
        <f t="shared" si="62"/>
        <v>qspi_vddh2_dyn_qspi_ddr_slave_80_3p3v</v>
      </c>
      <c r="B1347" s="48" t="s">
        <v>5352</v>
      </c>
      <c r="C1347" s="48" t="s">
        <v>5262</v>
      </c>
      <c r="D1347" s="48" t="s">
        <v>6146</v>
      </c>
      <c r="E1347" s="48" t="s">
        <v>5195</v>
      </c>
      <c r="F1347" s="14">
        <v>10.454399999999998</v>
      </c>
      <c r="G1347" s="48" t="s">
        <v>6157</v>
      </c>
      <c r="H1347" s="56"/>
      <c r="O1347" s="21"/>
    </row>
    <row r="1348" spans="1:15" s="22" customFormat="1" ht="15" x14ac:dyDescent="0.25">
      <c r="A1348" s="48" t="str">
        <f t="shared" si="62"/>
        <v>qspi_vddh2_dyn_qspi_ddr_slave_67_3p3v</v>
      </c>
      <c r="B1348" s="48" t="s">
        <v>5352</v>
      </c>
      <c r="C1348" s="48" t="s">
        <v>5262</v>
      </c>
      <c r="D1348" s="48" t="s">
        <v>6147</v>
      </c>
      <c r="E1348" s="48" t="s">
        <v>5195</v>
      </c>
      <c r="F1348" s="14">
        <v>8.7555599999999991</v>
      </c>
      <c r="G1348" s="48" t="s">
        <v>6157</v>
      </c>
      <c r="H1348" s="56"/>
      <c r="O1348" s="21"/>
    </row>
    <row r="1349" spans="1:15" s="22" customFormat="1" ht="15" x14ac:dyDescent="0.25">
      <c r="A1349" s="48" t="str">
        <f t="shared" si="62"/>
        <v>qspi_vddh2_dyn_qspi_ddr_slave_60_3p3v</v>
      </c>
      <c r="B1349" s="48" t="s">
        <v>5352</v>
      </c>
      <c r="C1349" s="48" t="s">
        <v>5262</v>
      </c>
      <c r="D1349" s="48" t="s">
        <v>6148</v>
      </c>
      <c r="E1349" s="48" t="s">
        <v>5195</v>
      </c>
      <c r="F1349" s="14">
        <v>7.8407999999999989</v>
      </c>
      <c r="G1349" s="48" t="s">
        <v>6157</v>
      </c>
      <c r="H1349" s="56"/>
      <c r="O1349" s="21"/>
    </row>
    <row r="1350" spans="1:15" s="22" customFormat="1" ht="15" x14ac:dyDescent="0.25">
      <c r="A1350" s="48" t="str">
        <f t="shared" si="62"/>
        <v>qspi_vddh2_dyn_qspi_ddr_slave_40_3p3v</v>
      </c>
      <c r="B1350" s="48" t="s">
        <v>5352</v>
      </c>
      <c r="C1350" s="48" t="s">
        <v>5262</v>
      </c>
      <c r="D1350" s="48" t="s">
        <v>6149</v>
      </c>
      <c r="E1350" s="48" t="s">
        <v>5195</v>
      </c>
      <c r="F1350" s="14">
        <v>5.227199999999999</v>
      </c>
      <c r="G1350" s="48" t="s">
        <v>6157</v>
      </c>
      <c r="H1350" s="56"/>
      <c r="O1350" s="21"/>
    </row>
    <row r="1351" spans="1:15" s="22" customFormat="1" ht="15" x14ac:dyDescent="0.25">
      <c r="A1351" s="48" t="str">
        <f t="shared" si="62"/>
        <v>qspi_vddh2_dyn_qspi_sdr_slave_160_3p3v</v>
      </c>
      <c r="B1351" s="48" t="s">
        <v>5352</v>
      </c>
      <c r="C1351" s="48" t="s">
        <v>5262</v>
      </c>
      <c r="D1351" s="48" t="s">
        <v>6150</v>
      </c>
      <c r="E1351" s="48" t="s">
        <v>5195</v>
      </c>
      <c r="F1351" s="14">
        <v>20.908799999999996</v>
      </c>
      <c r="G1351" s="48" t="s">
        <v>6157</v>
      </c>
      <c r="H1351" s="56"/>
      <c r="O1351" s="21"/>
    </row>
    <row r="1352" spans="1:15" s="22" customFormat="1" ht="15" x14ac:dyDescent="0.25">
      <c r="A1352" s="48" t="str">
        <f t="shared" si="62"/>
        <v>qspi_vddh2_dyn_qspi_sdr_slave_133_3p3v</v>
      </c>
      <c r="B1352" s="48" t="s">
        <v>5352</v>
      </c>
      <c r="C1352" s="48" t="s">
        <v>5262</v>
      </c>
      <c r="D1352" s="48" t="s">
        <v>6151</v>
      </c>
      <c r="E1352" s="48" t="s">
        <v>5195</v>
      </c>
      <c r="F1352" s="14">
        <v>17.380439999999997</v>
      </c>
      <c r="G1352" s="48" t="s">
        <v>6157</v>
      </c>
      <c r="H1352" s="56"/>
      <c r="O1352" s="21"/>
    </row>
    <row r="1353" spans="1:15" s="22" customFormat="1" ht="15" x14ac:dyDescent="0.25">
      <c r="A1353" s="48" t="str">
        <f t="shared" si="62"/>
        <v>qspi_vddh2_dyn_qspi_sdr_slave_100_3p3v</v>
      </c>
      <c r="B1353" s="48" t="s">
        <v>5352</v>
      </c>
      <c r="C1353" s="48" t="s">
        <v>5262</v>
      </c>
      <c r="D1353" s="48" t="s">
        <v>6152</v>
      </c>
      <c r="E1353" s="48" t="s">
        <v>5195</v>
      </c>
      <c r="F1353" s="14">
        <v>13.067999999999998</v>
      </c>
      <c r="G1353" s="48" t="s">
        <v>6157</v>
      </c>
      <c r="H1353" s="56"/>
      <c r="O1353" s="21"/>
    </row>
    <row r="1354" spans="1:15" s="22" customFormat="1" ht="15" x14ac:dyDescent="0.25">
      <c r="A1354" s="48" t="str">
        <f t="shared" si="62"/>
        <v>qspi_vddh2_dyn_qspi_sdr_slave_80_3p3v</v>
      </c>
      <c r="B1354" s="48" t="s">
        <v>5352</v>
      </c>
      <c r="C1354" s="48" t="s">
        <v>5262</v>
      </c>
      <c r="D1354" s="48" t="s">
        <v>6153</v>
      </c>
      <c r="E1354" s="48" t="s">
        <v>5195</v>
      </c>
      <c r="F1354" s="14">
        <v>10.454399999999998</v>
      </c>
      <c r="G1354" s="48" t="s">
        <v>6157</v>
      </c>
      <c r="H1354" s="56"/>
      <c r="O1354" s="21"/>
    </row>
    <row r="1355" spans="1:15" s="22" customFormat="1" ht="15" x14ac:dyDescent="0.25">
      <c r="A1355" s="48" t="str">
        <f t="shared" ref="A1355:A1357" si="63">B1355&amp;"_"&amp;C1355&amp;"_"&amp;D1355</f>
        <v>qspi_vddh2_dyn_qspi_sdr_slave_67_3p3v</v>
      </c>
      <c r="B1355" s="48" t="s">
        <v>5352</v>
      </c>
      <c r="C1355" s="48" t="s">
        <v>5262</v>
      </c>
      <c r="D1355" s="48" t="s">
        <v>6154</v>
      </c>
      <c r="E1355" s="48" t="s">
        <v>5195</v>
      </c>
      <c r="F1355" s="14">
        <v>8.7555599999999991</v>
      </c>
      <c r="G1355" s="48" t="s">
        <v>6157</v>
      </c>
      <c r="H1355" s="56"/>
      <c r="O1355" s="21"/>
    </row>
    <row r="1356" spans="1:15" s="22" customFormat="1" ht="15" x14ac:dyDescent="0.25">
      <c r="A1356" s="48" t="str">
        <f t="shared" si="63"/>
        <v>qspi_vddh2_dyn_qspi_sdr_slave_60_3p3v</v>
      </c>
      <c r="B1356" s="48" t="s">
        <v>5352</v>
      </c>
      <c r="C1356" s="48" t="s">
        <v>5262</v>
      </c>
      <c r="D1356" s="48" t="s">
        <v>6155</v>
      </c>
      <c r="E1356" s="48" t="s">
        <v>5195</v>
      </c>
      <c r="F1356" s="14">
        <v>7.8407999999999989</v>
      </c>
      <c r="G1356" s="48" t="s">
        <v>6157</v>
      </c>
      <c r="H1356" s="56"/>
      <c r="O1356" s="21"/>
    </row>
    <row r="1357" spans="1:15" s="22" customFormat="1" ht="15" x14ac:dyDescent="0.25">
      <c r="A1357" s="48" t="str">
        <f t="shared" si="63"/>
        <v>qspi_vddh2_dyn_qspi_sdr_slave_40_3p3v</v>
      </c>
      <c r="B1357" s="48" t="s">
        <v>5352</v>
      </c>
      <c r="C1357" s="48" t="s">
        <v>5262</v>
      </c>
      <c r="D1357" s="48" t="s">
        <v>6156</v>
      </c>
      <c r="E1357" s="48" t="s">
        <v>5195</v>
      </c>
      <c r="F1357" s="14">
        <v>5.227199999999999</v>
      </c>
      <c r="G1357" s="48" t="s">
        <v>6157</v>
      </c>
      <c r="H1357" s="56"/>
      <c r="O1357" s="21"/>
    </row>
    <row r="1358" spans="1:15" s="22" customFormat="1" ht="15" x14ac:dyDescent="0.25">
      <c r="A1358" s="48" t="str">
        <f t="shared" ref="A1358:A1389" si="64">B1358&amp;"_"&amp;C1358</f>
        <v>radar_hsm_accuracy_grade</v>
      </c>
      <c r="B1358" s="59" t="s">
        <v>5461</v>
      </c>
      <c r="C1358" s="48" t="s">
        <v>5366</v>
      </c>
      <c r="D1358" s="48"/>
      <c r="E1358" s="48" t="s">
        <v>5192</v>
      </c>
      <c r="F1358" s="14" t="s">
        <v>5786</v>
      </c>
      <c r="G1358" s="13" t="s">
        <v>5425</v>
      </c>
      <c r="H1358" s="21"/>
      <c r="O1358" s="21"/>
    </row>
    <row r="1359" spans="1:15" s="22" customFormat="1" ht="15" x14ac:dyDescent="0.25">
      <c r="A1359" s="48" t="str">
        <f t="shared" si="64"/>
        <v>radar_hsm_area</v>
      </c>
      <c r="B1359" s="59" t="s">
        <v>5461</v>
      </c>
      <c r="C1359" s="48" t="s">
        <v>5360</v>
      </c>
      <c r="D1359" s="48"/>
      <c r="E1359" s="48" t="s">
        <v>5192</v>
      </c>
      <c r="F1359" s="14">
        <v>2.92</v>
      </c>
      <c r="G1359" s="13" t="s">
        <v>5425</v>
      </c>
      <c r="H1359" s="21"/>
      <c r="O1359" s="21"/>
    </row>
    <row r="1360" spans="1:15" s="22" customFormat="1" ht="15" x14ac:dyDescent="0.25">
      <c r="A1360" s="48" t="str">
        <f t="shared" si="64"/>
        <v>radar_hsm_data_source</v>
      </c>
      <c r="B1360" s="59" t="s">
        <v>5461</v>
      </c>
      <c r="C1360" s="48" t="s">
        <v>5368</v>
      </c>
      <c r="D1360" s="48"/>
      <c r="E1360" s="48" t="s">
        <v>5192</v>
      </c>
      <c r="F1360" s="14" t="s">
        <v>5872</v>
      </c>
      <c r="G1360" s="13" t="s">
        <v>5425</v>
      </c>
      <c r="H1360" s="21"/>
      <c r="O1360" s="21"/>
    </row>
    <row r="1361" spans="1:15" s="22" customFormat="1" ht="15" x14ac:dyDescent="0.25">
      <c r="A1361" s="48" t="str">
        <f t="shared" si="64"/>
        <v>radar_hsm_description</v>
      </c>
      <c r="B1361" s="59" t="s">
        <v>5461</v>
      </c>
      <c r="C1361" s="48" t="s">
        <v>5379</v>
      </c>
      <c r="D1361" s="48"/>
      <c r="E1361" s="48" t="s">
        <v>5192</v>
      </c>
      <c r="F1361" s="14" t="s">
        <v>5835</v>
      </c>
      <c r="G1361" s="13" t="s">
        <v>5425</v>
      </c>
      <c r="H1361" s="21"/>
      <c r="O1361" s="21"/>
    </row>
    <row r="1362" spans="1:15" s="22" customFormat="1" ht="15" x14ac:dyDescent="0.25">
      <c r="A1362" s="48" t="str">
        <f t="shared" si="64"/>
        <v>radar_hsm_first_soc</v>
      </c>
      <c r="B1362" s="59" t="s">
        <v>5461</v>
      </c>
      <c r="C1362" s="48" t="s">
        <v>5378</v>
      </c>
      <c r="D1362" s="48"/>
      <c r="E1362" s="48" t="s">
        <v>5192</v>
      </c>
      <c r="F1362" s="14" t="s">
        <v>5381</v>
      </c>
      <c r="G1362" s="13" t="s">
        <v>5425</v>
      </c>
      <c r="H1362" s="21"/>
      <c r="O1362" s="21"/>
    </row>
    <row r="1363" spans="1:15" s="22" customFormat="1" ht="15" x14ac:dyDescent="0.25">
      <c r="A1363" s="48" t="str">
        <f t="shared" si="64"/>
        <v>radar_hsm_freq_trk</v>
      </c>
      <c r="B1363" s="59" t="s">
        <v>5461</v>
      </c>
      <c r="C1363" s="48" t="s">
        <v>5220</v>
      </c>
      <c r="D1363" s="48"/>
      <c r="E1363" s="48" t="s">
        <v>5192</v>
      </c>
      <c r="F1363" s="14">
        <v>200</v>
      </c>
      <c r="G1363" s="13" t="s">
        <v>5425</v>
      </c>
      <c r="H1363" s="21"/>
      <c r="O1363" s="21"/>
    </row>
    <row r="1364" spans="1:15" s="22" customFormat="1" ht="15" x14ac:dyDescent="0.25">
      <c r="A1364" s="48" t="str">
        <f t="shared" si="64"/>
        <v>radar_hsm_function</v>
      </c>
      <c r="B1364" s="59" t="s">
        <v>5461</v>
      </c>
      <c r="C1364" s="48" t="s">
        <v>5367</v>
      </c>
      <c r="D1364" s="48"/>
      <c r="E1364" s="48" t="s">
        <v>5192</v>
      </c>
      <c r="F1364" s="14" t="s">
        <v>5862</v>
      </c>
      <c r="G1364" s="13" t="s">
        <v>5425</v>
      </c>
      <c r="H1364" s="21"/>
      <c r="O1364" s="21"/>
    </row>
    <row r="1365" spans="1:15" s="22" customFormat="1" ht="15" x14ac:dyDescent="0.25">
      <c r="A1365" s="48" t="str">
        <f t="shared" si="64"/>
        <v>radar_hsm_lvt_pct</v>
      </c>
      <c r="B1365" s="59" t="s">
        <v>5461</v>
      </c>
      <c r="C1365" s="48" t="s">
        <v>5357</v>
      </c>
      <c r="D1365" s="48"/>
      <c r="E1365" s="48" t="s">
        <v>5192</v>
      </c>
      <c r="F1365" s="20">
        <v>2.9999999999999997E-4</v>
      </c>
      <c r="G1365" s="13" t="s">
        <v>5425</v>
      </c>
      <c r="H1365" s="21"/>
      <c r="O1365" s="21"/>
    </row>
    <row r="1366" spans="1:15" s="22" customFormat="1" ht="15" x14ac:dyDescent="0.25">
      <c r="A1366" s="48" t="str">
        <f t="shared" si="64"/>
        <v>radar_hsm_macro_area</v>
      </c>
      <c r="B1366" s="59" t="s">
        <v>5461</v>
      </c>
      <c r="C1366" s="48" t="s">
        <v>5228</v>
      </c>
      <c r="D1366" s="48"/>
      <c r="E1366" s="48" t="s">
        <v>5192</v>
      </c>
      <c r="F1366" s="14">
        <v>1.02</v>
      </c>
      <c r="G1366" s="13" t="s">
        <v>5425</v>
      </c>
      <c r="H1366" s="21"/>
      <c r="O1366" s="21"/>
    </row>
    <row r="1367" spans="1:15" s="22" customFormat="1" ht="15" x14ac:dyDescent="0.25">
      <c r="A1367" s="48" t="str">
        <f t="shared" si="64"/>
        <v>radar_hsm_osvt_pct</v>
      </c>
      <c r="B1367" s="59" t="s">
        <v>5461</v>
      </c>
      <c r="C1367" s="48" t="s">
        <v>5354</v>
      </c>
      <c r="D1367" s="48"/>
      <c r="E1367" s="48" t="s">
        <v>5192</v>
      </c>
      <c r="F1367" s="20">
        <v>6.0000000000000001E-3</v>
      </c>
      <c r="G1367" s="13" t="s">
        <v>5425</v>
      </c>
      <c r="H1367" s="21"/>
      <c r="O1367" s="21"/>
    </row>
    <row r="1368" spans="1:15" s="22" customFormat="1" ht="15" x14ac:dyDescent="0.25">
      <c r="A1368" s="48" t="str">
        <f t="shared" si="64"/>
        <v>radar_hsm_stdcell_area</v>
      </c>
      <c r="B1368" s="59" t="s">
        <v>5461</v>
      </c>
      <c r="C1368" s="48" t="s">
        <v>5230</v>
      </c>
      <c r="D1368" s="48"/>
      <c r="E1368" s="48" t="s">
        <v>5192</v>
      </c>
      <c r="F1368" s="14">
        <f>2.17-1.04</f>
        <v>1.1299999999999999</v>
      </c>
      <c r="G1368" s="13" t="s">
        <v>5425</v>
      </c>
      <c r="H1368" s="21"/>
      <c r="O1368" s="21"/>
    </row>
    <row r="1369" spans="1:15" s="22" customFormat="1" ht="15" x14ac:dyDescent="0.25">
      <c r="A1369" s="48" t="str">
        <f t="shared" si="64"/>
        <v>radar_hsm_svt_pct</v>
      </c>
      <c r="B1369" s="59" t="s">
        <v>5461</v>
      </c>
      <c r="C1369" s="48" t="s">
        <v>5356</v>
      </c>
      <c r="D1369" s="48"/>
      <c r="E1369" s="48" t="s">
        <v>5192</v>
      </c>
      <c r="F1369" s="20">
        <v>0.42859999999999998</v>
      </c>
      <c r="G1369" s="13" t="s">
        <v>5425</v>
      </c>
      <c r="H1369" s="21"/>
      <c r="O1369" s="21"/>
    </row>
    <row r="1370" spans="1:15" customFormat="1" ht="15" x14ac:dyDescent="0.25">
      <c r="A1370" s="48" t="str">
        <f t="shared" si="64"/>
        <v>radar_hsm_tag</v>
      </c>
      <c r="B1370" s="59" t="s">
        <v>5461</v>
      </c>
      <c r="C1370" s="48" t="s">
        <v>5234</v>
      </c>
      <c r="D1370" s="48"/>
      <c r="E1370" s="48" t="s">
        <v>5192</v>
      </c>
      <c r="F1370" s="14" t="s">
        <v>5370</v>
      </c>
      <c r="G1370" s="21" t="s">
        <v>5425</v>
      </c>
      <c r="H1370" s="21"/>
      <c r="I1370" s="22"/>
      <c r="O1370" s="21"/>
    </row>
    <row r="1371" spans="1:15" customFormat="1" ht="15" x14ac:dyDescent="0.25">
      <c r="A1371" s="48" t="str">
        <f t="shared" si="64"/>
        <v>radar_hsm_type</v>
      </c>
      <c r="B1371" s="59" t="s">
        <v>5461</v>
      </c>
      <c r="C1371" s="48" t="s">
        <v>1</v>
      </c>
      <c r="D1371" s="48"/>
      <c r="E1371" s="48" t="s">
        <v>5192</v>
      </c>
      <c r="F1371" s="14" t="s">
        <v>5782</v>
      </c>
      <c r="G1371" s="21" t="s">
        <v>5425</v>
      </c>
      <c r="H1371" s="21"/>
      <c r="I1371" s="22"/>
      <c r="O1371" s="21"/>
    </row>
    <row r="1372" spans="1:15" customFormat="1" ht="15" x14ac:dyDescent="0.25">
      <c r="A1372" s="48" t="str">
        <f t="shared" si="64"/>
        <v>radar_hsm_vdd_dyn_idle_pct</v>
      </c>
      <c r="B1372" s="59" t="s">
        <v>5461</v>
      </c>
      <c r="C1372" s="48" t="s">
        <v>5363</v>
      </c>
      <c r="D1372" s="48"/>
      <c r="E1372" s="48" t="s">
        <v>5192</v>
      </c>
      <c r="F1372" s="166">
        <v>1.9199999999999998E-2</v>
      </c>
      <c r="G1372" s="21" t="s">
        <v>6045</v>
      </c>
      <c r="H1372" s="21"/>
      <c r="I1372" s="22"/>
      <c r="O1372" s="21"/>
    </row>
    <row r="1373" spans="1:15" customFormat="1" ht="15" x14ac:dyDescent="0.25">
      <c r="A1373" s="48" t="str">
        <f t="shared" si="64"/>
        <v>radar_hsm_vdd_dyn_int</v>
      </c>
      <c r="B1373" s="59" t="s">
        <v>5461</v>
      </c>
      <c r="C1373" s="48" t="s">
        <v>5361</v>
      </c>
      <c r="D1373" s="48"/>
      <c r="E1373" s="48" t="s">
        <v>5192</v>
      </c>
      <c r="F1373" s="14">
        <v>1224.8</v>
      </c>
      <c r="G1373" s="21" t="s">
        <v>5425</v>
      </c>
      <c r="H1373" s="21"/>
      <c r="I1373" s="22"/>
      <c r="O1373" s="21"/>
    </row>
    <row r="1374" spans="1:15" customFormat="1" ht="15" x14ac:dyDescent="0.25">
      <c r="A1374" s="48" t="str">
        <f t="shared" si="64"/>
        <v>radar_hsm_vdd_dyn_max_pct</v>
      </c>
      <c r="B1374" s="59" t="s">
        <v>5461</v>
      </c>
      <c r="C1374" s="48" t="s">
        <v>5364</v>
      </c>
      <c r="D1374" s="48"/>
      <c r="E1374" s="48" t="s">
        <v>5192</v>
      </c>
      <c r="F1374" s="14">
        <v>0.04</v>
      </c>
      <c r="G1374" s="21" t="s">
        <v>5425</v>
      </c>
      <c r="H1374" s="21"/>
      <c r="I1374" s="22"/>
      <c r="O1374" s="21"/>
    </row>
    <row r="1375" spans="1:15" customFormat="1" ht="15" x14ac:dyDescent="0.25">
      <c r="A1375" s="48" t="str">
        <f t="shared" si="64"/>
        <v>radar_hsm_vdd_dyn_peak_pct</v>
      </c>
      <c r="B1375" s="59" t="s">
        <v>5461</v>
      </c>
      <c r="C1375" s="48" t="s">
        <v>5365</v>
      </c>
      <c r="D1375" s="48"/>
      <c r="E1375" s="48" t="s">
        <v>5192</v>
      </c>
      <c r="F1375" s="14">
        <v>0.06</v>
      </c>
      <c r="G1375" s="21" t="s">
        <v>5425</v>
      </c>
      <c r="H1375" s="21"/>
      <c r="I1375" s="22"/>
      <c r="O1375" s="21"/>
    </row>
    <row r="1376" spans="1:15" customFormat="1" ht="15" x14ac:dyDescent="0.25">
      <c r="A1376" s="48" t="str">
        <f t="shared" si="64"/>
        <v>radar_hsm_vdd_dyn_sw</v>
      </c>
      <c r="B1376" s="59" t="s">
        <v>5461</v>
      </c>
      <c r="C1376" s="48" t="s">
        <v>5362</v>
      </c>
      <c r="D1376" s="48"/>
      <c r="E1376" s="48" t="s">
        <v>5192</v>
      </c>
      <c r="F1376" s="14">
        <v>1068</v>
      </c>
      <c r="G1376" s="21" t="s">
        <v>5425</v>
      </c>
      <c r="H1376" s="21"/>
      <c r="I1376" s="22"/>
      <c r="O1376" s="21"/>
    </row>
    <row r="1377" spans="1:15" s="22" customFormat="1" ht="15" x14ac:dyDescent="0.25">
      <c r="A1377" s="48" t="str">
        <f t="shared" si="64"/>
        <v>radar_hsm_vdd_lkg</v>
      </c>
      <c r="B1377" s="59" t="s">
        <v>5461</v>
      </c>
      <c r="C1377" s="48" t="s">
        <v>5245</v>
      </c>
      <c r="D1377" s="48"/>
      <c r="E1377" s="48" t="s">
        <v>5192</v>
      </c>
      <c r="F1377" s="14">
        <v>80.439331983805673</v>
      </c>
      <c r="G1377" s="21" t="s">
        <v>5425</v>
      </c>
      <c r="H1377" s="21"/>
      <c r="O1377" s="21"/>
    </row>
    <row r="1378" spans="1:15" s="22" customFormat="1" ht="15" x14ac:dyDescent="0.25">
      <c r="A1378" s="48" t="str">
        <f t="shared" si="64"/>
        <v>radar_hsm_vddr_lkg</v>
      </c>
      <c r="B1378" s="59" t="s">
        <v>5461</v>
      </c>
      <c r="C1378" s="48" t="s">
        <v>5246</v>
      </c>
      <c r="D1378" s="48"/>
      <c r="E1378" s="48" t="s">
        <v>5192</v>
      </c>
      <c r="F1378" s="14">
        <v>2.7306680161943317</v>
      </c>
      <c r="G1378" s="21" t="s">
        <v>5425</v>
      </c>
      <c r="H1378" s="21"/>
      <c r="O1378" s="21"/>
    </row>
    <row r="1379" spans="1:15" s="22" customFormat="1" ht="15" x14ac:dyDescent="0.25">
      <c r="A1379" s="48" t="str">
        <f t="shared" si="64"/>
        <v>radar_hsm_xsvt_pct</v>
      </c>
      <c r="B1379" s="59" t="s">
        <v>5461</v>
      </c>
      <c r="C1379" s="48" t="s">
        <v>5355</v>
      </c>
      <c r="D1379" s="48"/>
      <c r="E1379" s="48" t="s">
        <v>5192</v>
      </c>
      <c r="F1379" s="20">
        <v>0.5665</v>
      </c>
      <c r="G1379" s="21" t="s">
        <v>5425</v>
      </c>
      <c r="H1379" s="21"/>
      <c r="O1379" s="21"/>
    </row>
    <row r="1380" spans="1:15" s="22" customFormat="1" ht="15" x14ac:dyDescent="0.25">
      <c r="A1380" s="48" t="str">
        <f t="shared" si="64"/>
        <v>radar_hwa_top_accuracy_grade</v>
      </c>
      <c r="B1380" s="59" t="s">
        <v>5462</v>
      </c>
      <c r="C1380" s="48" t="s">
        <v>5366</v>
      </c>
      <c r="D1380" s="48"/>
      <c r="E1380" s="48" t="s">
        <v>5192</v>
      </c>
      <c r="F1380" s="14" t="s">
        <v>5786</v>
      </c>
      <c r="G1380" s="21" t="s">
        <v>5425</v>
      </c>
      <c r="H1380" s="21"/>
      <c r="O1380" s="21"/>
    </row>
    <row r="1381" spans="1:15" s="22" customFormat="1" ht="15" x14ac:dyDescent="0.25">
      <c r="A1381" s="48" t="str">
        <f t="shared" si="64"/>
        <v>radar_hwa_top_area</v>
      </c>
      <c r="B1381" s="59" t="s">
        <v>5462</v>
      </c>
      <c r="C1381" s="48" t="s">
        <v>5360</v>
      </c>
      <c r="D1381" s="48"/>
      <c r="E1381" s="48" t="s">
        <v>5192</v>
      </c>
      <c r="F1381" s="14">
        <v>2.87</v>
      </c>
      <c r="G1381" s="21" t="s">
        <v>5425</v>
      </c>
      <c r="H1381" s="21"/>
      <c r="O1381" s="21"/>
    </row>
    <row r="1382" spans="1:15" s="22" customFormat="1" ht="15" x14ac:dyDescent="0.25">
      <c r="A1382" s="48" t="str">
        <f t="shared" si="64"/>
        <v>radar_hwa_top_data_source</v>
      </c>
      <c r="B1382" s="59" t="s">
        <v>5462</v>
      </c>
      <c r="C1382" s="48" t="s">
        <v>5368</v>
      </c>
      <c r="D1382" s="48"/>
      <c r="E1382" s="48" t="s">
        <v>5192</v>
      </c>
      <c r="F1382" s="14" t="s">
        <v>5369</v>
      </c>
      <c r="G1382" s="21" t="s">
        <v>5425</v>
      </c>
      <c r="H1382" s="21"/>
      <c r="O1382" s="21"/>
    </row>
    <row r="1383" spans="1:15" s="22" customFormat="1" ht="15" x14ac:dyDescent="0.25">
      <c r="A1383" s="48" t="str">
        <f t="shared" si="64"/>
        <v>radar_hwa_top_description</v>
      </c>
      <c r="B1383" s="59" t="s">
        <v>5462</v>
      </c>
      <c r="C1383" s="48" t="s">
        <v>5379</v>
      </c>
      <c r="D1383" s="48"/>
      <c r="E1383" s="48" t="s">
        <v>5192</v>
      </c>
      <c r="F1383" s="14" t="s">
        <v>5836</v>
      </c>
      <c r="G1383" s="21" t="s">
        <v>5425</v>
      </c>
      <c r="H1383" s="21"/>
      <c r="O1383" s="21"/>
    </row>
    <row r="1384" spans="1:15" s="22" customFormat="1" ht="15" x14ac:dyDescent="0.25">
      <c r="A1384" s="48" t="str">
        <f t="shared" si="64"/>
        <v>radar_hwa_top_first_soc</v>
      </c>
      <c r="B1384" s="59" t="s">
        <v>5462</v>
      </c>
      <c r="C1384" s="48" t="s">
        <v>5378</v>
      </c>
      <c r="D1384" s="48"/>
      <c r="E1384" s="48" t="s">
        <v>5192</v>
      </c>
      <c r="F1384" s="14" t="s">
        <v>5381</v>
      </c>
      <c r="G1384" s="21" t="s">
        <v>5425</v>
      </c>
      <c r="H1384" s="21"/>
      <c r="O1384" s="21"/>
    </row>
    <row r="1385" spans="1:15" s="22" customFormat="1" ht="15" x14ac:dyDescent="0.25">
      <c r="A1385" s="48" t="str">
        <f t="shared" si="64"/>
        <v>radar_hwa_top_freq_trk</v>
      </c>
      <c r="B1385" s="59" t="s">
        <v>5462</v>
      </c>
      <c r="C1385" s="48" t="s">
        <v>5220</v>
      </c>
      <c r="D1385" s="48"/>
      <c r="E1385" s="48" t="s">
        <v>5192</v>
      </c>
      <c r="F1385" s="14">
        <v>400</v>
      </c>
      <c r="G1385" s="21" t="s">
        <v>5425</v>
      </c>
      <c r="H1385" s="21"/>
      <c r="O1385" s="21"/>
    </row>
    <row r="1386" spans="1:15" s="22" customFormat="1" ht="15" x14ac:dyDescent="0.25">
      <c r="A1386" s="48" t="str">
        <f t="shared" si="64"/>
        <v>radar_hwa_top_function</v>
      </c>
      <c r="B1386" s="59" t="s">
        <v>5462</v>
      </c>
      <c r="C1386" s="48" t="s">
        <v>5367</v>
      </c>
      <c r="D1386" s="48"/>
      <c r="E1386" s="48" t="s">
        <v>5192</v>
      </c>
      <c r="F1386" s="14" t="s">
        <v>5818</v>
      </c>
      <c r="G1386" s="21" t="s">
        <v>5425</v>
      </c>
      <c r="H1386" s="21"/>
      <c r="O1386" s="21"/>
    </row>
    <row r="1387" spans="1:15" s="22" customFormat="1" ht="15" x14ac:dyDescent="0.25">
      <c r="A1387" s="48" t="str">
        <f t="shared" si="64"/>
        <v>radar_hwa_top_lvt_pct</v>
      </c>
      <c r="B1387" s="59" t="s">
        <v>5462</v>
      </c>
      <c r="C1387" s="48" t="s">
        <v>5357</v>
      </c>
      <c r="D1387" s="48"/>
      <c r="E1387" s="48" t="s">
        <v>5192</v>
      </c>
      <c r="F1387" s="14">
        <v>0</v>
      </c>
      <c r="G1387" s="21" t="s">
        <v>5425</v>
      </c>
      <c r="H1387" s="21"/>
      <c r="O1387" s="21"/>
    </row>
    <row r="1388" spans="1:15" s="22" customFormat="1" ht="15" x14ac:dyDescent="0.25">
      <c r="A1388" s="48" t="str">
        <f t="shared" si="64"/>
        <v>radar_hwa_top_macro_area</v>
      </c>
      <c r="B1388" s="59" t="s">
        <v>5462</v>
      </c>
      <c r="C1388" s="48" t="s">
        <v>5228</v>
      </c>
      <c r="D1388" s="48"/>
      <c r="E1388" s="48" t="s">
        <v>5192</v>
      </c>
      <c r="F1388" s="14">
        <v>0.87</v>
      </c>
      <c r="G1388" s="21" t="s">
        <v>5425</v>
      </c>
      <c r="H1388" s="21"/>
      <c r="O1388" s="21"/>
    </row>
    <row r="1389" spans="1:15" s="22" customFormat="1" ht="15" x14ac:dyDescent="0.25">
      <c r="A1389" s="48" t="str">
        <f t="shared" si="64"/>
        <v>radar_hwa_top_osvt_pct</v>
      </c>
      <c r="B1389" s="59" t="s">
        <v>5462</v>
      </c>
      <c r="C1389" s="48" t="s">
        <v>5354</v>
      </c>
      <c r="D1389" s="48"/>
      <c r="E1389" s="48" t="s">
        <v>5192</v>
      </c>
      <c r="F1389" s="14">
        <v>0</v>
      </c>
      <c r="G1389" s="21" t="s">
        <v>5425</v>
      </c>
      <c r="H1389" s="21"/>
      <c r="O1389" s="21"/>
    </row>
    <row r="1390" spans="1:15" s="22" customFormat="1" ht="15" x14ac:dyDescent="0.25">
      <c r="A1390" s="48" t="str">
        <f t="shared" ref="A1390:A1421" si="65">B1390&amp;"_"&amp;C1390</f>
        <v>radar_hwa_top_stdcell_area</v>
      </c>
      <c r="B1390" s="59" t="s">
        <v>5462</v>
      </c>
      <c r="C1390" s="48" t="s">
        <v>5230</v>
      </c>
      <c r="D1390" s="48"/>
      <c r="E1390" s="48" t="s">
        <v>5192</v>
      </c>
      <c r="F1390" s="14">
        <v>1.35431324</v>
      </c>
      <c r="G1390" s="21" t="s">
        <v>5425</v>
      </c>
      <c r="H1390" s="21"/>
      <c r="O1390" s="21"/>
    </row>
    <row r="1391" spans="1:15" s="22" customFormat="1" ht="15" x14ac:dyDescent="0.25">
      <c r="A1391" s="48" t="str">
        <f t="shared" si="65"/>
        <v>radar_hwa_top_svt_pct</v>
      </c>
      <c r="B1391" s="59" t="s">
        <v>5462</v>
      </c>
      <c r="C1391" s="48" t="s">
        <v>5356</v>
      </c>
      <c r="D1391" s="48"/>
      <c r="E1391" s="48" t="s">
        <v>5192</v>
      </c>
      <c r="F1391" s="14">
        <v>0.55830000000000002</v>
      </c>
      <c r="G1391" s="21" t="s">
        <v>5425</v>
      </c>
      <c r="H1391" s="21"/>
      <c r="O1391" s="21"/>
    </row>
    <row r="1392" spans="1:15" s="22" customFormat="1" ht="15" x14ac:dyDescent="0.25">
      <c r="A1392" s="48" t="str">
        <f t="shared" si="65"/>
        <v>radar_hwa_top_tag</v>
      </c>
      <c r="B1392" s="59" t="s">
        <v>5462</v>
      </c>
      <c r="C1392" s="48" t="s">
        <v>5234</v>
      </c>
      <c r="D1392" s="48"/>
      <c r="E1392" s="48" t="s">
        <v>5192</v>
      </c>
      <c r="F1392" s="14" t="s">
        <v>5370</v>
      </c>
      <c r="G1392" s="21" t="s">
        <v>5425</v>
      </c>
      <c r="H1392" s="21"/>
      <c r="O1392" s="21"/>
    </row>
    <row r="1393" spans="1:15" s="22" customFormat="1" ht="15" x14ac:dyDescent="0.25">
      <c r="A1393" s="48" t="str">
        <f t="shared" si="65"/>
        <v>radar_hwa_top_type</v>
      </c>
      <c r="B1393" s="59" t="s">
        <v>5462</v>
      </c>
      <c r="C1393" s="48" t="s">
        <v>1</v>
      </c>
      <c r="D1393" s="48"/>
      <c r="E1393" s="48" t="s">
        <v>5192</v>
      </c>
      <c r="F1393" s="14" t="s">
        <v>5778</v>
      </c>
      <c r="G1393" s="21" t="s">
        <v>5425</v>
      </c>
      <c r="H1393" s="21"/>
      <c r="O1393" s="21"/>
    </row>
    <row r="1394" spans="1:15" s="22" customFormat="1" ht="15" x14ac:dyDescent="0.25">
      <c r="A1394" s="48" t="str">
        <f t="shared" si="65"/>
        <v>radar_hwa_top_vdd_dyn_idle_pct</v>
      </c>
      <c r="B1394" s="59" t="s">
        <v>5462</v>
      </c>
      <c r="C1394" s="48" t="s">
        <v>5363</v>
      </c>
      <c r="D1394" s="48"/>
      <c r="E1394" s="48" t="s">
        <v>5192</v>
      </c>
      <c r="F1394" s="166">
        <v>1.9199999999999998E-2</v>
      </c>
      <c r="G1394" s="21" t="s">
        <v>6045</v>
      </c>
      <c r="H1394" s="21"/>
      <c r="O1394" s="21"/>
    </row>
    <row r="1395" spans="1:15" s="22" customFormat="1" ht="15" x14ac:dyDescent="0.25">
      <c r="A1395" s="48" t="str">
        <f t="shared" si="65"/>
        <v>radar_hwa_top_vdd_dyn_int</v>
      </c>
      <c r="B1395" s="59" t="s">
        <v>5462</v>
      </c>
      <c r="C1395" s="48" t="s">
        <v>5361</v>
      </c>
      <c r="D1395" s="48"/>
      <c r="E1395" s="48" t="s">
        <v>5192</v>
      </c>
      <c r="F1395" s="14">
        <v>2228</v>
      </c>
      <c r="G1395" s="21" t="s">
        <v>5425</v>
      </c>
      <c r="H1395" s="21"/>
      <c r="O1395" s="21"/>
    </row>
    <row r="1396" spans="1:15" s="22" customFormat="1" ht="15" x14ac:dyDescent="0.25">
      <c r="A1396" s="48" t="str">
        <f t="shared" si="65"/>
        <v>radar_hwa_top_vdd_dyn_max_pct</v>
      </c>
      <c r="B1396" s="59" t="s">
        <v>5462</v>
      </c>
      <c r="C1396" s="48" t="s">
        <v>5364</v>
      </c>
      <c r="D1396" s="48"/>
      <c r="E1396" s="48" t="s">
        <v>5192</v>
      </c>
      <c r="F1396" s="14">
        <v>6.9938664453052898E-2</v>
      </c>
      <c r="G1396" s="21" t="s">
        <v>5425</v>
      </c>
      <c r="H1396" s="21"/>
      <c r="O1396" s="21"/>
    </row>
    <row r="1397" spans="1:15" s="22" customFormat="1" ht="15" x14ac:dyDescent="0.25">
      <c r="A1397" s="48" t="str">
        <f t="shared" si="65"/>
        <v>radar_hwa_top_vdd_dyn_peak_pct</v>
      </c>
      <c r="B1397" s="59" t="s">
        <v>5462</v>
      </c>
      <c r="C1397" s="48" t="s">
        <v>5365</v>
      </c>
      <c r="D1397" s="48"/>
      <c r="E1397" s="48" t="s">
        <v>5192</v>
      </c>
      <c r="F1397" s="14">
        <v>0.1</v>
      </c>
      <c r="G1397" s="21" t="s">
        <v>5425</v>
      </c>
      <c r="H1397" s="21"/>
      <c r="O1397" s="21"/>
    </row>
    <row r="1398" spans="1:15" s="22" customFormat="1" ht="15" x14ac:dyDescent="0.25">
      <c r="A1398" s="48" t="str">
        <f t="shared" si="65"/>
        <v>radar_hwa_top_vdd_dyn_sw</v>
      </c>
      <c r="B1398" s="59" t="s">
        <v>5462</v>
      </c>
      <c r="C1398" s="48" t="s">
        <v>5362</v>
      </c>
      <c r="D1398" s="48"/>
      <c r="E1398" s="48" t="s">
        <v>5192</v>
      </c>
      <c r="F1398" s="14">
        <v>2108.8000000000002</v>
      </c>
      <c r="G1398" s="21" t="s">
        <v>5425</v>
      </c>
      <c r="H1398" s="21"/>
      <c r="O1398" s="21"/>
    </row>
    <row r="1399" spans="1:15" s="22" customFormat="1" ht="15" x14ac:dyDescent="0.25">
      <c r="A1399" s="48" t="str">
        <f t="shared" si="65"/>
        <v>radar_hwa_top_vdd_lkg</v>
      </c>
      <c r="B1399" s="59" t="s">
        <v>5462</v>
      </c>
      <c r="C1399" s="48" t="s">
        <v>5245</v>
      </c>
      <c r="D1399" s="48"/>
      <c r="E1399" s="48" t="s">
        <v>5192</v>
      </c>
      <c r="F1399" s="14">
        <v>96.000900809716597</v>
      </c>
      <c r="G1399" s="21" t="s">
        <v>5425</v>
      </c>
      <c r="H1399" s="21"/>
      <c r="O1399" s="21"/>
    </row>
    <row r="1400" spans="1:15" s="22" customFormat="1" ht="15" x14ac:dyDescent="0.25">
      <c r="A1400" s="48" t="str">
        <f t="shared" si="65"/>
        <v>radar_hwa_top_vddr_lkg</v>
      </c>
      <c r="B1400" s="59" t="s">
        <v>5462</v>
      </c>
      <c r="C1400" s="48" t="s">
        <v>5246</v>
      </c>
      <c r="D1400" s="48"/>
      <c r="E1400" s="48" t="s">
        <v>5192</v>
      </c>
      <c r="F1400" s="14">
        <v>2.3290991902834008</v>
      </c>
      <c r="G1400" s="21" t="s">
        <v>5425</v>
      </c>
      <c r="H1400" s="21"/>
      <c r="O1400" s="21"/>
    </row>
    <row r="1401" spans="1:15" s="22" customFormat="1" ht="15" x14ac:dyDescent="0.25">
      <c r="A1401" s="48" t="str">
        <f t="shared" si="65"/>
        <v>radar_hwa_top_xsvt_pct</v>
      </c>
      <c r="B1401" s="59" t="s">
        <v>5462</v>
      </c>
      <c r="C1401" s="48" t="s">
        <v>5355</v>
      </c>
      <c r="D1401" s="48"/>
      <c r="E1401" s="48" t="s">
        <v>5192</v>
      </c>
      <c r="F1401" s="14">
        <v>0.43829999999999997</v>
      </c>
      <c r="G1401" s="21" t="s">
        <v>5425</v>
      </c>
      <c r="H1401" s="21"/>
      <c r="O1401" s="21"/>
    </row>
    <row r="1402" spans="1:15" s="22" customFormat="1" ht="15" x14ac:dyDescent="0.25">
      <c r="A1402" s="48" t="str">
        <f t="shared" si="65"/>
        <v>radar_mcasp_wrap_accuracy_grade</v>
      </c>
      <c r="B1402" s="59" t="s">
        <v>5463</v>
      </c>
      <c r="C1402" s="48" t="s">
        <v>5366</v>
      </c>
      <c r="D1402" s="48"/>
      <c r="E1402" s="48" t="s">
        <v>5192</v>
      </c>
      <c r="F1402" s="14" t="s">
        <v>5786</v>
      </c>
      <c r="G1402" s="21" t="s">
        <v>5425</v>
      </c>
      <c r="H1402" s="21"/>
      <c r="O1402" s="21"/>
    </row>
    <row r="1403" spans="1:15" s="22" customFormat="1" ht="15" x14ac:dyDescent="0.25">
      <c r="A1403" s="48" t="str">
        <f t="shared" si="65"/>
        <v>radar_mcasp_wrap_area</v>
      </c>
      <c r="B1403" s="59" t="s">
        <v>5463</v>
      </c>
      <c r="C1403" s="48" t="s">
        <v>5360</v>
      </c>
      <c r="D1403" s="48"/>
      <c r="E1403" s="48" t="s">
        <v>5192</v>
      </c>
      <c r="F1403" s="14">
        <v>0.33</v>
      </c>
      <c r="G1403" s="21" t="s">
        <v>5425</v>
      </c>
      <c r="H1403" s="21"/>
      <c r="O1403" s="21"/>
    </row>
    <row r="1404" spans="1:15" s="22" customFormat="1" ht="15" x14ac:dyDescent="0.25">
      <c r="A1404" s="48" t="str">
        <f t="shared" si="65"/>
        <v>radar_mcasp_wrap_data_source</v>
      </c>
      <c r="B1404" s="59" t="s">
        <v>5463</v>
      </c>
      <c r="C1404" s="48" t="s">
        <v>5368</v>
      </c>
      <c r="D1404" s="48"/>
      <c r="E1404" s="48" t="s">
        <v>5192</v>
      </c>
      <c r="F1404" s="14" t="s">
        <v>5369</v>
      </c>
      <c r="G1404" s="21" t="s">
        <v>5425</v>
      </c>
      <c r="H1404" s="21"/>
      <c r="O1404" s="21"/>
    </row>
    <row r="1405" spans="1:15" s="22" customFormat="1" ht="15" x14ac:dyDescent="0.25">
      <c r="A1405" s="48" t="str">
        <f t="shared" si="65"/>
        <v>radar_mcasp_wrap_description</v>
      </c>
      <c r="B1405" s="59" t="s">
        <v>5463</v>
      </c>
      <c r="C1405" s="48" t="s">
        <v>5379</v>
      </c>
      <c r="D1405" s="48"/>
      <c r="E1405" s="48" t="s">
        <v>5192</v>
      </c>
      <c r="F1405" s="14" t="s">
        <v>5849</v>
      </c>
      <c r="G1405" s="21" t="s">
        <v>5425</v>
      </c>
      <c r="H1405" s="21"/>
      <c r="O1405" s="21"/>
    </row>
    <row r="1406" spans="1:15" s="22" customFormat="1" ht="15" x14ac:dyDescent="0.25">
      <c r="A1406" s="48" t="str">
        <f t="shared" si="65"/>
        <v>radar_mcasp_wrap_first_soc</v>
      </c>
      <c r="B1406" s="59" t="s">
        <v>5463</v>
      </c>
      <c r="C1406" s="48" t="s">
        <v>5378</v>
      </c>
      <c r="D1406" s="48"/>
      <c r="E1406" s="48" t="s">
        <v>5192</v>
      </c>
      <c r="F1406" s="14" t="s">
        <v>5381</v>
      </c>
      <c r="G1406" s="21" t="s">
        <v>5425</v>
      </c>
      <c r="H1406" s="21"/>
      <c r="O1406" s="21"/>
    </row>
    <row r="1407" spans="1:15" s="22" customFormat="1" ht="15" x14ac:dyDescent="0.25">
      <c r="A1407" s="48" t="str">
        <f t="shared" si="65"/>
        <v>radar_mcasp_wrap_freq_trk</v>
      </c>
      <c r="B1407" s="59" t="s">
        <v>5463</v>
      </c>
      <c r="C1407" s="48" t="s">
        <v>5220</v>
      </c>
      <c r="D1407" s="48"/>
      <c r="E1407" s="48" t="s">
        <v>5192</v>
      </c>
      <c r="F1407" s="14">
        <v>200</v>
      </c>
      <c r="G1407" s="21" t="s">
        <v>5425</v>
      </c>
      <c r="H1407" s="21"/>
      <c r="O1407" s="21"/>
    </row>
    <row r="1408" spans="1:15" s="22" customFormat="1" ht="15" x14ac:dyDescent="0.25">
      <c r="A1408" s="48" t="str">
        <f t="shared" si="65"/>
        <v>radar_mcasp_wrap_function</v>
      </c>
      <c r="B1408" s="59" t="s">
        <v>5463</v>
      </c>
      <c r="C1408" s="48" t="s">
        <v>5367</v>
      </c>
      <c r="D1408" s="48"/>
      <c r="E1408" s="48" t="s">
        <v>5192</v>
      </c>
      <c r="F1408" s="14" t="s">
        <v>5804</v>
      </c>
      <c r="G1408" s="21" t="s">
        <v>5425</v>
      </c>
      <c r="H1408" s="21"/>
      <c r="O1408" s="21"/>
    </row>
    <row r="1409" spans="1:15" s="22" customFormat="1" ht="15" x14ac:dyDescent="0.25">
      <c r="A1409" s="48" t="str">
        <f t="shared" si="65"/>
        <v>radar_mcasp_wrap_lvt_pct</v>
      </c>
      <c r="B1409" s="59" t="s">
        <v>5463</v>
      </c>
      <c r="C1409" s="48" t="s">
        <v>5357</v>
      </c>
      <c r="D1409" s="48"/>
      <c r="E1409" s="48" t="s">
        <v>5192</v>
      </c>
      <c r="F1409" s="14">
        <v>0</v>
      </c>
      <c r="G1409" s="21" t="s">
        <v>5425</v>
      </c>
      <c r="H1409" s="21"/>
      <c r="O1409" s="21"/>
    </row>
    <row r="1410" spans="1:15" s="22" customFormat="1" ht="15" x14ac:dyDescent="0.25">
      <c r="A1410" s="48" t="str">
        <f t="shared" si="65"/>
        <v>radar_mcasp_wrap_macro_area</v>
      </c>
      <c r="B1410" s="59" t="s">
        <v>5463</v>
      </c>
      <c r="C1410" s="48" t="s">
        <v>5228</v>
      </c>
      <c r="D1410" s="48"/>
      <c r="E1410" s="48" t="s">
        <v>5192</v>
      </c>
      <c r="F1410" s="14">
        <v>0.06</v>
      </c>
      <c r="G1410" s="21" t="s">
        <v>5425</v>
      </c>
      <c r="H1410" s="21"/>
      <c r="O1410" s="21"/>
    </row>
    <row r="1411" spans="1:15" s="22" customFormat="1" ht="15" x14ac:dyDescent="0.25">
      <c r="A1411" s="48" t="str">
        <f t="shared" si="65"/>
        <v>radar_mcasp_wrap_osvt_pct</v>
      </c>
      <c r="B1411" s="59" t="s">
        <v>5463</v>
      </c>
      <c r="C1411" s="48" t="s">
        <v>5354</v>
      </c>
      <c r="D1411" s="48"/>
      <c r="E1411" s="48" t="s">
        <v>5192</v>
      </c>
      <c r="F1411" s="14">
        <v>1.1999999999999999E-3</v>
      </c>
      <c r="G1411" s="21" t="s">
        <v>5425</v>
      </c>
      <c r="H1411" s="21"/>
      <c r="O1411" s="21"/>
    </row>
    <row r="1412" spans="1:15" s="22" customFormat="1" ht="15" x14ac:dyDescent="0.25">
      <c r="A1412" s="48" t="str">
        <f t="shared" si="65"/>
        <v>radar_mcasp_wrap_stdcell_area</v>
      </c>
      <c r="B1412" s="59" t="s">
        <v>5463</v>
      </c>
      <c r="C1412" s="48" t="s">
        <v>5230</v>
      </c>
      <c r="D1412" s="48"/>
      <c r="E1412" s="48" t="s">
        <v>5192</v>
      </c>
      <c r="F1412" s="14">
        <v>0.18</v>
      </c>
      <c r="G1412" s="21" t="s">
        <v>5425</v>
      </c>
      <c r="H1412" s="21"/>
      <c r="O1412" s="21"/>
    </row>
    <row r="1413" spans="1:15" s="22" customFormat="1" ht="15" x14ac:dyDescent="0.25">
      <c r="A1413" s="48" t="str">
        <f t="shared" si="65"/>
        <v>radar_mcasp_wrap_svt_pct</v>
      </c>
      <c r="B1413" s="59" t="s">
        <v>5463</v>
      </c>
      <c r="C1413" s="48" t="s">
        <v>5356</v>
      </c>
      <c r="D1413" s="48"/>
      <c r="E1413" s="48" t="s">
        <v>5192</v>
      </c>
      <c r="F1413" s="14">
        <v>0.92</v>
      </c>
      <c r="G1413" s="21" t="s">
        <v>5425</v>
      </c>
      <c r="H1413" s="21"/>
      <c r="O1413" s="21"/>
    </row>
    <row r="1414" spans="1:15" s="22" customFormat="1" ht="15" x14ac:dyDescent="0.25">
      <c r="A1414" s="48" t="str">
        <f t="shared" si="65"/>
        <v>radar_mcasp_wrap_tag</v>
      </c>
      <c r="B1414" s="59" t="s">
        <v>5463</v>
      </c>
      <c r="C1414" s="48" t="s">
        <v>5234</v>
      </c>
      <c r="D1414" s="48"/>
      <c r="E1414" s="48" t="s">
        <v>5192</v>
      </c>
      <c r="F1414" s="14" t="s">
        <v>5370</v>
      </c>
      <c r="G1414" s="21" t="s">
        <v>5425</v>
      </c>
      <c r="H1414" s="21"/>
      <c r="O1414" s="21"/>
    </row>
    <row r="1415" spans="1:15" s="22" customFormat="1" ht="15" x14ac:dyDescent="0.25">
      <c r="A1415" s="48" t="str">
        <f t="shared" si="65"/>
        <v>radar_mcasp_wrap_type</v>
      </c>
      <c r="B1415" s="59" t="s">
        <v>5463</v>
      </c>
      <c r="C1415" s="48" t="s">
        <v>1</v>
      </c>
      <c r="D1415" s="48"/>
      <c r="E1415" s="48" t="s">
        <v>5192</v>
      </c>
      <c r="F1415" s="14" t="s">
        <v>5780</v>
      </c>
      <c r="G1415" s="21" t="s">
        <v>5425</v>
      </c>
      <c r="H1415" s="21"/>
      <c r="O1415" s="21"/>
    </row>
    <row r="1416" spans="1:15" s="22" customFormat="1" ht="15" x14ac:dyDescent="0.25">
      <c r="A1416" s="48" t="str">
        <f t="shared" si="65"/>
        <v>radar_mcasp_wrap_vdd_dyn_idle_pct</v>
      </c>
      <c r="B1416" s="59" t="s">
        <v>5463</v>
      </c>
      <c r="C1416" s="48" t="s">
        <v>5363</v>
      </c>
      <c r="D1416" s="48"/>
      <c r="E1416" s="48" t="s">
        <v>5192</v>
      </c>
      <c r="F1416" s="166">
        <v>5.0200000000000002E-2</v>
      </c>
      <c r="G1416" s="21" t="s">
        <v>6046</v>
      </c>
      <c r="H1416" s="21"/>
      <c r="O1416" s="21"/>
    </row>
    <row r="1417" spans="1:15" s="22" customFormat="1" ht="15" x14ac:dyDescent="0.25">
      <c r="A1417" s="48" t="str">
        <f t="shared" si="65"/>
        <v>radar_mcasp_wrap_vdd_dyn_int</v>
      </c>
      <c r="B1417" s="59" t="s">
        <v>5463</v>
      </c>
      <c r="C1417" s="48" t="s">
        <v>5361</v>
      </c>
      <c r="D1417" s="48"/>
      <c r="E1417" s="48" t="s">
        <v>5192</v>
      </c>
      <c r="F1417" s="14">
        <v>96.96</v>
      </c>
      <c r="G1417" s="21" t="s">
        <v>5425</v>
      </c>
      <c r="H1417" s="21"/>
      <c r="O1417" s="21"/>
    </row>
    <row r="1418" spans="1:15" s="22" customFormat="1" ht="15" x14ac:dyDescent="0.25">
      <c r="A1418" s="48" t="str">
        <f t="shared" si="65"/>
        <v>radar_mcasp_wrap_vdd_dyn_max_pct</v>
      </c>
      <c r="B1418" s="59" t="s">
        <v>5463</v>
      </c>
      <c r="C1418" s="48" t="s">
        <v>5364</v>
      </c>
      <c r="D1418" s="48"/>
      <c r="E1418" s="48" t="s">
        <v>5192</v>
      </c>
      <c r="F1418" s="14">
        <v>0.04</v>
      </c>
      <c r="G1418" s="21" t="s">
        <v>5425</v>
      </c>
      <c r="H1418" s="21"/>
      <c r="O1418" s="21"/>
    </row>
    <row r="1419" spans="1:15" s="22" customFormat="1" ht="15" x14ac:dyDescent="0.25">
      <c r="A1419" s="48" t="str">
        <f t="shared" si="65"/>
        <v>radar_mcasp_wrap_vdd_dyn_peak_pct</v>
      </c>
      <c r="B1419" s="59" t="s">
        <v>5463</v>
      </c>
      <c r="C1419" s="48" t="s">
        <v>5365</v>
      </c>
      <c r="D1419" s="48"/>
      <c r="E1419" s="48" t="s">
        <v>5192</v>
      </c>
      <c r="F1419" s="14">
        <v>0.06</v>
      </c>
      <c r="G1419" s="21" t="s">
        <v>5425</v>
      </c>
      <c r="H1419" s="21"/>
      <c r="O1419" s="21"/>
    </row>
    <row r="1420" spans="1:15" s="22" customFormat="1" ht="15" x14ac:dyDescent="0.25">
      <c r="A1420" s="48" t="str">
        <f t="shared" si="65"/>
        <v>radar_mcasp_wrap_vdd_dyn_sw</v>
      </c>
      <c r="B1420" s="59" t="s">
        <v>5463</v>
      </c>
      <c r="C1420" s="48" t="s">
        <v>5362</v>
      </c>
      <c r="D1420" s="48"/>
      <c r="E1420" s="48" t="s">
        <v>5192</v>
      </c>
      <c r="F1420" s="14">
        <v>98.72</v>
      </c>
      <c r="G1420" s="21" t="s">
        <v>5425</v>
      </c>
      <c r="H1420" s="21"/>
      <c r="O1420" s="21"/>
    </row>
    <row r="1421" spans="1:15" s="22" customFormat="1" ht="15" x14ac:dyDescent="0.25">
      <c r="A1421" s="48" t="str">
        <f t="shared" si="65"/>
        <v>radar_mcasp_wrap_vdd_lkg</v>
      </c>
      <c r="B1421" s="59" t="s">
        <v>5463</v>
      </c>
      <c r="C1421" s="48" t="s">
        <v>5245</v>
      </c>
      <c r="D1421" s="48"/>
      <c r="E1421" s="48" t="s">
        <v>5192</v>
      </c>
      <c r="F1421" s="14">
        <v>13.78</v>
      </c>
      <c r="G1421" s="21" t="s">
        <v>5425</v>
      </c>
      <c r="H1421" s="21"/>
      <c r="O1421" s="21"/>
    </row>
    <row r="1422" spans="1:15" s="22" customFormat="1" ht="15" x14ac:dyDescent="0.25">
      <c r="A1422" s="48" t="str">
        <f t="shared" ref="A1422:A1430" si="66">B1422&amp;"_"&amp;C1422</f>
        <v>radar_mcasp_wrap_vddr_lkg</v>
      </c>
      <c r="B1422" s="59" t="s">
        <v>5463</v>
      </c>
      <c r="C1422" s="48" t="s">
        <v>5246</v>
      </c>
      <c r="D1422" s="48"/>
      <c r="E1422" s="48" t="s">
        <v>5192</v>
      </c>
      <c r="F1422" s="14">
        <v>0.16062753036437244</v>
      </c>
      <c r="G1422" s="21" t="s">
        <v>5425</v>
      </c>
      <c r="H1422" s="21"/>
      <c r="O1422" s="21"/>
    </row>
    <row r="1423" spans="1:15" s="22" customFormat="1" ht="15" x14ac:dyDescent="0.25">
      <c r="A1423" s="48" t="str">
        <f t="shared" si="66"/>
        <v>radar_mcasp_wrap_xsvt_pct</v>
      </c>
      <c r="B1423" s="59" t="s">
        <v>5463</v>
      </c>
      <c r="C1423" s="48" t="s">
        <v>5355</v>
      </c>
      <c r="D1423" s="48"/>
      <c r="E1423" s="48" t="s">
        <v>5192</v>
      </c>
      <c r="F1423" s="14">
        <v>7.9899999999999999E-2</v>
      </c>
      <c r="G1423" s="21" t="s">
        <v>5425</v>
      </c>
      <c r="H1423" s="21"/>
      <c r="O1423" s="21"/>
    </row>
    <row r="1424" spans="1:15" s="22" customFormat="1" ht="15" x14ac:dyDescent="0.25">
      <c r="A1424" s="48" t="str">
        <f t="shared" si="66"/>
        <v>rcosc10k_area</v>
      </c>
      <c r="B1424" s="59" t="s">
        <v>5464</v>
      </c>
      <c r="C1424" s="48" t="s">
        <v>5360</v>
      </c>
      <c r="D1424" s="48"/>
      <c r="E1424" s="48" t="s">
        <v>5192</v>
      </c>
      <c r="F1424" s="14">
        <f>0.14*0.14</f>
        <v>1.9600000000000003E-2</v>
      </c>
      <c r="G1424" s="55" t="s">
        <v>5383</v>
      </c>
      <c r="H1424" s="56"/>
      <c r="O1424" s="21"/>
    </row>
    <row r="1425" spans="1:15" s="22" customFormat="1" ht="15" x14ac:dyDescent="0.25">
      <c r="A1425" s="48" t="str">
        <f t="shared" si="66"/>
        <v>rcosc10k_description</v>
      </c>
      <c r="B1425" s="59" t="s">
        <v>5464</v>
      </c>
      <c r="C1425" s="48" t="s">
        <v>5379</v>
      </c>
      <c r="D1425" s="48"/>
      <c r="E1425" s="48" t="s">
        <v>5192</v>
      </c>
      <c r="F1425" s="14" t="s">
        <v>5464</v>
      </c>
      <c r="G1425" s="55" t="s">
        <v>5384</v>
      </c>
      <c r="H1425" s="21"/>
      <c r="O1425" s="21"/>
    </row>
    <row r="1426" spans="1:15" s="22" customFormat="1" ht="15" x14ac:dyDescent="0.25">
      <c r="A1426" s="48" t="str">
        <f t="shared" si="66"/>
        <v>rcosc10k_first_soc</v>
      </c>
      <c r="B1426" s="59" t="s">
        <v>5464</v>
      </c>
      <c r="C1426" s="48" t="s">
        <v>5378</v>
      </c>
      <c r="D1426" s="48"/>
      <c r="E1426" s="48" t="s">
        <v>5192</v>
      </c>
      <c r="F1426" s="14" t="s">
        <v>5381</v>
      </c>
      <c r="G1426" s="55"/>
      <c r="H1426" s="21"/>
      <c r="O1426" s="21"/>
    </row>
    <row r="1427" spans="1:15" s="22" customFormat="1" ht="15" x14ac:dyDescent="0.25">
      <c r="A1427" s="48" t="str">
        <f t="shared" si="66"/>
        <v>rcosc10k_function</v>
      </c>
      <c r="B1427" s="59" t="s">
        <v>5464</v>
      </c>
      <c r="C1427" s="48" t="s">
        <v>5367</v>
      </c>
      <c r="D1427" s="48"/>
      <c r="E1427" s="48" t="s">
        <v>5192</v>
      </c>
      <c r="F1427" s="14" t="s">
        <v>5380</v>
      </c>
      <c r="G1427" s="55"/>
      <c r="H1427" s="21"/>
      <c r="O1427" s="21"/>
    </row>
    <row r="1428" spans="1:15" s="22" customFormat="1" ht="15" x14ac:dyDescent="0.25">
      <c r="A1428" s="48" t="str">
        <f t="shared" si="66"/>
        <v>rcosc10k_macro_area</v>
      </c>
      <c r="B1428" s="59" t="s">
        <v>5464</v>
      </c>
      <c r="C1428" s="48" t="s">
        <v>5228</v>
      </c>
      <c r="D1428" s="48"/>
      <c r="E1428" s="48" t="s">
        <v>5192</v>
      </c>
      <c r="F1428" s="14">
        <f>0.14*0.14</f>
        <v>1.9600000000000003E-2</v>
      </c>
      <c r="G1428" s="55"/>
      <c r="H1428" s="56"/>
      <c r="O1428" s="21"/>
    </row>
    <row r="1429" spans="1:15" s="22" customFormat="1" ht="15" x14ac:dyDescent="0.25">
      <c r="A1429" s="48" t="str">
        <f t="shared" si="66"/>
        <v>rcosc10k_tag</v>
      </c>
      <c r="B1429" s="59" t="s">
        <v>5464</v>
      </c>
      <c r="C1429" s="48" t="s">
        <v>5234</v>
      </c>
      <c r="D1429" s="48"/>
      <c r="E1429" s="48" t="s">
        <v>5192</v>
      </c>
      <c r="F1429" s="14" t="s">
        <v>5382</v>
      </c>
      <c r="G1429" s="55"/>
      <c r="H1429" s="21"/>
      <c r="O1429" s="21"/>
    </row>
    <row r="1430" spans="1:15" s="22" customFormat="1" ht="15" x14ac:dyDescent="0.25">
      <c r="A1430" s="48" t="str">
        <f t="shared" si="66"/>
        <v>rcosc10k_type</v>
      </c>
      <c r="B1430" s="59" t="s">
        <v>5464</v>
      </c>
      <c r="C1430" s="48" t="s">
        <v>1</v>
      </c>
      <c r="D1430" s="48"/>
      <c r="E1430" s="48" t="s">
        <v>5192</v>
      </c>
      <c r="F1430" s="14" t="s">
        <v>5783</v>
      </c>
      <c r="G1430" s="55"/>
      <c r="H1430" s="21"/>
      <c r="O1430" s="21"/>
    </row>
    <row r="1431" spans="1:15" s="22" customFormat="1" ht="15" x14ac:dyDescent="0.25">
      <c r="A1431" s="48" t="str">
        <f>B1431&amp;"_"&amp;C1431&amp;"_"&amp;D1431</f>
        <v>rcosc10k_vdd_dyn_off</v>
      </c>
      <c r="B1431" s="59" t="s">
        <v>5464</v>
      </c>
      <c r="C1431" s="48" t="s">
        <v>5255</v>
      </c>
      <c r="D1431" s="48" t="s">
        <v>4798</v>
      </c>
      <c r="E1431" s="48" t="s">
        <v>5192</v>
      </c>
      <c r="F1431" s="14">
        <v>0</v>
      </c>
      <c r="G1431" s="55"/>
      <c r="H1431" s="56"/>
      <c r="O1431" s="21"/>
    </row>
    <row r="1432" spans="1:15" s="22" customFormat="1" ht="15" x14ac:dyDescent="0.25">
      <c r="A1432" s="48" t="str">
        <f>B1432&amp;"_"&amp;C1432&amp;"_"&amp;D1432</f>
        <v>rcosc10k_vdd_dyn_on</v>
      </c>
      <c r="B1432" s="59" t="s">
        <v>5464</v>
      </c>
      <c r="C1432" s="48" t="s">
        <v>5255</v>
      </c>
      <c r="D1432" s="48" t="s">
        <v>4872</v>
      </c>
      <c r="E1432" s="48" t="s">
        <v>5192</v>
      </c>
      <c r="F1432" s="14">
        <f>0.004*1.2</f>
        <v>4.7999999999999996E-3</v>
      </c>
      <c r="G1432" s="55"/>
      <c r="H1432" s="56"/>
      <c r="O1432" s="21"/>
    </row>
    <row r="1433" spans="1:15" s="22" customFormat="1" ht="15" x14ac:dyDescent="0.25">
      <c r="A1433" s="48" t="str">
        <f t="shared" ref="A1433:A1440" si="67">B1433&amp;"_"&amp;C1433</f>
        <v>rcosc10k_vdd_lkg</v>
      </c>
      <c r="B1433" s="59" t="s">
        <v>5464</v>
      </c>
      <c r="C1433" s="48" t="s">
        <v>5245</v>
      </c>
      <c r="D1433" s="48"/>
      <c r="E1433" s="48" t="s">
        <v>5192</v>
      </c>
      <c r="F1433" s="14">
        <f>0.0002*1.2</f>
        <v>2.4000000000000001E-4</v>
      </c>
      <c r="G1433" s="55"/>
      <c r="H1433" s="56"/>
      <c r="O1433" s="21"/>
    </row>
    <row r="1434" spans="1:15" s="22" customFormat="1" ht="15" x14ac:dyDescent="0.25">
      <c r="A1434" s="48" t="str">
        <f t="shared" si="67"/>
        <v>rcosc32k_area</v>
      </c>
      <c r="B1434" s="59" t="s">
        <v>5465</v>
      </c>
      <c r="C1434" s="48" t="s">
        <v>5360</v>
      </c>
      <c r="D1434" s="48"/>
      <c r="E1434" s="48" t="s">
        <v>5192</v>
      </c>
      <c r="F1434" s="14">
        <f>0.14*0.14</f>
        <v>1.9600000000000003E-2</v>
      </c>
      <c r="G1434" s="55" t="s">
        <v>5383</v>
      </c>
      <c r="H1434" s="56"/>
      <c r="O1434" s="21"/>
    </row>
    <row r="1435" spans="1:15" s="22" customFormat="1" ht="15" x14ac:dyDescent="0.25">
      <c r="A1435" s="48" t="str">
        <f t="shared" si="67"/>
        <v>rcosc32k_description</v>
      </c>
      <c r="B1435" s="59" t="s">
        <v>5465</v>
      </c>
      <c r="C1435" s="48" t="s">
        <v>5379</v>
      </c>
      <c r="D1435" s="48"/>
      <c r="E1435" s="48" t="s">
        <v>5192</v>
      </c>
      <c r="F1435" s="14" t="s">
        <v>5465</v>
      </c>
      <c r="G1435" s="55"/>
      <c r="H1435" s="21"/>
      <c r="O1435" s="21"/>
    </row>
    <row r="1436" spans="1:15" s="22" customFormat="1" ht="15" x14ac:dyDescent="0.25">
      <c r="A1436" s="48" t="str">
        <f t="shared" si="67"/>
        <v>rcosc32k_first_soc</v>
      </c>
      <c r="B1436" s="59" t="s">
        <v>5465</v>
      </c>
      <c r="C1436" s="48" t="s">
        <v>5378</v>
      </c>
      <c r="D1436" s="48"/>
      <c r="E1436" s="48" t="s">
        <v>5192</v>
      </c>
      <c r="F1436" s="14" t="s">
        <v>5381</v>
      </c>
      <c r="G1436" s="55"/>
      <c r="H1436" s="21"/>
      <c r="O1436" s="21"/>
    </row>
    <row r="1437" spans="1:15" s="22" customFormat="1" ht="15" x14ac:dyDescent="0.25">
      <c r="A1437" s="48" t="str">
        <f t="shared" si="67"/>
        <v>rcosc32k_function</v>
      </c>
      <c r="B1437" s="59" t="s">
        <v>5465</v>
      </c>
      <c r="C1437" s="48" t="s">
        <v>5367</v>
      </c>
      <c r="D1437" s="48"/>
      <c r="E1437" s="48" t="s">
        <v>5192</v>
      </c>
      <c r="F1437" s="14" t="s">
        <v>5380</v>
      </c>
      <c r="G1437" s="55"/>
      <c r="H1437" s="21"/>
      <c r="O1437" s="21"/>
    </row>
    <row r="1438" spans="1:15" s="22" customFormat="1" ht="15" x14ac:dyDescent="0.25">
      <c r="A1438" s="48" t="str">
        <f t="shared" si="67"/>
        <v>rcosc32k_macro_area</v>
      </c>
      <c r="B1438" s="59" t="s">
        <v>5465</v>
      </c>
      <c r="C1438" s="48" t="s">
        <v>5228</v>
      </c>
      <c r="D1438" s="48"/>
      <c r="E1438" s="48" t="s">
        <v>5192</v>
      </c>
      <c r="F1438" s="14">
        <f>0.14*0.14</f>
        <v>1.9600000000000003E-2</v>
      </c>
      <c r="G1438" s="55"/>
      <c r="H1438" s="56"/>
      <c r="O1438" s="21"/>
    </row>
    <row r="1439" spans="1:15" s="22" customFormat="1" ht="15" x14ac:dyDescent="0.25">
      <c r="A1439" s="48" t="str">
        <f t="shared" si="67"/>
        <v>rcosc32k_tag</v>
      </c>
      <c r="B1439" s="59" t="s">
        <v>5465</v>
      </c>
      <c r="C1439" s="48" t="s">
        <v>5234</v>
      </c>
      <c r="D1439" s="48"/>
      <c r="E1439" s="48" t="s">
        <v>5192</v>
      </c>
      <c r="F1439" s="14" t="s">
        <v>5382</v>
      </c>
      <c r="G1439" s="55"/>
      <c r="H1439" s="21"/>
      <c r="O1439" s="21"/>
    </row>
    <row r="1440" spans="1:15" s="22" customFormat="1" ht="15" x14ac:dyDescent="0.25">
      <c r="A1440" s="48" t="str">
        <f t="shared" si="67"/>
        <v>rcosc32k_type</v>
      </c>
      <c r="B1440" s="59" t="s">
        <v>5465</v>
      </c>
      <c r="C1440" s="48" t="s">
        <v>1</v>
      </c>
      <c r="D1440" s="48"/>
      <c r="E1440" s="48" t="s">
        <v>5192</v>
      </c>
      <c r="F1440" s="14" t="s">
        <v>5783</v>
      </c>
      <c r="G1440" s="55"/>
      <c r="H1440" s="21"/>
      <c r="O1440" s="21"/>
    </row>
    <row r="1441" spans="1:15" s="22" customFormat="1" ht="15" x14ac:dyDescent="0.25">
      <c r="A1441" s="48" t="str">
        <f>B1441&amp;"_"&amp;C1441&amp;"_"&amp;D1441</f>
        <v>rcosc32k_vdd_dyn_off</v>
      </c>
      <c r="B1441" s="59" t="s">
        <v>5465</v>
      </c>
      <c r="C1441" s="48" t="s">
        <v>5255</v>
      </c>
      <c r="D1441" s="48" t="s">
        <v>4798</v>
      </c>
      <c r="E1441" s="48" t="s">
        <v>5192</v>
      </c>
      <c r="F1441" s="14">
        <v>0</v>
      </c>
      <c r="G1441" s="55"/>
      <c r="H1441" s="56"/>
      <c r="O1441" s="21"/>
    </row>
    <row r="1442" spans="1:15" s="22" customFormat="1" ht="15" x14ac:dyDescent="0.25">
      <c r="A1442" s="48" t="str">
        <f>B1442&amp;"_"&amp;C1442&amp;"_"&amp;D1442</f>
        <v>rcosc32k_vdd_dyn_on</v>
      </c>
      <c r="B1442" s="59" t="s">
        <v>5465</v>
      </c>
      <c r="C1442" s="48" t="s">
        <v>5255</v>
      </c>
      <c r="D1442" s="48" t="s">
        <v>4872</v>
      </c>
      <c r="E1442" s="48" t="s">
        <v>5192</v>
      </c>
      <c r="F1442" s="14">
        <f>0.004*1.2</f>
        <v>4.7999999999999996E-3</v>
      </c>
      <c r="G1442" s="55"/>
      <c r="H1442" s="56"/>
      <c r="O1442" s="21"/>
    </row>
    <row r="1443" spans="1:15" s="22" customFormat="1" ht="15" x14ac:dyDescent="0.25">
      <c r="A1443" s="48" t="str">
        <f t="shared" ref="A1443:A1506" si="68">B1443&amp;"_"&amp;C1443</f>
        <v>rcosc32k_vdd_lkg</v>
      </c>
      <c r="B1443" s="59" t="s">
        <v>5465</v>
      </c>
      <c r="C1443" s="48" t="s">
        <v>5245</v>
      </c>
      <c r="D1443" s="48"/>
      <c r="E1443" s="48" t="s">
        <v>5192</v>
      </c>
      <c r="F1443" s="14">
        <f>0.0002*1.2</f>
        <v>2.4000000000000001E-4</v>
      </c>
      <c r="G1443" s="55"/>
      <c r="H1443" s="56"/>
      <c r="O1443" s="21"/>
    </row>
    <row r="1444" spans="1:15" s="22" customFormat="1" ht="15" x14ac:dyDescent="0.25">
      <c r="A1444" s="48" t="str">
        <f t="shared" si="68"/>
        <v>sam221_core_accuracy_grade</v>
      </c>
      <c r="B1444" s="59" t="s">
        <v>6017</v>
      </c>
      <c r="C1444" s="48" t="s">
        <v>5366</v>
      </c>
      <c r="D1444" s="48"/>
      <c r="E1444" s="48" t="s">
        <v>5192</v>
      </c>
      <c r="F1444" s="14" t="s">
        <v>5417</v>
      </c>
      <c r="G1444" s="21" t="s">
        <v>5425</v>
      </c>
      <c r="H1444" s="21"/>
      <c r="O1444" s="21"/>
    </row>
    <row r="1445" spans="1:15" s="22" customFormat="1" ht="15" x14ac:dyDescent="0.25">
      <c r="A1445" s="48" t="str">
        <f t="shared" si="68"/>
        <v>sam221_core_area</v>
      </c>
      <c r="B1445" s="59" t="s">
        <v>6017</v>
      </c>
      <c r="C1445" s="48" t="s">
        <v>5360</v>
      </c>
      <c r="D1445" s="48"/>
      <c r="E1445" s="48" t="s">
        <v>5192</v>
      </c>
      <c r="F1445" s="14">
        <v>32</v>
      </c>
      <c r="G1445" s="21" t="s">
        <v>5425</v>
      </c>
      <c r="H1445" s="21"/>
      <c r="O1445" s="21"/>
    </row>
    <row r="1446" spans="1:15" s="22" customFormat="1" ht="15" x14ac:dyDescent="0.25">
      <c r="A1446" s="48" t="str">
        <f t="shared" si="68"/>
        <v>sam221_core_data_source</v>
      </c>
      <c r="B1446" s="59" t="s">
        <v>6017</v>
      </c>
      <c r="C1446" s="48" t="s">
        <v>5368</v>
      </c>
      <c r="D1446" s="48"/>
      <c r="E1446" s="48" t="s">
        <v>5192</v>
      </c>
      <c r="F1446" s="14" t="s">
        <v>5371</v>
      </c>
      <c r="G1446" s="21" t="s">
        <v>5425</v>
      </c>
      <c r="H1446" s="21"/>
      <c r="O1446" s="21"/>
    </row>
    <row r="1447" spans="1:15" s="22" customFormat="1" ht="15" x14ac:dyDescent="0.25">
      <c r="A1447" s="48" t="str">
        <f t="shared" si="68"/>
        <v>sam221_core_description</v>
      </c>
      <c r="B1447" s="59" t="s">
        <v>6017</v>
      </c>
      <c r="C1447" s="48" t="s">
        <v>5379</v>
      </c>
      <c r="D1447" s="48"/>
      <c r="E1447" s="48" t="s">
        <v>5192</v>
      </c>
      <c r="F1447" s="14" t="s">
        <v>5792</v>
      </c>
      <c r="G1447" s="21" t="s">
        <v>5425</v>
      </c>
      <c r="H1447" s="21"/>
      <c r="O1447" s="21"/>
    </row>
    <row r="1448" spans="1:15" s="22" customFormat="1" ht="15" x14ac:dyDescent="0.25">
      <c r="A1448" s="48" t="str">
        <f t="shared" si="68"/>
        <v>sam221_core_first_soc</v>
      </c>
      <c r="B1448" s="59" t="s">
        <v>6017</v>
      </c>
      <c r="C1448" s="48" t="s">
        <v>5378</v>
      </c>
      <c r="D1448" s="48"/>
      <c r="E1448" s="48" t="s">
        <v>5192</v>
      </c>
      <c r="F1448" s="14" t="s">
        <v>5791</v>
      </c>
      <c r="G1448" s="21" t="s">
        <v>5425</v>
      </c>
      <c r="H1448" s="21"/>
      <c r="O1448" s="21"/>
    </row>
    <row r="1449" spans="1:15" s="22" customFormat="1" ht="15" x14ac:dyDescent="0.25">
      <c r="A1449" s="48" t="str">
        <f t="shared" si="68"/>
        <v>sam221_core_freq_trk</v>
      </c>
      <c r="B1449" s="59" t="s">
        <v>6017</v>
      </c>
      <c r="C1449" s="48" t="s">
        <v>5220</v>
      </c>
      <c r="D1449" s="48"/>
      <c r="E1449" s="48" t="s">
        <v>5192</v>
      </c>
      <c r="F1449" s="14">
        <v>200</v>
      </c>
      <c r="G1449" s="21" t="s">
        <v>5425</v>
      </c>
      <c r="H1449" s="21"/>
      <c r="O1449" s="21"/>
    </row>
    <row r="1450" spans="1:15" s="22" customFormat="1" ht="15" x14ac:dyDescent="0.25">
      <c r="A1450" s="48" t="str">
        <f t="shared" si="68"/>
        <v>sam221_core_function</v>
      </c>
      <c r="B1450" s="59" t="s">
        <v>6017</v>
      </c>
      <c r="C1450" s="48" t="s">
        <v>5367</v>
      </c>
      <c r="D1450" s="48"/>
      <c r="E1450" s="48" t="s">
        <v>5192</v>
      </c>
      <c r="F1450" s="14" t="s">
        <v>5851</v>
      </c>
      <c r="G1450" s="21" t="s">
        <v>5425</v>
      </c>
      <c r="H1450" s="21"/>
      <c r="O1450" s="21"/>
    </row>
    <row r="1451" spans="1:15" s="22" customFormat="1" ht="15" x14ac:dyDescent="0.25">
      <c r="A1451" s="48" t="str">
        <f t="shared" si="68"/>
        <v>sam221_core_lvt_pct</v>
      </c>
      <c r="B1451" s="59" t="s">
        <v>6017</v>
      </c>
      <c r="C1451" s="48" t="s">
        <v>5357</v>
      </c>
      <c r="D1451" s="48"/>
      <c r="E1451" s="48" t="s">
        <v>5192</v>
      </c>
      <c r="F1451" s="14">
        <v>2.6200000000000001E-2</v>
      </c>
      <c r="G1451" s="21" t="s">
        <v>5425</v>
      </c>
      <c r="H1451" s="21"/>
      <c r="O1451" s="21"/>
    </row>
    <row r="1452" spans="1:15" s="22" customFormat="1" ht="15" x14ac:dyDescent="0.25">
      <c r="A1452" s="48" t="str">
        <f t="shared" si="68"/>
        <v>sam221_core_macro_area</v>
      </c>
      <c r="B1452" s="59" t="s">
        <v>6017</v>
      </c>
      <c r="C1452" s="48" t="s">
        <v>5228</v>
      </c>
      <c r="D1452" s="48"/>
      <c r="E1452" s="48" t="s">
        <v>5192</v>
      </c>
      <c r="F1452" s="14">
        <v>16.700000000000003</v>
      </c>
      <c r="G1452" s="21" t="s">
        <v>5425</v>
      </c>
      <c r="H1452" s="21"/>
      <c r="O1452" s="21"/>
    </row>
    <row r="1453" spans="1:15" s="22" customFormat="1" ht="15" x14ac:dyDescent="0.25">
      <c r="A1453" s="48" t="str">
        <f t="shared" si="68"/>
        <v>sam221_core_osvt_pct</v>
      </c>
      <c r="B1453" s="59" t="s">
        <v>6017</v>
      </c>
      <c r="C1453" s="48" t="s">
        <v>5354</v>
      </c>
      <c r="D1453" s="48"/>
      <c r="E1453" s="48" t="s">
        <v>5192</v>
      </c>
      <c r="F1453" s="14">
        <v>3.4500000000000003E-2</v>
      </c>
      <c r="G1453" s="21" t="s">
        <v>5425</v>
      </c>
      <c r="H1453" s="21"/>
      <c r="O1453" s="21"/>
    </row>
    <row r="1454" spans="1:15" s="22" customFormat="1" ht="15" x14ac:dyDescent="0.25">
      <c r="A1454" s="48" t="str">
        <f t="shared" si="68"/>
        <v>sam221_core_stdcell_area</v>
      </c>
      <c r="B1454" s="59" t="s">
        <v>6017</v>
      </c>
      <c r="C1454" s="48" t="s">
        <v>5230</v>
      </c>
      <c r="D1454" s="48"/>
      <c r="E1454" s="48" t="s">
        <v>5192</v>
      </c>
      <c r="F1454" s="14">
        <v>9.5140000000000011</v>
      </c>
      <c r="G1454" s="21" t="s">
        <v>5425</v>
      </c>
      <c r="H1454" s="21"/>
      <c r="O1454" s="21"/>
    </row>
    <row r="1455" spans="1:15" s="22" customFormat="1" ht="15" x14ac:dyDescent="0.25">
      <c r="A1455" s="48" t="str">
        <f t="shared" si="68"/>
        <v>sam221_core_svt_pct</v>
      </c>
      <c r="B1455" s="59" t="s">
        <v>6017</v>
      </c>
      <c r="C1455" s="48" t="s">
        <v>5356</v>
      </c>
      <c r="D1455" s="48"/>
      <c r="E1455" s="48" t="s">
        <v>5192</v>
      </c>
      <c r="F1455" s="14">
        <v>0.67720000000000002</v>
      </c>
      <c r="G1455" s="21" t="s">
        <v>5425</v>
      </c>
      <c r="H1455" s="21"/>
      <c r="O1455" s="21"/>
    </row>
    <row r="1456" spans="1:15" s="22" customFormat="1" ht="15" x14ac:dyDescent="0.25">
      <c r="A1456" s="48" t="str">
        <f t="shared" si="68"/>
        <v>sam221_core_tag</v>
      </c>
      <c r="B1456" s="59" t="s">
        <v>6017</v>
      </c>
      <c r="C1456" s="48" t="s">
        <v>5234</v>
      </c>
      <c r="D1456" s="48"/>
      <c r="E1456" s="48" t="s">
        <v>5192</v>
      </c>
      <c r="F1456" s="14">
        <v>44501</v>
      </c>
      <c r="G1456" s="21" t="s">
        <v>5425</v>
      </c>
      <c r="H1456" s="21"/>
      <c r="O1456" s="21"/>
    </row>
    <row r="1457" spans="1:15" s="22" customFormat="1" ht="15" x14ac:dyDescent="0.25">
      <c r="A1457" s="48" t="str">
        <f t="shared" si="68"/>
        <v>sam221_core_type</v>
      </c>
      <c r="B1457" s="59" t="s">
        <v>6017</v>
      </c>
      <c r="C1457" s="48" t="s">
        <v>1</v>
      </c>
      <c r="D1457" s="48"/>
      <c r="E1457" s="48" t="s">
        <v>5192</v>
      </c>
      <c r="F1457" s="14" t="s">
        <v>5782</v>
      </c>
      <c r="G1457" s="21" t="s">
        <v>5425</v>
      </c>
      <c r="H1457" s="21"/>
      <c r="O1457" s="21"/>
    </row>
    <row r="1458" spans="1:15" s="22" customFormat="1" ht="15" x14ac:dyDescent="0.25">
      <c r="A1458" s="48" t="str">
        <f t="shared" si="68"/>
        <v>sam221_core_vdd_dyn_idle_pct</v>
      </c>
      <c r="B1458" s="59" t="s">
        <v>6017</v>
      </c>
      <c r="C1458" s="48" t="s">
        <v>5363</v>
      </c>
      <c r="D1458" s="48"/>
      <c r="E1458" s="48" t="s">
        <v>5192</v>
      </c>
      <c r="F1458" s="166">
        <v>1.9099999999999999E-2</v>
      </c>
      <c r="G1458" s="21" t="s">
        <v>6045</v>
      </c>
      <c r="H1458" s="21"/>
      <c r="O1458" s="21"/>
    </row>
    <row r="1459" spans="1:15" s="22" customFormat="1" ht="15" x14ac:dyDescent="0.25">
      <c r="A1459" s="48" t="str">
        <f t="shared" si="68"/>
        <v>sam221_core_vdd_dyn_int</v>
      </c>
      <c r="B1459" s="59" t="s">
        <v>6017</v>
      </c>
      <c r="C1459" s="48" t="s">
        <v>5361</v>
      </c>
      <c r="D1459" s="48"/>
      <c r="E1459" s="48" t="s">
        <v>5192</v>
      </c>
      <c r="F1459" s="14">
        <v>6862.0500000000011</v>
      </c>
      <c r="G1459" s="21" t="s">
        <v>5425</v>
      </c>
      <c r="H1459" s="21"/>
      <c r="O1459" s="21"/>
    </row>
    <row r="1460" spans="1:15" s="22" customFormat="1" ht="15" x14ac:dyDescent="0.25">
      <c r="A1460" s="48" t="str">
        <f t="shared" si="68"/>
        <v>sam221_core_vdd_dyn_max_pct</v>
      </c>
      <c r="B1460" s="59" t="s">
        <v>6017</v>
      </c>
      <c r="C1460" s="48" t="s">
        <v>5364</v>
      </c>
      <c r="D1460" s="48"/>
      <c r="E1460" s="48" t="s">
        <v>5192</v>
      </c>
      <c r="F1460" s="14">
        <v>0.04</v>
      </c>
      <c r="G1460" s="21" t="s">
        <v>5425</v>
      </c>
      <c r="H1460" s="21"/>
      <c r="O1460" s="21"/>
    </row>
    <row r="1461" spans="1:15" s="22" customFormat="1" ht="15" x14ac:dyDescent="0.25">
      <c r="A1461" s="48" t="str">
        <f t="shared" si="68"/>
        <v>sam221_core_vdd_dyn_peak_pct</v>
      </c>
      <c r="B1461" s="59" t="s">
        <v>6017</v>
      </c>
      <c r="C1461" s="48" t="s">
        <v>5365</v>
      </c>
      <c r="D1461" s="48"/>
      <c r="E1461" s="48" t="s">
        <v>5192</v>
      </c>
      <c r="F1461" s="14">
        <v>0.06</v>
      </c>
      <c r="G1461" s="21" t="s">
        <v>5425</v>
      </c>
      <c r="H1461" s="21"/>
      <c r="O1461" s="21"/>
    </row>
    <row r="1462" spans="1:15" s="22" customFormat="1" ht="15" x14ac:dyDescent="0.25">
      <c r="A1462" s="48" t="str">
        <f t="shared" si="68"/>
        <v>sam221_core_vdd_dyn_sw</v>
      </c>
      <c r="B1462" s="59" t="s">
        <v>6017</v>
      </c>
      <c r="C1462" s="48" t="s">
        <v>5362</v>
      </c>
      <c r="D1462" s="48"/>
      <c r="E1462" s="48" t="s">
        <v>5192</v>
      </c>
      <c r="F1462" s="14">
        <v>8821.9700000000012</v>
      </c>
      <c r="G1462" s="21" t="s">
        <v>5425</v>
      </c>
      <c r="H1462" s="21"/>
      <c r="O1462" s="21"/>
    </row>
    <row r="1463" spans="1:15" s="22" customFormat="1" ht="15" x14ac:dyDescent="0.25">
      <c r="A1463" s="48" t="str">
        <f t="shared" si="68"/>
        <v>sam221_core_vdd_lkg</v>
      </c>
      <c r="B1463" s="59" t="s">
        <v>6017</v>
      </c>
      <c r="C1463" s="48" t="s">
        <v>5245</v>
      </c>
      <c r="D1463" s="48"/>
      <c r="E1463" s="48" t="s">
        <v>5192</v>
      </c>
      <c r="F1463" s="14">
        <v>915.70880000000011</v>
      </c>
      <c r="G1463" s="21" t="s">
        <v>5425</v>
      </c>
      <c r="H1463" s="21"/>
      <c r="O1463" s="21"/>
    </row>
    <row r="1464" spans="1:15" s="22" customFormat="1" ht="15" x14ac:dyDescent="0.25">
      <c r="A1464" s="48" t="str">
        <f t="shared" si="68"/>
        <v>sam221_core_vddr_lkg</v>
      </c>
      <c r="B1464" s="59" t="s">
        <v>6017</v>
      </c>
      <c r="C1464" s="48" t="s">
        <v>5246</v>
      </c>
      <c r="D1464" s="48"/>
      <c r="E1464" s="48" t="s">
        <v>5192</v>
      </c>
      <c r="F1464" s="14">
        <v>45.980000000000004</v>
      </c>
      <c r="G1464" s="21" t="s">
        <v>5425</v>
      </c>
      <c r="H1464" s="21"/>
      <c r="O1464" s="21"/>
    </row>
    <row r="1465" spans="1:15" s="22" customFormat="1" ht="15" x14ac:dyDescent="0.25">
      <c r="A1465" s="48" t="str">
        <f t="shared" si="68"/>
        <v>sam221_core_xsvt_pct</v>
      </c>
      <c r="B1465" s="59" t="s">
        <v>6017</v>
      </c>
      <c r="C1465" s="48" t="s">
        <v>5355</v>
      </c>
      <c r="D1465" s="48"/>
      <c r="E1465" s="48" t="s">
        <v>5192</v>
      </c>
      <c r="F1465" s="14">
        <v>0.26100000000000001</v>
      </c>
      <c r="G1465" s="21" t="s">
        <v>5425</v>
      </c>
      <c r="H1465" s="21"/>
      <c r="O1465" s="21"/>
    </row>
    <row r="1466" spans="1:15" s="22" customFormat="1" ht="15" x14ac:dyDescent="0.25">
      <c r="A1466" s="48" t="str">
        <f t="shared" si="68"/>
        <v>sam240_core_accuracy_grade</v>
      </c>
      <c r="B1466" s="59" t="s">
        <v>6050</v>
      </c>
      <c r="C1466" s="48" t="s">
        <v>5366</v>
      </c>
      <c r="D1466" s="48"/>
      <c r="E1466" s="48" t="s">
        <v>5192</v>
      </c>
      <c r="F1466" s="14" t="s">
        <v>5417</v>
      </c>
      <c r="G1466" s="171">
        <v>44797</v>
      </c>
      <c r="H1466" s="21"/>
      <c r="O1466" s="21"/>
    </row>
    <row r="1467" spans="1:15" s="22" customFormat="1" ht="15" x14ac:dyDescent="0.25">
      <c r="A1467" s="48" t="str">
        <f t="shared" si="68"/>
        <v>sam240_core_area</v>
      </c>
      <c r="B1467" s="59" t="s">
        <v>6050</v>
      </c>
      <c r="C1467" s="48" t="s">
        <v>5360</v>
      </c>
      <c r="D1467" s="48"/>
      <c r="E1467" s="48" t="s">
        <v>5192</v>
      </c>
      <c r="F1467" s="14">
        <v>9.8810000000000002</v>
      </c>
      <c r="G1467" s="171">
        <v>44797</v>
      </c>
      <c r="H1467" s="21"/>
      <c r="O1467" s="21"/>
    </row>
    <row r="1468" spans="1:15" s="22" customFormat="1" ht="15" x14ac:dyDescent="0.25">
      <c r="A1468" s="48" t="str">
        <f t="shared" si="68"/>
        <v>sam240_core_data_source</v>
      </c>
      <c r="B1468" s="59" t="s">
        <v>6050</v>
      </c>
      <c r="C1468" s="48" t="s">
        <v>5368</v>
      </c>
      <c r="D1468" s="48"/>
      <c r="E1468" s="48" t="s">
        <v>5192</v>
      </c>
      <c r="F1468" s="14" t="s">
        <v>5371</v>
      </c>
      <c r="G1468" s="171">
        <v>44797</v>
      </c>
      <c r="H1468" s="21"/>
      <c r="O1468" s="21"/>
    </row>
    <row r="1469" spans="1:15" s="22" customFormat="1" ht="15" x14ac:dyDescent="0.25">
      <c r="A1469" s="48" t="str">
        <f t="shared" si="68"/>
        <v>sam240_core_description</v>
      </c>
      <c r="B1469" s="59" t="s">
        <v>6050</v>
      </c>
      <c r="C1469" s="48" t="s">
        <v>5379</v>
      </c>
      <c r="D1469" s="48"/>
      <c r="E1469" s="48" t="s">
        <v>5192</v>
      </c>
      <c r="F1469" s="14" t="s">
        <v>6051</v>
      </c>
      <c r="G1469" s="171">
        <v>44797</v>
      </c>
      <c r="H1469" s="21"/>
      <c r="O1469" s="21"/>
    </row>
    <row r="1470" spans="1:15" s="22" customFormat="1" ht="15" x14ac:dyDescent="0.25">
      <c r="A1470" s="48" t="str">
        <f t="shared" si="68"/>
        <v>sam240_core_first_soc</v>
      </c>
      <c r="B1470" s="59" t="s">
        <v>6050</v>
      </c>
      <c r="C1470" s="48" t="s">
        <v>5378</v>
      </c>
      <c r="D1470" s="48"/>
      <c r="E1470" s="48" t="s">
        <v>5192</v>
      </c>
      <c r="F1470" s="14" t="s">
        <v>6052</v>
      </c>
      <c r="G1470" s="171">
        <v>44797</v>
      </c>
      <c r="H1470" s="21"/>
      <c r="O1470" s="21"/>
    </row>
    <row r="1471" spans="1:15" s="22" customFormat="1" ht="15" x14ac:dyDescent="0.25">
      <c r="A1471" s="48" t="str">
        <f t="shared" si="68"/>
        <v>sam240_core_freq_trk</v>
      </c>
      <c r="B1471" s="59" t="s">
        <v>6050</v>
      </c>
      <c r="C1471" s="48" t="s">
        <v>5220</v>
      </c>
      <c r="D1471" s="48"/>
      <c r="E1471" s="48" t="s">
        <v>5192</v>
      </c>
      <c r="F1471" s="14">
        <v>200</v>
      </c>
      <c r="G1471" s="171">
        <v>44797</v>
      </c>
      <c r="H1471" s="21"/>
      <c r="O1471" s="21"/>
    </row>
    <row r="1472" spans="1:15" s="22" customFormat="1" ht="15" x14ac:dyDescent="0.25">
      <c r="A1472" s="48" t="str">
        <f t="shared" si="68"/>
        <v>sam240_core_function</v>
      </c>
      <c r="B1472" s="59" t="s">
        <v>6050</v>
      </c>
      <c r="C1472" s="48" t="s">
        <v>5367</v>
      </c>
      <c r="D1472" s="48"/>
      <c r="E1472" s="48" t="s">
        <v>5192</v>
      </c>
      <c r="F1472" s="14" t="s">
        <v>5851</v>
      </c>
      <c r="G1472" s="171">
        <v>44797</v>
      </c>
      <c r="H1472" s="21"/>
      <c r="O1472" s="21"/>
    </row>
    <row r="1473" spans="1:15" s="22" customFormat="1" ht="15" x14ac:dyDescent="0.25">
      <c r="A1473" s="48" t="str">
        <f t="shared" si="68"/>
        <v>sam240_core_lvt_pct</v>
      </c>
      <c r="B1473" s="59" t="s">
        <v>6050</v>
      </c>
      <c r="C1473" s="48" t="s">
        <v>5357</v>
      </c>
      <c r="D1473" s="48"/>
      <c r="E1473" s="48" t="s">
        <v>5192</v>
      </c>
      <c r="F1473" s="14">
        <v>0</v>
      </c>
      <c r="G1473" s="171">
        <v>44797</v>
      </c>
      <c r="H1473" s="13"/>
      <c r="O1473" s="21"/>
    </row>
    <row r="1474" spans="1:15" s="22" customFormat="1" ht="15" x14ac:dyDescent="0.25">
      <c r="A1474" s="48" t="str">
        <f t="shared" si="68"/>
        <v>sam240_core_macro_area</v>
      </c>
      <c r="B1474" s="59" t="s">
        <v>6050</v>
      </c>
      <c r="C1474" s="48" t="s">
        <v>5228</v>
      </c>
      <c r="D1474" s="48"/>
      <c r="E1474" s="48" t="s">
        <v>5192</v>
      </c>
      <c r="F1474" s="14">
        <v>2.8809999999999998</v>
      </c>
      <c r="G1474" s="171">
        <v>44797</v>
      </c>
      <c r="H1474" s="13"/>
      <c r="O1474" s="21"/>
    </row>
    <row r="1475" spans="1:15" s="22" customFormat="1" ht="15" x14ac:dyDescent="0.25">
      <c r="A1475" s="48" t="str">
        <f t="shared" si="68"/>
        <v>sam240_core_osvt_pct</v>
      </c>
      <c r="B1475" s="59" t="s">
        <v>6050</v>
      </c>
      <c r="C1475" s="48" t="s">
        <v>5354</v>
      </c>
      <c r="D1475" s="48"/>
      <c r="E1475" s="48" t="s">
        <v>5192</v>
      </c>
      <c r="F1475" s="14">
        <v>0.05</v>
      </c>
      <c r="G1475" s="171">
        <v>44797</v>
      </c>
      <c r="H1475" s="13"/>
      <c r="O1475" s="21"/>
    </row>
    <row r="1476" spans="1:15" s="22" customFormat="1" ht="15" x14ac:dyDescent="0.25">
      <c r="A1476" s="48" t="str">
        <f t="shared" si="68"/>
        <v>sam240_core_stdcell_area</v>
      </c>
      <c r="B1476" s="59" t="s">
        <v>6050</v>
      </c>
      <c r="C1476" s="48" t="s">
        <v>5230</v>
      </c>
      <c r="D1476" s="48"/>
      <c r="E1476" s="48" t="s">
        <v>5192</v>
      </c>
      <c r="F1476" s="14">
        <v>4.226</v>
      </c>
      <c r="G1476" s="171">
        <v>44797</v>
      </c>
      <c r="H1476" s="13"/>
      <c r="O1476" s="21"/>
    </row>
    <row r="1477" spans="1:15" s="22" customFormat="1" ht="15" x14ac:dyDescent="0.25">
      <c r="A1477" s="48" t="str">
        <f t="shared" si="68"/>
        <v>sam240_core_svt_pct</v>
      </c>
      <c r="B1477" s="59" t="s">
        <v>6050</v>
      </c>
      <c r="C1477" s="48" t="s">
        <v>5356</v>
      </c>
      <c r="D1477" s="48"/>
      <c r="E1477" s="48" t="s">
        <v>5192</v>
      </c>
      <c r="F1477" s="14">
        <v>0.45</v>
      </c>
      <c r="G1477" s="171">
        <v>44797</v>
      </c>
      <c r="H1477" s="13"/>
      <c r="O1477" s="21"/>
    </row>
    <row r="1478" spans="1:15" s="22" customFormat="1" ht="15" x14ac:dyDescent="0.25">
      <c r="A1478" s="48" t="str">
        <f t="shared" si="68"/>
        <v>sam240_core_tag</v>
      </c>
      <c r="B1478" s="59" t="s">
        <v>6050</v>
      </c>
      <c r="C1478" s="48" t="s">
        <v>5234</v>
      </c>
      <c r="D1478" s="48"/>
      <c r="E1478" s="48" t="s">
        <v>5192</v>
      </c>
      <c r="F1478" s="14">
        <v>44797</v>
      </c>
      <c r="G1478" s="171">
        <v>44797</v>
      </c>
      <c r="H1478" s="13"/>
      <c r="O1478" s="21"/>
    </row>
    <row r="1479" spans="1:15" s="22" customFormat="1" ht="15" x14ac:dyDescent="0.25">
      <c r="A1479" s="48" t="str">
        <f t="shared" si="68"/>
        <v>sam240_core_type</v>
      </c>
      <c r="B1479" s="59" t="s">
        <v>6050</v>
      </c>
      <c r="C1479" s="48" t="s">
        <v>1</v>
      </c>
      <c r="D1479" s="48"/>
      <c r="E1479" s="48" t="s">
        <v>5192</v>
      </c>
      <c r="F1479" s="14" t="s">
        <v>5782</v>
      </c>
      <c r="G1479" s="171">
        <v>44797</v>
      </c>
      <c r="H1479" s="13"/>
      <c r="O1479" s="21"/>
    </row>
    <row r="1480" spans="1:15" s="22" customFormat="1" ht="15" x14ac:dyDescent="0.25">
      <c r="A1480" s="48" t="str">
        <f t="shared" si="68"/>
        <v>sam240_core_vdd_dyn_idle_pct</v>
      </c>
      <c r="B1480" s="59" t="s">
        <v>6050</v>
      </c>
      <c r="C1480" s="48" t="s">
        <v>5363</v>
      </c>
      <c r="D1480" s="48"/>
      <c r="E1480" s="48" t="s">
        <v>5192</v>
      </c>
      <c r="F1480" s="166">
        <v>1.9099999999999999E-2</v>
      </c>
      <c r="G1480" s="171">
        <v>44797</v>
      </c>
      <c r="H1480" s="13"/>
      <c r="O1480" s="21"/>
    </row>
    <row r="1481" spans="1:15" s="22" customFormat="1" ht="15" x14ac:dyDescent="0.25">
      <c r="A1481" s="48" t="str">
        <f t="shared" si="68"/>
        <v>sam240_core_vdd_dyn_int</v>
      </c>
      <c r="B1481" s="59" t="s">
        <v>6050</v>
      </c>
      <c r="C1481" s="48" t="s">
        <v>5361</v>
      </c>
      <c r="D1481" s="48"/>
      <c r="E1481" s="48" t="s">
        <v>5192</v>
      </c>
      <c r="F1481" s="14">
        <f>5929*4.226/7.68</f>
        <v>3262.4940104166672</v>
      </c>
      <c r="G1481" s="171">
        <v>44797</v>
      </c>
      <c r="H1481" s="13"/>
      <c r="O1481" s="21"/>
    </row>
    <row r="1482" spans="1:15" s="22" customFormat="1" ht="15" x14ac:dyDescent="0.25">
      <c r="A1482" s="48" t="str">
        <f t="shared" si="68"/>
        <v>sam240_core_vdd_dyn_max_pct</v>
      </c>
      <c r="B1482" s="59" t="s">
        <v>6050</v>
      </c>
      <c r="C1482" s="48" t="s">
        <v>5364</v>
      </c>
      <c r="D1482" s="48"/>
      <c r="E1482" s="48" t="s">
        <v>5192</v>
      </c>
      <c r="F1482" s="167">
        <v>4.4999999999999998E-2</v>
      </c>
      <c r="G1482" s="171">
        <v>44797</v>
      </c>
      <c r="H1482" s="13"/>
      <c r="O1482" s="21"/>
    </row>
    <row r="1483" spans="1:15" s="22" customFormat="1" ht="15" x14ac:dyDescent="0.25">
      <c r="A1483" s="48" t="str">
        <f t="shared" si="68"/>
        <v>sam240_core_vdd_dyn_peak_pct</v>
      </c>
      <c r="B1483" s="59" t="s">
        <v>6050</v>
      </c>
      <c r="C1483" s="48" t="s">
        <v>5365</v>
      </c>
      <c r="D1483" s="48"/>
      <c r="E1483" s="48" t="s">
        <v>5192</v>
      </c>
      <c r="F1483" s="14">
        <v>0.06</v>
      </c>
      <c r="G1483" s="171">
        <v>44797</v>
      </c>
      <c r="H1483" s="13"/>
      <c r="O1483" s="21"/>
    </row>
    <row r="1484" spans="1:15" s="22" customFormat="1" ht="15" x14ac:dyDescent="0.25">
      <c r="A1484" s="48" t="str">
        <f t="shared" si="68"/>
        <v>sam240_core_vdd_dyn_sw</v>
      </c>
      <c r="B1484" s="59" t="s">
        <v>6050</v>
      </c>
      <c r="C1484" s="48" t="s">
        <v>5362</v>
      </c>
      <c r="D1484" s="48"/>
      <c r="E1484" s="48" t="s">
        <v>5192</v>
      </c>
      <c r="F1484" s="14">
        <f>7483*4.226/7.68</f>
        <v>4117.5986979166664</v>
      </c>
      <c r="G1484" s="171">
        <v>44797</v>
      </c>
      <c r="H1484" s="13"/>
      <c r="O1484" s="21"/>
    </row>
    <row r="1485" spans="1:15" s="22" customFormat="1" ht="15" x14ac:dyDescent="0.25">
      <c r="A1485" s="48" t="str">
        <f t="shared" si="68"/>
        <v>sam240_core_vdd_lkg</v>
      </c>
      <c r="B1485" s="59" t="s">
        <v>6050</v>
      </c>
      <c r="C1485" s="48" t="s">
        <v>5245</v>
      </c>
      <c r="D1485" s="48"/>
      <c r="E1485" s="48" t="s">
        <v>5192</v>
      </c>
      <c r="F1485" s="20">
        <f>881.83104*4.226/7.64/1.5/1.17</f>
        <v>277.9357389537746</v>
      </c>
      <c r="G1485" s="171">
        <v>44797</v>
      </c>
      <c r="H1485" s="13"/>
      <c r="O1485" s="21"/>
    </row>
    <row r="1486" spans="1:15" s="22" customFormat="1" ht="15" x14ac:dyDescent="0.25">
      <c r="A1486" s="48" t="str">
        <f t="shared" si="68"/>
        <v>sam240_core_vddr_lkg</v>
      </c>
      <c r="B1486" s="59" t="s">
        <v>6050</v>
      </c>
      <c r="C1486" s="48" t="s">
        <v>5246</v>
      </c>
      <c r="D1486" s="48"/>
      <c r="E1486" s="48" t="s">
        <v>5192</v>
      </c>
      <c r="F1486" s="20">
        <f>38.69*2.9/7.24</f>
        <v>15.497375690607733</v>
      </c>
      <c r="G1486" s="171">
        <v>44797</v>
      </c>
      <c r="H1486" s="13"/>
      <c r="O1486" s="21"/>
    </row>
    <row r="1487" spans="1:15" s="22" customFormat="1" ht="15" x14ac:dyDescent="0.25">
      <c r="A1487" s="48" t="str">
        <f t="shared" si="68"/>
        <v>sam240_core_xsvt_pct</v>
      </c>
      <c r="B1487" s="59" t="s">
        <v>6050</v>
      </c>
      <c r="C1487" s="48" t="s">
        <v>5355</v>
      </c>
      <c r="D1487" s="48"/>
      <c r="E1487" s="48" t="s">
        <v>5192</v>
      </c>
      <c r="F1487" s="20">
        <v>0.5</v>
      </c>
      <c r="G1487" s="171">
        <v>44797</v>
      </c>
      <c r="H1487" s="13"/>
      <c r="O1487" s="21"/>
    </row>
    <row r="1488" spans="1:15" s="22" customFormat="1" ht="15" x14ac:dyDescent="0.25">
      <c r="A1488" s="48" t="str">
        <f t="shared" si="68"/>
        <v>sam240_cortexr5ss_wrap_accuracy_grade</v>
      </c>
      <c r="B1488" s="59" t="s">
        <v>6212</v>
      </c>
      <c r="C1488" s="48" t="s">
        <v>5366</v>
      </c>
      <c r="D1488" s="48"/>
      <c r="E1488" s="48" t="s">
        <v>5192</v>
      </c>
      <c r="F1488" s="14" t="s">
        <v>6002</v>
      </c>
      <c r="G1488" s="175">
        <v>44797</v>
      </c>
      <c r="H1488" s="13"/>
      <c r="O1488" s="21"/>
    </row>
    <row r="1489" spans="1:15" s="22" customFormat="1" ht="15" x14ac:dyDescent="0.25">
      <c r="A1489" s="48" t="str">
        <f t="shared" si="68"/>
        <v>sam240_cortexr5ss_wrap_area</v>
      </c>
      <c r="B1489" s="59" t="s">
        <v>6212</v>
      </c>
      <c r="C1489" s="48" t="s">
        <v>5360</v>
      </c>
      <c r="D1489" s="48"/>
      <c r="E1489" s="48" t="s">
        <v>5192</v>
      </c>
      <c r="F1489" s="14">
        <v>2.1909999999999998</v>
      </c>
      <c r="G1489" s="175">
        <v>44797</v>
      </c>
      <c r="H1489" s="13"/>
      <c r="O1489" s="21"/>
    </row>
    <row r="1490" spans="1:15" s="22" customFormat="1" ht="15" x14ac:dyDescent="0.25">
      <c r="A1490" s="48" t="str">
        <f t="shared" si="68"/>
        <v>sam240_cortexr5ss_wrap_data_source</v>
      </c>
      <c r="B1490" s="59" t="s">
        <v>6212</v>
      </c>
      <c r="C1490" s="48" t="s">
        <v>5368</v>
      </c>
      <c r="D1490" s="48"/>
      <c r="E1490" s="48" t="s">
        <v>5192</v>
      </c>
      <c r="F1490" s="14" t="s">
        <v>5369</v>
      </c>
      <c r="G1490" s="175">
        <v>44797</v>
      </c>
      <c r="H1490" s="13"/>
      <c r="O1490" s="21"/>
    </row>
    <row r="1491" spans="1:15" s="22" customFormat="1" ht="15" x14ac:dyDescent="0.25">
      <c r="A1491" s="48" t="str">
        <f t="shared" si="68"/>
        <v>sam240_cortexr5ss_wrap_description</v>
      </c>
      <c r="B1491" s="59" t="s">
        <v>6212</v>
      </c>
      <c r="C1491" s="48" t="s">
        <v>5379</v>
      </c>
      <c r="D1491" s="48"/>
      <c r="E1491" s="48" t="s">
        <v>5192</v>
      </c>
      <c r="F1491" s="14" t="s">
        <v>6213</v>
      </c>
      <c r="G1491" s="175">
        <v>44797</v>
      </c>
      <c r="H1491" s="13"/>
      <c r="O1491" s="21"/>
    </row>
    <row r="1492" spans="1:15" s="22" customFormat="1" ht="15" x14ac:dyDescent="0.25">
      <c r="A1492" s="48" t="str">
        <f t="shared" si="68"/>
        <v>sam240_cortexr5ss_wrap_first_soc</v>
      </c>
      <c r="B1492" s="59" t="s">
        <v>6212</v>
      </c>
      <c r="C1492" s="48" t="s">
        <v>5378</v>
      </c>
      <c r="D1492" s="48"/>
      <c r="E1492" s="48" t="s">
        <v>5192</v>
      </c>
      <c r="F1492" s="14" t="s">
        <v>6052</v>
      </c>
      <c r="G1492" s="175">
        <v>44797</v>
      </c>
      <c r="H1492" s="13"/>
      <c r="O1492" s="21"/>
    </row>
    <row r="1493" spans="1:15" s="22" customFormat="1" ht="15" x14ac:dyDescent="0.25">
      <c r="A1493" s="48" t="str">
        <f t="shared" si="68"/>
        <v>sam240_cortexr5ss_wrap_freq_trk</v>
      </c>
      <c r="B1493" s="59" t="s">
        <v>6212</v>
      </c>
      <c r="C1493" s="48" t="s">
        <v>5220</v>
      </c>
      <c r="D1493" s="48"/>
      <c r="E1493" s="48" t="s">
        <v>5192</v>
      </c>
      <c r="F1493" s="14">
        <v>400</v>
      </c>
      <c r="G1493" s="175">
        <v>44797</v>
      </c>
      <c r="H1493" s="13"/>
      <c r="O1493" s="21"/>
    </row>
    <row r="1494" spans="1:15" s="22" customFormat="1" ht="15" x14ac:dyDescent="0.25">
      <c r="A1494" s="48" t="str">
        <f t="shared" si="68"/>
        <v>sam240_cortexr5ss_wrap_function</v>
      </c>
      <c r="B1494" s="59" t="s">
        <v>6212</v>
      </c>
      <c r="C1494" s="48" t="s">
        <v>5367</v>
      </c>
      <c r="D1494" s="48"/>
      <c r="E1494" s="48" t="s">
        <v>5192</v>
      </c>
      <c r="F1494" s="14" t="s">
        <v>5850</v>
      </c>
      <c r="G1494" s="175">
        <v>44797</v>
      </c>
      <c r="H1494" s="13"/>
      <c r="O1494" s="21"/>
    </row>
    <row r="1495" spans="1:15" x14ac:dyDescent="0.2">
      <c r="A1495" s="214" t="str">
        <f t="shared" si="68"/>
        <v>sam240_cortexr5ss_wrap_kbits</v>
      </c>
      <c r="B1495" s="215" t="s">
        <v>6212</v>
      </c>
      <c r="C1495" s="214" t="s">
        <v>5224</v>
      </c>
      <c r="D1495" s="214"/>
      <c r="E1495" s="214" t="s">
        <v>5192</v>
      </c>
      <c r="F1495" s="242">
        <v>1332</v>
      </c>
      <c r="G1495" s="244">
        <v>44797</v>
      </c>
      <c r="H1495" s="243"/>
    </row>
    <row r="1496" spans="1:15" s="22" customFormat="1" ht="15" x14ac:dyDescent="0.25">
      <c r="A1496" s="48" t="str">
        <f t="shared" si="68"/>
        <v>sam240_cortexr5ss_wrap_lvt_pct</v>
      </c>
      <c r="B1496" s="59" t="s">
        <v>6212</v>
      </c>
      <c r="C1496" s="48" t="s">
        <v>5357</v>
      </c>
      <c r="D1496" s="48"/>
      <c r="E1496" s="48" t="s">
        <v>5192</v>
      </c>
      <c r="F1496" s="14">
        <v>0</v>
      </c>
      <c r="G1496" s="175">
        <v>44797</v>
      </c>
      <c r="H1496" s="13"/>
      <c r="O1496" s="21"/>
    </row>
    <row r="1497" spans="1:15" s="22" customFormat="1" ht="15" x14ac:dyDescent="0.25">
      <c r="A1497" s="48" t="str">
        <f t="shared" si="68"/>
        <v>sam240_cortexr5ss_wrap_macro_area</v>
      </c>
      <c r="B1497" s="59" t="s">
        <v>6212</v>
      </c>
      <c r="C1497" s="48" t="s">
        <v>5228</v>
      </c>
      <c r="D1497" s="48"/>
      <c r="E1497" s="48" t="s">
        <v>5192</v>
      </c>
      <c r="F1497" s="14">
        <v>0.68899999999999995</v>
      </c>
      <c r="G1497" s="175">
        <v>44797</v>
      </c>
      <c r="H1497" s="13"/>
      <c r="O1497" s="21"/>
    </row>
    <row r="1498" spans="1:15" s="22" customFormat="1" ht="15" x14ac:dyDescent="0.25">
      <c r="A1498" s="48" t="str">
        <f t="shared" si="68"/>
        <v>sam240_cortexr5ss_wrap_macros</v>
      </c>
      <c r="B1498" s="59" t="s">
        <v>6212</v>
      </c>
      <c r="C1498" s="48" t="s">
        <v>5229</v>
      </c>
      <c r="D1498" s="48"/>
      <c r="E1498" s="48" t="s">
        <v>5192</v>
      </c>
      <c r="F1498" s="14">
        <v>77</v>
      </c>
      <c r="G1498" s="175">
        <v>44797</v>
      </c>
      <c r="H1498" s="13"/>
      <c r="O1498" s="21"/>
    </row>
    <row r="1499" spans="1:15" s="22" customFormat="1" ht="15" x14ac:dyDescent="0.25">
      <c r="A1499" s="48" t="str">
        <f t="shared" si="68"/>
        <v>sam240_cortexr5ss_wrap_osvt_pct</v>
      </c>
      <c r="B1499" s="59" t="s">
        <v>6212</v>
      </c>
      <c r="C1499" s="48" t="s">
        <v>5354</v>
      </c>
      <c r="D1499" s="48"/>
      <c r="E1499" s="48" t="s">
        <v>5192</v>
      </c>
      <c r="F1499" s="14">
        <v>0.22274270384286995</v>
      </c>
      <c r="G1499" s="175">
        <v>44797</v>
      </c>
      <c r="H1499" s="13"/>
      <c r="O1499" s="21"/>
    </row>
    <row r="1500" spans="1:15" s="22" customFormat="1" ht="15" x14ac:dyDescent="0.25">
      <c r="A1500" s="48" t="str">
        <f t="shared" si="68"/>
        <v>sam240_cortexr5ss_wrap_stdcell_area</v>
      </c>
      <c r="B1500" s="59" t="s">
        <v>6212</v>
      </c>
      <c r="C1500" s="48" t="s">
        <v>5230</v>
      </c>
      <c r="D1500" s="48"/>
      <c r="E1500" s="48" t="s">
        <v>5192</v>
      </c>
      <c r="F1500" s="14">
        <v>0.91800000000000004</v>
      </c>
      <c r="G1500" s="175">
        <v>44797</v>
      </c>
      <c r="H1500" s="13"/>
      <c r="O1500" s="21"/>
    </row>
    <row r="1501" spans="1:15" s="22" customFormat="1" ht="15" x14ac:dyDescent="0.25">
      <c r="A1501" s="48" t="str">
        <f t="shared" si="68"/>
        <v>sam240_cortexr5ss_wrap_svt_pct</v>
      </c>
      <c r="B1501" s="59" t="s">
        <v>6212</v>
      </c>
      <c r="C1501" s="48" t="s">
        <v>5356</v>
      </c>
      <c r="D1501" s="48"/>
      <c r="E1501" s="48" t="s">
        <v>5192</v>
      </c>
      <c r="F1501" s="14">
        <v>0.32682989728760298</v>
      </c>
      <c r="G1501" s="175">
        <v>44797</v>
      </c>
      <c r="H1501" s="13"/>
      <c r="O1501" s="21"/>
    </row>
    <row r="1502" spans="1:15" s="22" customFormat="1" ht="15" x14ac:dyDescent="0.25">
      <c r="A1502" s="48" t="str">
        <f t="shared" si="68"/>
        <v>sam240_cortexr5ss_wrap_tag</v>
      </c>
      <c r="B1502" s="59" t="s">
        <v>6212</v>
      </c>
      <c r="C1502" s="48" t="s">
        <v>5234</v>
      </c>
      <c r="D1502" s="48"/>
      <c r="E1502" s="48" t="s">
        <v>5192</v>
      </c>
      <c r="F1502" s="173">
        <v>44797</v>
      </c>
      <c r="G1502" s="175">
        <v>44797</v>
      </c>
      <c r="H1502" s="13"/>
      <c r="O1502" s="21"/>
    </row>
    <row r="1503" spans="1:15" s="22" customFormat="1" ht="15" x14ac:dyDescent="0.25">
      <c r="A1503" s="48" t="str">
        <f t="shared" si="68"/>
        <v>sam240_cortexr5ss_wrap_type</v>
      </c>
      <c r="B1503" s="59" t="s">
        <v>6212</v>
      </c>
      <c r="C1503" s="48" t="s">
        <v>1</v>
      </c>
      <c r="D1503" s="48"/>
      <c r="E1503" s="48" t="s">
        <v>5192</v>
      </c>
      <c r="F1503" s="14" t="s">
        <v>5777</v>
      </c>
      <c r="G1503" s="175">
        <v>44797</v>
      </c>
      <c r="H1503" s="13"/>
      <c r="O1503" s="21"/>
    </row>
    <row r="1504" spans="1:15" s="22" customFormat="1" ht="15" x14ac:dyDescent="0.25">
      <c r="A1504" s="48" t="str">
        <f t="shared" si="68"/>
        <v>sam240_cortexr5ss_wrap_vdd_dyn_idle_pct</v>
      </c>
      <c r="B1504" s="59" t="s">
        <v>6212</v>
      </c>
      <c r="C1504" s="48" t="s">
        <v>5363</v>
      </c>
      <c r="D1504" s="48"/>
      <c r="E1504" s="48" t="s">
        <v>5192</v>
      </c>
      <c r="F1504" s="166">
        <f>0.1*0.125</f>
        <v>1.2500000000000001E-2</v>
      </c>
      <c r="G1504" s="175">
        <v>44797</v>
      </c>
      <c r="H1504" s="13"/>
      <c r="O1504" s="21"/>
    </row>
    <row r="1505" spans="1:15" s="22" customFormat="1" ht="15" x14ac:dyDescent="0.25">
      <c r="A1505" s="48" t="str">
        <f t="shared" si="68"/>
        <v>sam240_cortexr5ss_wrap_vdd_dyn_int</v>
      </c>
      <c r="B1505" s="59" t="s">
        <v>6212</v>
      </c>
      <c r="C1505" s="48" t="s">
        <v>5361</v>
      </c>
      <c r="D1505" s="48"/>
      <c r="E1505" s="48" t="s">
        <v>5192</v>
      </c>
      <c r="F1505" s="14">
        <f>2091.6*0.92/1.46</f>
        <v>1317.9945205479453</v>
      </c>
      <c r="G1505" s="175">
        <v>44797</v>
      </c>
      <c r="H1505" s="13"/>
      <c r="O1505" s="21"/>
    </row>
    <row r="1506" spans="1:15" s="22" customFormat="1" ht="15" x14ac:dyDescent="0.25">
      <c r="A1506" s="48" t="str">
        <f t="shared" si="68"/>
        <v>sam240_cortexr5ss_wrap_vdd_dyn_max_pct</v>
      </c>
      <c r="B1506" s="59" t="s">
        <v>6212</v>
      </c>
      <c r="C1506" s="48" t="s">
        <v>5364</v>
      </c>
      <c r="D1506" s="48"/>
      <c r="E1506" s="48" t="s">
        <v>5192</v>
      </c>
      <c r="F1506" s="14">
        <v>4.0500000000000001E-2</v>
      </c>
      <c r="G1506" s="175">
        <v>44797</v>
      </c>
      <c r="H1506" s="13"/>
      <c r="O1506" s="21"/>
    </row>
    <row r="1507" spans="1:15" s="22" customFormat="1" ht="15" x14ac:dyDescent="0.25">
      <c r="A1507" s="48" t="str">
        <f t="shared" ref="A1507:A1570" si="69">B1507&amp;"_"&amp;C1507</f>
        <v>sam240_cortexr5ss_wrap_vdd_dyn_peak_pct</v>
      </c>
      <c r="B1507" s="59" t="s">
        <v>6212</v>
      </c>
      <c r="C1507" s="48" t="s">
        <v>5365</v>
      </c>
      <c r="D1507" s="48"/>
      <c r="E1507" s="48" t="s">
        <v>5192</v>
      </c>
      <c r="F1507" s="14">
        <v>0.06</v>
      </c>
      <c r="G1507" s="175">
        <v>44797</v>
      </c>
      <c r="H1507" s="13"/>
      <c r="O1507" s="21"/>
    </row>
    <row r="1508" spans="1:15" s="22" customFormat="1" ht="15" x14ac:dyDescent="0.25">
      <c r="A1508" s="48" t="str">
        <f t="shared" si="69"/>
        <v>sam240_cortexr5ss_wrap_vdd_dyn_sw</v>
      </c>
      <c r="B1508" s="59" t="s">
        <v>6212</v>
      </c>
      <c r="C1508" s="48" t="s">
        <v>5362</v>
      </c>
      <c r="D1508" s="48"/>
      <c r="E1508" s="48" t="s">
        <v>5192</v>
      </c>
      <c r="F1508" s="14">
        <f>2870.8*0.92/1.46</f>
        <v>1808.9972602739729</v>
      </c>
      <c r="G1508" s="175">
        <v>44797</v>
      </c>
      <c r="H1508" s="13"/>
      <c r="O1508" s="21"/>
    </row>
    <row r="1509" spans="1:15" s="22" customFormat="1" ht="15" x14ac:dyDescent="0.25">
      <c r="A1509" s="48" t="str">
        <f t="shared" si="69"/>
        <v>sam240_cortexr5ss_wrap_vdd_lkg</v>
      </c>
      <c r="B1509" s="59" t="s">
        <v>6212</v>
      </c>
      <c r="C1509" s="48" t="s">
        <v>5245</v>
      </c>
      <c r="D1509" s="48"/>
      <c r="E1509" s="48" t="s">
        <v>5192</v>
      </c>
      <c r="F1509" s="14">
        <f>80.12*0.92/1.46</f>
        <v>50.486575342465763</v>
      </c>
      <c r="G1509" s="175">
        <v>44797</v>
      </c>
      <c r="H1509" s="13"/>
      <c r="O1509" s="21"/>
    </row>
    <row r="1510" spans="1:15" s="22" customFormat="1" ht="15" x14ac:dyDescent="0.25">
      <c r="A1510" s="48" t="str">
        <f t="shared" si="69"/>
        <v>sam240_cortexr5ss_wrap_vddr_lkg</v>
      </c>
      <c r="B1510" s="59" t="s">
        <v>6212</v>
      </c>
      <c r="C1510" s="48" t="s">
        <v>5246</v>
      </c>
      <c r="D1510" s="48"/>
      <c r="E1510" s="48" t="s">
        <v>5192</v>
      </c>
      <c r="F1510" s="14">
        <f>6*0.69/1.001</f>
        <v>4.1358641358641357</v>
      </c>
      <c r="G1510" s="175">
        <v>44797</v>
      </c>
      <c r="H1510" s="13"/>
      <c r="O1510" s="21"/>
    </row>
    <row r="1511" spans="1:15" s="22" customFormat="1" ht="15" x14ac:dyDescent="0.25">
      <c r="A1511" s="48" t="str">
        <f t="shared" si="69"/>
        <v>sam240_cortexr5ss_wrap_xsvt_pct</v>
      </c>
      <c r="B1511" s="59" t="s">
        <v>6212</v>
      </c>
      <c r="C1511" s="48" t="s">
        <v>5355</v>
      </c>
      <c r="D1511" s="48"/>
      <c r="E1511" s="48" t="s">
        <v>5192</v>
      </c>
      <c r="F1511" s="14">
        <v>0.45042739886952715</v>
      </c>
      <c r="G1511" s="175">
        <v>44797</v>
      </c>
      <c r="H1511" s="13"/>
      <c r="O1511" s="21"/>
    </row>
    <row r="1512" spans="1:15" s="22" customFormat="1" ht="15" x14ac:dyDescent="0.25">
      <c r="A1512" s="48" t="str">
        <f t="shared" si="69"/>
        <v>sam240_usb_wrap_accuracy_grade</v>
      </c>
      <c r="B1512" s="59" t="s">
        <v>6215</v>
      </c>
      <c r="C1512" s="48" t="s">
        <v>5366</v>
      </c>
      <c r="D1512" s="48"/>
      <c r="E1512" s="48" t="s">
        <v>5192</v>
      </c>
      <c r="F1512" s="14" t="s">
        <v>5417</v>
      </c>
      <c r="G1512" s="21" t="s">
        <v>6214</v>
      </c>
      <c r="H1512" s="13"/>
      <c r="O1512" s="21"/>
    </row>
    <row r="1513" spans="1:15" s="22" customFormat="1" ht="15" x14ac:dyDescent="0.25">
      <c r="A1513" s="48" t="str">
        <f t="shared" si="69"/>
        <v>sam240_usb_wrap_area</v>
      </c>
      <c r="B1513" s="59" t="s">
        <v>6215</v>
      </c>
      <c r="C1513" s="48" t="s">
        <v>5360</v>
      </c>
      <c r="D1513" s="48"/>
      <c r="E1513" s="48" t="s">
        <v>5192</v>
      </c>
      <c r="F1513" s="14">
        <v>1.2010460000000001</v>
      </c>
      <c r="G1513" s="21" t="s">
        <v>6214</v>
      </c>
      <c r="H1513" s="13"/>
      <c r="O1513" s="21"/>
    </row>
    <row r="1514" spans="1:15" s="22" customFormat="1" ht="15" x14ac:dyDescent="0.25">
      <c r="A1514" s="48" t="str">
        <f t="shared" si="69"/>
        <v>sam240_usb_wrap_data_source</v>
      </c>
      <c r="B1514" s="59" t="s">
        <v>6215</v>
      </c>
      <c r="C1514" s="48" t="s">
        <v>5368</v>
      </c>
      <c r="D1514" s="48"/>
      <c r="E1514" s="48" t="s">
        <v>5192</v>
      </c>
      <c r="F1514" s="14" t="s">
        <v>5371</v>
      </c>
      <c r="G1514" s="21" t="s">
        <v>6214</v>
      </c>
      <c r="H1514" s="13"/>
      <c r="O1514" s="21"/>
    </row>
    <row r="1515" spans="1:15" s="22" customFormat="1" ht="15" x14ac:dyDescent="0.25">
      <c r="A1515" s="48" t="str">
        <f t="shared" si="69"/>
        <v>sam240_usb_wrap_description</v>
      </c>
      <c r="B1515" s="59" t="s">
        <v>6215</v>
      </c>
      <c r="C1515" s="48" t="s">
        <v>5379</v>
      </c>
      <c r="D1515" s="48"/>
      <c r="E1515" s="48" t="s">
        <v>5192</v>
      </c>
      <c r="F1515" s="14" t="s">
        <v>5870</v>
      </c>
      <c r="G1515" s="21" t="s">
        <v>6214</v>
      </c>
      <c r="H1515" s="13"/>
      <c r="O1515" s="21"/>
    </row>
    <row r="1516" spans="1:15" s="22" customFormat="1" ht="15" x14ac:dyDescent="0.25">
      <c r="A1516" s="48" t="str">
        <f t="shared" si="69"/>
        <v>sam240_usb_wrap_first_soc</v>
      </c>
      <c r="B1516" s="59" t="s">
        <v>6215</v>
      </c>
      <c r="C1516" s="48" t="s">
        <v>5378</v>
      </c>
      <c r="D1516" s="48"/>
      <c r="E1516" s="48" t="s">
        <v>5192</v>
      </c>
      <c r="F1516" s="14" t="s">
        <v>6052</v>
      </c>
      <c r="G1516" s="21" t="s">
        <v>6214</v>
      </c>
      <c r="H1516" s="13"/>
      <c r="O1516" s="21"/>
    </row>
    <row r="1517" spans="1:15" s="22" customFormat="1" ht="15" x14ac:dyDescent="0.25">
      <c r="A1517" s="48" t="str">
        <f t="shared" si="69"/>
        <v>sam240_usb_wrap_freq_trk</v>
      </c>
      <c r="B1517" s="59" t="s">
        <v>6215</v>
      </c>
      <c r="C1517" s="48" t="s">
        <v>5220</v>
      </c>
      <c r="D1517" s="48"/>
      <c r="E1517" s="48" t="s">
        <v>5192</v>
      </c>
      <c r="F1517" s="14">
        <v>600</v>
      </c>
      <c r="G1517" s="21" t="s">
        <v>6214</v>
      </c>
      <c r="H1517" s="13"/>
      <c r="O1517" s="21"/>
    </row>
    <row r="1518" spans="1:15" s="22" customFormat="1" ht="15" x14ac:dyDescent="0.25">
      <c r="A1518" s="48" t="str">
        <f t="shared" si="69"/>
        <v>sam240_usb_wrap_function</v>
      </c>
      <c r="B1518" s="59" t="s">
        <v>6215</v>
      </c>
      <c r="C1518" s="48" t="s">
        <v>5367</v>
      </c>
      <c r="D1518" s="48"/>
      <c r="E1518" s="48" t="s">
        <v>5192</v>
      </c>
      <c r="F1518" s="14" t="s">
        <v>5806</v>
      </c>
      <c r="G1518" s="21" t="s">
        <v>6214</v>
      </c>
      <c r="H1518" s="13"/>
      <c r="O1518" s="21"/>
    </row>
    <row r="1519" spans="1:15" s="22" customFormat="1" ht="15" x14ac:dyDescent="0.25">
      <c r="A1519" s="48" t="str">
        <f t="shared" si="69"/>
        <v>sam240_usb_wrap_lvt_pct</v>
      </c>
      <c r="B1519" s="59" t="s">
        <v>6215</v>
      </c>
      <c r="C1519" s="48" t="s">
        <v>5357</v>
      </c>
      <c r="D1519" s="48"/>
      <c r="E1519" s="48" t="s">
        <v>5192</v>
      </c>
      <c r="F1519" s="14">
        <v>0</v>
      </c>
      <c r="G1519" s="21" t="s">
        <v>6214</v>
      </c>
      <c r="H1519" s="13"/>
      <c r="O1519" s="21"/>
    </row>
    <row r="1520" spans="1:15" s="22" customFormat="1" ht="15" x14ac:dyDescent="0.25">
      <c r="A1520" s="48" t="str">
        <f t="shared" si="69"/>
        <v>sam240_usb_wrap_macro_area</v>
      </c>
      <c r="B1520" s="59" t="s">
        <v>6215</v>
      </c>
      <c r="C1520" s="48" t="s">
        <v>5228</v>
      </c>
      <c r="D1520" s="48"/>
      <c r="E1520" s="48" t="s">
        <v>5192</v>
      </c>
      <c r="F1520" s="14">
        <v>0.12</v>
      </c>
      <c r="G1520" s="21" t="s">
        <v>6214</v>
      </c>
      <c r="H1520" s="13"/>
      <c r="O1520" s="21"/>
    </row>
    <row r="1521" spans="1:15" s="22" customFormat="1" ht="15" x14ac:dyDescent="0.25">
      <c r="A1521" s="48" t="str">
        <f t="shared" si="69"/>
        <v>sam240_usb_wrap_osvt_pct</v>
      </c>
      <c r="B1521" s="59" t="s">
        <v>6215</v>
      </c>
      <c r="C1521" s="48" t="s">
        <v>5354</v>
      </c>
      <c r="D1521" s="48"/>
      <c r="E1521" s="48" t="s">
        <v>5192</v>
      </c>
      <c r="F1521" s="14">
        <v>2.865768703421815E-3</v>
      </c>
      <c r="G1521" s="21" t="s">
        <v>6214</v>
      </c>
      <c r="H1521" s="13"/>
      <c r="O1521" s="21"/>
    </row>
    <row r="1522" spans="1:15" s="22" customFormat="1" ht="15" x14ac:dyDescent="0.25">
      <c r="A1522" s="48" t="str">
        <f t="shared" si="69"/>
        <v>sam240_usb_wrap_stdcell_area</v>
      </c>
      <c r="B1522" s="59" t="s">
        <v>6215</v>
      </c>
      <c r="C1522" s="48" t="s">
        <v>5230</v>
      </c>
      <c r="D1522" s="48"/>
      <c r="E1522" s="48" t="s">
        <v>5192</v>
      </c>
      <c r="F1522" s="14">
        <v>0.66500000000000004</v>
      </c>
      <c r="G1522" s="21" t="s">
        <v>6214</v>
      </c>
      <c r="H1522" s="13"/>
      <c r="O1522" s="21"/>
    </row>
    <row r="1523" spans="1:15" s="22" customFormat="1" ht="15" x14ac:dyDescent="0.25">
      <c r="A1523" s="48" t="str">
        <f t="shared" si="69"/>
        <v>sam240_usb_wrap_svt_pct</v>
      </c>
      <c r="B1523" s="59" t="s">
        <v>6215</v>
      </c>
      <c r="C1523" s="48" t="s">
        <v>5356</v>
      </c>
      <c r="D1523" s="48"/>
      <c r="E1523" s="48" t="s">
        <v>5192</v>
      </c>
      <c r="F1523" s="14">
        <v>0.9028067493133991</v>
      </c>
      <c r="G1523" s="21" t="s">
        <v>6214</v>
      </c>
      <c r="H1523" s="13"/>
      <c r="O1523" s="21"/>
    </row>
    <row r="1524" spans="1:15" s="22" customFormat="1" ht="15" x14ac:dyDescent="0.25">
      <c r="A1524" s="48" t="str">
        <f t="shared" si="69"/>
        <v>sam240_usb_wrap_tag</v>
      </c>
      <c r="B1524" s="59" t="s">
        <v>6215</v>
      </c>
      <c r="C1524" s="48" t="s">
        <v>5234</v>
      </c>
      <c r="D1524" s="48"/>
      <c r="E1524" s="48" t="s">
        <v>5192</v>
      </c>
      <c r="F1524" s="14">
        <v>44797</v>
      </c>
      <c r="G1524" s="21" t="s">
        <v>6214</v>
      </c>
      <c r="H1524" s="13"/>
      <c r="O1524" s="21"/>
    </row>
    <row r="1525" spans="1:15" s="22" customFormat="1" ht="15" x14ac:dyDescent="0.25">
      <c r="A1525" s="48" t="str">
        <f t="shared" si="69"/>
        <v>sam240_usb_wrap_type</v>
      </c>
      <c r="B1525" s="59" t="s">
        <v>6215</v>
      </c>
      <c r="C1525" s="48" t="s">
        <v>1</v>
      </c>
      <c r="D1525" s="48"/>
      <c r="E1525" s="48" t="s">
        <v>5192</v>
      </c>
      <c r="F1525" s="14" t="s">
        <v>5780</v>
      </c>
      <c r="G1525" s="21" t="s">
        <v>6214</v>
      </c>
      <c r="H1525" s="13"/>
      <c r="O1525" s="21"/>
    </row>
    <row r="1526" spans="1:15" s="22" customFormat="1" ht="15" x14ac:dyDescent="0.25">
      <c r="A1526" s="48" t="str">
        <f t="shared" si="69"/>
        <v>sam240_usb_wrap_vdd_dyn_idle_pct</v>
      </c>
      <c r="B1526" s="59" t="s">
        <v>6215</v>
      </c>
      <c r="C1526" s="48" t="s">
        <v>5363</v>
      </c>
      <c r="D1526" s="48"/>
      <c r="E1526" s="48" t="s">
        <v>5192</v>
      </c>
      <c r="F1526" s="166">
        <v>1.9099999999999999E-2</v>
      </c>
      <c r="G1526" s="21" t="s">
        <v>6214</v>
      </c>
      <c r="H1526" s="13"/>
      <c r="O1526" s="21"/>
    </row>
    <row r="1527" spans="1:15" s="22" customFormat="1" ht="15" x14ac:dyDescent="0.25">
      <c r="A1527" s="48" t="str">
        <f t="shared" si="69"/>
        <v>sam240_usb_wrap_vdd_dyn_int</v>
      </c>
      <c r="B1527" s="59" t="s">
        <v>6215</v>
      </c>
      <c r="C1527" s="48" t="s">
        <v>5361</v>
      </c>
      <c r="D1527" s="48"/>
      <c r="E1527" s="48" t="s">
        <v>5192</v>
      </c>
      <c r="F1527" s="14">
        <v>1408.23495</v>
      </c>
      <c r="G1527" s="21" t="s">
        <v>6214</v>
      </c>
      <c r="H1527" s="13"/>
      <c r="O1527" s="21"/>
    </row>
    <row r="1528" spans="1:15" s="22" customFormat="1" ht="15" x14ac:dyDescent="0.25">
      <c r="A1528" s="48" t="str">
        <f t="shared" si="69"/>
        <v>sam240_usb_wrap_vdd_dyn_max_pct</v>
      </c>
      <c r="B1528" s="59" t="s">
        <v>6215</v>
      </c>
      <c r="C1528" s="48" t="s">
        <v>5364</v>
      </c>
      <c r="D1528" s="48"/>
      <c r="E1528" s="48" t="s">
        <v>5192</v>
      </c>
      <c r="F1528" s="14">
        <v>0.04</v>
      </c>
      <c r="G1528" s="21" t="s">
        <v>6214</v>
      </c>
      <c r="H1528" s="13"/>
      <c r="O1528" s="21"/>
    </row>
    <row r="1529" spans="1:15" s="22" customFormat="1" ht="15" x14ac:dyDescent="0.25">
      <c r="A1529" s="48" t="str">
        <f t="shared" si="69"/>
        <v>sam240_usb_wrap_vdd_dyn_peak_pct</v>
      </c>
      <c r="B1529" s="59" t="s">
        <v>6215</v>
      </c>
      <c r="C1529" s="48" t="s">
        <v>5365</v>
      </c>
      <c r="D1529" s="48"/>
      <c r="E1529" s="48" t="s">
        <v>5192</v>
      </c>
      <c r="F1529" s="14">
        <v>0.06</v>
      </c>
      <c r="G1529" s="21" t="s">
        <v>6214</v>
      </c>
      <c r="H1529" s="13"/>
      <c r="O1529" s="21"/>
    </row>
    <row r="1530" spans="1:15" s="22" customFormat="1" ht="15" x14ac:dyDescent="0.25">
      <c r="A1530" s="48" t="str">
        <f t="shared" si="69"/>
        <v>sam240_usb_wrap_vdd_dyn_sw</v>
      </c>
      <c r="B1530" s="59" t="s">
        <v>6215</v>
      </c>
      <c r="C1530" s="48" t="s">
        <v>5362</v>
      </c>
      <c r="D1530" s="48"/>
      <c r="E1530" s="48" t="s">
        <v>5192</v>
      </c>
      <c r="F1530" s="14">
        <v>1735.7314500000002</v>
      </c>
      <c r="G1530" s="21" t="s">
        <v>6214</v>
      </c>
      <c r="H1530" s="13"/>
      <c r="O1530" s="21"/>
    </row>
    <row r="1531" spans="1:15" s="22" customFormat="1" ht="15" x14ac:dyDescent="0.25">
      <c r="A1531" s="48" t="str">
        <f t="shared" si="69"/>
        <v>sam240_usb_wrap_vdd_lkg</v>
      </c>
      <c r="B1531" s="59" t="s">
        <v>6215</v>
      </c>
      <c r="C1531" s="48" t="s">
        <v>5245</v>
      </c>
      <c r="D1531" s="48"/>
      <c r="E1531" s="48" t="s">
        <v>5192</v>
      </c>
      <c r="F1531" s="14">
        <v>39.008554893788073</v>
      </c>
      <c r="G1531" s="21" t="s">
        <v>6214</v>
      </c>
      <c r="H1531" s="13"/>
      <c r="O1531" s="21"/>
    </row>
    <row r="1532" spans="1:15" s="22" customFormat="1" ht="15" x14ac:dyDescent="0.25">
      <c r="A1532" s="48" t="str">
        <f t="shared" si="69"/>
        <v>sam240_usb_wrap_vddr_lkg</v>
      </c>
      <c r="B1532" s="59" t="s">
        <v>6215</v>
      </c>
      <c r="C1532" s="48" t="s">
        <v>5246</v>
      </c>
      <c r="D1532" s="48"/>
      <c r="E1532" s="48" t="s">
        <v>5192</v>
      </c>
      <c r="F1532" s="14">
        <v>1.03201875</v>
      </c>
      <c r="G1532" s="21" t="s">
        <v>6214</v>
      </c>
      <c r="H1532" s="13"/>
      <c r="O1532" s="21"/>
    </row>
    <row r="1533" spans="1:15" s="22" customFormat="1" ht="15" x14ac:dyDescent="0.25">
      <c r="A1533" s="48" t="str">
        <f t="shared" si="69"/>
        <v>sam240_usb_wrap_xsvt_pct</v>
      </c>
      <c r="B1533" s="59" t="s">
        <v>6215</v>
      </c>
      <c r="C1533" s="48" t="s">
        <v>5355</v>
      </c>
      <c r="D1533" s="48"/>
      <c r="E1533" s="48" t="s">
        <v>5192</v>
      </c>
      <c r="F1533" s="14">
        <v>9.4327481983179098E-2</v>
      </c>
      <c r="G1533" s="21" t="s">
        <v>6214</v>
      </c>
      <c r="H1533" s="13"/>
      <c r="O1533" s="21"/>
    </row>
    <row r="1534" spans="1:15" s="22" customFormat="1" ht="15" x14ac:dyDescent="0.25">
      <c r="A1534" s="48" t="str">
        <f t="shared" si="69"/>
        <v>sam241_core_accuracy_grade</v>
      </c>
      <c r="B1534" s="59" t="s">
        <v>6014</v>
      </c>
      <c r="C1534" s="48" t="s">
        <v>5366</v>
      </c>
      <c r="D1534" s="48"/>
      <c r="E1534" s="48" t="s">
        <v>5192</v>
      </c>
      <c r="F1534" s="14" t="s">
        <v>5417</v>
      </c>
      <c r="G1534" s="21" t="s">
        <v>6049</v>
      </c>
      <c r="H1534" s="13"/>
      <c r="O1534" s="21"/>
    </row>
    <row r="1535" spans="1:15" s="22" customFormat="1" ht="15" x14ac:dyDescent="0.25">
      <c r="A1535" s="48" t="str">
        <f t="shared" si="69"/>
        <v>sam241_core_area</v>
      </c>
      <c r="B1535" s="59" t="s">
        <v>6014</v>
      </c>
      <c r="C1535" s="48" t="s">
        <v>5360</v>
      </c>
      <c r="D1535" s="48"/>
      <c r="E1535" s="48" t="s">
        <v>5192</v>
      </c>
      <c r="F1535" s="14">
        <v>19.478999999999999</v>
      </c>
      <c r="G1535" s="21" t="s">
        <v>6049</v>
      </c>
      <c r="H1535" s="13"/>
      <c r="O1535" s="21"/>
    </row>
    <row r="1536" spans="1:15" s="22" customFormat="1" ht="15" x14ac:dyDescent="0.25">
      <c r="A1536" s="48" t="str">
        <f t="shared" si="69"/>
        <v>sam241_core_data_source</v>
      </c>
      <c r="B1536" s="59" t="s">
        <v>6014</v>
      </c>
      <c r="C1536" s="48" t="s">
        <v>5368</v>
      </c>
      <c r="D1536" s="48"/>
      <c r="E1536" s="48" t="s">
        <v>5192</v>
      </c>
      <c r="F1536" s="14" t="s">
        <v>5371</v>
      </c>
      <c r="G1536" s="21" t="s">
        <v>6049</v>
      </c>
      <c r="H1536" s="13"/>
      <c r="O1536" s="21"/>
    </row>
    <row r="1537" spans="1:15" s="22" customFormat="1" ht="15" x14ac:dyDescent="0.25">
      <c r="A1537" s="48" t="str">
        <f t="shared" si="69"/>
        <v>sam241_core_description</v>
      </c>
      <c r="B1537" s="59" t="s">
        <v>6014</v>
      </c>
      <c r="C1537" s="48" t="s">
        <v>5379</v>
      </c>
      <c r="D1537" s="48"/>
      <c r="E1537" s="48" t="s">
        <v>5192</v>
      </c>
      <c r="F1537" s="14" t="s">
        <v>5794</v>
      </c>
      <c r="G1537" s="21" t="s">
        <v>6049</v>
      </c>
      <c r="H1537" s="13"/>
      <c r="O1537" s="21"/>
    </row>
    <row r="1538" spans="1:15" s="22" customFormat="1" ht="15" x14ac:dyDescent="0.25">
      <c r="A1538" s="48" t="str">
        <f t="shared" si="69"/>
        <v>sam241_core_first_soc</v>
      </c>
      <c r="B1538" s="59" t="s">
        <v>6014</v>
      </c>
      <c r="C1538" s="48" t="s">
        <v>5378</v>
      </c>
      <c r="D1538" s="48"/>
      <c r="E1538" s="48" t="s">
        <v>5192</v>
      </c>
      <c r="F1538" s="14" t="s">
        <v>5793</v>
      </c>
      <c r="G1538" s="21" t="s">
        <v>6049</v>
      </c>
      <c r="H1538" s="13"/>
      <c r="O1538" s="21"/>
    </row>
    <row r="1539" spans="1:15" s="22" customFormat="1" ht="15" x14ac:dyDescent="0.25">
      <c r="A1539" s="48" t="str">
        <f t="shared" si="69"/>
        <v>sam241_core_freq_trk</v>
      </c>
      <c r="B1539" s="59" t="s">
        <v>6014</v>
      </c>
      <c r="C1539" s="48" t="s">
        <v>5220</v>
      </c>
      <c r="D1539" s="48"/>
      <c r="E1539" s="48" t="s">
        <v>5192</v>
      </c>
      <c r="F1539" s="14">
        <v>200</v>
      </c>
      <c r="G1539" s="21" t="s">
        <v>6049</v>
      </c>
      <c r="H1539" s="13"/>
      <c r="O1539" s="21"/>
    </row>
    <row r="1540" spans="1:15" s="22" customFormat="1" ht="15" x14ac:dyDescent="0.25">
      <c r="A1540" s="48" t="str">
        <f t="shared" si="69"/>
        <v>sam241_core_function</v>
      </c>
      <c r="B1540" s="59" t="s">
        <v>6014</v>
      </c>
      <c r="C1540" s="48" t="s">
        <v>5367</v>
      </c>
      <c r="D1540" s="48"/>
      <c r="E1540" s="48" t="s">
        <v>5192</v>
      </c>
      <c r="F1540" s="14" t="s">
        <v>5851</v>
      </c>
      <c r="G1540" s="21" t="s">
        <v>6049</v>
      </c>
      <c r="H1540" s="13"/>
      <c r="O1540" s="21"/>
    </row>
    <row r="1541" spans="1:15" s="22" customFormat="1" ht="15" x14ac:dyDescent="0.25">
      <c r="A1541" s="48" t="str">
        <f t="shared" si="69"/>
        <v>sam241_core_lvt_pct</v>
      </c>
      <c r="B1541" s="59" t="s">
        <v>6014</v>
      </c>
      <c r="C1541" s="48" t="s">
        <v>5357</v>
      </c>
      <c r="D1541" s="48"/>
      <c r="E1541" s="48" t="s">
        <v>5192</v>
      </c>
      <c r="F1541" s="14">
        <v>2.6200000000000001E-2</v>
      </c>
      <c r="G1541" s="21" t="s">
        <v>6049</v>
      </c>
      <c r="H1541" s="13"/>
      <c r="O1541" s="21"/>
    </row>
    <row r="1542" spans="1:15" s="22" customFormat="1" ht="15" x14ac:dyDescent="0.25">
      <c r="A1542" s="48" t="str">
        <f t="shared" si="69"/>
        <v>sam241_core_macro_area</v>
      </c>
      <c r="B1542" s="59" t="s">
        <v>6014</v>
      </c>
      <c r="C1542" s="48" t="s">
        <v>5228</v>
      </c>
      <c r="D1542" s="48"/>
      <c r="E1542" s="48" t="s">
        <v>5192</v>
      </c>
      <c r="F1542" s="14">
        <v>7.3550000000000004</v>
      </c>
      <c r="G1542" s="21" t="s">
        <v>6049</v>
      </c>
      <c r="H1542" s="13"/>
      <c r="O1542" s="21"/>
    </row>
    <row r="1543" spans="1:15" s="22" customFormat="1" ht="15" x14ac:dyDescent="0.25">
      <c r="A1543" s="48" t="str">
        <f t="shared" si="69"/>
        <v>sam241_core_osvt_pct</v>
      </c>
      <c r="B1543" s="59" t="s">
        <v>6014</v>
      </c>
      <c r="C1543" s="48" t="s">
        <v>5354</v>
      </c>
      <c r="D1543" s="48"/>
      <c r="E1543" s="48" t="s">
        <v>5192</v>
      </c>
      <c r="F1543" s="14">
        <v>3.4500000000000003E-2</v>
      </c>
      <c r="G1543" s="21" t="s">
        <v>6049</v>
      </c>
      <c r="H1543" s="13"/>
      <c r="O1543" s="21"/>
    </row>
    <row r="1544" spans="1:15" s="22" customFormat="1" ht="15" x14ac:dyDescent="0.25">
      <c r="A1544" s="48" t="str">
        <f t="shared" si="69"/>
        <v>sam241_core_stdcell_area</v>
      </c>
      <c r="B1544" s="59" t="s">
        <v>6014</v>
      </c>
      <c r="C1544" s="48" t="s">
        <v>5230</v>
      </c>
      <c r="D1544" s="48"/>
      <c r="E1544" s="48" t="s">
        <v>5192</v>
      </c>
      <c r="F1544" s="14">
        <v>7.2249999999999996</v>
      </c>
      <c r="G1544" s="21" t="s">
        <v>6049</v>
      </c>
      <c r="H1544" s="13"/>
      <c r="O1544" s="21"/>
    </row>
    <row r="1545" spans="1:15" s="22" customFormat="1" ht="15" x14ac:dyDescent="0.25">
      <c r="A1545" s="48" t="str">
        <f t="shared" si="69"/>
        <v>sam241_core_svt_pct</v>
      </c>
      <c r="B1545" s="59" t="s">
        <v>6014</v>
      </c>
      <c r="C1545" s="48" t="s">
        <v>5356</v>
      </c>
      <c r="D1545" s="48"/>
      <c r="E1545" s="48" t="s">
        <v>5192</v>
      </c>
      <c r="F1545" s="14">
        <v>0.67720000000000002</v>
      </c>
      <c r="G1545" s="21" t="s">
        <v>6049</v>
      </c>
      <c r="H1545" s="13"/>
      <c r="O1545" s="21"/>
    </row>
    <row r="1546" spans="1:15" s="22" customFormat="1" ht="15" x14ac:dyDescent="0.25">
      <c r="A1546" s="48" t="str">
        <f t="shared" si="69"/>
        <v>sam241_core_tag</v>
      </c>
      <c r="B1546" s="59" t="s">
        <v>6014</v>
      </c>
      <c r="C1546" s="48" t="s">
        <v>5234</v>
      </c>
      <c r="D1546" s="48"/>
      <c r="E1546" s="48" t="s">
        <v>5192</v>
      </c>
      <c r="F1546" s="14">
        <v>44501</v>
      </c>
      <c r="G1546" s="21" t="s">
        <v>6049</v>
      </c>
      <c r="H1546" s="13"/>
      <c r="O1546" s="21"/>
    </row>
    <row r="1547" spans="1:15" s="22" customFormat="1" ht="15" x14ac:dyDescent="0.25">
      <c r="A1547" s="48" t="str">
        <f t="shared" si="69"/>
        <v>sam241_core_type</v>
      </c>
      <c r="B1547" s="59" t="s">
        <v>6014</v>
      </c>
      <c r="C1547" s="48" t="s">
        <v>1</v>
      </c>
      <c r="D1547" s="48"/>
      <c r="E1547" s="48" t="s">
        <v>5192</v>
      </c>
      <c r="F1547" s="14" t="s">
        <v>5782</v>
      </c>
      <c r="G1547" s="21" t="s">
        <v>6049</v>
      </c>
      <c r="H1547" s="13"/>
      <c r="O1547" s="21"/>
    </row>
    <row r="1548" spans="1:15" s="22" customFormat="1" ht="15" x14ac:dyDescent="0.25">
      <c r="A1548" s="48" t="str">
        <f t="shared" si="69"/>
        <v>sam241_core_vdd_dyn_idle_pct</v>
      </c>
      <c r="B1548" s="59" t="s">
        <v>6014</v>
      </c>
      <c r="C1548" s="48" t="s">
        <v>5363</v>
      </c>
      <c r="D1548" s="48"/>
      <c r="E1548" s="48" t="s">
        <v>5192</v>
      </c>
      <c r="F1548" s="166">
        <v>1.9099999999999999E-2</v>
      </c>
      <c r="G1548" s="21" t="s">
        <v>6049</v>
      </c>
      <c r="H1548" s="13"/>
      <c r="O1548" s="21"/>
    </row>
    <row r="1549" spans="1:15" s="22" customFormat="1" ht="15" x14ac:dyDescent="0.25">
      <c r="A1549" s="48" t="str">
        <f t="shared" si="69"/>
        <v>sam241_core_vdd_dyn_int</v>
      </c>
      <c r="B1549" s="59" t="s">
        <v>6014</v>
      </c>
      <c r="C1549" s="48" t="s">
        <v>5361</v>
      </c>
      <c r="D1549" s="48"/>
      <c r="E1549" s="48" t="s">
        <v>5192</v>
      </c>
      <c r="F1549" s="14">
        <f>5929*7.2/7.68</f>
        <v>5558.4375000000009</v>
      </c>
      <c r="G1549" s="21" t="s">
        <v>6049</v>
      </c>
      <c r="H1549" s="13"/>
      <c r="O1549" s="21"/>
    </row>
    <row r="1550" spans="1:15" s="22" customFormat="1" ht="15" x14ac:dyDescent="0.25">
      <c r="A1550" s="48" t="str">
        <f t="shared" si="69"/>
        <v>sam241_core_vdd_dyn_max_pct</v>
      </c>
      <c r="B1550" s="59" t="s">
        <v>6014</v>
      </c>
      <c r="C1550" s="48" t="s">
        <v>5364</v>
      </c>
      <c r="D1550" s="48"/>
      <c r="E1550" s="48" t="s">
        <v>5192</v>
      </c>
      <c r="F1550" s="167">
        <v>4.4999999999999998E-2</v>
      </c>
      <c r="G1550" s="21" t="s">
        <v>6191</v>
      </c>
      <c r="H1550" s="13"/>
      <c r="O1550" s="21"/>
    </row>
    <row r="1551" spans="1:15" s="22" customFormat="1" ht="15" x14ac:dyDescent="0.25">
      <c r="A1551" s="48" t="str">
        <f t="shared" si="69"/>
        <v>sam241_core_vdd_dyn_peak_pct</v>
      </c>
      <c r="B1551" s="59" t="s">
        <v>6014</v>
      </c>
      <c r="C1551" s="48" t="s">
        <v>5365</v>
      </c>
      <c r="D1551" s="48"/>
      <c r="E1551" s="48" t="s">
        <v>5192</v>
      </c>
      <c r="F1551" s="14">
        <v>0.06</v>
      </c>
      <c r="G1551" s="21" t="s">
        <v>6049</v>
      </c>
      <c r="H1551" s="13"/>
      <c r="O1551" s="21"/>
    </row>
    <row r="1552" spans="1:15" s="22" customFormat="1" ht="15" x14ac:dyDescent="0.25">
      <c r="A1552" s="48" t="str">
        <f t="shared" si="69"/>
        <v>sam241_core_vdd_dyn_sw</v>
      </c>
      <c r="B1552" s="59" t="s">
        <v>6014</v>
      </c>
      <c r="C1552" s="48" t="s">
        <v>5362</v>
      </c>
      <c r="D1552" s="48"/>
      <c r="E1552" s="48" t="s">
        <v>5192</v>
      </c>
      <c r="F1552" s="14">
        <f>7483*7.2/7.68</f>
        <v>7015.3125</v>
      </c>
      <c r="G1552" s="21" t="s">
        <v>6049</v>
      </c>
      <c r="H1552" s="13"/>
      <c r="O1552" s="21"/>
    </row>
    <row r="1553" spans="1:15" s="22" customFormat="1" ht="15" x14ac:dyDescent="0.25">
      <c r="A1553" s="48" t="str">
        <f t="shared" si="69"/>
        <v>sam241_core_vdd_lkg</v>
      </c>
      <c r="B1553" s="59" t="s">
        <v>6014</v>
      </c>
      <c r="C1553" s="48" t="s">
        <v>5245</v>
      </c>
      <c r="D1553" s="48"/>
      <c r="E1553" s="48" t="s">
        <v>5192</v>
      </c>
      <c r="F1553" s="20">
        <f>881.83104*7.2/7.64/1.5</f>
        <v>554.02997277486918</v>
      </c>
      <c r="G1553" s="21" t="s">
        <v>6049</v>
      </c>
      <c r="H1553" s="13"/>
      <c r="O1553" s="21"/>
    </row>
    <row r="1554" spans="1:15" s="22" customFormat="1" ht="15" x14ac:dyDescent="0.25">
      <c r="A1554" s="48" t="str">
        <f t="shared" si="69"/>
        <v>sam241_core_vddr_lkg</v>
      </c>
      <c r="B1554" s="59" t="s">
        <v>6014</v>
      </c>
      <c r="C1554" s="48" t="s">
        <v>5246</v>
      </c>
      <c r="D1554" s="48"/>
      <c r="E1554" s="48" t="s">
        <v>5192</v>
      </c>
      <c r="F1554" s="20">
        <f>7.538/7.24*38.6916842105263</f>
        <v>40.284242483280011</v>
      </c>
      <c r="G1554" s="21" t="s">
        <v>6049</v>
      </c>
      <c r="H1554" s="13"/>
      <c r="O1554" s="21"/>
    </row>
    <row r="1555" spans="1:15" s="22" customFormat="1" ht="15" x14ac:dyDescent="0.25">
      <c r="A1555" s="48" t="str">
        <f t="shared" si="69"/>
        <v>sam241_core_xsvt_pct</v>
      </c>
      <c r="B1555" s="59" t="s">
        <v>6014</v>
      </c>
      <c r="C1555" s="48" t="s">
        <v>5355</v>
      </c>
      <c r="D1555" s="48"/>
      <c r="E1555" s="48" t="s">
        <v>5192</v>
      </c>
      <c r="F1555" s="20">
        <v>0.25</v>
      </c>
      <c r="G1555" s="21" t="s">
        <v>6049</v>
      </c>
      <c r="H1555" s="13"/>
      <c r="O1555" s="21"/>
    </row>
    <row r="1556" spans="1:15" s="22" customFormat="1" ht="15" x14ac:dyDescent="0.25">
      <c r="A1556" s="48" t="str">
        <f t="shared" si="69"/>
        <v>sam263_core_accuracy_grade</v>
      </c>
      <c r="B1556" s="59" t="s">
        <v>4720</v>
      </c>
      <c r="C1556" s="48" t="s">
        <v>5366</v>
      </c>
      <c r="D1556" s="48"/>
      <c r="E1556" s="48" t="s">
        <v>5192</v>
      </c>
      <c r="F1556" s="14" t="s">
        <v>5786</v>
      </c>
      <c r="G1556" s="21" t="s">
        <v>5425</v>
      </c>
      <c r="H1556" s="13"/>
      <c r="O1556" s="21"/>
    </row>
    <row r="1557" spans="1:15" s="22" customFormat="1" ht="15" x14ac:dyDescent="0.25">
      <c r="A1557" s="48" t="str">
        <f t="shared" si="69"/>
        <v>sam263_core_area</v>
      </c>
      <c r="B1557" s="59" t="s">
        <v>4720</v>
      </c>
      <c r="C1557" s="48" t="s">
        <v>5360</v>
      </c>
      <c r="D1557" s="48"/>
      <c r="E1557" s="48" t="s">
        <v>5192</v>
      </c>
      <c r="F1557" s="20">
        <v>20.11</v>
      </c>
      <c r="G1557" s="171">
        <v>44796</v>
      </c>
      <c r="H1557" s="13"/>
      <c r="O1557" s="21"/>
    </row>
    <row r="1558" spans="1:15" s="22" customFormat="1" ht="15" x14ac:dyDescent="0.25">
      <c r="A1558" s="48" t="str">
        <f t="shared" si="69"/>
        <v>sam263_core_data_source</v>
      </c>
      <c r="B1558" s="59" t="s">
        <v>4720</v>
      </c>
      <c r="C1558" s="48" t="s">
        <v>5368</v>
      </c>
      <c r="D1558" s="48"/>
      <c r="E1558" s="48" t="s">
        <v>5192</v>
      </c>
      <c r="F1558" s="14" t="s">
        <v>5369</v>
      </c>
      <c r="G1558" s="21" t="s">
        <v>5425</v>
      </c>
      <c r="H1558" s="13"/>
      <c r="O1558" s="21"/>
    </row>
    <row r="1559" spans="1:15" s="22" customFormat="1" ht="15" x14ac:dyDescent="0.25">
      <c r="A1559" s="48" t="str">
        <f t="shared" si="69"/>
        <v>sam263_core_description</v>
      </c>
      <c r="B1559" s="59" t="s">
        <v>4720</v>
      </c>
      <c r="C1559" s="48" t="s">
        <v>5379</v>
      </c>
      <c r="D1559" s="48"/>
      <c r="E1559" s="48" t="s">
        <v>5192</v>
      </c>
      <c r="F1559" s="14" t="s">
        <v>5796</v>
      </c>
      <c r="G1559" s="21" t="s">
        <v>5425</v>
      </c>
      <c r="H1559" s="13"/>
      <c r="O1559" s="21"/>
    </row>
    <row r="1560" spans="1:15" s="22" customFormat="1" ht="15" x14ac:dyDescent="0.25">
      <c r="A1560" s="48" t="str">
        <f t="shared" si="69"/>
        <v>sam263_core_first_soc</v>
      </c>
      <c r="B1560" s="59" t="s">
        <v>4720</v>
      </c>
      <c r="C1560" s="48" t="s">
        <v>5378</v>
      </c>
      <c r="D1560" s="48"/>
      <c r="E1560" s="48" t="s">
        <v>5192</v>
      </c>
      <c r="F1560" s="14" t="s">
        <v>5389</v>
      </c>
      <c r="G1560" s="21" t="s">
        <v>5425</v>
      </c>
      <c r="H1560" s="13"/>
      <c r="O1560" s="21"/>
    </row>
    <row r="1561" spans="1:15" s="22" customFormat="1" ht="15" x14ac:dyDescent="0.25">
      <c r="A1561" s="48" t="str">
        <f t="shared" si="69"/>
        <v>sam263_core_freq_trk</v>
      </c>
      <c r="B1561" s="59" t="s">
        <v>4720</v>
      </c>
      <c r="C1561" s="48" t="s">
        <v>5220</v>
      </c>
      <c r="D1561" s="48"/>
      <c r="E1561" s="48" t="s">
        <v>5192</v>
      </c>
      <c r="F1561" s="14">
        <v>200</v>
      </c>
      <c r="G1561" s="21" t="s">
        <v>5425</v>
      </c>
      <c r="H1561" s="13"/>
      <c r="O1561" s="21"/>
    </row>
    <row r="1562" spans="1:15" s="22" customFormat="1" ht="15" x14ac:dyDescent="0.25">
      <c r="A1562" s="48" t="str">
        <f t="shared" si="69"/>
        <v>sam263_core_function</v>
      </c>
      <c r="B1562" s="59" t="s">
        <v>4720</v>
      </c>
      <c r="C1562" s="48" t="s">
        <v>5367</v>
      </c>
      <c r="D1562" s="48"/>
      <c r="E1562" s="48" t="s">
        <v>5192</v>
      </c>
      <c r="F1562" s="14" t="s">
        <v>5851</v>
      </c>
      <c r="G1562" s="21" t="s">
        <v>5425</v>
      </c>
      <c r="H1562" s="13"/>
      <c r="O1562" s="21"/>
    </row>
    <row r="1563" spans="1:15" x14ac:dyDescent="0.2">
      <c r="A1563" s="214" t="str">
        <f t="shared" si="69"/>
        <v>sam263_core_kbits</v>
      </c>
      <c r="B1563" s="215" t="s">
        <v>4720</v>
      </c>
      <c r="C1563" s="214" t="s">
        <v>5224</v>
      </c>
      <c r="D1563" s="214"/>
      <c r="E1563" s="214" t="s">
        <v>5192</v>
      </c>
      <c r="F1563" s="242">
        <f>20083200/1000</f>
        <v>20083.2</v>
      </c>
      <c r="G1563" s="236" t="s">
        <v>5949</v>
      </c>
      <c r="H1563" s="243"/>
    </row>
    <row r="1564" spans="1:15" s="22" customFormat="1" ht="15" x14ac:dyDescent="0.25">
      <c r="A1564" s="48" t="str">
        <f t="shared" si="69"/>
        <v>sam263_core_lvt_pct</v>
      </c>
      <c r="B1564" s="59" t="s">
        <v>4720</v>
      </c>
      <c r="C1564" s="48" t="s">
        <v>5357</v>
      </c>
      <c r="D1564" s="48"/>
      <c r="E1564" s="48" t="s">
        <v>5192</v>
      </c>
      <c r="F1564" s="20">
        <v>2.5000000000000001E-2</v>
      </c>
      <c r="G1564" s="21" t="s">
        <v>5425</v>
      </c>
      <c r="H1564" s="13"/>
      <c r="O1564" s="21"/>
    </row>
    <row r="1565" spans="1:15" s="22" customFormat="1" ht="15" x14ac:dyDescent="0.25">
      <c r="A1565" s="48" t="str">
        <f t="shared" si="69"/>
        <v>sam263_core_macro_area</v>
      </c>
      <c r="B1565" s="59" t="s">
        <v>4720</v>
      </c>
      <c r="C1565" s="48" t="s">
        <v>5228</v>
      </c>
      <c r="D1565" s="48"/>
      <c r="E1565" s="48" t="s">
        <v>5192</v>
      </c>
      <c r="F1565" s="20">
        <v>7.423</v>
      </c>
      <c r="G1565" s="171">
        <v>44840</v>
      </c>
      <c r="H1565" s="13"/>
      <c r="O1565" s="21"/>
    </row>
    <row r="1566" spans="1:15" s="22" customFormat="1" ht="15" x14ac:dyDescent="0.25">
      <c r="A1566" s="48" t="str">
        <f t="shared" si="69"/>
        <v>sam263_core_macros</v>
      </c>
      <c r="B1566" s="59" t="s">
        <v>4720</v>
      </c>
      <c r="C1566" s="48" t="s">
        <v>5229</v>
      </c>
      <c r="D1566" s="48"/>
      <c r="E1566" s="48" t="s">
        <v>5192</v>
      </c>
      <c r="F1566" s="14">
        <v>170</v>
      </c>
      <c r="G1566" s="21" t="s">
        <v>5947</v>
      </c>
      <c r="H1566" s="13"/>
      <c r="O1566" s="21"/>
    </row>
    <row r="1567" spans="1:15" s="22" customFormat="1" ht="15" x14ac:dyDescent="0.25">
      <c r="A1567" s="48" t="str">
        <f t="shared" si="69"/>
        <v>sam263_core_osvt_pct</v>
      </c>
      <c r="B1567" s="59" t="s">
        <v>4720</v>
      </c>
      <c r="C1567" s="48" t="s">
        <v>5354</v>
      </c>
      <c r="D1567" s="48"/>
      <c r="E1567" s="48" t="s">
        <v>5192</v>
      </c>
      <c r="F1567" s="20">
        <v>0.05</v>
      </c>
      <c r="G1567" s="21" t="s">
        <v>5425</v>
      </c>
      <c r="H1567" s="13"/>
      <c r="O1567" s="21"/>
    </row>
    <row r="1568" spans="1:15" s="22" customFormat="1" ht="15" x14ac:dyDescent="0.25">
      <c r="A1568" s="48" t="str">
        <f t="shared" si="69"/>
        <v>sam263_core_stdcell_area</v>
      </c>
      <c r="B1568" s="59" t="s">
        <v>4720</v>
      </c>
      <c r="C1568" s="48" t="s">
        <v>5230</v>
      </c>
      <c r="D1568" s="48"/>
      <c r="E1568" s="48" t="s">
        <v>5192</v>
      </c>
      <c r="F1568" s="20">
        <v>7.6920000000000002</v>
      </c>
      <c r="G1568" s="171">
        <v>44840</v>
      </c>
      <c r="H1568" s="13"/>
      <c r="O1568" s="21"/>
    </row>
    <row r="1569" spans="1:15" s="22" customFormat="1" ht="15" x14ac:dyDescent="0.25">
      <c r="A1569" s="48" t="str">
        <f t="shared" si="69"/>
        <v>sam263_core_svt_pct</v>
      </c>
      <c r="B1569" s="59" t="s">
        <v>4720</v>
      </c>
      <c r="C1569" s="48" t="s">
        <v>5356</v>
      </c>
      <c r="D1569" s="48"/>
      <c r="E1569" s="48" t="s">
        <v>5192</v>
      </c>
      <c r="F1569" s="20">
        <v>0.67500000000000004</v>
      </c>
      <c r="G1569" s="21" t="s">
        <v>5425</v>
      </c>
      <c r="H1569" s="13"/>
      <c r="O1569" s="21"/>
    </row>
    <row r="1570" spans="1:15" s="22" customFormat="1" ht="15" x14ac:dyDescent="0.25">
      <c r="A1570" s="48" t="str">
        <f t="shared" si="69"/>
        <v>sam263_core_tag</v>
      </c>
      <c r="B1570" s="59" t="s">
        <v>4720</v>
      </c>
      <c r="C1570" s="48" t="s">
        <v>5234</v>
      </c>
      <c r="D1570" s="48"/>
      <c r="E1570" s="48" t="s">
        <v>5192</v>
      </c>
      <c r="F1570" s="14" t="s">
        <v>5370</v>
      </c>
      <c r="G1570" s="21" t="s">
        <v>5425</v>
      </c>
      <c r="H1570" s="13"/>
      <c r="O1570" s="21"/>
    </row>
    <row r="1571" spans="1:15" s="22" customFormat="1" ht="15" x14ac:dyDescent="0.25">
      <c r="A1571" s="48" t="str">
        <f t="shared" ref="A1571:A1658" si="70">B1571&amp;"_"&amp;C1571</f>
        <v>sam263_core_type</v>
      </c>
      <c r="B1571" s="59" t="s">
        <v>4720</v>
      </c>
      <c r="C1571" s="48" t="s">
        <v>1</v>
      </c>
      <c r="D1571" s="48"/>
      <c r="E1571" s="48" t="s">
        <v>5192</v>
      </c>
      <c r="F1571" s="14" t="s">
        <v>5782</v>
      </c>
      <c r="G1571" s="21" t="s">
        <v>5425</v>
      </c>
      <c r="H1571" s="13"/>
      <c r="O1571" s="21"/>
    </row>
    <row r="1572" spans="1:15" s="22" customFormat="1" ht="15" x14ac:dyDescent="0.25">
      <c r="A1572" s="48" t="str">
        <f t="shared" si="70"/>
        <v>sam263_core_vdd_dyn_idle_pct</v>
      </c>
      <c r="B1572" s="59" t="s">
        <v>4720</v>
      </c>
      <c r="C1572" s="48" t="s">
        <v>5363</v>
      </c>
      <c r="D1572" s="48"/>
      <c r="E1572" s="48" t="s">
        <v>5192</v>
      </c>
      <c r="F1572" s="166">
        <v>1.9120000000000002E-2</v>
      </c>
      <c r="G1572" s="21" t="s">
        <v>6045</v>
      </c>
      <c r="H1572" s="13"/>
      <c r="O1572" s="21"/>
    </row>
    <row r="1573" spans="1:15" s="22" customFormat="1" ht="15" x14ac:dyDescent="0.25">
      <c r="A1573" s="48" t="str">
        <f t="shared" si="70"/>
        <v>sam263_core_vdd_dyn_int</v>
      </c>
      <c r="B1573" s="59" t="s">
        <v>4720</v>
      </c>
      <c r="C1573" s="48" t="s">
        <v>5361</v>
      </c>
      <c r="D1573" s="48"/>
      <c r="E1573" s="48" t="s">
        <v>5192</v>
      </c>
      <c r="F1573" s="20">
        <v>5928.8857199999993</v>
      </c>
      <c r="G1573" s="171">
        <v>44840</v>
      </c>
      <c r="H1573" s="13"/>
      <c r="O1573" s="21"/>
    </row>
    <row r="1574" spans="1:15" s="22" customFormat="1" ht="15" x14ac:dyDescent="0.25">
      <c r="A1574" s="48" t="str">
        <f t="shared" si="70"/>
        <v>sam263_core_vdd_dyn_max_pct</v>
      </c>
      <c r="B1574" s="59" t="s">
        <v>4720</v>
      </c>
      <c r="C1574" s="48" t="s">
        <v>5364</v>
      </c>
      <c r="D1574" s="48"/>
      <c r="E1574" s="48" t="s">
        <v>5192</v>
      </c>
      <c r="F1574" s="167">
        <v>4.4999999999999998E-2</v>
      </c>
      <c r="G1574" s="21" t="s">
        <v>6191</v>
      </c>
      <c r="H1574" s="13"/>
      <c r="O1574" s="21"/>
    </row>
    <row r="1575" spans="1:15" s="22" customFormat="1" ht="86.25" customHeight="1" x14ac:dyDescent="0.25">
      <c r="A1575" s="48" t="str">
        <f t="shared" si="70"/>
        <v>sam263_core_vdd_dyn_peak_pct</v>
      </c>
      <c r="B1575" s="59" t="s">
        <v>4720</v>
      </c>
      <c r="C1575" s="48" t="s">
        <v>5365</v>
      </c>
      <c r="D1575" s="48"/>
      <c r="E1575" s="48" t="s">
        <v>5192</v>
      </c>
      <c r="F1575" s="14">
        <v>0.06</v>
      </c>
      <c r="G1575" s="21" t="s">
        <v>5425</v>
      </c>
      <c r="H1575" s="13"/>
      <c r="O1575" s="21"/>
    </row>
    <row r="1576" spans="1:15" s="22" customFormat="1" ht="39" customHeight="1" x14ac:dyDescent="0.25">
      <c r="A1576" s="48" t="str">
        <f t="shared" si="70"/>
        <v>sam263_core_vdd_dyn_sw</v>
      </c>
      <c r="B1576" s="59" t="s">
        <v>4720</v>
      </c>
      <c r="C1576" s="48" t="s">
        <v>5362</v>
      </c>
      <c r="D1576" s="48"/>
      <c r="E1576" s="48" t="s">
        <v>5192</v>
      </c>
      <c r="F1576" s="20">
        <v>7482.8525999999993</v>
      </c>
      <c r="G1576" s="171">
        <v>44840</v>
      </c>
      <c r="H1576" s="13"/>
      <c r="O1576" s="21"/>
    </row>
    <row r="1577" spans="1:15" s="22" customFormat="1" ht="28.5" customHeight="1" x14ac:dyDescent="0.25">
      <c r="A1577" s="48" t="str">
        <f t="shared" si="70"/>
        <v>sam263_core_vdd_lkg</v>
      </c>
      <c r="B1577" s="59" t="s">
        <v>4720</v>
      </c>
      <c r="C1577" s="48" t="s">
        <v>5245</v>
      </c>
      <c r="D1577" s="48"/>
      <c r="E1577" s="48" t="s">
        <v>5192</v>
      </c>
      <c r="F1577" s="20">
        <v>881.83103999999992</v>
      </c>
      <c r="G1577" s="171">
        <v>44840</v>
      </c>
      <c r="H1577" s="13"/>
      <c r="O1577" s="21"/>
    </row>
    <row r="1578" spans="1:15" s="22" customFormat="1" ht="18.75" customHeight="1" x14ac:dyDescent="0.25">
      <c r="A1578" s="48" t="str">
        <f t="shared" si="70"/>
        <v>sam263_core_vddr_lkg</v>
      </c>
      <c r="B1578" s="59" t="s">
        <v>4720</v>
      </c>
      <c r="C1578" s="48" t="s">
        <v>5246</v>
      </c>
      <c r="D1578" s="48"/>
      <c r="E1578" s="48" t="s">
        <v>5192</v>
      </c>
      <c r="F1578" s="20">
        <v>38.691684210526319</v>
      </c>
      <c r="G1578" s="171">
        <v>44840</v>
      </c>
      <c r="H1578" s="13"/>
      <c r="O1578" s="21"/>
    </row>
    <row r="1579" spans="1:15" s="22" customFormat="1" ht="35.25" customHeight="1" x14ac:dyDescent="0.25">
      <c r="A1579" s="48" t="str">
        <f t="shared" si="70"/>
        <v>sam263_core_xsvt_pct</v>
      </c>
      <c r="B1579" s="59" t="s">
        <v>4720</v>
      </c>
      <c r="C1579" s="48" t="s">
        <v>5355</v>
      </c>
      <c r="D1579" s="48"/>
      <c r="E1579" s="48" t="s">
        <v>5192</v>
      </c>
      <c r="F1579" s="20">
        <v>0.25</v>
      </c>
      <c r="G1579" s="21" t="s">
        <v>5425</v>
      </c>
      <c r="H1579" s="13"/>
      <c r="O1579" s="21"/>
    </row>
    <row r="1580" spans="1:15" s="208" customFormat="1" x14ac:dyDescent="0.2">
      <c r="A1580" s="214" t="str">
        <f t="shared" si="70"/>
        <v>sam263p_core_accuracy_grade</v>
      </c>
      <c r="B1580" s="215" t="s">
        <v>6000</v>
      </c>
      <c r="C1580" s="214" t="s">
        <v>5366</v>
      </c>
      <c r="D1580" s="214"/>
      <c r="E1580" s="214" t="s">
        <v>5192</v>
      </c>
      <c r="F1580" s="216" t="s">
        <v>6002</v>
      </c>
      <c r="G1580" s="211" t="s">
        <v>6018</v>
      </c>
      <c r="H1580" s="217"/>
      <c r="O1580" s="211"/>
    </row>
    <row r="1581" spans="1:15" s="208" customFormat="1" x14ac:dyDescent="0.2">
      <c r="A1581" s="214" t="str">
        <f t="shared" si="70"/>
        <v>sam263p_core_area</v>
      </c>
      <c r="B1581" s="215" t="s">
        <v>6000</v>
      </c>
      <c r="C1581" s="214" t="s">
        <v>5360</v>
      </c>
      <c r="D1581" s="214"/>
      <c r="E1581" s="214" t="s">
        <v>5192</v>
      </c>
      <c r="F1581" s="177">
        <v>47.47</v>
      </c>
      <c r="G1581" s="233" t="s">
        <v>6234</v>
      </c>
      <c r="H1581" s="217"/>
      <c r="O1581" s="211"/>
    </row>
    <row r="1582" spans="1:15" s="208" customFormat="1" x14ac:dyDescent="0.2">
      <c r="A1582" s="214" t="str">
        <f t="shared" si="70"/>
        <v>sam263p_core_data_source</v>
      </c>
      <c r="B1582" s="215" t="s">
        <v>6000</v>
      </c>
      <c r="C1582" s="214" t="s">
        <v>5368</v>
      </c>
      <c r="D1582" s="214"/>
      <c r="E1582" s="214" t="s">
        <v>5192</v>
      </c>
      <c r="F1582" s="216" t="s">
        <v>5371</v>
      </c>
      <c r="G1582" s="211" t="s">
        <v>6018</v>
      </c>
      <c r="H1582" s="217"/>
      <c r="O1582" s="211"/>
    </row>
    <row r="1583" spans="1:15" s="208" customFormat="1" x14ac:dyDescent="0.2">
      <c r="A1583" s="214" t="str">
        <f t="shared" si="70"/>
        <v>sam263p_core_description</v>
      </c>
      <c r="B1583" s="215" t="s">
        <v>6000</v>
      </c>
      <c r="C1583" s="214" t="s">
        <v>5379</v>
      </c>
      <c r="D1583" s="214"/>
      <c r="E1583" s="214" t="s">
        <v>5192</v>
      </c>
      <c r="F1583" s="216" t="s">
        <v>6001</v>
      </c>
      <c r="G1583" s="211" t="s">
        <v>6018</v>
      </c>
      <c r="H1583" s="217"/>
      <c r="O1583" s="211"/>
    </row>
    <row r="1584" spans="1:15" s="208" customFormat="1" x14ac:dyDescent="0.2">
      <c r="A1584" s="214" t="str">
        <f t="shared" si="70"/>
        <v>sam263p_core_first_soc</v>
      </c>
      <c r="B1584" s="215" t="s">
        <v>6000</v>
      </c>
      <c r="C1584" s="214" t="s">
        <v>5378</v>
      </c>
      <c r="D1584" s="214"/>
      <c r="E1584" s="214" t="s">
        <v>5192</v>
      </c>
      <c r="F1584" s="216" t="s">
        <v>6009</v>
      </c>
      <c r="G1584" s="211" t="s">
        <v>6018</v>
      </c>
      <c r="H1584" s="217"/>
      <c r="O1584" s="211"/>
    </row>
    <row r="1585" spans="1:15" s="208" customFormat="1" x14ac:dyDescent="0.2">
      <c r="A1585" s="214" t="str">
        <f t="shared" si="70"/>
        <v>sam263p_core_freq_trk</v>
      </c>
      <c r="B1585" s="215" t="s">
        <v>6000</v>
      </c>
      <c r="C1585" s="214" t="s">
        <v>5220</v>
      </c>
      <c r="D1585" s="214"/>
      <c r="E1585" s="214" t="s">
        <v>5192</v>
      </c>
      <c r="F1585" s="216">
        <v>200</v>
      </c>
      <c r="G1585" s="211" t="s">
        <v>6018</v>
      </c>
      <c r="H1585" s="217"/>
      <c r="O1585" s="211"/>
    </row>
    <row r="1586" spans="1:15" s="208" customFormat="1" x14ac:dyDescent="0.2">
      <c r="A1586" s="214" t="str">
        <f t="shared" si="70"/>
        <v>sam263p_core_function</v>
      </c>
      <c r="B1586" s="215" t="s">
        <v>6000</v>
      </c>
      <c r="C1586" s="214" t="s">
        <v>5367</v>
      </c>
      <c r="D1586" s="214"/>
      <c r="E1586" s="214" t="s">
        <v>5192</v>
      </c>
      <c r="F1586" s="216" t="s">
        <v>5851</v>
      </c>
      <c r="G1586" s="211" t="s">
        <v>6018</v>
      </c>
      <c r="H1586" s="217"/>
      <c r="O1586" s="211"/>
    </row>
    <row r="1587" spans="1:15" x14ac:dyDescent="0.2">
      <c r="A1587" s="214" t="str">
        <f t="shared" si="70"/>
        <v>sam263p_core_kbits</v>
      </c>
      <c r="B1587" s="215" t="s">
        <v>6000</v>
      </c>
      <c r="C1587" s="214" t="s">
        <v>5224</v>
      </c>
      <c r="D1587" s="214"/>
      <c r="E1587" s="214" t="s">
        <v>5192</v>
      </c>
      <c r="F1587" s="242">
        <f>3*1024*8*1.1</f>
        <v>27033.600000000002</v>
      </c>
      <c r="G1587" s="234" t="s">
        <v>6412</v>
      </c>
      <c r="H1587" s="243"/>
    </row>
    <row r="1588" spans="1:15" s="208" customFormat="1" x14ac:dyDescent="0.2">
      <c r="A1588" s="214" t="str">
        <f t="shared" si="70"/>
        <v>sam263p_core_lvt_pct</v>
      </c>
      <c r="B1588" s="215" t="s">
        <v>6000</v>
      </c>
      <c r="C1588" s="214" t="s">
        <v>5357</v>
      </c>
      <c r="D1588" s="214"/>
      <c r="E1588" s="214" t="s">
        <v>5192</v>
      </c>
      <c r="F1588" s="220">
        <v>0</v>
      </c>
      <c r="G1588" s="211" t="s">
        <v>6018</v>
      </c>
      <c r="H1588" s="217"/>
      <c r="O1588" s="211"/>
    </row>
    <row r="1589" spans="1:15" s="208" customFormat="1" x14ac:dyDescent="0.2">
      <c r="A1589" s="214" t="str">
        <f t="shared" si="70"/>
        <v>sam263p_core_macro_area</v>
      </c>
      <c r="B1589" s="215" t="s">
        <v>6000</v>
      </c>
      <c r="C1589" s="214" t="s">
        <v>5228</v>
      </c>
      <c r="D1589" s="214"/>
      <c r="E1589" s="214" t="s">
        <v>5192</v>
      </c>
      <c r="F1589" s="177">
        <v>16.059999999999999</v>
      </c>
      <c r="G1589" s="233" t="s">
        <v>6235</v>
      </c>
      <c r="H1589" s="217"/>
      <c r="O1589" s="211"/>
    </row>
    <row r="1590" spans="1:15" s="208" customFormat="1" x14ac:dyDescent="0.2">
      <c r="A1590" s="214" t="str">
        <f t="shared" si="70"/>
        <v>sam263p_core_macros</v>
      </c>
      <c r="B1590" s="215" t="s">
        <v>6000</v>
      </c>
      <c r="C1590" s="214" t="s">
        <v>5229</v>
      </c>
      <c r="D1590" s="214"/>
      <c r="E1590" s="214" t="s">
        <v>5192</v>
      </c>
      <c r="F1590" s="216">
        <f>7.54/7.24*170</f>
        <v>177.04419889502762</v>
      </c>
      <c r="G1590" s="211" t="s">
        <v>6018</v>
      </c>
      <c r="H1590" s="217"/>
      <c r="O1590" s="211"/>
    </row>
    <row r="1591" spans="1:15" s="208" customFormat="1" x14ac:dyDescent="0.2">
      <c r="A1591" s="214" t="str">
        <f t="shared" si="70"/>
        <v>sam263p_core_osvt_pct</v>
      </c>
      <c r="B1591" s="215" t="s">
        <v>6000</v>
      </c>
      <c r="C1591" s="214" t="s">
        <v>5354</v>
      </c>
      <c r="D1591" s="214"/>
      <c r="E1591" s="214" t="s">
        <v>5192</v>
      </c>
      <c r="F1591" s="178">
        <v>4.8800000000000003E-2</v>
      </c>
      <c r="G1591" s="231" t="s">
        <v>6236</v>
      </c>
      <c r="H1591" s="217"/>
      <c r="O1591" s="211"/>
    </row>
    <row r="1592" spans="1:15" s="208" customFormat="1" x14ac:dyDescent="0.2">
      <c r="A1592" s="214" t="str">
        <f t="shared" si="70"/>
        <v>sam263p_core_stdcell_area</v>
      </c>
      <c r="B1592" s="215" t="s">
        <v>6000</v>
      </c>
      <c r="C1592" s="214" t="s">
        <v>5230</v>
      </c>
      <c r="D1592" s="214"/>
      <c r="E1592" s="214" t="s">
        <v>5192</v>
      </c>
      <c r="F1592" s="177">
        <v>8.9860000000000007</v>
      </c>
      <c r="G1592" s="233" t="s">
        <v>6237</v>
      </c>
      <c r="H1592" s="217"/>
      <c r="O1592" s="211"/>
    </row>
    <row r="1593" spans="1:15" s="208" customFormat="1" x14ac:dyDescent="0.2">
      <c r="A1593" s="214" t="str">
        <f t="shared" si="70"/>
        <v>sam263p_core_svt_pct</v>
      </c>
      <c r="B1593" s="215" t="s">
        <v>6000</v>
      </c>
      <c r="C1593" s="214" t="s">
        <v>5356</v>
      </c>
      <c r="D1593" s="214"/>
      <c r="E1593" s="214" t="s">
        <v>5192</v>
      </c>
      <c r="F1593" s="178">
        <v>0.22700000000000001</v>
      </c>
      <c r="G1593" s="231" t="s">
        <v>6238</v>
      </c>
      <c r="H1593" s="217"/>
      <c r="O1593" s="211"/>
    </row>
    <row r="1594" spans="1:15" s="208" customFormat="1" x14ac:dyDescent="0.2">
      <c r="A1594" s="214" t="str">
        <f t="shared" si="70"/>
        <v>sam263p_core_tag</v>
      </c>
      <c r="B1594" s="215" t="s">
        <v>6000</v>
      </c>
      <c r="C1594" s="214" t="s">
        <v>5234</v>
      </c>
      <c r="D1594" s="214"/>
      <c r="E1594" s="214" t="s">
        <v>5192</v>
      </c>
      <c r="F1594" s="216" t="s">
        <v>6003</v>
      </c>
      <c r="G1594" s="211" t="s">
        <v>6018</v>
      </c>
      <c r="H1594" s="217"/>
      <c r="O1594" s="211"/>
    </row>
    <row r="1595" spans="1:15" s="208" customFormat="1" x14ac:dyDescent="0.2">
      <c r="A1595" s="214" t="str">
        <f t="shared" si="70"/>
        <v>sam263p_core_type</v>
      </c>
      <c r="B1595" s="215" t="s">
        <v>6000</v>
      </c>
      <c r="C1595" s="214" t="s">
        <v>1</v>
      </c>
      <c r="D1595" s="214"/>
      <c r="E1595" s="214" t="s">
        <v>5192</v>
      </c>
      <c r="F1595" s="216" t="s">
        <v>5782</v>
      </c>
      <c r="G1595" s="211" t="s">
        <v>6018</v>
      </c>
      <c r="H1595" s="217"/>
      <c r="O1595" s="211"/>
    </row>
    <row r="1596" spans="1:15" x14ac:dyDescent="0.2">
      <c r="A1596" s="214" t="str">
        <f t="shared" si="70"/>
        <v>sam263p_core_vdd_dyn_idle_pct</v>
      </c>
      <c r="B1596" s="215" t="s">
        <v>6000</v>
      </c>
      <c r="C1596" s="214" t="s">
        <v>5363</v>
      </c>
      <c r="D1596" s="214"/>
      <c r="E1596" s="214" t="s">
        <v>5192</v>
      </c>
      <c r="F1596" s="247">
        <v>1.9099999999999999E-2</v>
      </c>
      <c r="G1596" s="236" t="s">
        <v>6045</v>
      </c>
      <c r="H1596" s="243"/>
    </row>
    <row r="1597" spans="1:15" s="208" customFormat="1" x14ac:dyDescent="0.2">
      <c r="A1597" s="214" t="str">
        <f t="shared" si="70"/>
        <v>sam263p_core_vdd_dyn_int</v>
      </c>
      <c r="B1597" s="215" t="s">
        <v>6000</v>
      </c>
      <c r="C1597" s="214" t="s">
        <v>5361</v>
      </c>
      <c r="D1597" s="214"/>
      <c r="E1597" s="214" t="s">
        <v>5192</v>
      </c>
      <c r="F1597" s="206">
        <f>948.05/0.125</f>
        <v>7584.4</v>
      </c>
      <c r="G1597" s="233" t="s">
        <v>6408</v>
      </c>
      <c r="H1597" s="217"/>
      <c r="O1597" s="211"/>
    </row>
    <row r="1598" spans="1:15" x14ac:dyDescent="0.2">
      <c r="A1598" s="214" t="str">
        <f t="shared" si="70"/>
        <v>sam263p_core_vdd_dyn_max_pct</v>
      </c>
      <c r="B1598" s="215" t="s">
        <v>6000</v>
      </c>
      <c r="C1598" s="214" t="s">
        <v>5364</v>
      </c>
      <c r="D1598" s="214"/>
      <c r="E1598" s="214" t="s">
        <v>5192</v>
      </c>
      <c r="F1598" s="14">
        <v>0.04</v>
      </c>
      <c r="G1598" s="236" t="s">
        <v>6191</v>
      </c>
      <c r="H1598" s="243"/>
    </row>
    <row r="1599" spans="1:15" x14ac:dyDescent="0.2">
      <c r="A1599" s="214" t="str">
        <f t="shared" si="70"/>
        <v>sam263p_core_vdd_dyn_peak_pct</v>
      </c>
      <c r="B1599" s="215" t="s">
        <v>6000</v>
      </c>
      <c r="C1599" s="214" t="s">
        <v>5365</v>
      </c>
      <c r="D1599" s="214"/>
      <c r="E1599" s="214" t="s">
        <v>5192</v>
      </c>
      <c r="F1599" s="14">
        <v>0.06</v>
      </c>
      <c r="G1599" s="236" t="s">
        <v>6018</v>
      </c>
      <c r="H1599" s="243"/>
    </row>
    <row r="1600" spans="1:15" s="208" customFormat="1" x14ac:dyDescent="0.2">
      <c r="A1600" s="214" t="str">
        <f t="shared" si="70"/>
        <v>sam263p_core_vdd_dyn_sw</v>
      </c>
      <c r="B1600" s="215" t="s">
        <v>6000</v>
      </c>
      <c r="C1600" s="214" t="s">
        <v>5362</v>
      </c>
      <c r="D1600" s="214"/>
      <c r="E1600" s="214" t="s">
        <v>5192</v>
      </c>
      <c r="F1600" s="206">
        <f>1085.23/0.125</f>
        <v>8681.84</v>
      </c>
      <c r="G1600" s="233" t="s">
        <v>6407</v>
      </c>
      <c r="H1600" s="217"/>
      <c r="O1600" s="211"/>
    </row>
    <row r="1601" spans="1:15" s="208" customFormat="1" x14ac:dyDescent="0.2">
      <c r="A1601" s="214" t="str">
        <f t="shared" si="70"/>
        <v>sam263p_core_vdd_lkg</v>
      </c>
      <c r="B1601" s="215" t="s">
        <v>6000</v>
      </c>
      <c r="C1601" s="214" t="s">
        <v>5245</v>
      </c>
      <c r="D1601" s="214"/>
      <c r="E1601" s="214" t="s">
        <v>5192</v>
      </c>
      <c r="F1601" s="222">
        <f>881.83104*8.986/7.692/(1.52*1.18)</f>
        <v>574.36362146011265</v>
      </c>
      <c r="G1601" s="251" t="s">
        <v>6413</v>
      </c>
      <c r="H1601" s="217"/>
      <c r="O1601" s="211"/>
    </row>
    <row r="1602" spans="1:15" s="208" customFormat="1" x14ac:dyDescent="0.2">
      <c r="A1602" s="214" t="str">
        <f t="shared" si="70"/>
        <v>sam263p_core_vddr_lkg</v>
      </c>
      <c r="B1602" s="215" t="s">
        <v>6000</v>
      </c>
      <c r="C1602" s="214" t="s">
        <v>5246</v>
      </c>
      <c r="D1602" s="214"/>
      <c r="E1602" s="214" t="s">
        <v>5192</v>
      </c>
      <c r="F1602" s="222">
        <f>(27033.6*(113.1/1.2))/36600.6</f>
        <v>69.614071900460644</v>
      </c>
      <c r="G1602" s="233" t="s">
        <v>6400</v>
      </c>
      <c r="H1602" s="217">
        <f>(20909.8*(113.1/1.2))/28611.1</f>
        <v>68.880562089538671</v>
      </c>
      <c r="O1602" s="211"/>
    </row>
    <row r="1603" spans="1:15" s="208" customFormat="1" x14ac:dyDescent="0.2">
      <c r="A1603" s="214" t="str">
        <f t="shared" si="70"/>
        <v>sam263p_core_xsvt_pct</v>
      </c>
      <c r="B1603" s="215" t="s">
        <v>6000</v>
      </c>
      <c r="C1603" s="214" t="s">
        <v>5355</v>
      </c>
      <c r="D1603" s="214"/>
      <c r="E1603" s="214" t="s">
        <v>5192</v>
      </c>
      <c r="F1603" s="178">
        <v>0.72419999999999995</v>
      </c>
      <c r="G1603" s="231" t="s">
        <v>6239</v>
      </c>
      <c r="H1603" s="217"/>
      <c r="O1603" s="211"/>
    </row>
    <row r="1604" spans="1:15" s="208" customFormat="1" x14ac:dyDescent="0.2">
      <c r="A1604" s="214" t="str">
        <f t="shared" ref="A1604:A1627" si="71">B1604&amp;"_"&amp;C1604</f>
        <v>sam263p_resolver_accuracy_grade</v>
      </c>
      <c r="B1604" s="215" t="s">
        <v>6409</v>
      </c>
      <c r="C1604" s="214" t="s">
        <v>5366</v>
      </c>
      <c r="D1604" s="214"/>
      <c r="E1604" s="214" t="s">
        <v>5192</v>
      </c>
      <c r="F1604" s="216" t="s">
        <v>6002</v>
      </c>
      <c r="G1604" s="218"/>
      <c r="H1604" s="217"/>
      <c r="O1604" s="211"/>
    </row>
    <row r="1605" spans="1:15" s="208" customFormat="1" x14ac:dyDescent="0.2">
      <c r="A1605" s="214" t="str">
        <f t="shared" si="71"/>
        <v>sam263p_resolver_area</v>
      </c>
      <c r="B1605" s="215" t="s">
        <v>6409</v>
      </c>
      <c r="C1605" s="214" t="s">
        <v>5360</v>
      </c>
      <c r="D1605" s="214"/>
      <c r="E1605" s="214" t="s">
        <v>5192</v>
      </c>
      <c r="F1605" s="177">
        <v>1.0900000000000001</v>
      </c>
      <c r="G1605" s="219"/>
      <c r="H1605" s="217"/>
      <c r="O1605" s="211"/>
    </row>
    <row r="1606" spans="1:15" s="208" customFormat="1" x14ac:dyDescent="0.2">
      <c r="A1606" s="214" t="str">
        <f t="shared" si="71"/>
        <v>sam263p_resolver_data_source</v>
      </c>
      <c r="B1606" s="215" t="s">
        <v>6409</v>
      </c>
      <c r="C1606" s="214" t="s">
        <v>5368</v>
      </c>
      <c r="D1606" s="214"/>
      <c r="E1606" s="214" t="s">
        <v>5192</v>
      </c>
      <c r="F1606" s="216" t="s">
        <v>5371</v>
      </c>
      <c r="G1606" s="218"/>
      <c r="H1606" s="217"/>
      <c r="O1606" s="211"/>
    </row>
    <row r="1607" spans="1:15" s="208" customFormat="1" x14ac:dyDescent="0.2">
      <c r="A1607" s="214" t="str">
        <f t="shared" si="71"/>
        <v>sam263p_resolver_description</v>
      </c>
      <c r="B1607" s="215" t="s">
        <v>6409</v>
      </c>
      <c r="C1607" s="214" t="s">
        <v>5379</v>
      </c>
      <c r="D1607" s="214"/>
      <c r="E1607" s="214" t="s">
        <v>5192</v>
      </c>
      <c r="F1607" s="216" t="s">
        <v>6410</v>
      </c>
      <c r="G1607" s="218"/>
      <c r="H1607" s="217"/>
      <c r="O1607" s="211"/>
    </row>
    <row r="1608" spans="1:15" s="208" customFormat="1" x14ac:dyDescent="0.2">
      <c r="A1608" s="214" t="str">
        <f t="shared" si="71"/>
        <v>sam263p_resolver_first_soc</v>
      </c>
      <c r="B1608" s="215" t="s">
        <v>6409</v>
      </c>
      <c r="C1608" s="214" t="s">
        <v>5378</v>
      </c>
      <c r="D1608" s="214"/>
      <c r="E1608" s="214" t="s">
        <v>5192</v>
      </c>
      <c r="F1608" s="216" t="s">
        <v>6009</v>
      </c>
      <c r="G1608" s="218"/>
      <c r="H1608" s="217"/>
      <c r="O1608" s="211"/>
    </row>
    <row r="1609" spans="1:15" s="208" customFormat="1" x14ac:dyDescent="0.2">
      <c r="A1609" s="214" t="str">
        <f t="shared" si="71"/>
        <v>sam263p_resolver_freq_trk</v>
      </c>
      <c r="B1609" s="215" t="s">
        <v>6409</v>
      </c>
      <c r="C1609" s="214" t="s">
        <v>5220</v>
      </c>
      <c r="D1609" s="214"/>
      <c r="E1609" s="214" t="s">
        <v>5192</v>
      </c>
      <c r="F1609" s="216">
        <v>200</v>
      </c>
      <c r="G1609" s="218"/>
      <c r="H1609" s="217"/>
      <c r="O1609" s="211"/>
    </row>
    <row r="1610" spans="1:15" s="208" customFormat="1" x14ac:dyDescent="0.2">
      <c r="A1610" s="214" t="str">
        <f t="shared" si="71"/>
        <v>sam263p_resolver_function</v>
      </c>
      <c r="B1610" s="215" t="s">
        <v>6409</v>
      </c>
      <c r="C1610" s="214" t="s">
        <v>5367</v>
      </c>
      <c r="D1610" s="214"/>
      <c r="E1610" s="214" t="s">
        <v>5192</v>
      </c>
      <c r="F1610" s="242" t="s">
        <v>5851</v>
      </c>
      <c r="G1610" s="218"/>
      <c r="H1610" s="217"/>
      <c r="O1610" s="211"/>
    </row>
    <row r="1611" spans="1:15" x14ac:dyDescent="0.2">
      <c r="A1611" s="214" t="str">
        <f t="shared" si="71"/>
        <v>sam263p_resolver_kbits</v>
      </c>
      <c r="B1611" s="215" t="s">
        <v>6409</v>
      </c>
      <c r="C1611" s="214" t="s">
        <v>5224</v>
      </c>
      <c r="D1611" s="214"/>
      <c r="E1611" s="214" t="s">
        <v>5192</v>
      </c>
      <c r="F1611" s="242">
        <v>0</v>
      </c>
      <c r="G1611" s="245"/>
      <c r="H1611" s="243"/>
    </row>
    <row r="1612" spans="1:15" s="208" customFormat="1" x14ac:dyDescent="0.2">
      <c r="A1612" s="214" t="str">
        <f t="shared" si="71"/>
        <v>sam263p_resolver_lvt_pct</v>
      </c>
      <c r="B1612" s="215" t="s">
        <v>6409</v>
      </c>
      <c r="C1612" s="214" t="s">
        <v>5357</v>
      </c>
      <c r="D1612" s="214"/>
      <c r="E1612" s="214" t="s">
        <v>5192</v>
      </c>
      <c r="F1612" s="220">
        <v>0</v>
      </c>
      <c r="G1612" s="218"/>
      <c r="H1612" s="217"/>
      <c r="O1612" s="211"/>
    </row>
    <row r="1613" spans="1:15" s="208" customFormat="1" x14ac:dyDescent="0.2">
      <c r="A1613" s="214" t="str">
        <f t="shared" si="71"/>
        <v>sam263p_resolver_macro_area</v>
      </c>
      <c r="B1613" s="215" t="s">
        <v>6409</v>
      </c>
      <c r="C1613" s="214" t="s">
        <v>5228</v>
      </c>
      <c r="D1613" s="214"/>
      <c r="E1613" s="214" t="s">
        <v>5192</v>
      </c>
      <c r="F1613" s="177">
        <v>0</v>
      </c>
      <c r="G1613" s="219"/>
      <c r="H1613" s="217"/>
      <c r="O1613" s="211"/>
    </row>
    <row r="1614" spans="1:15" s="208" customFormat="1" x14ac:dyDescent="0.2">
      <c r="A1614" s="214" t="str">
        <f t="shared" si="71"/>
        <v>sam263p_resolver_macros</v>
      </c>
      <c r="B1614" s="215" t="s">
        <v>6409</v>
      </c>
      <c r="C1614" s="214" t="s">
        <v>5229</v>
      </c>
      <c r="D1614" s="214"/>
      <c r="E1614" s="214" t="s">
        <v>5192</v>
      </c>
      <c r="F1614" s="216">
        <v>0</v>
      </c>
      <c r="G1614" s="218"/>
      <c r="H1614" s="217"/>
      <c r="O1614" s="211"/>
    </row>
    <row r="1615" spans="1:15" s="208" customFormat="1" x14ac:dyDescent="0.2">
      <c r="A1615" s="214" t="str">
        <f t="shared" si="71"/>
        <v>sam263p_resolver_osvt_pct</v>
      </c>
      <c r="B1615" s="215" t="s">
        <v>6409</v>
      </c>
      <c r="C1615" s="214" t="s">
        <v>5354</v>
      </c>
      <c r="D1615" s="214"/>
      <c r="E1615" s="214" t="s">
        <v>5192</v>
      </c>
      <c r="F1615" s="178">
        <v>5.74E-2</v>
      </c>
      <c r="G1615" s="221"/>
      <c r="H1615" s="217"/>
      <c r="O1615" s="211"/>
    </row>
    <row r="1616" spans="1:15" s="208" customFormat="1" x14ac:dyDescent="0.2">
      <c r="A1616" s="214" t="str">
        <f t="shared" si="71"/>
        <v>sam263p_resolver_stdcell_area</v>
      </c>
      <c r="B1616" s="215" t="s">
        <v>6409</v>
      </c>
      <c r="C1616" s="214" t="s">
        <v>5230</v>
      </c>
      <c r="D1616" s="214"/>
      <c r="E1616" s="214" t="s">
        <v>5192</v>
      </c>
      <c r="F1616" s="177">
        <v>0.54800000000000004</v>
      </c>
      <c r="G1616" s="219"/>
      <c r="H1616" s="217"/>
      <c r="O1616" s="211"/>
    </row>
    <row r="1617" spans="1:15" s="208" customFormat="1" x14ac:dyDescent="0.2">
      <c r="A1617" s="214" t="str">
        <f t="shared" si="71"/>
        <v>sam263p_resolver_svt_pct</v>
      </c>
      <c r="B1617" s="215" t="s">
        <v>6409</v>
      </c>
      <c r="C1617" s="214" t="s">
        <v>5356</v>
      </c>
      <c r="D1617" s="214"/>
      <c r="E1617" s="214" t="s">
        <v>5192</v>
      </c>
      <c r="F1617" s="178">
        <v>0.35299999999999998</v>
      </c>
      <c r="G1617" s="221"/>
      <c r="H1617" s="217"/>
      <c r="O1617" s="211"/>
    </row>
    <row r="1618" spans="1:15" s="208" customFormat="1" x14ac:dyDescent="0.2">
      <c r="A1618" s="214" t="str">
        <f t="shared" si="71"/>
        <v>sam263p_resolver_tag</v>
      </c>
      <c r="B1618" s="215" t="s">
        <v>6409</v>
      </c>
      <c r="C1618" s="214" t="s">
        <v>5234</v>
      </c>
      <c r="D1618" s="214"/>
      <c r="E1618" s="214" t="s">
        <v>5192</v>
      </c>
      <c r="F1618" s="242" t="s">
        <v>5370</v>
      </c>
      <c r="G1618" s="218"/>
      <c r="H1618" s="217"/>
      <c r="O1618" s="211"/>
    </row>
    <row r="1619" spans="1:15" s="208" customFormat="1" x14ac:dyDescent="0.2">
      <c r="A1619" s="214" t="str">
        <f t="shared" si="71"/>
        <v>sam263p_resolver_type</v>
      </c>
      <c r="B1619" s="215" t="s">
        <v>6409</v>
      </c>
      <c r="C1619" s="214" t="s">
        <v>1</v>
      </c>
      <c r="D1619" s="214"/>
      <c r="E1619" s="214" t="s">
        <v>5192</v>
      </c>
      <c r="F1619" s="216" t="s">
        <v>5782</v>
      </c>
      <c r="G1619" s="218"/>
      <c r="H1619" s="217"/>
      <c r="O1619" s="211"/>
    </row>
    <row r="1620" spans="1:15" x14ac:dyDescent="0.2">
      <c r="A1620" s="214" t="str">
        <f t="shared" si="71"/>
        <v>sam263p_resolver_vdd_dyn_idle_pct</v>
      </c>
      <c r="B1620" s="215" t="s">
        <v>6409</v>
      </c>
      <c r="C1620" s="214" t="s">
        <v>5363</v>
      </c>
      <c r="D1620" s="214"/>
      <c r="E1620" s="214" t="s">
        <v>5192</v>
      </c>
      <c r="F1620" s="247">
        <v>1.9099999999999999E-2</v>
      </c>
      <c r="G1620" s="245" t="s">
        <v>6414</v>
      </c>
      <c r="H1620" s="243"/>
    </row>
    <row r="1621" spans="1:15" s="208" customFormat="1" x14ac:dyDescent="0.2">
      <c r="A1621" s="214" t="str">
        <f t="shared" si="71"/>
        <v>sam263p_resolver_vdd_dyn_int</v>
      </c>
      <c r="B1621" s="215" t="s">
        <v>6409</v>
      </c>
      <c r="C1621" s="214" t="s">
        <v>5361</v>
      </c>
      <c r="D1621" s="214"/>
      <c r="E1621" s="214" t="s">
        <v>5192</v>
      </c>
      <c r="F1621" s="206">
        <f>52.74/0.125</f>
        <v>421.92</v>
      </c>
      <c r="G1621" s="219" t="s">
        <v>6411</v>
      </c>
      <c r="H1621" s="217"/>
      <c r="O1621" s="211"/>
    </row>
    <row r="1622" spans="1:15" x14ac:dyDescent="0.2">
      <c r="A1622" s="214" t="str">
        <f t="shared" si="71"/>
        <v>sam263p_resolver_vdd_dyn_max_pct</v>
      </c>
      <c r="B1622" s="215" t="s">
        <v>6409</v>
      </c>
      <c r="C1622" s="214" t="s">
        <v>5364</v>
      </c>
      <c r="D1622" s="214"/>
      <c r="E1622" s="214" t="s">
        <v>5192</v>
      </c>
      <c r="F1622" s="248">
        <v>0.04</v>
      </c>
      <c r="G1622" s="245" t="s">
        <v>6415</v>
      </c>
      <c r="H1622" s="243"/>
    </row>
    <row r="1623" spans="1:15" x14ac:dyDescent="0.2">
      <c r="A1623" s="214" t="str">
        <f t="shared" si="71"/>
        <v>sam263p_resolver_vdd_dyn_peak_pct</v>
      </c>
      <c r="B1623" s="215" t="s">
        <v>6409</v>
      </c>
      <c r="C1623" s="214" t="s">
        <v>5365</v>
      </c>
      <c r="D1623" s="214"/>
      <c r="E1623" s="214" t="s">
        <v>5192</v>
      </c>
      <c r="F1623" s="248">
        <v>0.06</v>
      </c>
      <c r="G1623" s="245" t="s">
        <v>6415</v>
      </c>
      <c r="H1623" s="243"/>
    </row>
    <row r="1624" spans="1:15" s="208" customFormat="1" x14ac:dyDescent="0.2">
      <c r="A1624" s="214" t="str">
        <f t="shared" si="71"/>
        <v>sam263p_resolver_vdd_dyn_sw</v>
      </c>
      <c r="B1624" s="215" t="s">
        <v>6409</v>
      </c>
      <c r="C1624" s="214" t="s">
        <v>5362</v>
      </c>
      <c r="D1624" s="214"/>
      <c r="E1624" s="214" t="s">
        <v>5192</v>
      </c>
      <c r="F1624" s="206">
        <f>45.42/0.125</f>
        <v>363.36</v>
      </c>
      <c r="G1624" s="219" t="s">
        <v>6411</v>
      </c>
      <c r="H1624" s="217"/>
      <c r="O1624" s="211"/>
    </row>
    <row r="1625" spans="1:15" s="208" customFormat="1" x14ac:dyDescent="0.2">
      <c r="A1625" s="214" t="str">
        <f t="shared" si="71"/>
        <v>sam263p_resolver_vdd_lkg</v>
      </c>
      <c r="B1625" s="215" t="s">
        <v>6409</v>
      </c>
      <c r="C1625" s="214" t="s">
        <v>5245</v>
      </c>
      <c r="D1625" s="214"/>
      <c r="E1625" s="214" t="s">
        <v>5192</v>
      </c>
      <c r="F1625" s="222">
        <f>881.83104*0.548/7.692/(1.52*1.18)</f>
        <v>35.026848938364317</v>
      </c>
      <c r="G1625" s="223"/>
      <c r="H1625" s="217"/>
      <c r="O1625" s="211"/>
    </row>
    <row r="1626" spans="1:15" s="208" customFormat="1" x14ac:dyDescent="0.2">
      <c r="A1626" s="214" t="str">
        <f t="shared" si="71"/>
        <v>sam263p_resolver_vddr_lkg</v>
      </c>
      <c r="B1626" s="215" t="s">
        <v>6409</v>
      </c>
      <c r="C1626" s="214" t="s">
        <v>5246</v>
      </c>
      <c r="D1626" s="214"/>
      <c r="E1626" s="214" t="s">
        <v>5192</v>
      </c>
      <c r="F1626" s="222">
        <v>0</v>
      </c>
      <c r="G1626" s="219"/>
      <c r="H1626" s="217"/>
      <c r="O1626" s="211"/>
    </row>
    <row r="1627" spans="1:15" s="208" customFormat="1" x14ac:dyDescent="0.2">
      <c r="A1627" s="214" t="str">
        <f t="shared" si="71"/>
        <v>sam263p_resolver_xsvt_pct</v>
      </c>
      <c r="B1627" s="215" t="s">
        <v>6409</v>
      </c>
      <c r="C1627" s="214" t="s">
        <v>5355</v>
      </c>
      <c r="D1627" s="214"/>
      <c r="E1627" s="214" t="s">
        <v>5192</v>
      </c>
      <c r="F1627" s="178">
        <v>0.58960000000000001</v>
      </c>
      <c r="G1627" s="221"/>
      <c r="H1627" s="217"/>
      <c r="O1627" s="211"/>
    </row>
    <row r="1628" spans="1:15" s="22" customFormat="1" ht="15" x14ac:dyDescent="0.25">
      <c r="A1628" s="48" t="str">
        <f t="shared" si="70"/>
        <v>sam263p_cortexr5ss_wrap_accuracy_grade</v>
      </c>
      <c r="B1628" s="59" t="s">
        <v>6008</v>
      </c>
      <c r="C1628" s="48" t="s">
        <v>5366</v>
      </c>
      <c r="D1628" s="48"/>
      <c r="E1628" s="48" t="s">
        <v>5192</v>
      </c>
      <c r="F1628" s="14" t="s">
        <v>6002</v>
      </c>
      <c r="G1628" s="21" t="s">
        <v>6016</v>
      </c>
      <c r="H1628" s="13"/>
      <c r="O1628" s="21"/>
    </row>
    <row r="1629" spans="1:15" s="208" customFormat="1" x14ac:dyDescent="0.2">
      <c r="A1629" s="214" t="str">
        <f t="shared" si="70"/>
        <v>sam263p_cortexr5ss_wrap_area</v>
      </c>
      <c r="B1629" s="215" t="s">
        <v>6008</v>
      </c>
      <c r="C1629" s="214" t="s">
        <v>5360</v>
      </c>
      <c r="D1629" s="214"/>
      <c r="E1629" s="214" t="s">
        <v>5192</v>
      </c>
      <c r="F1629" s="179">
        <v>4.0599999999999996</v>
      </c>
      <c r="G1629" s="233" t="s">
        <v>6240</v>
      </c>
      <c r="H1629" s="217"/>
      <c r="O1629" s="211"/>
    </row>
    <row r="1630" spans="1:15" s="22" customFormat="1" ht="15" x14ac:dyDescent="0.25">
      <c r="A1630" s="48" t="str">
        <f t="shared" si="70"/>
        <v>sam263p_cortexr5ss_wrap_data_source</v>
      </c>
      <c r="B1630" s="59" t="s">
        <v>6008</v>
      </c>
      <c r="C1630" s="48" t="s">
        <v>5368</v>
      </c>
      <c r="D1630" s="48"/>
      <c r="E1630" s="48" t="s">
        <v>5192</v>
      </c>
      <c r="F1630" s="14" t="s">
        <v>5371</v>
      </c>
      <c r="G1630" s="21" t="s">
        <v>6016</v>
      </c>
      <c r="H1630" s="13"/>
      <c r="O1630" s="21"/>
    </row>
    <row r="1631" spans="1:15" s="22" customFormat="1" ht="15" x14ac:dyDescent="0.25">
      <c r="A1631" s="48" t="str">
        <f t="shared" si="70"/>
        <v>sam263p_cortexr5ss_wrap_description</v>
      </c>
      <c r="B1631" s="59" t="s">
        <v>6008</v>
      </c>
      <c r="C1631" s="48" t="s">
        <v>5379</v>
      </c>
      <c r="D1631" s="48"/>
      <c r="E1631" s="48" t="s">
        <v>5192</v>
      </c>
      <c r="F1631" s="14" t="s">
        <v>6010</v>
      </c>
      <c r="G1631" s="21" t="s">
        <v>6016</v>
      </c>
      <c r="H1631" s="13"/>
      <c r="O1631" s="21"/>
    </row>
    <row r="1632" spans="1:15" s="22" customFormat="1" ht="15" x14ac:dyDescent="0.25">
      <c r="A1632" s="48" t="str">
        <f t="shared" si="70"/>
        <v>sam263p_cortexr5ss_wrap_first_soc</v>
      </c>
      <c r="B1632" s="59" t="s">
        <v>6008</v>
      </c>
      <c r="C1632" s="48" t="s">
        <v>5378</v>
      </c>
      <c r="D1632" s="48"/>
      <c r="E1632" s="48" t="s">
        <v>5192</v>
      </c>
      <c r="F1632" s="14" t="s">
        <v>6009</v>
      </c>
      <c r="G1632" s="21" t="s">
        <v>6016</v>
      </c>
      <c r="H1632" s="13"/>
      <c r="O1632" s="21"/>
    </row>
    <row r="1633" spans="1:15" s="22" customFormat="1" ht="15" x14ac:dyDescent="0.25">
      <c r="A1633" s="48" t="str">
        <f t="shared" si="70"/>
        <v>sam263p_cortexr5ss_wrap_freq_trk</v>
      </c>
      <c r="B1633" s="59" t="s">
        <v>6008</v>
      </c>
      <c r="C1633" s="48" t="s">
        <v>5220</v>
      </c>
      <c r="D1633" s="48"/>
      <c r="E1633" s="48" t="s">
        <v>5192</v>
      </c>
      <c r="F1633" s="14">
        <v>400</v>
      </c>
      <c r="G1633" s="21" t="s">
        <v>6016</v>
      </c>
      <c r="H1633" s="13"/>
      <c r="O1633" s="21"/>
    </row>
    <row r="1634" spans="1:15" s="22" customFormat="1" ht="15" x14ac:dyDescent="0.25">
      <c r="A1634" s="48" t="str">
        <f t="shared" si="70"/>
        <v>sam263p_cortexr5ss_wrap_function</v>
      </c>
      <c r="B1634" s="59" t="s">
        <v>6008</v>
      </c>
      <c r="C1634" s="48" t="s">
        <v>5367</v>
      </c>
      <c r="D1634" s="48"/>
      <c r="E1634" s="48" t="s">
        <v>5192</v>
      </c>
      <c r="F1634" s="14" t="s">
        <v>5850</v>
      </c>
      <c r="G1634" s="21" t="s">
        <v>6016</v>
      </c>
      <c r="H1634" s="13"/>
      <c r="O1634" s="21"/>
    </row>
    <row r="1635" spans="1:15" x14ac:dyDescent="0.2">
      <c r="A1635" s="214" t="str">
        <f t="shared" si="70"/>
        <v>sam263p_cortexr5ss_wrap_kbits</v>
      </c>
      <c r="B1635" s="215" t="s">
        <v>6008</v>
      </c>
      <c r="C1635" s="214" t="s">
        <v>5224</v>
      </c>
      <c r="D1635" s="214"/>
      <c r="E1635" s="214" t="s">
        <v>5192</v>
      </c>
      <c r="F1635" s="242">
        <f>2663936/1000</f>
        <v>2663.9360000000001</v>
      </c>
      <c r="G1635" s="236" t="s">
        <v>6016</v>
      </c>
      <c r="H1635" s="242">
        <f>2663936*2/1000</f>
        <v>5327.8720000000003</v>
      </c>
    </row>
    <row r="1636" spans="1:15" s="208" customFormat="1" x14ac:dyDescent="0.2">
      <c r="A1636" s="214" t="str">
        <f t="shared" si="70"/>
        <v>sam263p_cortexr5ss_wrap_lvt_pct</v>
      </c>
      <c r="B1636" s="215" t="s">
        <v>6008</v>
      </c>
      <c r="C1636" s="214" t="s">
        <v>5357</v>
      </c>
      <c r="D1636" s="214"/>
      <c r="E1636" s="214" t="s">
        <v>5192</v>
      </c>
      <c r="F1636" s="216">
        <v>0</v>
      </c>
      <c r="G1636" s="211" t="s">
        <v>6016</v>
      </c>
      <c r="H1636" s="217"/>
      <c r="O1636" s="211"/>
    </row>
    <row r="1637" spans="1:15" s="208" customFormat="1" x14ac:dyDescent="0.2">
      <c r="A1637" s="214" t="str">
        <f t="shared" si="70"/>
        <v>sam263p_cortexr5ss_wrap_macro_area</v>
      </c>
      <c r="B1637" s="215" t="s">
        <v>6008</v>
      </c>
      <c r="C1637" s="214" t="s">
        <v>5228</v>
      </c>
      <c r="D1637" s="214"/>
      <c r="E1637" s="214" t="s">
        <v>5192</v>
      </c>
      <c r="F1637" s="180">
        <v>1.68</v>
      </c>
      <c r="G1637" s="233" t="s">
        <v>6241</v>
      </c>
      <c r="H1637" s="217"/>
      <c r="O1637" s="211"/>
    </row>
    <row r="1638" spans="1:15" s="208" customFormat="1" x14ac:dyDescent="0.2">
      <c r="A1638" s="214" t="str">
        <f t="shared" si="70"/>
        <v>sam263p_cortexr5ss_wrap_macros</v>
      </c>
      <c r="B1638" s="215" t="s">
        <v>6008</v>
      </c>
      <c r="C1638" s="214" t="s">
        <v>5229</v>
      </c>
      <c r="D1638" s="214"/>
      <c r="E1638" s="214" t="s">
        <v>5192</v>
      </c>
      <c r="F1638" s="216">
        <v>77</v>
      </c>
      <c r="G1638" s="211" t="s">
        <v>6016</v>
      </c>
      <c r="H1638" s="217"/>
      <c r="O1638" s="211"/>
    </row>
    <row r="1639" spans="1:15" s="208" customFormat="1" x14ac:dyDescent="0.2">
      <c r="A1639" s="214" t="str">
        <f t="shared" si="70"/>
        <v>sam263p_cortexr5ss_wrap_osvt_pct</v>
      </c>
      <c r="B1639" s="215" t="s">
        <v>6008</v>
      </c>
      <c r="C1639" s="214" t="s">
        <v>5354</v>
      </c>
      <c r="D1639" s="214"/>
      <c r="E1639" s="214" t="s">
        <v>5192</v>
      </c>
      <c r="F1639" s="263">
        <v>6.5000000000000002E-2</v>
      </c>
      <c r="G1639" s="231" t="s">
        <v>6242</v>
      </c>
      <c r="H1639" s="217"/>
      <c r="O1639" s="211"/>
    </row>
    <row r="1640" spans="1:15" s="208" customFormat="1" x14ac:dyDescent="0.2">
      <c r="A1640" s="214" t="str">
        <f t="shared" si="70"/>
        <v>sam263p_cortexr5ss_wrap_stdcell_area</v>
      </c>
      <c r="B1640" s="215" t="s">
        <v>6008</v>
      </c>
      <c r="C1640" s="214" t="s">
        <v>5230</v>
      </c>
      <c r="D1640" s="214"/>
      <c r="E1640" s="214" t="s">
        <v>5192</v>
      </c>
      <c r="F1640" s="180">
        <v>1.68</v>
      </c>
      <c r="G1640" s="233" t="s">
        <v>6243</v>
      </c>
      <c r="H1640" s="217"/>
      <c r="O1640" s="211"/>
    </row>
    <row r="1641" spans="1:15" s="208" customFormat="1" x14ac:dyDescent="0.2">
      <c r="A1641" s="214" t="str">
        <f t="shared" si="70"/>
        <v>sam263p_cortexr5ss_wrap_svt_pct</v>
      </c>
      <c r="B1641" s="215" t="s">
        <v>6008</v>
      </c>
      <c r="C1641" s="214" t="s">
        <v>5356</v>
      </c>
      <c r="D1641" s="214"/>
      <c r="E1641" s="214" t="s">
        <v>5192</v>
      </c>
      <c r="F1641" s="263">
        <v>0.36749999999999999</v>
      </c>
      <c r="G1641" s="231" t="s">
        <v>6244</v>
      </c>
      <c r="H1641" s="217"/>
      <c r="O1641" s="211"/>
    </row>
    <row r="1642" spans="1:15" s="22" customFormat="1" ht="15" x14ac:dyDescent="0.25">
      <c r="A1642" s="48" t="str">
        <f t="shared" si="70"/>
        <v>sam263p_cortexr5ss_wrap_tag</v>
      </c>
      <c r="B1642" s="59" t="s">
        <v>6008</v>
      </c>
      <c r="C1642" s="48" t="s">
        <v>5234</v>
      </c>
      <c r="D1642" s="48"/>
      <c r="E1642" s="48" t="s">
        <v>5192</v>
      </c>
      <c r="F1642" s="14" t="s">
        <v>6011</v>
      </c>
      <c r="G1642" s="21" t="s">
        <v>6016</v>
      </c>
      <c r="H1642" s="13"/>
      <c r="O1642" s="21"/>
    </row>
    <row r="1643" spans="1:15" s="22" customFormat="1" ht="15" x14ac:dyDescent="0.25">
      <c r="A1643" s="48" t="str">
        <f t="shared" si="70"/>
        <v>sam263p_cortexr5ss_wrap_type</v>
      </c>
      <c r="B1643" s="59" t="s">
        <v>6008</v>
      </c>
      <c r="C1643" s="48" t="s">
        <v>1</v>
      </c>
      <c r="D1643" s="48"/>
      <c r="E1643" s="48" t="s">
        <v>5192</v>
      </c>
      <c r="F1643" s="14" t="s">
        <v>5777</v>
      </c>
      <c r="G1643" s="21" t="s">
        <v>6016</v>
      </c>
      <c r="H1643" s="13"/>
      <c r="O1643" s="21"/>
    </row>
    <row r="1644" spans="1:15" x14ac:dyDescent="0.2">
      <c r="A1644" s="214" t="str">
        <f t="shared" si="70"/>
        <v>sam263p_cortexr5ss_wrap_vdd_dyn_idle_pct</v>
      </c>
      <c r="B1644" s="215" t="s">
        <v>6008</v>
      </c>
      <c r="C1644" s="214" t="s">
        <v>5363</v>
      </c>
      <c r="D1644" s="214"/>
      <c r="E1644" s="214" t="s">
        <v>5192</v>
      </c>
      <c r="F1644" s="248">
        <v>1.2500000000000001E-2</v>
      </c>
      <c r="G1644" s="236" t="s">
        <v>6045</v>
      </c>
      <c r="H1644" s="243"/>
    </row>
    <row r="1645" spans="1:15" s="22" customFormat="1" ht="15" x14ac:dyDescent="0.25">
      <c r="A1645" s="48" t="str">
        <f t="shared" si="70"/>
        <v>sam263p_cortexr5ss_wrap_vdd_dyn_int</v>
      </c>
      <c r="B1645" s="59" t="s">
        <v>6008</v>
      </c>
      <c r="C1645" s="48" t="s">
        <v>5361</v>
      </c>
      <c r="D1645" s="48"/>
      <c r="E1645" s="48" t="s">
        <v>5192</v>
      </c>
      <c r="F1645" s="206">
        <f>419/0.125</f>
        <v>3352</v>
      </c>
      <c r="G1645" s="176" t="s">
        <v>6230</v>
      </c>
      <c r="H1645" s="206">
        <f>419/0.125</f>
        <v>3352</v>
      </c>
      <c r="O1645" s="21"/>
    </row>
    <row r="1646" spans="1:15" x14ac:dyDescent="0.2">
      <c r="A1646" s="214" t="str">
        <f t="shared" si="70"/>
        <v>sam263p_cortexr5ss_wrap_vdd_dyn_max_pct</v>
      </c>
      <c r="B1646" s="215" t="s">
        <v>6008</v>
      </c>
      <c r="C1646" s="214" t="s">
        <v>5364</v>
      </c>
      <c r="D1646" s="214"/>
      <c r="E1646" s="214" t="s">
        <v>5192</v>
      </c>
      <c r="F1646" s="14">
        <v>0.04</v>
      </c>
      <c r="G1646" s="236" t="s">
        <v>6016</v>
      </c>
      <c r="H1646" s="14">
        <v>4.0500000000000001E-2</v>
      </c>
    </row>
    <row r="1647" spans="1:15" x14ac:dyDescent="0.2">
      <c r="A1647" s="214" t="str">
        <f t="shared" si="70"/>
        <v>sam263p_cortexr5ss_wrap_vdd_dyn_peak_pct</v>
      </c>
      <c r="B1647" s="215" t="s">
        <v>6008</v>
      </c>
      <c r="C1647" s="214" t="s">
        <v>5365</v>
      </c>
      <c r="D1647" s="214"/>
      <c r="E1647" s="214" t="s">
        <v>5192</v>
      </c>
      <c r="F1647" s="14">
        <v>0.06</v>
      </c>
      <c r="G1647" s="236" t="s">
        <v>6016</v>
      </c>
      <c r="H1647" s="14">
        <v>0.06</v>
      </c>
    </row>
    <row r="1648" spans="1:15" s="22" customFormat="1" ht="15" x14ac:dyDescent="0.25">
      <c r="A1648" s="48" t="str">
        <f t="shared" si="70"/>
        <v>sam263p_cortexr5ss_wrap_vdd_dyn_sw</v>
      </c>
      <c r="B1648" s="59" t="s">
        <v>6008</v>
      </c>
      <c r="C1648" s="48" t="s">
        <v>5362</v>
      </c>
      <c r="D1648" s="48"/>
      <c r="E1648" s="48" t="s">
        <v>5192</v>
      </c>
      <c r="F1648" s="206">
        <f>356/0.125</f>
        <v>2848</v>
      </c>
      <c r="G1648" s="176" t="s">
        <v>6231</v>
      </c>
      <c r="H1648" s="206">
        <f>356/0.125</f>
        <v>2848</v>
      </c>
      <c r="O1648" s="21"/>
    </row>
    <row r="1649" spans="1:15" s="22" customFormat="1" ht="15" x14ac:dyDescent="0.25">
      <c r="A1649" s="48" t="str">
        <f t="shared" si="70"/>
        <v>sam263p_cortexr5ss_wrap_vdd_lkg</v>
      </c>
      <c r="B1649" s="59" t="s">
        <v>6008</v>
      </c>
      <c r="C1649" s="48" t="s">
        <v>5245</v>
      </c>
      <c r="D1649" s="48"/>
      <c r="E1649" s="48" t="s">
        <v>5192</v>
      </c>
      <c r="F1649" s="14">
        <v>92.7</v>
      </c>
      <c r="G1649" s="171"/>
      <c r="H1649" s="13"/>
      <c r="O1649" s="21"/>
    </row>
    <row r="1650" spans="1:15" s="22" customFormat="1" ht="15" x14ac:dyDescent="0.25">
      <c r="A1650" s="48" t="str">
        <f t="shared" si="70"/>
        <v>sam263p_cortexr5ss_wrap_vddr_lkg</v>
      </c>
      <c r="B1650" s="59" t="s">
        <v>6008</v>
      </c>
      <c r="C1650" s="48" t="s">
        <v>5246</v>
      </c>
      <c r="D1650" s="48"/>
      <c r="E1650" s="48" t="s">
        <v>5192</v>
      </c>
      <c r="F1650" s="222">
        <f>(5327.9*(113.1/1.2))/36600.6</f>
        <v>13.719845439692245</v>
      </c>
      <c r="G1650" s="205" t="s">
        <v>6399</v>
      </c>
      <c r="H1650" s="20">
        <v>10.9</v>
      </c>
      <c r="O1650" s="21"/>
    </row>
    <row r="1651" spans="1:15" s="208" customFormat="1" x14ac:dyDescent="0.2">
      <c r="A1651" s="214" t="str">
        <f t="shared" si="70"/>
        <v>sam263p_cortexr5ss_wrap_xsvt_pct</v>
      </c>
      <c r="B1651" s="215" t="s">
        <v>6008</v>
      </c>
      <c r="C1651" s="214" t="s">
        <v>5355</v>
      </c>
      <c r="D1651" s="214"/>
      <c r="E1651" s="214" t="s">
        <v>5192</v>
      </c>
      <c r="F1651" s="263">
        <v>0.5675</v>
      </c>
      <c r="G1651" s="231" t="s">
        <v>6245</v>
      </c>
      <c r="H1651" s="263">
        <v>0.5675</v>
      </c>
      <c r="O1651" s="211"/>
    </row>
    <row r="1652" spans="1:15" s="22" customFormat="1" ht="15" x14ac:dyDescent="0.25">
      <c r="A1652" s="48" t="str">
        <f t="shared" si="70"/>
        <v>sam263p_cpsw_3gcss_wrap_accuracy_grade</v>
      </c>
      <c r="B1652" s="59" t="s">
        <v>6012</v>
      </c>
      <c r="C1652" s="48" t="s">
        <v>5366</v>
      </c>
      <c r="D1652" s="48"/>
      <c r="E1652" s="48" t="s">
        <v>5192</v>
      </c>
      <c r="F1652" s="14" t="s">
        <v>5786</v>
      </c>
      <c r="G1652" s="21" t="s">
        <v>6201</v>
      </c>
      <c r="H1652" s="13"/>
      <c r="O1652" s="21"/>
    </row>
    <row r="1653" spans="1:15" s="208" customFormat="1" x14ac:dyDescent="0.2">
      <c r="A1653" s="214" t="str">
        <f t="shared" si="70"/>
        <v>sam263p_cpsw_3gcss_wrap_area</v>
      </c>
      <c r="B1653" s="215" t="s">
        <v>6012</v>
      </c>
      <c r="C1653" s="214" t="s">
        <v>5360</v>
      </c>
      <c r="D1653" s="214"/>
      <c r="E1653" s="214" t="s">
        <v>5192</v>
      </c>
      <c r="F1653" s="179">
        <v>1.89</v>
      </c>
      <c r="G1653" s="233" t="s">
        <v>6246</v>
      </c>
      <c r="H1653" s="217"/>
      <c r="O1653" s="211"/>
    </row>
    <row r="1654" spans="1:15" s="22" customFormat="1" ht="15" x14ac:dyDescent="0.25">
      <c r="A1654" s="48" t="str">
        <f t="shared" si="70"/>
        <v>sam263p_cpsw_3gcss_wrap_data_source</v>
      </c>
      <c r="B1654" s="59" t="s">
        <v>6012</v>
      </c>
      <c r="C1654" s="48" t="s">
        <v>5368</v>
      </c>
      <c r="D1654" s="48"/>
      <c r="E1654" s="48" t="s">
        <v>5192</v>
      </c>
      <c r="F1654" s="14" t="s">
        <v>5369</v>
      </c>
      <c r="G1654" s="21" t="s">
        <v>6201</v>
      </c>
      <c r="H1654" s="13"/>
      <c r="O1654" s="21"/>
    </row>
    <row r="1655" spans="1:15" s="22" customFormat="1" ht="15" x14ac:dyDescent="0.25">
      <c r="A1655" s="48" t="str">
        <f t="shared" si="70"/>
        <v>sam263p_cpsw_3gcss_wrap_description</v>
      </c>
      <c r="B1655" s="59" t="s">
        <v>6012</v>
      </c>
      <c r="C1655" s="48" t="s">
        <v>5379</v>
      </c>
      <c r="D1655" s="48"/>
      <c r="E1655" s="48" t="s">
        <v>5192</v>
      </c>
      <c r="F1655" s="14" t="s">
        <v>5811</v>
      </c>
      <c r="G1655" s="21" t="s">
        <v>6201</v>
      </c>
      <c r="H1655" s="13"/>
      <c r="O1655" s="21"/>
    </row>
    <row r="1656" spans="1:15" s="22" customFormat="1" ht="15" x14ac:dyDescent="0.25">
      <c r="A1656" s="48" t="str">
        <f t="shared" si="70"/>
        <v>sam263p_cpsw_3gcss_wrap_first_soc</v>
      </c>
      <c r="B1656" s="59" t="s">
        <v>6012</v>
      </c>
      <c r="C1656" s="48" t="s">
        <v>5378</v>
      </c>
      <c r="D1656" s="48"/>
      <c r="E1656" s="48" t="s">
        <v>5192</v>
      </c>
      <c r="F1656" s="14" t="s">
        <v>5389</v>
      </c>
      <c r="G1656" s="21" t="s">
        <v>6201</v>
      </c>
      <c r="H1656" s="13"/>
      <c r="O1656" s="21"/>
    </row>
    <row r="1657" spans="1:15" s="22" customFormat="1" ht="15" x14ac:dyDescent="0.25">
      <c r="A1657" s="48" t="str">
        <f t="shared" si="70"/>
        <v>sam263p_cpsw_3gcss_wrap_freq_trk</v>
      </c>
      <c r="B1657" s="59" t="s">
        <v>6012</v>
      </c>
      <c r="C1657" s="48" t="s">
        <v>5220</v>
      </c>
      <c r="D1657" s="48"/>
      <c r="E1657" s="48" t="s">
        <v>5192</v>
      </c>
      <c r="F1657" s="14">
        <v>240</v>
      </c>
      <c r="G1657" s="21" t="s">
        <v>6201</v>
      </c>
      <c r="H1657" s="13"/>
      <c r="O1657" s="21"/>
    </row>
    <row r="1658" spans="1:15" s="22" customFormat="1" ht="15" x14ac:dyDescent="0.25">
      <c r="A1658" s="48" t="str">
        <f t="shared" si="70"/>
        <v>sam263p_cpsw_3gcss_wrap_function</v>
      </c>
      <c r="B1658" s="59" t="s">
        <v>6012</v>
      </c>
      <c r="C1658" s="48" t="s">
        <v>5367</v>
      </c>
      <c r="D1658" s="48"/>
      <c r="E1658" s="48" t="s">
        <v>5192</v>
      </c>
      <c r="F1658" s="14" t="s">
        <v>5852</v>
      </c>
      <c r="G1658" s="21" t="s">
        <v>6201</v>
      </c>
      <c r="H1658" s="13"/>
      <c r="O1658" s="21"/>
    </row>
    <row r="1659" spans="1:15" x14ac:dyDescent="0.2">
      <c r="A1659" s="214" t="str">
        <f t="shared" ref="A1659:A1705" si="72">B1659&amp;"_"&amp;C1659</f>
        <v>sam263p_cpsw_3gcss_wrap_kbits</v>
      </c>
      <c r="B1659" s="215" t="s">
        <v>6012</v>
      </c>
      <c r="C1659" s="214" t="s">
        <v>5224</v>
      </c>
      <c r="D1659" s="214"/>
      <c r="E1659" s="214" t="s">
        <v>5192</v>
      </c>
      <c r="F1659" s="242">
        <v>539.13599999999997</v>
      </c>
      <c r="G1659" s="236" t="s">
        <v>6201</v>
      </c>
      <c r="H1659" s="243"/>
    </row>
    <row r="1660" spans="1:15" s="208" customFormat="1" x14ac:dyDescent="0.2">
      <c r="A1660" s="214" t="str">
        <f t="shared" si="72"/>
        <v>sam263p_cpsw_3gcss_wrap_lvt_pct</v>
      </c>
      <c r="B1660" s="215" t="s">
        <v>6012</v>
      </c>
      <c r="C1660" s="214" t="s">
        <v>5357</v>
      </c>
      <c r="D1660" s="214"/>
      <c r="E1660" s="214" t="s">
        <v>5192</v>
      </c>
      <c r="F1660" s="232">
        <v>0</v>
      </c>
      <c r="G1660" s="211" t="s">
        <v>6201</v>
      </c>
      <c r="H1660" s="217"/>
      <c r="O1660" s="211"/>
    </row>
    <row r="1661" spans="1:15" s="208" customFormat="1" x14ac:dyDescent="0.2">
      <c r="A1661" s="214" t="str">
        <f t="shared" si="72"/>
        <v>sam263p_cpsw_3gcss_wrap_macro_area</v>
      </c>
      <c r="B1661" s="215" t="s">
        <v>6012</v>
      </c>
      <c r="C1661" s="214" t="s">
        <v>5228</v>
      </c>
      <c r="D1661" s="214"/>
      <c r="E1661" s="214" t="s">
        <v>5192</v>
      </c>
      <c r="F1661" s="180">
        <v>0.28000000000000003</v>
      </c>
      <c r="G1661" s="233" t="s">
        <v>6247</v>
      </c>
      <c r="H1661" s="217"/>
      <c r="O1661" s="211"/>
    </row>
    <row r="1662" spans="1:15" s="208" customFormat="1" x14ac:dyDescent="0.2">
      <c r="A1662" s="214" t="str">
        <f t="shared" si="72"/>
        <v>sam263p_cpsw_3gcss_wrap_macros</v>
      </c>
      <c r="B1662" s="215" t="s">
        <v>6012</v>
      </c>
      <c r="C1662" s="214" t="s">
        <v>5229</v>
      </c>
      <c r="D1662" s="214"/>
      <c r="E1662" s="214" t="s">
        <v>5192</v>
      </c>
      <c r="F1662" s="216">
        <v>12</v>
      </c>
      <c r="G1662" s="211" t="s">
        <v>6201</v>
      </c>
      <c r="H1662" s="217"/>
      <c r="O1662" s="211"/>
    </row>
    <row r="1663" spans="1:15" s="208" customFormat="1" x14ac:dyDescent="0.2">
      <c r="A1663" s="214" t="str">
        <f t="shared" si="72"/>
        <v>sam263p_cpsw_3gcss_wrap_osvt_pct</v>
      </c>
      <c r="B1663" s="215" t="s">
        <v>6012</v>
      </c>
      <c r="C1663" s="214" t="s">
        <v>5354</v>
      </c>
      <c r="D1663" s="214"/>
      <c r="E1663" s="214" t="s">
        <v>5192</v>
      </c>
      <c r="F1663" s="178">
        <v>0.18</v>
      </c>
      <c r="G1663" s="231" t="s">
        <v>6248</v>
      </c>
      <c r="H1663" s="217"/>
      <c r="O1663" s="211"/>
    </row>
    <row r="1664" spans="1:15" s="208" customFormat="1" x14ac:dyDescent="0.2">
      <c r="A1664" s="214" t="str">
        <f t="shared" si="72"/>
        <v>sam263p_cpsw_3gcss_wrap_stdcell_area</v>
      </c>
      <c r="B1664" s="215" t="s">
        <v>6012</v>
      </c>
      <c r="C1664" s="214" t="s">
        <v>5230</v>
      </c>
      <c r="D1664" s="214"/>
      <c r="E1664" s="214" t="s">
        <v>5192</v>
      </c>
      <c r="F1664" s="180">
        <v>1.1100000000000001</v>
      </c>
      <c r="G1664" s="233" t="s">
        <v>6249</v>
      </c>
      <c r="H1664" s="217"/>
      <c r="O1664" s="211"/>
    </row>
    <row r="1665" spans="1:15" s="208" customFormat="1" x14ac:dyDescent="0.2">
      <c r="A1665" s="214" t="str">
        <f t="shared" si="72"/>
        <v>sam263p_cpsw_3gcss_wrap_svt_pct</v>
      </c>
      <c r="B1665" s="215" t="s">
        <v>6012</v>
      </c>
      <c r="C1665" s="214" t="s">
        <v>5356</v>
      </c>
      <c r="D1665" s="214"/>
      <c r="E1665" s="214" t="s">
        <v>5192</v>
      </c>
      <c r="F1665" s="178">
        <v>7.0000000000000007E-2</v>
      </c>
      <c r="G1665" s="231" t="s">
        <v>6250</v>
      </c>
      <c r="H1665" s="217"/>
      <c r="O1665" s="211"/>
    </row>
    <row r="1666" spans="1:15" s="22" customFormat="1" ht="15" x14ac:dyDescent="0.25">
      <c r="A1666" s="48" t="str">
        <f t="shared" si="72"/>
        <v>sam263p_cpsw_3gcss_wrap_tag</v>
      </c>
      <c r="B1666" s="59" t="s">
        <v>6012</v>
      </c>
      <c r="C1666" s="48" t="s">
        <v>5234</v>
      </c>
      <c r="D1666" s="48"/>
      <c r="E1666" s="48" t="s">
        <v>5192</v>
      </c>
      <c r="F1666" s="14" t="s">
        <v>5370</v>
      </c>
      <c r="G1666" s="21" t="s">
        <v>6201</v>
      </c>
      <c r="H1666" s="13"/>
      <c r="O1666" s="21"/>
    </row>
    <row r="1667" spans="1:15" s="22" customFormat="1" ht="15" x14ac:dyDescent="0.25">
      <c r="A1667" s="48" t="str">
        <f t="shared" si="72"/>
        <v>sam263p_cpsw_3gcss_wrap_type</v>
      </c>
      <c r="B1667" s="59" t="s">
        <v>6012</v>
      </c>
      <c r="C1667" s="48" t="s">
        <v>1</v>
      </c>
      <c r="D1667" s="48"/>
      <c r="E1667" s="48" t="s">
        <v>5192</v>
      </c>
      <c r="F1667" s="14" t="s">
        <v>5780</v>
      </c>
      <c r="G1667" s="21" t="s">
        <v>6201</v>
      </c>
      <c r="H1667" s="13"/>
      <c r="O1667" s="21"/>
    </row>
    <row r="1668" spans="1:15" x14ac:dyDescent="0.2">
      <c r="A1668" s="214" t="str">
        <f t="shared" si="72"/>
        <v>sam263p_cpsw_3gcss_wrap_vdd_dyn_idle_pct</v>
      </c>
      <c r="B1668" s="215" t="s">
        <v>6012</v>
      </c>
      <c r="C1668" s="214" t="s">
        <v>5363</v>
      </c>
      <c r="D1668" s="214"/>
      <c r="E1668" s="214" t="s">
        <v>5192</v>
      </c>
      <c r="F1668" s="248">
        <v>3.6478658536585364E-2</v>
      </c>
      <c r="G1668" s="236" t="s">
        <v>6201</v>
      </c>
      <c r="H1668" s="243"/>
    </row>
    <row r="1669" spans="1:15" s="22" customFormat="1" ht="15" x14ac:dyDescent="0.25">
      <c r="A1669" s="48" t="str">
        <f t="shared" si="72"/>
        <v>sam263p_cpsw_3gcss_wrap_vdd_dyn_int</v>
      </c>
      <c r="B1669" s="59" t="s">
        <v>6012</v>
      </c>
      <c r="C1669" s="48" t="s">
        <v>5361</v>
      </c>
      <c r="D1669" s="48"/>
      <c r="E1669" s="48" t="s">
        <v>5192</v>
      </c>
      <c r="F1669" s="206">
        <f>103.5/0.125</f>
        <v>828</v>
      </c>
      <c r="G1669" s="176" t="s">
        <v>6403</v>
      </c>
      <c r="H1669" s="13"/>
      <c r="O1669" s="21"/>
    </row>
    <row r="1670" spans="1:15" x14ac:dyDescent="0.2">
      <c r="A1670" s="214" t="str">
        <f t="shared" si="72"/>
        <v>sam263p_cpsw_3gcss_wrap_vdd_dyn_max_pct</v>
      </c>
      <c r="B1670" s="215" t="s">
        <v>6012</v>
      </c>
      <c r="C1670" s="214" t="s">
        <v>5364</v>
      </c>
      <c r="D1670" s="214"/>
      <c r="E1670" s="214" t="s">
        <v>5192</v>
      </c>
      <c r="F1670" s="14">
        <v>0.04</v>
      </c>
      <c r="G1670" s="236" t="s">
        <v>6552</v>
      </c>
      <c r="H1670" s="243"/>
    </row>
    <row r="1671" spans="1:15" x14ac:dyDescent="0.2">
      <c r="A1671" s="214" t="str">
        <f t="shared" si="72"/>
        <v>sam263p_cpsw_3gcss_wrap_vdd_dyn_peak_pct</v>
      </c>
      <c r="B1671" s="215" t="s">
        <v>6012</v>
      </c>
      <c r="C1671" s="214" t="s">
        <v>5365</v>
      </c>
      <c r="D1671" s="214"/>
      <c r="E1671" s="214" t="s">
        <v>5192</v>
      </c>
      <c r="F1671" s="14">
        <v>0.06</v>
      </c>
      <c r="G1671" s="236" t="s">
        <v>6552</v>
      </c>
      <c r="H1671" s="243"/>
    </row>
    <row r="1672" spans="1:15" s="22" customFormat="1" ht="15" x14ac:dyDescent="0.25">
      <c r="A1672" s="48" t="str">
        <f t="shared" si="72"/>
        <v>sam263p_cpsw_3gcss_wrap_vdd_dyn_sw</v>
      </c>
      <c r="B1672" s="59" t="s">
        <v>6012</v>
      </c>
      <c r="C1672" s="48" t="s">
        <v>5362</v>
      </c>
      <c r="D1672" s="48"/>
      <c r="E1672" s="48" t="s">
        <v>5192</v>
      </c>
      <c r="F1672" s="206">
        <f>126.6/0.125</f>
        <v>1012.8</v>
      </c>
      <c r="G1672" s="176" t="s">
        <v>6404</v>
      </c>
      <c r="H1672" s="13"/>
      <c r="O1672" s="21"/>
    </row>
    <row r="1673" spans="1:15" s="22" customFormat="1" ht="15" x14ac:dyDescent="0.25">
      <c r="A1673" s="48" t="str">
        <f t="shared" si="72"/>
        <v>sam263p_cpsw_3gcss_wrap_vdd_lkg</v>
      </c>
      <c r="B1673" s="59" t="s">
        <v>6012</v>
      </c>
      <c r="C1673" s="48" t="s">
        <v>5245</v>
      </c>
      <c r="D1673" s="48"/>
      <c r="E1673" s="48" t="s">
        <v>5192</v>
      </c>
      <c r="F1673" s="14">
        <f>(72.32/1.27)/2</f>
        <v>28.472440944881885</v>
      </c>
      <c r="G1673" s="21" t="s">
        <v>6429</v>
      </c>
      <c r="H1673" s="13"/>
      <c r="O1673" s="21"/>
    </row>
    <row r="1674" spans="1:15" s="22" customFormat="1" ht="15" x14ac:dyDescent="0.25">
      <c r="A1674" s="48" t="str">
        <f t="shared" si="72"/>
        <v>sam263p_cpsw_3gcss_wrap_vddr_lkg</v>
      </c>
      <c r="B1674" s="59" t="s">
        <v>6012</v>
      </c>
      <c r="C1674" s="48" t="s">
        <v>5246</v>
      </c>
      <c r="D1674" s="48"/>
      <c r="E1674" s="48" t="s">
        <v>5192</v>
      </c>
      <c r="F1674" s="20">
        <f>(539.1*(113.1/1.2))/36600.6</f>
        <v>1.3882333896165637</v>
      </c>
      <c r="G1674" s="176" t="s">
        <v>6401</v>
      </c>
      <c r="H1674" s="20">
        <f>(539.1*(113.1/1.2))/28611.5</f>
        <v>1.7758654736731734</v>
      </c>
      <c r="O1674" s="21"/>
    </row>
    <row r="1675" spans="1:15" s="208" customFormat="1" x14ac:dyDescent="0.2">
      <c r="A1675" s="214" t="str">
        <f t="shared" si="72"/>
        <v>sam263p_cpsw_3gcss_wrap_xsvt_pct</v>
      </c>
      <c r="B1675" s="215" t="s">
        <v>6012</v>
      </c>
      <c r="C1675" s="214" t="s">
        <v>5355</v>
      </c>
      <c r="D1675" s="214"/>
      <c r="E1675" s="214" t="s">
        <v>5192</v>
      </c>
      <c r="F1675" s="178">
        <v>0.75</v>
      </c>
      <c r="G1675" s="231" t="s">
        <v>6250</v>
      </c>
      <c r="H1675" s="217"/>
      <c r="O1675" s="211"/>
    </row>
    <row r="1676" spans="1:15" s="22" customFormat="1" ht="15" x14ac:dyDescent="0.25">
      <c r="A1676" s="48" t="str">
        <f t="shared" si="72"/>
        <v>sam263p_radar_hsm_corepac_accuracy_grade</v>
      </c>
      <c r="B1676" s="59" t="s">
        <v>6013</v>
      </c>
      <c r="C1676" s="48" t="s">
        <v>5366</v>
      </c>
      <c r="D1676" s="48"/>
      <c r="E1676" s="48" t="s">
        <v>5192</v>
      </c>
      <c r="F1676" s="14" t="s">
        <v>5369</v>
      </c>
      <c r="G1676" s="21" t="s">
        <v>6016</v>
      </c>
      <c r="H1676" s="13"/>
      <c r="O1676" s="21"/>
    </row>
    <row r="1677" spans="1:15" s="208" customFormat="1" x14ac:dyDescent="0.2">
      <c r="A1677" s="214" t="str">
        <f t="shared" si="72"/>
        <v>sam263p_radar_hsm_corepac_area</v>
      </c>
      <c r="B1677" s="215" t="s">
        <v>6013</v>
      </c>
      <c r="C1677" s="214" t="s">
        <v>5360</v>
      </c>
      <c r="D1677" s="214"/>
      <c r="E1677" s="214" t="s">
        <v>5192</v>
      </c>
      <c r="F1677" s="179">
        <v>2.73</v>
      </c>
      <c r="G1677" s="233" t="s">
        <v>6251</v>
      </c>
      <c r="H1677" s="217"/>
      <c r="O1677" s="211"/>
    </row>
    <row r="1678" spans="1:15" s="22" customFormat="1" ht="15" x14ac:dyDescent="0.25">
      <c r="A1678" s="48" t="str">
        <f t="shared" si="72"/>
        <v>sam263p_radar_hsm_corepac_data_source</v>
      </c>
      <c r="B1678" s="59" t="s">
        <v>6013</v>
      </c>
      <c r="C1678" s="48" t="s">
        <v>5368</v>
      </c>
      <c r="D1678" s="48"/>
      <c r="E1678" s="48" t="s">
        <v>5192</v>
      </c>
      <c r="F1678" s="14" t="s">
        <v>5371</v>
      </c>
      <c r="G1678" s="21" t="s">
        <v>6016</v>
      </c>
      <c r="H1678" s="13"/>
      <c r="O1678" s="21"/>
    </row>
    <row r="1679" spans="1:15" s="22" customFormat="1" ht="15" x14ac:dyDescent="0.25">
      <c r="A1679" s="48" t="str">
        <f t="shared" si="72"/>
        <v>sam263p_radar_hsm_corepac_description</v>
      </c>
      <c r="B1679" s="59" t="s">
        <v>6013</v>
      </c>
      <c r="C1679" s="48" t="s">
        <v>5379</v>
      </c>
      <c r="D1679" s="48"/>
      <c r="E1679" s="48" t="s">
        <v>5192</v>
      </c>
      <c r="F1679" s="14" t="s">
        <v>6015</v>
      </c>
      <c r="G1679" s="21" t="s">
        <v>6016</v>
      </c>
      <c r="H1679" s="13"/>
      <c r="O1679" s="21"/>
    </row>
    <row r="1680" spans="1:15" s="22" customFormat="1" ht="15" x14ac:dyDescent="0.25">
      <c r="A1680" s="48" t="str">
        <f t="shared" si="72"/>
        <v>sam263p_radar_hsm_corepac_first_soc</v>
      </c>
      <c r="B1680" s="59" t="s">
        <v>6013</v>
      </c>
      <c r="C1680" s="48" t="s">
        <v>5378</v>
      </c>
      <c r="D1680" s="48"/>
      <c r="E1680" s="48" t="s">
        <v>5192</v>
      </c>
      <c r="F1680" s="14" t="s">
        <v>5389</v>
      </c>
      <c r="G1680" s="21" t="s">
        <v>6016</v>
      </c>
      <c r="H1680" s="13"/>
      <c r="O1680" s="21"/>
    </row>
    <row r="1681" spans="1:15" s="22" customFormat="1" ht="15" x14ac:dyDescent="0.25">
      <c r="A1681" s="48" t="str">
        <f t="shared" si="72"/>
        <v>sam263p_radar_hsm_corepac_freq_trk</v>
      </c>
      <c r="B1681" s="59" t="s">
        <v>6013</v>
      </c>
      <c r="C1681" s="48" t="s">
        <v>5220</v>
      </c>
      <c r="D1681" s="48"/>
      <c r="E1681" s="48" t="s">
        <v>5192</v>
      </c>
      <c r="F1681" s="14">
        <v>200</v>
      </c>
      <c r="G1681" s="21" t="s">
        <v>6016</v>
      </c>
      <c r="H1681" s="13"/>
      <c r="O1681" s="21"/>
    </row>
    <row r="1682" spans="1:15" s="22" customFormat="1" ht="15" x14ac:dyDescent="0.25">
      <c r="A1682" s="48" t="str">
        <f t="shared" si="72"/>
        <v>sam263p_radar_hsm_corepac_function</v>
      </c>
      <c r="B1682" s="59" t="s">
        <v>6013</v>
      </c>
      <c r="C1682" s="48" t="s">
        <v>5367</v>
      </c>
      <c r="D1682" s="48"/>
      <c r="E1682" s="48" t="s">
        <v>5192</v>
      </c>
      <c r="F1682" s="14" t="s">
        <v>5862</v>
      </c>
      <c r="G1682" s="21" t="s">
        <v>6016</v>
      </c>
      <c r="H1682" s="13"/>
      <c r="O1682" s="21"/>
    </row>
    <row r="1683" spans="1:15" x14ac:dyDescent="0.2">
      <c r="A1683" s="214" t="str">
        <f t="shared" si="72"/>
        <v>sam263p_radar_hsm_corepac_kbits</v>
      </c>
      <c r="B1683" s="215" t="s">
        <v>6013</v>
      </c>
      <c r="C1683" s="214" t="s">
        <v>5224</v>
      </c>
      <c r="D1683" s="214"/>
      <c r="E1683" s="214" t="s">
        <v>5192</v>
      </c>
      <c r="F1683" s="242">
        <v>3700</v>
      </c>
      <c r="G1683" s="236" t="s">
        <v>6016</v>
      </c>
      <c r="H1683" s="243"/>
    </row>
    <row r="1684" spans="1:15" s="208" customFormat="1" x14ac:dyDescent="0.2">
      <c r="A1684" s="214" t="str">
        <f t="shared" si="72"/>
        <v>sam263p_radar_hsm_corepac_lvt_pct</v>
      </c>
      <c r="B1684" s="215" t="s">
        <v>6013</v>
      </c>
      <c r="C1684" s="214" t="s">
        <v>5357</v>
      </c>
      <c r="D1684" s="214"/>
      <c r="E1684" s="214" t="s">
        <v>5192</v>
      </c>
      <c r="F1684" s="222">
        <v>0</v>
      </c>
      <c r="G1684" s="211" t="s">
        <v>6016</v>
      </c>
      <c r="H1684" s="217"/>
      <c r="O1684" s="211"/>
    </row>
    <row r="1685" spans="1:15" s="208" customFormat="1" x14ac:dyDescent="0.2">
      <c r="A1685" s="214" t="str">
        <f t="shared" si="72"/>
        <v>sam263p_radar_hsm_corepac_macro_area</v>
      </c>
      <c r="B1685" s="215" t="s">
        <v>6013</v>
      </c>
      <c r="C1685" s="214" t="s">
        <v>5228</v>
      </c>
      <c r="D1685" s="214"/>
      <c r="E1685" s="214" t="s">
        <v>5192</v>
      </c>
      <c r="F1685" s="180">
        <v>1.28</v>
      </c>
      <c r="G1685" s="233" t="s">
        <v>6252</v>
      </c>
      <c r="H1685" s="217"/>
      <c r="O1685" s="211"/>
    </row>
    <row r="1686" spans="1:15" s="208" customFormat="1" x14ac:dyDescent="0.2">
      <c r="A1686" s="214" t="str">
        <f t="shared" si="72"/>
        <v>sam263p_radar_hsm_corepac_macros</v>
      </c>
      <c r="B1686" s="215" t="s">
        <v>6013</v>
      </c>
      <c r="C1686" s="214" t="s">
        <v>5229</v>
      </c>
      <c r="D1686" s="214"/>
      <c r="E1686" s="214" t="s">
        <v>5192</v>
      </c>
      <c r="F1686" s="216">
        <v>50</v>
      </c>
      <c r="G1686" s="211" t="s">
        <v>6016</v>
      </c>
      <c r="H1686" s="217"/>
      <c r="O1686" s="211"/>
    </row>
    <row r="1687" spans="1:15" s="208" customFormat="1" x14ac:dyDescent="0.2">
      <c r="A1687" s="214" t="str">
        <f t="shared" si="72"/>
        <v>sam263p_radar_hsm_corepac_osvt_pct</v>
      </c>
      <c r="B1687" s="215" t="s">
        <v>6013</v>
      </c>
      <c r="C1687" s="214" t="s">
        <v>5354</v>
      </c>
      <c r="D1687" s="214"/>
      <c r="E1687" s="214" t="s">
        <v>5192</v>
      </c>
      <c r="F1687" s="178">
        <v>6.5500000000000003E-2</v>
      </c>
      <c r="G1687" s="231" t="s">
        <v>6253</v>
      </c>
      <c r="H1687" s="217"/>
      <c r="O1687" s="211"/>
    </row>
    <row r="1688" spans="1:15" s="208" customFormat="1" x14ac:dyDescent="0.2">
      <c r="A1688" s="214" t="str">
        <f t="shared" si="72"/>
        <v>sam263p_radar_hsm_corepac_stdcell_area</v>
      </c>
      <c r="B1688" s="215" t="s">
        <v>6013</v>
      </c>
      <c r="C1688" s="214" t="s">
        <v>5230</v>
      </c>
      <c r="D1688" s="214"/>
      <c r="E1688" s="214" t="s">
        <v>5192</v>
      </c>
      <c r="F1688" s="180">
        <v>1.03</v>
      </c>
      <c r="G1688" s="233" t="s">
        <v>6254</v>
      </c>
      <c r="H1688" s="217"/>
      <c r="O1688" s="211"/>
    </row>
    <row r="1689" spans="1:15" s="208" customFormat="1" x14ac:dyDescent="0.2">
      <c r="A1689" s="214" t="str">
        <f t="shared" si="72"/>
        <v>sam263p_radar_hsm_corepac_svt_pct</v>
      </c>
      <c r="B1689" s="215" t="s">
        <v>6013</v>
      </c>
      <c r="C1689" s="214" t="s">
        <v>5356</v>
      </c>
      <c r="D1689" s="214"/>
      <c r="E1689" s="214" t="s">
        <v>5192</v>
      </c>
      <c r="F1689" s="178">
        <v>0.15559999999999999</v>
      </c>
      <c r="G1689" s="231" t="s">
        <v>6255</v>
      </c>
      <c r="H1689" s="217"/>
      <c r="O1689" s="211"/>
    </row>
    <row r="1690" spans="1:15" s="22" customFormat="1" ht="15" x14ac:dyDescent="0.25">
      <c r="A1690" s="48" t="str">
        <f t="shared" si="72"/>
        <v>sam263p_radar_hsm_corepac_tag</v>
      </c>
      <c r="B1690" s="59" t="s">
        <v>6013</v>
      </c>
      <c r="C1690" s="48" t="s">
        <v>5234</v>
      </c>
      <c r="D1690" s="48"/>
      <c r="E1690" s="48" t="s">
        <v>5192</v>
      </c>
      <c r="F1690" s="14" t="s">
        <v>6011</v>
      </c>
      <c r="G1690" s="21" t="s">
        <v>6016</v>
      </c>
      <c r="H1690" s="13"/>
      <c r="O1690" s="21"/>
    </row>
    <row r="1691" spans="1:15" s="22" customFormat="1" ht="15" x14ac:dyDescent="0.25">
      <c r="A1691" s="48" t="str">
        <f t="shared" si="72"/>
        <v>sam263p_radar_hsm_corepac_type</v>
      </c>
      <c r="B1691" s="59" t="s">
        <v>6013</v>
      </c>
      <c r="C1691" s="48" t="s">
        <v>1</v>
      </c>
      <c r="D1691" s="48"/>
      <c r="E1691" s="48" t="s">
        <v>5192</v>
      </c>
      <c r="F1691" s="14" t="s">
        <v>5782</v>
      </c>
      <c r="G1691" s="21" t="s">
        <v>6016</v>
      </c>
      <c r="H1691" s="13"/>
      <c r="O1691" s="21"/>
    </row>
    <row r="1692" spans="1:15" x14ac:dyDescent="0.2">
      <c r="A1692" s="214" t="str">
        <f t="shared" si="72"/>
        <v>sam263p_radar_hsm_corepac_vdd_dyn_idle_pct</v>
      </c>
      <c r="B1692" s="215" t="s">
        <v>6013</v>
      </c>
      <c r="C1692" s="214" t="s">
        <v>5363</v>
      </c>
      <c r="D1692" s="214"/>
      <c r="E1692" s="214" t="s">
        <v>5192</v>
      </c>
      <c r="F1692" s="248">
        <v>1.9199999999999998E-2</v>
      </c>
      <c r="G1692" s="236" t="s">
        <v>6045</v>
      </c>
      <c r="H1692" s="243"/>
    </row>
    <row r="1693" spans="1:15" s="22" customFormat="1" ht="15" x14ac:dyDescent="0.25">
      <c r="A1693" s="48" t="str">
        <f t="shared" si="72"/>
        <v>sam263p_radar_hsm_corepac_vdd_dyn_int</v>
      </c>
      <c r="B1693" s="59" t="s">
        <v>6013</v>
      </c>
      <c r="C1693" s="48" t="s">
        <v>5361</v>
      </c>
      <c r="D1693" s="48"/>
      <c r="E1693" s="48" t="s">
        <v>5192</v>
      </c>
      <c r="F1693" s="206">
        <v>1764</v>
      </c>
      <c r="G1693" s="176" t="s">
        <v>6232</v>
      </c>
      <c r="H1693" s="13"/>
      <c r="O1693" s="21"/>
    </row>
    <row r="1694" spans="1:15" x14ac:dyDescent="0.2">
      <c r="A1694" s="214" t="str">
        <f t="shared" si="72"/>
        <v>sam263p_radar_hsm_corepac_vdd_dyn_max_pct</v>
      </c>
      <c r="B1694" s="215" t="s">
        <v>6013</v>
      </c>
      <c r="C1694" s="214" t="s">
        <v>5364</v>
      </c>
      <c r="D1694" s="214"/>
      <c r="E1694" s="214" t="s">
        <v>5192</v>
      </c>
      <c r="F1694" s="249">
        <v>0.04</v>
      </c>
      <c r="G1694" s="236" t="s">
        <v>6016</v>
      </c>
      <c r="H1694" s="243"/>
    </row>
    <row r="1695" spans="1:15" x14ac:dyDescent="0.2">
      <c r="A1695" s="214" t="str">
        <f t="shared" si="72"/>
        <v>sam263p_radar_hsm_corepac_vdd_dyn_peak_pct</v>
      </c>
      <c r="B1695" s="215" t="s">
        <v>6013</v>
      </c>
      <c r="C1695" s="214" t="s">
        <v>5365</v>
      </c>
      <c r="D1695" s="214"/>
      <c r="E1695" s="214" t="s">
        <v>5192</v>
      </c>
      <c r="F1695" s="250">
        <v>0.06</v>
      </c>
      <c r="G1695" s="236" t="s">
        <v>6016</v>
      </c>
      <c r="H1695" s="243"/>
    </row>
    <row r="1696" spans="1:15" s="22" customFormat="1" ht="15" x14ac:dyDescent="0.25">
      <c r="A1696" s="48" t="str">
        <f t="shared" si="72"/>
        <v>sam263p_radar_hsm_corepac_vdd_dyn_sw</v>
      </c>
      <c r="B1696" s="59" t="s">
        <v>6013</v>
      </c>
      <c r="C1696" s="48" t="s">
        <v>5362</v>
      </c>
      <c r="D1696" s="48"/>
      <c r="E1696" s="48" t="s">
        <v>5192</v>
      </c>
      <c r="F1696" s="206">
        <v>1367</v>
      </c>
      <c r="G1696" s="176" t="s">
        <v>6233</v>
      </c>
      <c r="H1696" s="206">
        <f>136.7/0.125</f>
        <v>1093.5999999999999</v>
      </c>
      <c r="O1696" s="21"/>
    </row>
    <row r="1697" spans="1:15" s="22" customFormat="1" ht="15" x14ac:dyDescent="0.25">
      <c r="A1697" s="48" t="str">
        <f t="shared" si="72"/>
        <v>sam263p_radar_hsm_corepac_vdd_lkg</v>
      </c>
      <c r="B1697" s="59" t="s">
        <v>6013</v>
      </c>
      <c r="C1697" s="48" t="s">
        <v>5245</v>
      </c>
      <c r="D1697" s="48"/>
      <c r="E1697" s="48" t="s">
        <v>5192</v>
      </c>
      <c r="F1697" s="14">
        <f>1.16/1.13*65.25</f>
        <v>66.982300884955748</v>
      </c>
      <c r="G1697" s="171">
        <v>44796</v>
      </c>
      <c r="H1697" s="13"/>
      <c r="O1697" s="21"/>
    </row>
    <row r="1698" spans="1:15" s="22" customFormat="1" ht="15" x14ac:dyDescent="0.25">
      <c r="A1698" s="48" t="str">
        <f t="shared" si="72"/>
        <v>sam263p_radar_hsm_corepac_vddr_lkg</v>
      </c>
      <c r="B1698" s="59" t="s">
        <v>6013</v>
      </c>
      <c r="C1698" s="48" t="s">
        <v>5246</v>
      </c>
      <c r="D1698" s="48"/>
      <c r="E1698" s="48" t="s">
        <v>5192</v>
      </c>
      <c r="F1698" s="20">
        <f>(3700*(113.1/1.2))/36600.6</f>
        <v>9.5278492702305435</v>
      </c>
      <c r="G1698" s="171">
        <v>44796</v>
      </c>
      <c r="H1698" s="20">
        <f>(3700*(113.1/1.2))/28611.5</f>
        <v>12.188280935987278</v>
      </c>
      <c r="O1698" s="21"/>
    </row>
    <row r="1699" spans="1:15" s="208" customFormat="1" x14ac:dyDescent="0.2">
      <c r="A1699" s="214" t="str">
        <f t="shared" si="72"/>
        <v>sam263p_radar_hsm_corepac_xsvt_pct</v>
      </c>
      <c r="B1699" s="215" t="s">
        <v>6013</v>
      </c>
      <c r="C1699" s="214" t="s">
        <v>5355</v>
      </c>
      <c r="D1699" s="214"/>
      <c r="E1699" s="214" t="s">
        <v>5192</v>
      </c>
      <c r="F1699" s="178">
        <v>0.77890000000000004</v>
      </c>
      <c r="G1699" s="231" t="s">
        <v>6256</v>
      </c>
      <c r="H1699" s="217"/>
      <c r="O1699" s="211"/>
    </row>
    <row r="1700" spans="1:15" s="22" customFormat="1" ht="15" x14ac:dyDescent="0.25">
      <c r="A1700" s="48" t="str">
        <f t="shared" si="72"/>
        <v>sdfm_Description</v>
      </c>
      <c r="B1700" s="48" t="s">
        <v>5343</v>
      </c>
      <c r="C1700" s="48" t="s">
        <v>42</v>
      </c>
      <c r="D1700" s="48"/>
      <c r="E1700" s="48" t="s">
        <v>5192</v>
      </c>
      <c r="F1700" s="14" t="s">
        <v>5861</v>
      </c>
      <c r="G1700" s="55" t="s">
        <v>5344</v>
      </c>
      <c r="H1700" s="13"/>
      <c r="O1700" s="21"/>
    </row>
    <row r="1701" spans="1:15" s="22" customFormat="1" ht="15" x14ac:dyDescent="0.25">
      <c r="A1701" s="48" t="str">
        <f t="shared" si="72"/>
        <v>sdfm_First_SoC</v>
      </c>
      <c r="B1701" s="48" t="s">
        <v>5343</v>
      </c>
      <c r="C1701" s="48" t="s">
        <v>5216</v>
      </c>
      <c r="D1701" s="48"/>
      <c r="E1701" s="48" t="s">
        <v>5192</v>
      </c>
      <c r="F1701" s="14" t="s">
        <v>5795</v>
      </c>
      <c r="G1701" s="55"/>
      <c r="H1701" s="13"/>
      <c r="O1701" s="21"/>
    </row>
    <row r="1702" spans="1:15" s="22" customFormat="1" ht="15" x14ac:dyDescent="0.25">
      <c r="A1702" s="48" t="str">
        <f t="shared" si="72"/>
        <v>sdfm_Function</v>
      </c>
      <c r="B1702" s="48" t="s">
        <v>5343</v>
      </c>
      <c r="C1702" s="48" t="s">
        <v>5222</v>
      </c>
      <c r="D1702" s="48"/>
      <c r="E1702" s="48" t="s">
        <v>5192</v>
      </c>
      <c r="F1702" s="14" t="s">
        <v>5343</v>
      </c>
      <c r="G1702" s="55"/>
      <c r="H1702" s="13"/>
      <c r="O1702" s="21"/>
    </row>
    <row r="1703" spans="1:15" s="22" customFormat="1" ht="15" x14ac:dyDescent="0.25">
      <c r="A1703" s="48" t="str">
        <f t="shared" si="72"/>
        <v>sdfm_pinmux</v>
      </c>
      <c r="B1703" s="48" t="s">
        <v>5343</v>
      </c>
      <c r="C1703" s="48" t="s">
        <v>5270</v>
      </c>
      <c r="D1703" s="48"/>
      <c r="E1703" s="48" t="s">
        <v>5192</v>
      </c>
      <c r="F1703" s="14">
        <v>2</v>
      </c>
      <c r="G1703" s="55"/>
      <c r="H1703" s="13"/>
      <c r="O1703" s="21"/>
    </row>
    <row r="1704" spans="1:15" s="22" customFormat="1" ht="15" x14ac:dyDescent="0.25">
      <c r="A1704" s="48" t="str">
        <f t="shared" si="72"/>
        <v>sdfm_tag</v>
      </c>
      <c r="B1704" s="49" t="s">
        <v>5343</v>
      </c>
      <c r="C1704" s="49" t="s">
        <v>5234</v>
      </c>
      <c r="D1704" s="49"/>
      <c r="E1704" s="49" t="s">
        <v>5192</v>
      </c>
      <c r="F1704" s="14">
        <v>44499</v>
      </c>
      <c r="G1704" s="56" t="s">
        <v>5254</v>
      </c>
      <c r="H1704" s="13"/>
      <c r="O1704" s="21"/>
    </row>
    <row r="1705" spans="1:15" s="22" customFormat="1" ht="15" x14ac:dyDescent="0.25">
      <c r="A1705" s="48" t="str">
        <f t="shared" si="72"/>
        <v>sdfm_Type</v>
      </c>
      <c r="B1705" s="48" t="s">
        <v>5343</v>
      </c>
      <c r="C1705" s="48" t="s">
        <v>0</v>
      </c>
      <c r="D1705" s="48"/>
      <c r="E1705" s="48" t="s">
        <v>5192</v>
      </c>
      <c r="F1705" s="14" t="s">
        <v>5785</v>
      </c>
      <c r="G1705" s="55" t="s">
        <v>5288</v>
      </c>
      <c r="H1705" s="13"/>
      <c r="O1705" s="21"/>
    </row>
    <row r="1706" spans="1:15" s="22" customFormat="1" ht="15" x14ac:dyDescent="0.25">
      <c r="A1706" s="48" t="str">
        <f>B1706&amp;"_"&amp;C1706&amp;"_"&amp;D1706</f>
        <v>sdfm_vdd_dyn_on_1p8v</v>
      </c>
      <c r="B1706" s="48" t="s">
        <v>5343</v>
      </c>
      <c r="C1706" s="48" t="s">
        <v>5255</v>
      </c>
      <c r="D1706" s="48" t="s">
        <v>5160</v>
      </c>
      <c r="E1706" s="48" t="s">
        <v>5195</v>
      </c>
      <c r="F1706" s="14">
        <v>1.9910670911999997E-7</v>
      </c>
      <c r="G1706" s="55"/>
      <c r="H1706" s="13"/>
      <c r="O1706" s="21"/>
    </row>
    <row r="1707" spans="1:15" s="22" customFormat="1" ht="15" x14ac:dyDescent="0.25">
      <c r="A1707" s="48" t="str">
        <f>B1707&amp;"_"&amp;C1707&amp;"_"&amp;D1707</f>
        <v>sdfm_vdd_dyn_on_3p3v</v>
      </c>
      <c r="B1707" s="48" t="s">
        <v>5343</v>
      </c>
      <c r="C1707" s="48" t="s">
        <v>5255</v>
      </c>
      <c r="D1707" s="48" t="s">
        <v>5159</v>
      </c>
      <c r="E1707" s="48" t="s">
        <v>5195</v>
      </c>
      <c r="F1707" s="14">
        <v>5.5307419200000008E-8</v>
      </c>
      <c r="G1707" s="55"/>
      <c r="H1707" s="13"/>
      <c r="O1707" s="21"/>
    </row>
    <row r="1708" spans="1:15" s="22" customFormat="1" ht="15" x14ac:dyDescent="0.25">
      <c r="A1708" s="48" t="str">
        <f>B1708&amp;"_"&amp;C1708&amp;"_"&amp;D1708</f>
        <v>sdfm_vddh1_dyn_on_1p8v</v>
      </c>
      <c r="B1708" s="48" t="s">
        <v>5343</v>
      </c>
      <c r="C1708" s="48" t="s">
        <v>5256</v>
      </c>
      <c r="D1708" s="48" t="s">
        <v>5160</v>
      </c>
      <c r="E1708" s="48" t="s">
        <v>5195</v>
      </c>
      <c r="F1708" s="14">
        <v>0.1500841872</v>
      </c>
      <c r="G1708" s="55"/>
      <c r="H1708" s="13"/>
      <c r="O1708" s="21"/>
    </row>
    <row r="1709" spans="1:15" s="22" customFormat="1" ht="15" x14ac:dyDescent="0.25">
      <c r="A1709" s="48" t="str">
        <f>B1709&amp;"_"&amp;C1709&amp;"_"&amp;D1709</f>
        <v>sdfm_vddh2_dyn_on_3p3v</v>
      </c>
      <c r="B1709" s="48" t="s">
        <v>5343</v>
      </c>
      <c r="C1709" s="48" t="s">
        <v>5262</v>
      </c>
      <c r="D1709" s="48" t="s">
        <v>5159</v>
      </c>
      <c r="E1709" s="48" t="s">
        <v>5195</v>
      </c>
      <c r="F1709" s="14">
        <v>2.6135999999999998E-3</v>
      </c>
      <c r="G1709" s="55"/>
      <c r="H1709" s="13"/>
      <c r="O1709" s="21"/>
    </row>
    <row r="1710" spans="1:15" s="22" customFormat="1" ht="15" x14ac:dyDescent="0.25">
      <c r="A1710" s="48" t="str">
        <f t="shared" ref="A1710:A1715" si="73">B1710&amp;"_"&amp;C1710</f>
        <v>spi_Description</v>
      </c>
      <c r="B1710" s="48" t="s">
        <v>5345</v>
      </c>
      <c r="C1710" s="48" t="s">
        <v>42</v>
      </c>
      <c r="D1710" s="48"/>
      <c r="E1710" s="48" t="s">
        <v>5192</v>
      </c>
      <c r="F1710" s="14" t="s">
        <v>5865</v>
      </c>
      <c r="G1710" s="55" t="s">
        <v>5346</v>
      </c>
      <c r="H1710" s="13"/>
      <c r="O1710" s="21"/>
    </row>
    <row r="1711" spans="1:15" s="22" customFormat="1" ht="15" x14ac:dyDescent="0.25">
      <c r="A1711" s="48" t="str">
        <f t="shared" si="73"/>
        <v>spi_First_SoC</v>
      </c>
      <c r="B1711" s="48" t="s">
        <v>5345</v>
      </c>
      <c r="C1711" s="48" t="s">
        <v>5216</v>
      </c>
      <c r="D1711" s="48"/>
      <c r="E1711" s="48" t="s">
        <v>5192</v>
      </c>
      <c r="F1711" s="14" t="s">
        <v>5841</v>
      </c>
      <c r="G1711" s="55"/>
      <c r="H1711" s="13"/>
      <c r="O1711" s="21"/>
    </row>
    <row r="1712" spans="1:15" s="22" customFormat="1" ht="15" x14ac:dyDescent="0.25">
      <c r="A1712" s="48" t="str">
        <f t="shared" si="73"/>
        <v>spi_Function</v>
      </c>
      <c r="B1712" s="48" t="s">
        <v>5345</v>
      </c>
      <c r="C1712" s="48" t="s">
        <v>5222</v>
      </c>
      <c r="D1712" s="48"/>
      <c r="E1712" s="48" t="s">
        <v>5192</v>
      </c>
      <c r="F1712" s="14" t="s">
        <v>5345</v>
      </c>
      <c r="G1712" s="55" t="s">
        <v>5260</v>
      </c>
      <c r="H1712" s="13"/>
      <c r="O1712" s="21"/>
    </row>
    <row r="1713" spans="1:15" s="22" customFormat="1" ht="15" x14ac:dyDescent="0.25">
      <c r="A1713" s="48" t="str">
        <f t="shared" si="73"/>
        <v>spi_Pinmux</v>
      </c>
      <c r="B1713" s="48" t="s">
        <v>5345</v>
      </c>
      <c r="C1713" s="48" t="s">
        <v>5261</v>
      </c>
      <c r="D1713" s="48"/>
      <c r="E1713" s="48" t="s">
        <v>5192</v>
      </c>
      <c r="F1713" s="14">
        <v>4</v>
      </c>
      <c r="G1713" s="55"/>
      <c r="H1713" s="13"/>
      <c r="O1713" s="21"/>
    </row>
    <row r="1714" spans="1:15" s="22" customFormat="1" ht="15" x14ac:dyDescent="0.25">
      <c r="A1714" s="48" t="str">
        <f t="shared" si="73"/>
        <v>spi_tag</v>
      </c>
      <c r="B1714" s="49" t="s">
        <v>5345</v>
      </c>
      <c r="C1714" s="49" t="s">
        <v>5234</v>
      </c>
      <c r="D1714" s="49"/>
      <c r="E1714" s="49" t="s">
        <v>5192</v>
      </c>
      <c r="F1714" s="14">
        <v>44499</v>
      </c>
      <c r="G1714" s="56" t="s">
        <v>5254</v>
      </c>
      <c r="H1714" s="13"/>
      <c r="O1714" s="21"/>
    </row>
    <row r="1715" spans="1:15" s="22" customFormat="1" ht="15" x14ac:dyDescent="0.25">
      <c r="A1715" s="48" t="str">
        <f t="shared" si="73"/>
        <v>spi_Type</v>
      </c>
      <c r="B1715" s="48" t="s">
        <v>5345</v>
      </c>
      <c r="C1715" s="48" t="s">
        <v>0</v>
      </c>
      <c r="D1715" s="48"/>
      <c r="E1715" s="48" t="s">
        <v>5192</v>
      </c>
      <c r="F1715" s="14" t="s">
        <v>5785</v>
      </c>
      <c r="G1715" s="55" t="s">
        <v>5260</v>
      </c>
      <c r="H1715" s="13"/>
      <c r="O1715" s="21"/>
    </row>
    <row r="1716" spans="1:15" s="22" customFormat="1" ht="15" x14ac:dyDescent="0.25">
      <c r="A1716" s="48" t="str">
        <f t="shared" ref="A1716:A1747" si="74">B1716&amp;"_"&amp;C1716&amp;"_"&amp;D1716</f>
        <v>spi_vdd_dyn_Master_1.563_Mbaud_1p8v</v>
      </c>
      <c r="B1716" s="48" t="s">
        <v>5345</v>
      </c>
      <c r="C1716" s="48" t="s">
        <v>5255</v>
      </c>
      <c r="D1716" s="48" t="s">
        <v>5116</v>
      </c>
      <c r="E1716" s="48" t="s">
        <v>5195</v>
      </c>
      <c r="F1716" s="14">
        <v>2.6507968648919998E-7</v>
      </c>
      <c r="G1716" s="55" t="s">
        <v>5260</v>
      </c>
      <c r="H1716" s="13"/>
      <c r="O1716" s="21"/>
    </row>
    <row r="1717" spans="1:15" s="22" customFormat="1" ht="15" x14ac:dyDescent="0.25">
      <c r="A1717" s="48" t="str">
        <f t="shared" si="74"/>
        <v>spi_vdd_dyn_Master_1.563_Mbaud_3p3v</v>
      </c>
      <c r="B1717" s="48" t="s">
        <v>5345</v>
      </c>
      <c r="C1717" s="48" t="s">
        <v>5255</v>
      </c>
      <c r="D1717" s="48" t="s">
        <v>5105</v>
      </c>
      <c r="E1717" s="48" t="s">
        <v>5195</v>
      </c>
      <c r="F1717" s="14">
        <v>2.6507968648919998E-7</v>
      </c>
      <c r="G1717" s="55" t="s">
        <v>5260</v>
      </c>
      <c r="H1717" s="13"/>
      <c r="O1717" s="21"/>
    </row>
    <row r="1718" spans="1:15" s="22" customFormat="1" ht="15" x14ac:dyDescent="0.25">
      <c r="A1718" s="48" t="str">
        <f t="shared" si="74"/>
        <v>spi_vdd_dyn_Master_12.5_Mbaud_1p8v</v>
      </c>
      <c r="B1718" s="48" t="s">
        <v>5345</v>
      </c>
      <c r="C1718" s="48" t="s">
        <v>5255</v>
      </c>
      <c r="D1718" s="48" t="s">
        <v>5112</v>
      </c>
      <c r="E1718" s="48" t="s">
        <v>5195</v>
      </c>
      <c r="F1718" s="14">
        <v>2.1199591050000002E-6</v>
      </c>
      <c r="G1718" s="55" t="s">
        <v>5260</v>
      </c>
      <c r="H1718" s="13"/>
      <c r="O1718" s="21"/>
    </row>
    <row r="1719" spans="1:15" s="22" customFormat="1" ht="15" x14ac:dyDescent="0.25">
      <c r="A1719" s="48" t="str">
        <f t="shared" si="74"/>
        <v>spi_vdd_dyn_Master_12.5_Mbaud_3p3v</v>
      </c>
      <c r="B1719" s="48" t="s">
        <v>5345</v>
      </c>
      <c r="C1719" s="48" t="s">
        <v>5255</v>
      </c>
      <c r="D1719" s="48" t="s">
        <v>5101</v>
      </c>
      <c r="E1719" s="48" t="s">
        <v>5195</v>
      </c>
      <c r="F1719" s="14">
        <v>2.1199591050000002E-6</v>
      </c>
      <c r="G1719" s="55" t="s">
        <v>5260</v>
      </c>
      <c r="H1719" s="13"/>
      <c r="O1719" s="21"/>
    </row>
    <row r="1720" spans="1:15" s="22" customFormat="1" ht="15" x14ac:dyDescent="0.25">
      <c r="A1720" s="48" t="str">
        <f t="shared" si="74"/>
        <v>spi_vdd_dyn_Master_2.083_Mbaud_1p8v</v>
      </c>
      <c r="B1720" s="48" t="s">
        <v>5345</v>
      </c>
      <c r="C1720" s="48" t="s">
        <v>5255</v>
      </c>
      <c r="D1720" s="48" t="s">
        <v>5115</v>
      </c>
      <c r="E1720" s="48" t="s">
        <v>5195</v>
      </c>
      <c r="F1720" s="14">
        <v>3.532699852572E-7</v>
      </c>
      <c r="G1720" s="55" t="s">
        <v>5260</v>
      </c>
      <c r="H1720" s="13"/>
      <c r="O1720" s="21"/>
    </row>
    <row r="1721" spans="1:15" s="22" customFormat="1" ht="15" x14ac:dyDescent="0.25">
      <c r="A1721" s="48" t="str">
        <f t="shared" si="74"/>
        <v>spi_vdd_dyn_Master_2.083_Mbaud_3p3v</v>
      </c>
      <c r="B1721" s="48" t="s">
        <v>5345</v>
      </c>
      <c r="C1721" s="48" t="s">
        <v>5255</v>
      </c>
      <c r="D1721" s="48" t="s">
        <v>5104</v>
      </c>
      <c r="E1721" s="48" t="s">
        <v>5195</v>
      </c>
      <c r="F1721" s="14">
        <v>3.532699852572E-7</v>
      </c>
      <c r="G1721" s="55" t="s">
        <v>5260</v>
      </c>
      <c r="H1721" s="13"/>
      <c r="O1721" s="21"/>
    </row>
    <row r="1722" spans="1:15" s="22" customFormat="1" ht="15" x14ac:dyDescent="0.25">
      <c r="A1722" s="48" t="str">
        <f t="shared" si="74"/>
        <v>spi_vdd_dyn_Master_25_Mbaud_1p8v</v>
      </c>
      <c r="B1722" s="48" t="s">
        <v>5345</v>
      </c>
      <c r="C1722" s="48" t="s">
        <v>5255</v>
      </c>
      <c r="D1722" s="48" t="s">
        <v>5111</v>
      </c>
      <c r="E1722" s="48" t="s">
        <v>5195</v>
      </c>
      <c r="F1722" s="14">
        <v>4.2399182100000005E-6</v>
      </c>
      <c r="G1722" s="55" t="s">
        <v>5260</v>
      </c>
      <c r="H1722" s="13"/>
      <c r="O1722" s="21"/>
    </row>
    <row r="1723" spans="1:15" s="22" customFormat="1" ht="15" x14ac:dyDescent="0.25">
      <c r="A1723" s="48" t="str">
        <f t="shared" si="74"/>
        <v>spi_vdd_dyn_Master_25_Mbaud_3p3v</v>
      </c>
      <c r="B1723" s="48" t="s">
        <v>5345</v>
      </c>
      <c r="C1723" s="48" t="s">
        <v>5255</v>
      </c>
      <c r="D1723" s="48" t="s">
        <v>5100</v>
      </c>
      <c r="E1723" s="48" t="s">
        <v>5195</v>
      </c>
      <c r="F1723" s="14">
        <v>4.2399182100000005E-6</v>
      </c>
      <c r="G1723" s="55" t="s">
        <v>5260</v>
      </c>
      <c r="H1723" s="13"/>
      <c r="O1723" s="21"/>
    </row>
    <row r="1724" spans="1:15" s="22" customFormat="1" ht="15" x14ac:dyDescent="0.25">
      <c r="A1724" s="48" t="str">
        <f t="shared" si="74"/>
        <v>spi_vdd_dyn_Master_3.125_Mbaud_1p8v</v>
      </c>
      <c r="B1724" s="48" t="s">
        <v>5345</v>
      </c>
      <c r="C1724" s="48" t="s">
        <v>5255</v>
      </c>
      <c r="D1724" s="48" t="s">
        <v>5114</v>
      </c>
      <c r="E1724" s="48" t="s">
        <v>5195</v>
      </c>
      <c r="F1724" s="14">
        <v>5.2998977625000006E-7</v>
      </c>
      <c r="G1724" s="55" t="s">
        <v>5260</v>
      </c>
      <c r="H1724" s="13"/>
      <c r="O1724" s="21"/>
    </row>
    <row r="1725" spans="1:15" s="22" customFormat="1" ht="15" x14ac:dyDescent="0.25">
      <c r="A1725" s="48" t="str">
        <f t="shared" si="74"/>
        <v>spi_vdd_dyn_Master_3.125_Mbaud_3p3v</v>
      </c>
      <c r="B1725" s="48" t="s">
        <v>5345</v>
      </c>
      <c r="C1725" s="48" t="s">
        <v>5255</v>
      </c>
      <c r="D1725" s="48" t="s">
        <v>5103</v>
      </c>
      <c r="E1725" s="48" t="s">
        <v>5195</v>
      </c>
      <c r="F1725" s="14">
        <v>5.2998977625000006E-7</v>
      </c>
      <c r="G1725" s="55" t="s">
        <v>5260</v>
      </c>
      <c r="H1725" s="13"/>
      <c r="O1725" s="21"/>
    </row>
    <row r="1726" spans="1:15" s="22" customFormat="1" ht="15" x14ac:dyDescent="0.25">
      <c r="A1726" s="48" t="str">
        <f t="shared" si="74"/>
        <v>spi_vdd_dyn_Master_40_Mbaud_1p8v</v>
      </c>
      <c r="B1726" s="48" t="s">
        <v>5345</v>
      </c>
      <c r="C1726" s="48" t="s">
        <v>5255</v>
      </c>
      <c r="D1726" s="48" t="s">
        <v>5989</v>
      </c>
      <c r="E1726" s="48" t="s">
        <v>5195</v>
      </c>
      <c r="F1726" s="14">
        <v>6.7838691360000011E-6</v>
      </c>
      <c r="G1726" s="55" t="s">
        <v>5260</v>
      </c>
      <c r="H1726" s="13"/>
      <c r="O1726" s="21"/>
    </row>
    <row r="1727" spans="1:15" customFormat="1" ht="15" x14ac:dyDescent="0.25">
      <c r="A1727" s="55" t="str">
        <f t="shared" si="74"/>
        <v>spi_vdd_dyn_Master_40_Mbaud_3p3v</v>
      </c>
      <c r="B1727" s="55" t="s">
        <v>5345</v>
      </c>
      <c r="C1727" s="55" t="s">
        <v>5255</v>
      </c>
      <c r="D1727" s="55" t="s">
        <v>5990</v>
      </c>
      <c r="E1727" s="55" t="s">
        <v>5195</v>
      </c>
      <c r="F1727" s="14">
        <v>6.7838691360000011E-6</v>
      </c>
      <c r="G1727" s="55" t="s">
        <v>5260</v>
      </c>
      <c r="H1727" s="13"/>
      <c r="O1727" s="21"/>
    </row>
    <row r="1728" spans="1:15" s="22" customFormat="1" ht="15" x14ac:dyDescent="0.25">
      <c r="A1728" s="48" t="str">
        <f t="shared" si="74"/>
        <v>spi_vdd_dyn_Master_6.25_Mbaud_1p8v</v>
      </c>
      <c r="B1728" s="48" t="s">
        <v>5345</v>
      </c>
      <c r="C1728" s="48" t="s">
        <v>5255</v>
      </c>
      <c r="D1728" s="48" t="s">
        <v>5113</v>
      </c>
      <c r="E1728" s="48" t="s">
        <v>5195</v>
      </c>
      <c r="F1728" s="14">
        <v>1.0599795525000001E-6</v>
      </c>
      <c r="G1728" s="48" t="s">
        <v>5260</v>
      </c>
      <c r="H1728" s="13"/>
      <c r="O1728" s="21"/>
    </row>
    <row r="1729" spans="1:15" s="22" customFormat="1" ht="15" x14ac:dyDescent="0.25">
      <c r="A1729" s="48" t="str">
        <f t="shared" si="74"/>
        <v>spi_vdd_dyn_Master_6.25_Mbaud_3p3v</v>
      </c>
      <c r="B1729" s="48" t="s">
        <v>5345</v>
      </c>
      <c r="C1729" s="48" t="s">
        <v>5255</v>
      </c>
      <c r="D1729" s="48" t="s">
        <v>5102</v>
      </c>
      <c r="E1729" s="48" t="s">
        <v>5195</v>
      </c>
      <c r="F1729" s="14">
        <v>1.0599795525000001E-6</v>
      </c>
      <c r="G1729" s="48" t="s">
        <v>5260</v>
      </c>
      <c r="H1729" s="13"/>
      <c r="O1729" s="21"/>
    </row>
    <row r="1730" spans="1:15" s="22" customFormat="1" ht="15" x14ac:dyDescent="0.25">
      <c r="A1730" s="48" t="str">
        <f t="shared" si="74"/>
        <v>spi_vdd_dyn_off</v>
      </c>
      <c r="B1730" s="48" t="s">
        <v>5345</v>
      </c>
      <c r="C1730" s="48" t="s">
        <v>5255</v>
      </c>
      <c r="D1730" s="48" t="s">
        <v>4798</v>
      </c>
      <c r="E1730" s="48" t="s">
        <v>5195</v>
      </c>
      <c r="F1730" s="14">
        <v>0</v>
      </c>
      <c r="G1730" s="48" t="s">
        <v>5260</v>
      </c>
      <c r="H1730" s="13"/>
      <c r="O1730" s="21"/>
    </row>
    <row r="1731" spans="1:15" s="22" customFormat="1" ht="15" x14ac:dyDescent="0.25">
      <c r="A1731" s="48" t="str">
        <f t="shared" si="74"/>
        <v>spi_vdd_dyn_Slave_12.5_Mbaud_1p8v</v>
      </c>
      <c r="B1731" s="48" t="s">
        <v>5345</v>
      </c>
      <c r="C1731" s="48" t="s">
        <v>5255</v>
      </c>
      <c r="D1731" s="48" t="s">
        <v>5118</v>
      </c>
      <c r="E1731" s="48" t="s">
        <v>5195</v>
      </c>
      <c r="F1731" s="14">
        <v>1.9468984524000001E-6</v>
      </c>
      <c r="G1731" s="48" t="s">
        <v>5260</v>
      </c>
      <c r="H1731" s="13"/>
      <c r="O1731" s="21"/>
    </row>
    <row r="1732" spans="1:15" s="22" customFormat="1" ht="15" x14ac:dyDescent="0.25">
      <c r="A1732" s="48" t="str">
        <f t="shared" si="74"/>
        <v>spi_vdd_dyn_Slave_12.5_Mbaud_3p3v</v>
      </c>
      <c r="B1732" s="48" t="s">
        <v>5345</v>
      </c>
      <c r="C1732" s="48" t="s">
        <v>5255</v>
      </c>
      <c r="D1732" s="48" t="s">
        <v>5107</v>
      </c>
      <c r="E1732" s="48" t="s">
        <v>5195</v>
      </c>
      <c r="F1732" s="14">
        <v>1.9468984524000001E-6</v>
      </c>
      <c r="G1732" s="48" t="s">
        <v>5260</v>
      </c>
      <c r="H1732" s="13"/>
      <c r="O1732" s="21"/>
    </row>
    <row r="1733" spans="1:15" s="22" customFormat="1" ht="15" x14ac:dyDescent="0.25">
      <c r="A1733" s="48" t="str">
        <f t="shared" si="74"/>
        <v>spi_vdd_dyn_Slave_2.083_Mbaud_1p8v</v>
      </c>
      <c r="B1733" s="48" t="s">
        <v>5345</v>
      </c>
      <c r="C1733" s="48" t="s">
        <v>5255</v>
      </c>
      <c r="D1733" s="48" t="s">
        <v>5121</v>
      </c>
      <c r="E1733" s="48" t="s">
        <v>5195</v>
      </c>
      <c r="F1733" s="14">
        <v>2.43440182488096E-7</v>
      </c>
      <c r="G1733" s="48" t="s">
        <v>5260</v>
      </c>
      <c r="H1733" s="21"/>
      <c r="O1733" s="21"/>
    </row>
    <row r="1734" spans="1:15" s="22" customFormat="1" ht="15" x14ac:dyDescent="0.25">
      <c r="A1734" s="48" t="str">
        <f t="shared" si="74"/>
        <v>spi_vdd_dyn_Slave_2.083_Mbaud_1p8v</v>
      </c>
      <c r="B1734" s="48" t="s">
        <v>5345</v>
      </c>
      <c r="C1734" s="48" t="s">
        <v>5255</v>
      </c>
      <c r="D1734" s="48" t="s">
        <v>5121</v>
      </c>
      <c r="E1734" s="48" t="s">
        <v>5195</v>
      </c>
      <c r="F1734" s="14">
        <v>3.24431158107936E-7</v>
      </c>
      <c r="G1734" s="48" t="s">
        <v>5260</v>
      </c>
      <c r="H1734" s="21"/>
      <c r="O1734" s="21"/>
    </row>
    <row r="1735" spans="1:15" s="22" customFormat="1" ht="15" x14ac:dyDescent="0.25">
      <c r="A1735" s="48" t="str">
        <f t="shared" si="74"/>
        <v>spi_vdd_dyn_Slave_2.083_Mbaud_3p3v</v>
      </c>
      <c r="B1735" s="48" t="s">
        <v>5345</v>
      </c>
      <c r="C1735" s="48" t="s">
        <v>5255</v>
      </c>
      <c r="D1735" s="48" t="s">
        <v>5110</v>
      </c>
      <c r="E1735" s="48" t="s">
        <v>5195</v>
      </c>
      <c r="F1735" s="14">
        <v>2.43440182488096E-7</v>
      </c>
      <c r="G1735" s="48" t="s">
        <v>5260</v>
      </c>
      <c r="H1735" s="21"/>
      <c r="O1735" s="21"/>
    </row>
    <row r="1736" spans="1:15" s="22" customFormat="1" ht="15" x14ac:dyDescent="0.25">
      <c r="A1736" s="48" t="str">
        <f t="shared" si="74"/>
        <v>spi_vdd_dyn_Slave_2.083_Mbaud_3p3v</v>
      </c>
      <c r="B1736" s="48" t="s">
        <v>5345</v>
      </c>
      <c r="C1736" s="48" t="s">
        <v>5255</v>
      </c>
      <c r="D1736" s="48" t="s">
        <v>5110</v>
      </c>
      <c r="E1736" s="48" t="s">
        <v>5195</v>
      </c>
      <c r="F1736" s="14">
        <v>3.24431158107936E-7</v>
      </c>
      <c r="G1736" s="48" t="s">
        <v>5260</v>
      </c>
      <c r="H1736" s="21"/>
      <c r="O1736" s="21"/>
    </row>
    <row r="1737" spans="1:15" s="22" customFormat="1" ht="15" x14ac:dyDescent="0.25">
      <c r="A1737" s="48" t="str">
        <f t="shared" si="74"/>
        <v>spi_vdd_dyn_Slave_25_Mbaud_1p8v</v>
      </c>
      <c r="B1737" s="48" t="s">
        <v>5345</v>
      </c>
      <c r="C1737" s="48" t="s">
        <v>5255</v>
      </c>
      <c r="D1737" s="48" t="s">
        <v>5117</v>
      </c>
      <c r="E1737" s="48" t="s">
        <v>5195</v>
      </c>
      <c r="F1737" s="14">
        <v>3.8937969048000003E-6</v>
      </c>
      <c r="G1737" s="48" t="s">
        <v>5260</v>
      </c>
      <c r="H1737" s="21"/>
      <c r="O1737" s="21"/>
    </row>
    <row r="1738" spans="1:15" s="22" customFormat="1" ht="15" x14ac:dyDescent="0.25">
      <c r="A1738" s="48" t="str">
        <f t="shared" si="74"/>
        <v>spi_vdd_dyn_Slave_25_Mbaud_3p3v</v>
      </c>
      <c r="B1738" s="48" t="s">
        <v>5345</v>
      </c>
      <c r="C1738" s="48" t="s">
        <v>5255</v>
      </c>
      <c r="D1738" s="48" t="s">
        <v>5106</v>
      </c>
      <c r="E1738" s="48" t="s">
        <v>5195</v>
      </c>
      <c r="F1738" s="14">
        <v>3.8937969048000003E-6</v>
      </c>
      <c r="G1738" s="48" t="s">
        <v>5260</v>
      </c>
      <c r="H1738" s="21"/>
      <c r="O1738" s="21"/>
    </row>
    <row r="1739" spans="1:15" s="22" customFormat="1" ht="15" x14ac:dyDescent="0.25">
      <c r="A1739" s="48" t="str">
        <f t="shared" si="74"/>
        <v>spi_vdd_dyn_Slave_3.125_Mbaud_1p8v</v>
      </c>
      <c r="B1739" s="48" t="s">
        <v>5345</v>
      </c>
      <c r="C1739" s="48" t="s">
        <v>5255</v>
      </c>
      <c r="D1739" s="48" t="s">
        <v>5120</v>
      </c>
      <c r="E1739" s="48" t="s">
        <v>5195</v>
      </c>
      <c r="F1739" s="14">
        <v>4.8672461310000003E-7</v>
      </c>
      <c r="G1739" s="48" t="s">
        <v>5260</v>
      </c>
      <c r="H1739" s="21"/>
      <c r="O1739" s="21"/>
    </row>
    <row r="1740" spans="1:15" s="22" customFormat="1" ht="15" x14ac:dyDescent="0.25">
      <c r="A1740" s="48" t="str">
        <f t="shared" si="74"/>
        <v>spi_vdd_dyn_Slave_3.125_Mbaud_3p3v</v>
      </c>
      <c r="B1740" s="48" t="s">
        <v>5345</v>
      </c>
      <c r="C1740" s="48" t="s">
        <v>5255</v>
      </c>
      <c r="D1740" s="48" t="s">
        <v>5109</v>
      </c>
      <c r="E1740" s="48" t="s">
        <v>5195</v>
      </c>
      <c r="F1740" s="14">
        <v>4.8672461310000003E-7</v>
      </c>
      <c r="G1740" s="48" t="s">
        <v>5260</v>
      </c>
      <c r="H1740" s="21"/>
      <c r="O1740" s="21"/>
    </row>
    <row r="1741" spans="1:15" s="22" customFormat="1" ht="15" x14ac:dyDescent="0.25">
      <c r="A1741" s="48" t="str">
        <f t="shared" si="74"/>
        <v>spi_vdd_dyn_Slave_40_Mbaud_1p8v</v>
      </c>
      <c r="B1741" s="48" t="s">
        <v>5345</v>
      </c>
      <c r="C1741" s="48" t="s">
        <v>5255</v>
      </c>
      <c r="D1741" s="48" t="s">
        <v>5991</v>
      </c>
      <c r="E1741" s="48" t="s">
        <v>5195</v>
      </c>
      <c r="F1741" s="14">
        <v>6.2300750476800011E-6</v>
      </c>
      <c r="G1741" s="48" t="s">
        <v>5260</v>
      </c>
      <c r="H1741" s="21"/>
      <c r="O1741" s="21"/>
    </row>
    <row r="1742" spans="1:15" s="22" customFormat="1" ht="15" x14ac:dyDescent="0.25">
      <c r="A1742" s="48" t="str">
        <f t="shared" si="74"/>
        <v>spi_vdd_dyn_Slave_40_Mbaud_3p3v</v>
      </c>
      <c r="B1742" s="48" t="s">
        <v>5345</v>
      </c>
      <c r="C1742" s="48" t="s">
        <v>5255</v>
      </c>
      <c r="D1742" s="48" t="s">
        <v>5992</v>
      </c>
      <c r="E1742" s="48" t="s">
        <v>5195</v>
      </c>
      <c r="F1742" s="14">
        <v>6.2300750476800011E-6</v>
      </c>
      <c r="G1742" s="48" t="s">
        <v>5260</v>
      </c>
      <c r="H1742" s="21"/>
      <c r="O1742" s="21"/>
    </row>
    <row r="1743" spans="1:15" s="22" customFormat="1" ht="15" x14ac:dyDescent="0.25">
      <c r="A1743" s="48" t="str">
        <f t="shared" si="74"/>
        <v>spi_vdd_dyn_Slave_6.25_Mbaud_1p8v</v>
      </c>
      <c r="B1743" s="48" t="s">
        <v>5345</v>
      </c>
      <c r="C1743" s="48" t="s">
        <v>5255</v>
      </c>
      <c r="D1743" s="48" t="s">
        <v>5119</v>
      </c>
      <c r="E1743" s="48" t="s">
        <v>5195</v>
      </c>
      <c r="F1743" s="14">
        <v>9.7344922620000007E-7</v>
      </c>
      <c r="G1743" s="48" t="s">
        <v>5260</v>
      </c>
      <c r="H1743" s="21"/>
      <c r="O1743" s="21"/>
    </row>
    <row r="1744" spans="1:15" s="22" customFormat="1" ht="15" x14ac:dyDescent="0.25">
      <c r="A1744" s="48" t="str">
        <f t="shared" si="74"/>
        <v>spi_vdd_dyn_Slave_6.25_Mbaud_3p3v</v>
      </c>
      <c r="B1744" s="48" t="s">
        <v>5345</v>
      </c>
      <c r="C1744" s="48" t="s">
        <v>5255</v>
      </c>
      <c r="D1744" s="48" t="s">
        <v>5108</v>
      </c>
      <c r="E1744" s="48" t="s">
        <v>5195</v>
      </c>
      <c r="F1744" s="14">
        <v>9.7344922620000007E-7</v>
      </c>
      <c r="G1744" s="48" t="s">
        <v>5260</v>
      </c>
      <c r="H1744" s="21"/>
      <c r="O1744" s="21"/>
    </row>
    <row r="1745" spans="1:15" s="22" customFormat="1" ht="15" x14ac:dyDescent="0.25">
      <c r="A1745" s="48" t="str">
        <f t="shared" si="74"/>
        <v>spi_vddh1_dyn_Master_1.563_Mbaud_1p8v</v>
      </c>
      <c r="B1745" s="48" t="s">
        <v>5345</v>
      </c>
      <c r="C1745" s="48" t="s">
        <v>5256</v>
      </c>
      <c r="D1745" s="48" t="s">
        <v>5116</v>
      </c>
      <c r="E1745" s="48" t="s">
        <v>5195</v>
      </c>
      <c r="F1745" s="14">
        <v>0.31943214577475998</v>
      </c>
      <c r="G1745" s="48" t="s">
        <v>5260</v>
      </c>
      <c r="H1745" s="21"/>
      <c r="O1745" s="21"/>
    </row>
    <row r="1746" spans="1:15" s="22" customFormat="1" ht="15" x14ac:dyDescent="0.25">
      <c r="A1746" s="48" t="str">
        <f t="shared" si="74"/>
        <v>spi_vddh1_dyn_Master_12.5_Mbaud_1p8v</v>
      </c>
      <c r="B1746" s="48" t="s">
        <v>5345</v>
      </c>
      <c r="C1746" s="48" t="s">
        <v>5256</v>
      </c>
      <c r="D1746" s="48" t="s">
        <v>5112</v>
      </c>
      <c r="E1746" s="48" t="s">
        <v>5195</v>
      </c>
      <c r="F1746" s="14">
        <v>2.5546396814999999</v>
      </c>
      <c r="G1746" s="48" t="s">
        <v>5260</v>
      </c>
      <c r="H1746" s="21"/>
      <c r="O1746" s="21"/>
    </row>
    <row r="1747" spans="1:15" s="22" customFormat="1" ht="15" x14ac:dyDescent="0.25">
      <c r="A1747" s="48" t="str">
        <f t="shared" si="74"/>
        <v>spi_vddh1_dyn_Master_2.083_Mbaud_1p8v</v>
      </c>
      <c r="B1747" s="48" t="s">
        <v>5345</v>
      </c>
      <c r="C1747" s="48" t="s">
        <v>5256</v>
      </c>
      <c r="D1747" s="48" t="s">
        <v>5115</v>
      </c>
      <c r="E1747" s="48" t="s">
        <v>5195</v>
      </c>
      <c r="F1747" s="14">
        <v>0.42570515652516011</v>
      </c>
      <c r="G1747" s="48" t="s">
        <v>5260</v>
      </c>
      <c r="H1747" s="21"/>
      <c r="O1747" s="21"/>
    </row>
    <row r="1748" spans="1:15" s="22" customFormat="1" ht="15" x14ac:dyDescent="0.25">
      <c r="A1748" s="48" t="str">
        <f t="shared" ref="A1748:A1772" si="75">B1748&amp;"_"&amp;C1748&amp;"_"&amp;D1748</f>
        <v>spi_vddh1_dyn_Master_25_Mbaud_1p8v</v>
      </c>
      <c r="B1748" s="48" t="s">
        <v>5345</v>
      </c>
      <c r="C1748" s="48" t="s">
        <v>5256</v>
      </c>
      <c r="D1748" s="48" t="s">
        <v>5111</v>
      </c>
      <c r="E1748" s="48" t="s">
        <v>5195</v>
      </c>
      <c r="F1748" s="14">
        <v>5.1092793629999997</v>
      </c>
      <c r="G1748" s="48" t="s">
        <v>5260</v>
      </c>
      <c r="H1748" s="21"/>
      <c r="O1748" s="21"/>
    </row>
    <row r="1749" spans="1:15" s="22" customFormat="1" ht="15" x14ac:dyDescent="0.25">
      <c r="A1749" s="48" t="str">
        <f t="shared" si="75"/>
        <v>spi_vddh1_dyn_Master_3.125_Mbaud_1p8v</v>
      </c>
      <c r="B1749" s="48" t="s">
        <v>5345</v>
      </c>
      <c r="C1749" s="48" t="s">
        <v>5256</v>
      </c>
      <c r="D1749" s="48" t="s">
        <v>5114</v>
      </c>
      <c r="E1749" s="48" t="s">
        <v>5195</v>
      </c>
      <c r="F1749" s="14">
        <v>0.63865992037499997</v>
      </c>
      <c r="G1749" s="55" t="s">
        <v>5260</v>
      </c>
      <c r="H1749" s="13"/>
      <c r="O1749" s="21"/>
    </row>
    <row r="1750" spans="1:15" s="22" customFormat="1" ht="15" x14ac:dyDescent="0.25">
      <c r="A1750" s="48" t="str">
        <f t="shared" si="75"/>
        <v>spi_vddh1_dyn_Master_40_Mbaud_1p8v</v>
      </c>
      <c r="B1750" s="48" t="s">
        <v>5345</v>
      </c>
      <c r="C1750" s="48" t="s">
        <v>5256</v>
      </c>
      <c r="D1750" s="48" t="s">
        <v>5989</v>
      </c>
      <c r="E1750" s="48" t="s">
        <v>5195</v>
      </c>
      <c r="F1750" s="14">
        <v>8.1748469807999999</v>
      </c>
      <c r="G1750" s="55" t="s">
        <v>5260</v>
      </c>
      <c r="H1750" s="13"/>
      <c r="O1750" s="21"/>
    </row>
    <row r="1751" spans="1:15" s="22" customFormat="1" ht="15" x14ac:dyDescent="0.25">
      <c r="A1751" s="48" t="str">
        <f t="shared" si="75"/>
        <v>spi_vddh1_dyn_Master_6.25_Mbaud_1p8v</v>
      </c>
      <c r="B1751" s="48" t="s">
        <v>5345</v>
      </c>
      <c r="C1751" s="48" t="s">
        <v>5256</v>
      </c>
      <c r="D1751" s="48" t="s">
        <v>5113</v>
      </c>
      <c r="E1751" s="48" t="s">
        <v>5195</v>
      </c>
      <c r="F1751" s="14">
        <v>1.2773198407499999</v>
      </c>
      <c r="G1751" s="55" t="s">
        <v>5260</v>
      </c>
      <c r="H1751" s="13"/>
      <c r="O1751" s="21"/>
    </row>
    <row r="1752" spans="1:15" s="22" customFormat="1" ht="15" x14ac:dyDescent="0.25">
      <c r="A1752" s="48" t="str">
        <f t="shared" si="75"/>
        <v>spi_vddh1_dyn_Slave_12.5_Mbaud_1p8v</v>
      </c>
      <c r="B1752" s="48" t="s">
        <v>5345</v>
      </c>
      <c r="C1752" s="48" t="s">
        <v>5256</v>
      </c>
      <c r="D1752" s="48" t="s">
        <v>5118</v>
      </c>
      <c r="E1752" s="48" t="s">
        <v>5195</v>
      </c>
      <c r="F1752" s="14">
        <v>0.51090749999999996</v>
      </c>
      <c r="G1752" s="55" t="s">
        <v>5260</v>
      </c>
      <c r="H1752" s="13"/>
      <c r="O1752" s="21"/>
    </row>
    <row r="1753" spans="1:15" s="22" customFormat="1" ht="15" x14ac:dyDescent="0.25">
      <c r="A1753" s="48" t="str">
        <f t="shared" si="75"/>
        <v>spi_vddh1_dyn_Slave_2.083_Mbaud_1p8v</v>
      </c>
      <c r="B1753" s="48" t="s">
        <v>5345</v>
      </c>
      <c r="C1753" s="48" t="s">
        <v>5256</v>
      </c>
      <c r="D1753" s="48" t="s">
        <v>5121</v>
      </c>
      <c r="E1753" s="48" t="s">
        <v>5195</v>
      </c>
      <c r="F1753" s="14">
        <v>6.3883873799999991E-2</v>
      </c>
      <c r="G1753" s="55" t="s">
        <v>5260</v>
      </c>
      <c r="H1753" s="13"/>
      <c r="O1753" s="21"/>
    </row>
    <row r="1754" spans="1:15" s="22" customFormat="1" ht="15" x14ac:dyDescent="0.25">
      <c r="A1754" s="48" t="str">
        <f t="shared" si="75"/>
        <v>spi_vddh1_dyn_Slave_2.083_Mbaud_1p8v</v>
      </c>
      <c r="B1754" s="48" t="s">
        <v>5345</v>
      </c>
      <c r="C1754" s="48" t="s">
        <v>5256</v>
      </c>
      <c r="D1754" s="48" t="s">
        <v>5121</v>
      </c>
      <c r="E1754" s="48" t="s">
        <v>5195</v>
      </c>
      <c r="F1754" s="14">
        <v>8.5137625800000019E-2</v>
      </c>
      <c r="G1754" s="55" t="s">
        <v>5260</v>
      </c>
      <c r="H1754" s="13"/>
      <c r="O1754" s="21"/>
    </row>
    <row r="1755" spans="1:15" s="22" customFormat="1" ht="15" x14ac:dyDescent="0.25">
      <c r="A1755" s="48" t="str">
        <f t="shared" si="75"/>
        <v>spi_vddh1_dyn_Slave_25_Mbaud_1p8v</v>
      </c>
      <c r="B1755" s="48" t="s">
        <v>5345</v>
      </c>
      <c r="C1755" s="48" t="s">
        <v>5256</v>
      </c>
      <c r="D1755" s="48" t="s">
        <v>5117</v>
      </c>
      <c r="E1755" s="48" t="s">
        <v>5195</v>
      </c>
      <c r="F1755" s="14">
        <v>1.0218149999999999</v>
      </c>
      <c r="G1755" s="55" t="s">
        <v>5260</v>
      </c>
      <c r="H1755" s="13"/>
      <c r="O1755" s="21"/>
    </row>
    <row r="1756" spans="1:15" s="22" customFormat="1" ht="15" x14ac:dyDescent="0.25">
      <c r="A1756" s="48" t="str">
        <f t="shared" si="75"/>
        <v>spi_vddh1_dyn_Slave_3.125_Mbaud_1p8v</v>
      </c>
      <c r="B1756" s="48" t="s">
        <v>5345</v>
      </c>
      <c r="C1756" s="48" t="s">
        <v>5256</v>
      </c>
      <c r="D1756" s="48" t="s">
        <v>5120</v>
      </c>
      <c r="E1756" s="48" t="s">
        <v>5195</v>
      </c>
      <c r="F1756" s="14">
        <v>0.12772687499999999</v>
      </c>
      <c r="G1756" s="55" t="s">
        <v>5260</v>
      </c>
      <c r="H1756" s="13"/>
      <c r="O1756" s="21"/>
    </row>
    <row r="1757" spans="1:15" s="22" customFormat="1" ht="15" x14ac:dyDescent="0.25">
      <c r="A1757" s="48" t="str">
        <f t="shared" si="75"/>
        <v>spi_vddh1_dyn_Slave_40_Mbaud_1p8v</v>
      </c>
      <c r="B1757" s="48" t="s">
        <v>5345</v>
      </c>
      <c r="C1757" s="48" t="s">
        <v>5256</v>
      </c>
      <c r="D1757" s="48" t="s">
        <v>5991</v>
      </c>
      <c r="E1757" s="48" t="s">
        <v>5195</v>
      </c>
      <c r="F1757" s="14">
        <v>1.6349039999999999</v>
      </c>
      <c r="G1757" s="55" t="s">
        <v>5260</v>
      </c>
      <c r="H1757" s="21"/>
      <c r="O1757" s="21"/>
    </row>
    <row r="1758" spans="1:15" s="22" customFormat="1" ht="15" x14ac:dyDescent="0.25">
      <c r="A1758" s="48" t="str">
        <f t="shared" si="75"/>
        <v>spi_vddh1_dyn_Slave_6.25_Mbaud_1p8v</v>
      </c>
      <c r="B1758" s="48" t="s">
        <v>5345</v>
      </c>
      <c r="C1758" s="48" t="s">
        <v>5256</v>
      </c>
      <c r="D1758" s="48" t="s">
        <v>5119</v>
      </c>
      <c r="E1758" s="48" t="s">
        <v>5195</v>
      </c>
      <c r="F1758" s="14">
        <v>0.25545374999999998</v>
      </c>
      <c r="G1758" s="55" t="s">
        <v>5260</v>
      </c>
      <c r="H1758" s="21"/>
      <c r="O1758" s="21"/>
    </row>
    <row r="1759" spans="1:15" s="22" customFormat="1" ht="15" x14ac:dyDescent="0.25">
      <c r="A1759" s="48" t="str">
        <f t="shared" si="75"/>
        <v>spi_vddh2_dyn_Master_1.563_Mbaud_3p3v</v>
      </c>
      <c r="B1759" s="48" t="s">
        <v>5345</v>
      </c>
      <c r="C1759" s="48" t="s">
        <v>5262</v>
      </c>
      <c r="D1759" s="48" t="s">
        <v>5105</v>
      </c>
      <c r="E1759" s="48" t="s">
        <v>5195</v>
      </c>
      <c r="F1759" s="14">
        <v>1.8723925927080001</v>
      </c>
      <c r="G1759" s="55" t="s">
        <v>5260</v>
      </c>
      <c r="H1759" s="21"/>
      <c r="O1759" s="21"/>
    </row>
    <row r="1760" spans="1:15" s="22" customFormat="1" ht="15" x14ac:dyDescent="0.25">
      <c r="A1760" s="48" t="str">
        <f t="shared" si="75"/>
        <v>spi_vddh2_dyn_Master_12.5_Mbaud_3p3v</v>
      </c>
      <c r="B1760" s="48" t="s">
        <v>5345</v>
      </c>
      <c r="C1760" s="48" t="s">
        <v>5262</v>
      </c>
      <c r="D1760" s="48" t="s">
        <v>5101</v>
      </c>
      <c r="E1760" s="48" t="s">
        <v>5195</v>
      </c>
      <c r="F1760" s="14">
        <v>14.97434895</v>
      </c>
      <c r="G1760" s="55" t="s">
        <v>5260</v>
      </c>
      <c r="H1760" s="21"/>
      <c r="O1760" s="21"/>
    </row>
    <row r="1761" spans="1:15" s="22" customFormat="1" ht="15" x14ac:dyDescent="0.25">
      <c r="A1761" s="48" t="str">
        <f t="shared" si="75"/>
        <v>spi_vddh2_dyn_Master_2.083_Mbaud_3p3v</v>
      </c>
      <c r="B1761" s="48" t="s">
        <v>5345</v>
      </c>
      <c r="C1761" s="48" t="s">
        <v>5262</v>
      </c>
      <c r="D1761" s="48" t="s">
        <v>5104</v>
      </c>
      <c r="E1761" s="48" t="s">
        <v>5195</v>
      </c>
      <c r="F1761" s="14">
        <v>2.495325509028</v>
      </c>
      <c r="G1761" s="55" t="s">
        <v>5260</v>
      </c>
      <c r="H1761" s="21"/>
      <c r="O1761" s="21"/>
    </row>
    <row r="1762" spans="1:15" s="22" customFormat="1" ht="15" x14ac:dyDescent="0.25">
      <c r="A1762" s="48" t="str">
        <f t="shared" si="75"/>
        <v>spi_vddh2_dyn_Master_25_Mbaud_3p3v</v>
      </c>
      <c r="B1762" s="48" t="s">
        <v>5345</v>
      </c>
      <c r="C1762" s="48" t="s">
        <v>5262</v>
      </c>
      <c r="D1762" s="48" t="s">
        <v>5100</v>
      </c>
      <c r="E1762" s="48" t="s">
        <v>5195</v>
      </c>
      <c r="F1762" s="14">
        <v>29.948697899999999</v>
      </c>
      <c r="G1762" s="55" t="s">
        <v>5260</v>
      </c>
      <c r="H1762" s="21"/>
      <c r="O1762" s="21"/>
    </row>
    <row r="1763" spans="1:15" s="22" customFormat="1" ht="15" x14ac:dyDescent="0.25">
      <c r="A1763" s="48" t="str">
        <f t="shared" si="75"/>
        <v>spi_vddh2_dyn_Master_3.125_Mbaud_3p3v</v>
      </c>
      <c r="B1763" s="48" t="s">
        <v>5345</v>
      </c>
      <c r="C1763" s="48" t="s">
        <v>5262</v>
      </c>
      <c r="D1763" s="48" t="s">
        <v>5103</v>
      </c>
      <c r="E1763" s="48" t="s">
        <v>5195</v>
      </c>
      <c r="F1763" s="14">
        <v>3.7435872374999999</v>
      </c>
      <c r="G1763" s="55" t="s">
        <v>5260</v>
      </c>
      <c r="H1763" s="21"/>
      <c r="O1763" s="21"/>
    </row>
    <row r="1764" spans="1:15" s="22" customFormat="1" ht="15" x14ac:dyDescent="0.25">
      <c r="A1764" s="48" t="str">
        <f t="shared" si="75"/>
        <v>spi_vddh2_dyn_Master_40_Mbaud_3p3v</v>
      </c>
      <c r="B1764" s="48" t="s">
        <v>5345</v>
      </c>
      <c r="C1764" s="48" t="s">
        <v>5262</v>
      </c>
      <c r="D1764" s="48" t="s">
        <v>5990</v>
      </c>
      <c r="E1764" s="48" t="s">
        <v>5195</v>
      </c>
      <c r="F1764" s="14">
        <v>47.917916640000001</v>
      </c>
      <c r="G1764" s="55" t="s">
        <v>5260</v>
      </c>
      <c r="H1764" s="13"/>
      <c r="O1764" s="21"/>
    </row>
    <row r="1765" spans="1:15" s="22" customFormat="1" ht="15" x14ac:dyDescent="0.25">
      <c r="A1765" s="48" t="str">
        <f t="shared" si="75"/>
        <v>spi_vddh2_dyn_Master_6.25_Mbaud_3p3v</v>
      </c>
      <c r="B1765" s="48" t="s">
        <v>5345</v>
      </c>
      <c r="C1765" s="48" t="s">
        <v>5262</v>
      </c>
      <c r="D1765" s="48" t="s">
        <v>5102</v>
      </c>
      <c r="E1765" s="48" t="s">
        <v>5195</v>
      </c>
      <c r="F1765" s="14">
        <v>7.4871744749999998</v>
      </c>
      <c r="G1765" s="55" t="s">
        <v>5260</v>
      </c>
      <c r="H1765" s="13"/>
      <c r="O1765" s="21"/>
    </row>
    <row r="1766" spans="1:15" s="22" customFormat="1" ht="15" x14ac:dyDescent="0.25">
      <c r="A1766" s="48" t="str">
        <f t="shared" si="75"/>
        <v>spi_vddh2_dyn_Slave_12.5_Mbaud_3p3v</v>
      </c>
      <c r="B1766" s="48" t="s">
        <v>5345</v>
      </c>
      <c r="C1766" s="48" t="s">
        <v>5262</v>
      </c>
      <c r="D1766" s="48" t="s">
        <v>5107</v>
      </c>
      <c r="E1766" s="48" t="s">
        <v>5195</v>
      </c>
      <c r="F1766" s="14">
        <v>2.9947499999999998</v>
      </c>
      <c r="G1766" s="55" t="s">
        <v>5260</v>
      </c>
      <c r="H1766" s="13"/>
      <c r="O1766" s="21"/>
    </row>
    <row r="1767" spans="1:15" s="22" customFormat="1" ht="15" x14ac:dyDescent="0.25">
      <c r="A1767" s="48" t="str">
        <f t="shared" si="75"/>
        <v>spi_vddh2_dyn_Slave_2.083_Mbaud_3p3v</v>
      </c>
      <c r="B1767" s="48" t="s">
        <v>5345</v>
      </c>
      <c r="C1767" s="48" t="s">
        <v>5262</v>
      </c>
      <c r="D1767" s="48" t="s">
        <v>5110</v>
      </c>
      <c r="E1767" s="48" t="s">
        <v>5195</v>
      </c>
      <c r="F1767" s="14">
        <v>0.37446353999999998</v>
      </c>
      <c r="G1767" s="55" t="s">
        <v>5260</v>
      </c>
      <c r="H1767" s="13"/>
      <c r="O1767" s="21"/>
    </row>
    <row r="1768" spans="1:15" s="22" customFormat="1" ht="15" x14ac:dyDescent="0.25">
      <c r="A1768" s="48" t="str">
        <f t="shared" si="75"/>
        <v>spi_vddh2_dyn_Slave_2.083_Mbaud_3p3v</v>
      </c>
      <c r="B1768" s="48" t="s">
        <v>5345</v>
      </c>
      <c r="C1768" s="48" t="s">
        <v>5262</v>
      </c>
      <c r="D1768" s="48" t="s">
        <v>5110</v>
      </c>
      <c r="E1768" s="48" t="s">
        <v>5195</v>
      </c>
      <c r="F1768" s="14">
        <v>0.49904514</v>
      </c>
      <c r="G1768" s="55" t="s">
        <v>5260</v>
      </c>
      <c r="H1768" s="13"/>
      <c r="O1768" s="21"/>
    </row>
    <row r="1769" spans="1:15" s="22" customFormat="1" ht="15" x14ac:dyDescent="0.25">
      <c r="A1769" s="48" t="str">
        <f t="shared" si="75"/>
        <v>spi_vddh2_dyn_Slave_25_Mbaud_3p3v</v>
      </c>
      <c r="B1769" s="48" t="s">
        <v>5345</v>
      </c>
      <c r="C1769" s="48" t="s">
        <v>5262</v>
      </c>
      <c r="D1769" s="48" t="s">
        <v>5106</v>
      </c>
      <c r="E1769" s="48" t="s">
        <v>5195</v>
      </c>
      <c r="F1769" s="14">
        <v>5.9894999999999996</v>
      </c>
      <c r="G1769" s="55" t="s">
        <v>5260</v>
      </c>
      <c r="H1769" s="13"/>
      <c r="O1769" s="21"/>
    </row>
    <row r="1770" spans="1:15" s="22" customFormat="1" ht="15" x14ac:dyDescent="0.25">
      <c r="A1770" s="48" t="str">
        <f t="shared" si="75"/>
        <v>spi_vddh2_dyn_Slave_3.125_Mbaud_3p3v</v>
      </c>
      <c r="B1770" s="48" t="s">
        <v>5345</v>
      </c>
      <c r="C1770" s="48" t="s">
        <v>5262</v>
      </c>
      <c r="D1770" s="48" t="s">
        <v>5109</v>
      </c>
      <c r="E1770" s="48" t="s">
        <v>5195</v>
      </c>
      <c r="F1770" s="14">
        <v>0.74868749999999995</v>
      </c>
      <c r="G1770" s="55" t="s">
        <v>5260</v>
      </c>
      <c r="H1770" s="13"/>
      <c r="O1770" s="21"/>
    </row>
    <row r="1771" spans="1:15" s="22" customFormat="1" ht="15" x14ac:dyDescent="0.25">
      <c r="A1771" s="48" t="str">
        <f t="shared" si="75"/>
        <v>spi_vddh2_dyn_Slave_40_Mbaud_3p3v</v>
      </c>
      <c r="B1771" s="48" t="s">
        <v>5345</v>
      </c>
      <c r="C1771" s="48" t="s">
        <v>5262</v>
      </c>
      <c r="D1771" s="48" t="s">
        <v>5992</v>
      </c>
      <c r="E1771" s="48" t="s">
        <v>5195</v>
      </c>
      <c r="F1771" s="14">
        <v>9.5831999999999997</v>
      </c>
      <c r="G1771" s="55" t="s">
        <v>5260</v>
      </c>
      <c r="H1771" s="13"/>
      <c r="O1771" s="21"/>
    </row>
    <row r="1772" spans="1:15" s="22" customFormat="1" ht="15" x14ac:dyDescent="0.25">
      <c r="A1772" s="48" t="str">
        <f t="shared" si="75"/>
        <v>spi_vddh2_dyn_Slave_6.25_Mbaud_3p3v</v>
      </c>
      <c r="B1772" s="48" t="s">
        <v>5345</v>
      </c>
      <c r="C1772" s="48" t="s">
        <v>5262</v>
      </c>
      <c r="D1772" s="48" t="s">
        <v>5108</v>
      </c>
      <c r="E1772" s="48" t="s">
        <v>5195</v>
      </c>
      <c r="F1772" s="14">
        <v>1.4973749999999999</v>
      </c>
      <c r="G1772" s="55" t="s">
        <v>5260</v>
      </c>
      <c r="H1772" s="13"/>
      <c r="O1772" s="21"/>
    </row>
    <row r="1773" spans="1:15" s="22" customFormat="1" ht="15" x14ac:dyDescent="0.25">
      <c r="A1773" s="48" t="str">
        <f t="shared" ref="A1773:A1803" si="76">B1773&amp;"_"&amp;C1773</f>
        <v>u_icss_m_wrap_accuracy_grade</v>
      </c>
      <c r="B1773" s="59" t="s">
        <v>4718</v>
      </c>
      <c r="C1773" s="48" t="s">
        <v>5366</v>
      </c>
      <c r="D1773" s="48"/>
      <c r="E1773" s="48" t="s">
        <v>5192</v>
      </c>
      <c r="F1773" s="14" t="s">
        <v>5786</v>
      </c>
      <c r="G1773" s="21" t="s">
        <v>5425</v>
      </c>
      <c r="H1773" s="13"/>
      <c r="O1773" s="21"/>
    </row>
    <row r="1774" spans="1:15" s="208" customFormat="1" x14ac:dyDescent="0.2">
      <c r="A1774" s="214" t="str">
        <f t="shared" si="76"/>
        <v>u_icss_m_wrap_area</v>
      </c>
      <c r="B1774" s="215" t="s">
        <v>4718</v>
      </c>
      <c r="C1774" s="214" t="s">
        <v>5360</v>
      </c>
      <c r="D1774" s="214"/>
      <c r="E1774" s="214" t="s">
        <v>5192</v>
      </c>
      <c r="F1774" s="222">
        <v>1.71</v>
      </c>
      <c r="G1774" s="211" t="s">
        <v>5425</v>
      </c>
      <c r="H1774" s="217"/>
      <c r="O1774" s="211"/>
    </row>
    <row r="1775" spans="1:15" s="22" customFormat="1" ht="15" x14ac:dyDescent="0.25">
      <c r="A1775" s="48" t="str">
        <f t="shared" si="76"/>
        <v>u_icss_m_wrap_data_source</v>
      </c>
      <c r="B1775" s="59" t="s">
        <v>4718</v>
      </c>
      <c r="C1775" s="48" t="s">
        <v>5368</v>
      </c>
      <c r="D1775" s="48"/>
      <c r="E1775" s="48" t="s">
        <v>5192</v>
      </c>
      <c r="F1775" s="14" t="s">
        <v>5369</v>
      </c>
      <c r="G1775" s="21" t="s">
        <v>5425</v>
      </c>
      <c r="H1775" s="13"/>
      <c r="O1775" s="21"/>
    </row>
    <row r="1776" spans="1:15" s="22" customFormat="1" ht="15" x14ac:dyDescent="0.25">
      <c r="A1776" s="48" t="str">
        <f t="shared" si="76"/>
        <v>u_icss_m_wrap_description</v>
      </c>
      <c r="B1776" s="59" t="s">
        <v>4718</v>
      </c>
      <c r="C1776" s="48" t="s">
        <v>5379</v>
      </c>
      <c r="D1776" s="48"/>
      <c r="E1776" s="48" t="s">
        <v>5192</v>
      </c>
      <c r="F1776" s="14" t="s">
        <v>5319</v>
      </c>
      <c r="G1776" s="21" t="s">
        <v>5425</v>
      </c>
      <c r="H1776" s="13"/>
      <c r="O1776" s="21"/>
    </row>
    <row r="1777" spans="1:15" s="22" customFormat="1" ht="15" x14ac:dyDescent="0.25">
      <c r="A1777" s="48" t="str">
        <f t="shared" si="76"/>
        <v>u_icss_m_wrap_first_soc</v>
      </c>
      <c r="B1777" s="59" t="s">
        <v>4718</v>
      </c>
      <c r="C1777" s="48" t="s">
        <v>5378</v>
      </c>
      <c r="D1777" s="48"/>
      <c r="E1777" s="48" t="s">
        <v>5192</v>
      </c>
      <c r="F1777" s="14" t="s">
        <v>5389</v>
      </c>
      <c r="G1777" s="21" t="s">
        <v>5425</v>
      </c>
      <c r="H1777" s="13"/>
      <c r="O1777" s="21"/>
    </row>
    <row r="1778" spans="1:15" s="22" customFormat="1" ht="15" x14ac:dyDescent="0.25">
      <c r="A1778" s="48" t="str">
        <f t="shared" si="76"/>
        <v>u_icss_m_wrap_freq_trk</v>
      </c>
      <c r="B1778" s="59" t="s">
        <v>4718</v>
      </c>
      <c r="C1778" s="48" t="s">
        <v>5220</v>
      </c>
      <c r="D1778" s="48"/>
      <c r="E1778" s="48" t="s">
        <v>5192</v>
      </c>
      <c r="F1778" s="14">
        <v>200</v>
      </c>
      <c r="G1778" s="21" t="s">
        <v>5425</v>
      </c>
      <c r="H1778" s="13"/>
      <c r="O1778" s="21"/>
    </row>
    <row r="1779" spans="1:15" s="22" customFormat="1" ht="15" x14ac:dyDescent="0.25">
      <c r="A1779" s="48" t="str">
        <f t="shared" si="76"/>
        <v>u_icss_m_wrap_function</v>
      </c>
      <c r="B1779" s="59" t="s">
        <v>4718</v>
      </c>
      <c r="C1779" s="48" t="s">
        <v>5367</v>
      </c>
      <c r="D1779" s="48"/>
      <c r="E1779" s="48" t="s">
        <v>5192</v>
      </c>
      <c r="F1779" s="14" t="s">
        <v>5852</v>
      </c>
      <c r="G1779" s="21" t="s">
        <v>5425</v>
      </c>
      <c r="H1779" s="13"/>
      <c r="O1779" s="21"/>
    </row>
    <row r="1780" spans="1:15" x14ac:dyDescent="0.2">
      <c r="A1780" s="214" t="str">
        <f t="shared" si="76"/>
        <v>u_icss_m_wrap_kbits</v>
      </c>
      <c r="B1780" s="215" t="s">
        <v>4718</v>
      </c>
      <c r="C1780" s="214" t="s">
        <v>5224</v>
      </c>
      <c r="D1780" s="214"/>
      <c r="E1780" s="214" t="s">
        <v>5192</v>
      </c>
      <c r="F1780" s="242">
        <f>798720/1000</f>
        <v>798.72</v>
      </c>
      <c r="G1780" s="236" t="s">
        <v>5949</v>
      </c>
      <c r="H1780" s="243"/>
    </row>
    <row r="1781" spans="1:15" s="208" customFormat="1" x14ac:dyDescent="0.2">
      <c r="A1781" s="214" t="str">
        <f t="shared" si="76"/>
        <v>u_icss_m_wrap_lvt_pct</v>
      </c>
      <c r="B1781" s="215" t="s">
        <v>4718</v>
      </c>
      <c r="C1781" s="214" t="s">
        <v>5357</v>
      </c>
      <c r="D1781" s="214"/>
      <c r="E1781" s="214" t="s">
        <v>5192</v>
      </c>
      <c r="F1781" s="216">
        <v>0</v>
      </c>
      <c r="G1781" s="211" t="s">
        <v>5425</v>
      </c>
      <c r="H1781" s="211"/>
      <c r="O1781" s="211"/>
    </row>
    <row r="1782" spans="1:15" s="208" customFormat="1" x14ac:dyDescent="0.2">
      <c r="A1782" s="214" t="str">
        <f t="shared" si="76"/>
        <v>u_icss_m_wrap_macro_area</v>
      </c>
      <c r="B1782" s="215" t="s">
        <v>4718</v>
      </c>
      <c r="C1782" s="214" t="s">
        <v>5228</v>
      </c>
      <c r="D1782" s="214"/>
      <c r="E1782" s="214" t="s">
        <v>5192</v>
      </c>
      <c r="F1782" s="222">
        <v>0.28384200399999998</v>
      </c>
      <c r="G1782" s="211" t="s">
        <v>6004</v>
      </c>
      <c r="H1782" s="211"/>
      <c r="O1782" s="211"/>
    </row>
    <row r="1783" spans="1:15" s="208" customFormat="1" x14ac:dyDescent="0.2">
      <c r="A1783" s="214" t="str">
        <f t="shared" si="76"/>
        <v>u_icss_m_wrap_macros</v>
      </c>
      <c r="B1783" s="215" t="s">
        <v>4718</v>
      </c>
      <c r="C1783" s="214" t="s">
        <v>5229</v>
      </c>
      <c r="D1783" s="214"/>
      <c r="E1783" s="214" t="s">
        <v>5192</v>
      </c>
      <c r="F1783" s="216">
        <v>6</v>
      </c>
      <c r="G1783" s="211" t="s">
        <v>5948</v>
      </c>
      <c r="H1783" s="211"/>
      <c r="O1783" s="211"/>
    </row>
    <row r="1784" spans="1:15" s="208" customFormat="1" x14ac:dyDescent="0.2">
      <c r="A1784" s="214" t="str">
        <f t="shared" si="76"/>
        <v>u_icss_m_wrap_osvt_pct</v>
      </c>
      <c r="B1784" s="215" t="s">
        <v>4718</v>
      </c>
      <c r="C1784" s="214" t="s">
        <v>5354</v>
      </c>
      <c r="D1784" s="214"/>
      <c r="E1784" s="214" t="s">
        <v>5192</v>
      </c>
      <c r="F1784" s="178">
        <v>1.4415087853223058E-2</v>
      </c>
      <c r="G1784" s="211" t="s">
        <v>5425</v>
      </c>
      <c r="H1784" s="211"/>
      <c r="O1784" s="211"/>
    </row>
    <row r="1785" spans="1:15" s="208" customFormat="1" x14ac:dyDescent="0.2">
      <c r="A1785" s="214" t="str">
        <f t="shared" si="76"/>
        <v>u_icss_m_wrap_stdcell_area</v>
      </c>
      <c r="B1785" s="215" t="s">
        <v>4718</v>
      </c>
      <c r="C1785" s="214" t="s">
        <v>5230</v>
      </c>
      <c r="D1785" s="214"/>
      <c r="E1785" s="214" t="s">
        <v>5192</v>
      </c>
      <c r="F1785" s="222">
        <v>0.86296099999999998</v>
      </c>
      <c r="G1785" s="211" t="s">
        <v>6004</v>
      </c>
      <c r="H1785" s="211"/>
      <c r="O1785" s="211"/>
    </row>
    <row r="1786" spans="1:15" s="208" customFormat="1" x14ac:dyDescent="0.2">
      <c r="A1786" s="214" t="str">
        <f t="shared" si="76"/>
        <v>u_icss_m_wrap_svt_pct</v>
      </c>
      <c r="B1786" s="215" t="s">
        <v>4718</v>
      </c>
      <c r="C1786" s="214" t="s">
        <v>5356</v>
      </c>
      <c r="D1786" s="214"/>
      <c r="E1786" s="214" t="s">
        <v>5192</v>
      </c>
      <c r="F1786" s="178">
        <v>0.56042763512614391</v>
      </c>
      <c r="G1786" s="211" t="s">
        <v>5425</v>
      </c>
      <c r="H1786" s="211"/>
      <c r="O1786" s="211"/>
    </row>
    <row r="1787" spans="1:15" s="22" customFormat="1" ht="15" x14ac:dyDescent="0.25">
      <c r="A1787" s="48" t="str">
        <f t="shared" si="76"/>
        <v>u_icss_m_wrap_tag</v>
      </c>
      <c r="B1787" s="59" t="s">
        <v>4718</v>
      </c>
      <c r="C1787" s="48" t="s">
        <v>5234</v>
      </c>
      <c r="D1787" s="48"/>
      <c r="E1787" s="48" t="s">
        <v>5192</v>
      </c>
      <c r="F1787" s="14" t="s">
        <v>5370</v>
      </c>
      <c r="G1787" s="21" t="s">
        <v>5425</v>
      </c>
      <c r="H1787" s="21"/>
      <c r="O1787" s="21"/>
    </row>
    <row r="1788" spans="1:15" s="22" customFormat="1" ht="15" x14ac:dyDescent="0.25">
      <c r="A1788" s="48" t="str">
        <f t="shared" si="76"/>
        <v>u_icss_m_wrap_type</v>
      </c>
      <c r="B1788" s="59" t="s">
        <v>4718</v>
      </c>
      <c r="C1788" s="48" t="s">
        <v>1</v>
      </c>
      <c r="D1788" s="48"/>
      <c r="E1788" s="48" t="s">
        <v>5192</v>
      </c>
      <c r="F1788" s="14" t="s">
        <v>5780</v>
      </c>
      <c r="G1788" s="21" t="s">
        <v>5425</v>
      </c>
      <c r="H1788" s="21"/>
      <c r="O1788" s="21"/>
    </row>
    <row r="1789" spans="1:15" s="22" customFormat="1" ht="15" x14ac:dyDescent="0.25">
      <c r="A1789" s="48" t="str">
        <f t="shared" si="76"/>
        <v>u_icss_m_wrap_vdd_dyn_idle_pct</v>
      </c>
      <c r="B1789" s="59" t="s">
        <v>4718</v>
      </c>
      <c r="C1789" s="48" t="s">
        <v>5363</v>
      </c>
      <c r="D1789" s="48"/>
      <c r="E1789" s="48" t="s">
        <v>5192</v>
      </c>
      <c r="F1789" s="166">
        <v>2.3E-2</v>
      </c>
      <c r="G1789" s="21" t="s">
        <v>6045</v>
      </c>
      <c r="H1789" s="21"/>
      <c r="O1789" s="21"/>
    </row>
    <row r="1790" spans="1:15" s="22" customFormat="1" ht="15" x14ac:dyDescent="0.25">
      <c r="A1790" s="48" t="str">
        <f t="shared" si="76"/>
        <v>u_icss_m_wrap_vdd_dyn_int</v>
      </c>
      <c r="B1790" s="59" t="s">
        <v>4718</v>
      </c>
      <c r="C1790" s="48" t="s">
        <v>5361</v>
      </c>
      <c r="D1790" s="48"/>
      <c r="E1790" s="48" t="s">
        <v>5192</v>
      </c>
      <c r="F1790" s="14">
        <f>65.21/0.125</f>
        <v>521.67999999999995</v>
      </c>
      <c r="G1790" s="176" t="s">
        <v>6405</v>
      </c>
      <c r="H1790" s="21"/>
      <c r="O1790" s="21"/>
    </row>
    <row r="1791" spans="1:15" s="22" customFormat="1" ht="15" x14ac:dyDescent="0.25">
      <c r="A1791" s="48" t="str">
        <f t="shared" si="76"/>
        <v>u_icss_m_wrap_vdd_dyn_max_pct</v>
      </c>
      <c r="B1791" s="59" t="s">
        <v>4718</v>
      </c>
      <c r="C1791" s="48" t="s">
        <v>5364</v>
      </c>
      <c r="D1791" s="48"/>
      <c r="E1791" s="48" t="s">
        <v>5192</v>
      </c>
      <c r="F1791" s="14">
        <v>0.04</v>
      </c>
      <c r="G1791" s="21" t="s">
        <v>5425</v>
      </c>
      <c r="H1791" s="21"/>
      <c r="O1791" s="21"/>
    </row>
    <row r="1792" spans="1:15" s="22" customFormat="1" ht="15" x14ac:dyDescent="0.25">
      <c r="A1792" s="48" t="str">
        <f t="shared" si="76"/>
        <v>u_icss_m_wrap_vdd_dyn_peak_pct</v>
      </c>
      <c r="B1792" s="59" t="s">
        <v>4718</v>
      </c>
      <c r="C1792" s="48" t="s">
        <v>5365</v>
      </c>
      <c r="D1792" s="48"/>
      <c r="E1792" s="48" t="s">
        <v>5192</v>
      </c>
      <c r="F1792" s="14">
        <v>0.06</v>
      </c>
      <c r="G1792" s="21" t="s">
        <v>5425</v>
      </c>
      <c r="H1792" s="21"/>
      <c r="O1792" s="21"/>
    </row>
    <row r="1793" spans="1:15" s="22" customFormat="1" ht="15" x14ac:dyDescent="0.25">
      <c r="A1793" s="48" t="str">
        <f t="shared" si="76"/>
        <v>u_icss_m_wrap_vdd_dyn_sw</v>
      </c>
      <c r="B1793" s="59" t="s">
        <v>4718</v>
      </c>
      <c r="C1793" s="48" t="s">
        <v>5362</v>
      </c>
      <c r="D1793" s="48"/>
      <c r="E1793" s="48" t="s">
        <v>5192</v>
      </c>
      <c r="F1793" s="14">
        <f>82.15/0.125</f>
        <v>657.2</v>
      </c>
      <c r="G1793" s="176" t="s">
        <v>6406</v>
      </c>
      <c r="H1793" s="21"/>
      <c r="O1793" s="21"/>
    </row>
    <row r="1794" spans="1:15" s="22" customFormat="1" ht="15" x14ac:dyDescent="0.25">
      <c r="A1794" s="48" t="str">
        <f t="shared" si="76"/>
        <v>u_icss_m_wrap_vdd_lkg</v>
      </c>
      <c r="B1794" s="59" t="s">
        <v>4718</v>
      </c>
      <c r="C1794" s="48" t="s">
        <v>5245</v>
      </c>
      <c r="D1794" s="48"/>
      <c r="E1794" s="48" t="s">
        <v>5192</v>
      </c>
      <c r="F1794" s="14">
        <v>57.24</v>
      </c>
      <c r="G1794" s="21" t="s">
        <v>5425</v>
      </c>
      <c r="H1794" s="21"/>
      <c r="O1794" s="21"/>
    </row>
    <row r="1795" spans="1:15" s="22" customFormat="1" ht="15" x14ac:dyDescent="0.25">
      <c r="A1795" s="48" t="str">
        <f t="shared" si="76"/>
        <v>u_icss_m_wrap_vddr_lkg</v>
      </c>
      <c r="B1795" s="59" t="s">
        <v>4718</v>
      </c>
      <c r="C1795" s="48" t="s">
        <v>5246</v>
      </c>
      <c r="D1795" s="48"/>
      <c r="E1795" s="48" t="s">
        <v>5192</v>
      </c>
      <c r="F1795" s="20">
        <f>(798.7*(113.1/1.2))/28611.5</f>
        <v>2.6310216171819025</v>
      </c>
      <c r="G1795" s="176" t="s">
        <v>6402</v>
      </c>
      <c r="H1795" s="21"/>
      <c r="O1795" s="21"/>
    </row>
    <row r="1796" spans="1:15" s="208" customFormat="1" x14ac:dyDescent="0.2">
      <c r="A1796" s="214" t="str">
        <f t="shared" si="76"/>
        <v>u_icss_m_wrap_xsvt_pct</v>
      </c>
      <c r="B1796" s="215" t="s">
        <v>4718</v>
      </c>
      <c r="C1796" s="214" t="s">
        <v>5355</v>
      </c>
      <c r="D1796" s="214"/>
      <c r="E1796" s="214" t="s">
        <v>5192</v>
      </c>
      <c r="F1796" s="178">
        <v>0.42515727702063294</v>
      </c>
      <c r="G1796" s="211" t="s">
        <v>5425</v>
      </c>
      <c r="H1796" s="211"/>
      <c r="O1796" s="211"/>
    </row>
    <row r="1797" spans="1:15" s="22" customFormat="1" ht="15" x14ac:dyDescent="0.25">
      <c r="A1797" s="48" t="str">
        <f t="shared" si="76"/>
        <v>uart_Description</v>
      </c>
      <c r="B1797" s="48" t="s">
        <v>5347</v>
      </c>
      <c r="C1797" s="48" t="s">
        <v>42</v>
      </c>
      <c r="D1797" s="48"/>
      <c r="E1797" s="48" t="s">
        <v>5192</v>
      </c>
      <c r="F1797" s="14" t="s">
        <v>5867</v>
      </c>
      <c r="G1797" s="55" t="s">
        <v>5348</v>
      </c>
      <c r="H1797" s="21"/>
      <c r="O1797" s="21"/>
    </row>
    <row r="1798" spans="1:15" s="22" customFormat="1" ht="15" x14ac:dyDescent="0.25">
      <c r="A1798" s="48" t="str">
        <f t="shared" si="76"/>
        <v>uart_First_SoC</v>
      </c>
      <c r="B1798" s="48" t="s">
        <v>5347</v>
      </c>
      <c r="C1798" s="48" t="s">
        <v>5216</v>
      </c>
      <c r="D1798" s="48"/>
      <c r="E1798" s="48" t="s">
        <v>5192</v>
      </c>
      <c r="F1798" s="14" t="s">
        <v>5841</v>
      </c>
      <c r="G1798" s="55"/>
      <c r="H1798" s="21"/>
      <c r="O1798" s="21"/>
    </row>
    <row r="1799" spans="1:15" s="22" customFormat="1" ht="15" x14ac:dyDescent="0.25">
      <c r="A1799" s="48" t="str">
        <f t="shared" si="76"/>
        <v>uart_Function</v>
      </c>
      <c r="B1799" s="48" t="s">
        <v>5347</v>
      </c>
      <c r="C1799" s="48" t="s">
        <v>5222</v>
      </c>
      <c r="D1799" s="48"/>
      <c r="E1799" s="48" t="s">
        <v>5192</v>
      </c>
      <c r="F1799" s="14" t="s">
        <v>5347</v>
      </c>
      <c r="G1799" s="55"/>
      <c r="H1799" s="21"/>
      <c r="O1799" s="21"/>
    </row>
    <row r="1800" spans="1:15" s="22" customFormat="1" ht="15" x14ac:dyDescent="0.25">
      <c r="A1800" s="48" t="str">
        <f t="shared" si="76"/>
        <v>uart_pinmux</v>
      </c>
      <c r="B1800" s="48" t="s">
        <v>5347</v>
      </c>
      <c r="C1800" s="48" t="s">
        <v>5270</v>
      </c>
      <c r="D1800" s="48"/>
      <c r="E1800" s="48" t="s">
        <v>5192</v>
      </c>
      <c r="F1800" s="14">
        <v>4</v>
      </c>
      <c r="G1800" s="55"/>
      <c r="H1800" s="21"/>
      <c r="O1800" s="21"/>
    </row>
    <row r="1801" spans="1:15" s="22" customFormat="1" ht="15" x14ac:dyDescent="0.25">
      <c r="A1801" s="48" t="str">
        <f t="shared" si="76"/>
        <v>uart_Pinmux</v>
      </c>
      <c r="B1801" s="48" t="s">
        <v>5347</v>
      </c>
      <c r="C1801" s="48" t="s">
        <v>5261</v>
      </c>
      <c r="D1801" s="48"/>
      <c r="E1801" s="48" t="s">
        <v>5192</v>
      </c>
      <c r="F1801" s="14">
        <v>4</v>
      </c>
      <c r="G1801" s="55"/>
      <c r="H1801" s="13"/>
      <c r="O1801" s="21"/>
    </row>
    <row r="1802" spans="1:15" s="22" customFormat="1" ht="15" x14ac:dyDescent="0.25">
      <c r="A1802" s="48" t="str">
        <f t="shared" si="76"/>
        <v>uart_tag</v>
      </c>
      <c r="B1802" s="49" t="s">
        <v>5347</v>
      </c>
      <c r="C1802" s="49" t="s">
        <v>5234</v>
      </c>
      <c r="D1802" s="49"/>
      <c r="E1802" s="49" t="s">
        <v>5192</v>
      </c>
      <c r="F1802" s="14">
        <v>44499</v>
      </c>
      <c r="G1802" s="56" t="s">
        <v>5254</v>
      </c>
      <c r="H1802" s="13"/>
      <c r="O1802" s="21"/>
    </row>
    <row r="1803" spans="1:15" s="22" customFormat="1" ht="15" x14ac:dyDescent="0.25">
      <c r="A1803" s="48" t="str">
        <f t="shared" si="76"/>
        <v>uart_Type</v>
      </c>
      <c r="B1803" s="48" t="s">
        <v>5347</v>
      </c>
      <c r="C1803" s="48" t="s">
        <v>0</v>
      </c>
      <c r="D1803" s="48"/>
      <c r="E1803" s="48" t="s">
        <v>5192</v>
      </c>
      <c r="F1803" s="14" t="s">
        <v>5785</v>
      </c>
      <c r="G1803" s="55" t="s">
        <v>5350</v>
      </c>
      <c r="H1803" s="13"/>
      <c r="O1803" s="21"/>
    </row>
    <row r="1804" spans="1:15" s="22" customFormat="1" ht="15" x14ac:dyDescent="0.25">
      <c r="A1804" s="48" t="str">
        <f t="shared" ref="A1804:A1818" si="77">B1804&amp;"_"&amp;C1804&amp;"_"&amp;D1804</f>
        <v>uart_vdd_dyn_112k_1p8v</v>
      </c>
      <c r="B1804" s="48" t="s">
        <v>5347</v>
      </c>
      <c r="C1804" s="48" t="s">
        <v>5255</v>
      </c>
      <c r="D1804" s="48" t="s">
        <v>5138</v>
      </c>
      <c r="E1804" s="48" t="s">
        <v>5195</v>
      </c>
      <c r="F1804" s="14">
        <v>6.1944309503999997E-9</v>
      </c>
      <c r="G1804" s="55"/>
      <c r="H1804" s="21"/>
      <c r="O1804" s="21"/>
    </row>
    <row r="1805" spans="1:15" s="22" customFormat="1" ht="15" x14ac:dyDescent="0.25">
      <c r="A1805" s="48" t="str">
        <f t="shared" si="77"/>
        <v>uart_vdd_dyn_112k_3p3v</v>
      </c>
      <c r="B1805" s="48" t="s">
        <v>5347</v>
      </c>
      <c r="C1805" s="48" t="s">
        <v>5255</v>
      </c>
      <c r="D1805" s="48" t="s">
        <v>5144</v>
      </c>
      <c r="E1805" s="48" t="s">
        <v>5195</v>
      </c>
      <c r="F1805" s="14">
        <v>6.1944309503999997E-9</v>
      </c>
      <c r="G1805" s="55"/>
      <c r="H1805" s="13"/>
      <c r="O1805" s="21"/>
    </row>
    <row r="1806" spans="1:15" s="22" customFormat="1" ht="15" x14ac:dyDescent="0.25">
      <c r="A1806" s="48" t="str">
        <f t="shared" si="77"/>
        <v>uart_vdd_dyn_1m_1p8v</v>
      </c>
      <c r="B1806" s="48" t="s">
        <v>5347</v>
      </c>
      <c r="C1806" s="48" t="s">
        <v>5255</v>
      </c>
      <c r="D1806" s="48" t="s">
        <v>5136</v>
      </c>
      <c r="E1806" s="48" t="s">
        <v>5195</v>
      </c>
      <c r="F1806" s="14">
        <v>5.5307419200000008E-8</v>
      </c>
      <c r="G1806" s="55"/>
      <c r="H1806" s="13"/>
      <c r="O1806" s="21"/>
    </row>
    <row r="1807" spans="1:15" s="22" customFormat="1" ht="15" x14ac:dyDescent="0.25">
      <c r="A1807" s="48" t="str">
        <f t="shared" si="77"/>
        <v>uart_vdd_dyn_1m_3p3v</v>
      </c>
      <c r="B1807" s="48" t="s">
        <v>5347</v>
      </c>
      <c r="C1807" s="48" t="s">
        <v>5255</v>
      </c>
      <c r="D1807" s="48" t="s">
        <v>5142</v>
      </c>
      <c r="E1807" s="48" t="s">
        <v>5195</v>
      </c>
      <c r="F1807" s="14">
        <v>5.5307419200000008E-8</v>
      </c>
      <c r="G1807" s="55"/>
      <c r="H1807" s="13"/>
      <c r="O1807" s="21"/>
    </row>
    <row r="1808" spans="1:15" s="22" customFormat="1" ht="15" x14ac:dyDescent="0.25">
      <c r="A1808" s="48" t="str">
        <f t="shared" si="77"/>
        <v>uart_vdd_dyn_3p6m_1p8v</v>
      </c>
      <c r="B1808" s="48" t="s">
        <v>5347</v>
      </c>
      <c r="C1808" s="48" t="s">
        <v>5255</v>
      </c>
      <c r="D1808" s="48" t="s">
        <v>5134</v>
      </c>
      <c r="E1808" s="48" t="s">
        <v>5195</v>
      </c>
      <c r="F1808" s="14">
        <v>1.9910670911999997E-7</v>
      </c>
      <c r="G1808" s="48"/>
      <c r="H1808" s="13"/>
      <c r="O1808" s="21"/>
    </row>
    <row r="1809" spans="1:15" s="22" customFormat="1" ht="15" x14ac:dyDescent="0.25">
      <c r="A1809" s="48" t="str">
        <f t="shared" si="77"/>
        <v>uart_vdd_dyn_3p6m_3p3v</v>
      </c>
      <c r="B1809" s="48" t="s">
        <v>5347</v>
      </c>
      <c r="C1809" s="48" t="s">
        <v>5255</v>
      </c>
      <c r="D1809" s="48" t="s">
        <v>5140</v>
      </c>
      <c r="E1809" s="48" t="s">
        <v>5195</v>
      </c>
      <c r="F1809" s="14">
        <v>1.9910670911999997E-7</v>
      </c>
      <c r="G1809" s="48"/>
      <c r="H1809" s="13"/>
      <c r="O1809" s="21"/>
    </row>
    <row r="1810" spans="1:15" s="22" customFormat="1" ht="15" x14ac:dyDescent="0.25">
      <c r="A1810" s="48" t="str">
        <f t="shared" si="77"/>
        <v>uart_vdd_dyn_off</v>
      </c>
      <c r="B1810" s="48" t="s">
        <v>5347</v>
      </c>
      <c r="C1810" s="48" t="s">
        <v>5255</v>
      </c>
      <c r="D1810" s="48" t="s">
        <v>4798</v>
      </c>
      <c r="E1810" s="48" t="s">
        <v>5195</v>
      </c>
      <c r="F1810" s="14">
        <v>0</v>
      </c>
      <c r="G1810" s="48"/>
      <c r="H1810" s="13"/>
      <c r="O1810" s="21"/>
    </row>
    <row r="1811" spans="1:15" s="22" customFormat="1" ht="15" x14ac:dyDescent="0.25">
      <c r="A1811" s="48" t="str">
        <f t="shared" si="77"/>
        <v>uart_vddh1_dyn_112k_1p8v</v>
      </c>
      <c r="B1811" s="48" t="s">
        <v>5347</v>
      </c>
      <c r="C1811" s="48" t="s">
        <v>5256</v>
      </c>
      <c r="D1811" s="48" t="s">
        <v>5138</v>
      </c>
      <c r="E1811" s="48" t="s">
        <v>5195</v>
      </c>
      <c r="F1811" s="14">
        <v>4.6692858240000006E-3</v>
      </c>
      <c r="G1811" s="48"/>
      <c r="H1811" s="13"/>
      <c r="O1811" s="21"/>
    </row>
    <row r="1812" spans="1:15" s="22" customFormat="1" ht="15" x14ac:dyDescent="0.25">
      <c r="A1812" s="48" t="str">
        <f t="shared" si="77"/>
        <v>uart_vddh1_dyn_1m_1p8v</v>
      </c>
      <c r="B1812" s="48" t="s">
        <v>5347</v>
      </c>
      <c r="C1812" s="48" t="s">
        <v>5256</v>
      </c>
      <c r="D1812" s="48" t="s">
        <v>5136</v>
      </c>
      <c r="E1812" s="48" t="s">
        <v>5195</v>
      </c>
      <c r="F1812" s="14">
        <v>4.1690052000000005E-2</v>
      </c>
      <c r="G1812" s="48"/>
      <c r="H1812" s="13"/>
      <c r="O1812" s="21"/>
    </row>
    <row r="1813" spans="1:15" s="22" customFormat="1" ht="15" x14ac:dyDescent="0.25">
      <c r="A1813" s="48" t="str">
        <f t="shared" si="77"/>
        <v>uart_vddh1_dyn_3p6m_1p8v</v>
      </c>
      <c r="B1813" s="48" t="s">
        <v>5347</v>
      </c>
      <c r="C1813" s="48" t="s">
        <v>5256</v>
      </c>
      <c r="D1813" s="48" t="s">
        <v>5134</v>
      </c>
      <c r="E1813" s="48" t="s">
        <v>5195</v>
      </c>
      <c r="F1813" s="14">
        <v>0.1500841872</v>
      </c>
      <c r="G1813" s="48"/>
      <c r="H1813" s="13"/>
      <c r="O1813" s="21"/>
    </row>
    <row r="1814" spans="1:15" s="22" customFormat="1" ht="15" x14ac:dyDescent="0.25">
      <c r="A1814" s="48" t="str">
        <f t="shared" si="77"/>
        <v>uart_vddh1_dyn_off</v>
      </c>
      <c r="B1814" s="48" t="s">
        <v>5347</v>
      </c>
      <c r="C1814" s="48" t="s">
        <v>5256</v>
      </c>
      <c r="D1814" s="48" t="s">
        <v>4798</v>
      </c>
      <c r="E1814" s="48" t="s">
        <v>5195</v>
      </c>
      <c r="F1814" s="14">
        <v>0</v>
      </c>
      <c r="G1814" s="48"/>
      <c r="H1814" s="13"/>
      <c r="O1814" s="21"/>
    </row>
    <row r="1815" spans="1:15" s="22" customFormat="1" ht="15" x14ac:dyDescent="0.25">
      <c r="A1815" s="48" t="str">
        <f t="shared" si="77"/>
        <v>uart_vddh2_dyn_112k_3p3v</v>
      </c>
      <c r="B1815" s="48" t="s">
        <v>5347</v>
      </c>
      <c r="C1815" s="48" t="s">
        <v>5262</v>
      </c>
      <c r="D1815" s="48" t="s">
        <v>5144</v>
      </c>
      <c r="E1815" s="48" t="s">
        <v>5195</v>
      </c>
      <c r="F1815" s="14">
        <v>2.7369619199999997E-2</v>
      </c>
      <c r="G1815" s="48"/>
      <c r="H1815" s="13"/>
      <c r="O1815" s="21"/>
    </row>
    <row r="1816" spans="1:15" s="22" customFormat="1" ht="15" x14ac:dyDescent="0.25">
      <c r="A1816" s="48" t="str">
        <f t="shared" si="77"/>
        <v>uart_vddh2_dyn_1m_3p3v</v>
      </c>
      <c r="B1816" s="48" t="s">
        <v>5347</v>
      </c>
      <c r="C1816" s="48" t="s">
        <v>5262</v>
      </c>
      <c r="D1816" s="48" t="s">
        <v>5142</v>
      </c>
      <c r="E1816" s="48" t="s">
        <v>5195</v>
      </c>
      <c r="F1816" s="14">
        <v>0.24437159999999999</v>
      </c>
      <c r="G1816" s="48"/>
      <c r="H1816" s="13"/>
      <c r="O1816" s="21"/>
    </row>
    <row r="1817" spans="1:15" s="22" customFormat="1" ht="15" x14ac:dyDescent="0.25">
      <c r="A1817" s="48" t="str">
        <f t="shared" si="77"/>
        <v>uart_vddh2_dyn_3p6m_3p3v</v>
      </c>
      <c r="B1817" s="48" t="s">
        <v>5347</v>
      </c>
      <c r="C1817" s="48" t="s">
        <v>5262</v>
      </c>
      <c r="D1817" s="48" t="s">
        <v>5140</v>
      </c>
      <c r="E1817" s="48" t="s">
        <v>5195</v>
      </c>
      <c r="F1817" s="14">
        <v>0.87973775999999992</v>
      </c>
      <c r="G1817" s="48"/>
      <c r="H1817" s="13"/>
      <c r="O1817" s="21"/>
    </row>
    <row r="1818" spans="1:15" s="22" customFormat="1" ht="15" x14ac:dyDescent="0.25">
      <c r="A1818" s="48" t="str">
        <f t="shared" si="77"/>
        <v>uart_vddh2_dyn_off</v>
      </c>
      <c r="B1818" s="48" t="s">
        <v>5347</v>
      </c>
      <c r="C1818" s="48" t="s">
        <v>5262</v>
      </c>
      <c r="D1818" s="48" t="s">
        <v>4798</v>
      </c>
      <c r="E1818" s="48" t="s">
        <v>5195</v>
      </c>
      <c r="F1818" s="14">
        <v>0</v>
      </c>
      <c r="G1818" s="48"/>
      <c r="H1818" s="13"/>
      <c r="O1818" s="21"/>
    </row>
    <row r="1819" spans="1:15" s="22" customFormat="1" ht="15" x14ac:dyDescent="0.25">
      <c r="A1819" s="48" t="str">
        <f t="shared" ref="A1819:A1825" si="78">B1819&amp;"_"&amp;C1819</f>
        <v>uart_modem_Description</v>
      </c>
      <c r="B1819" s="48" t="s">
        <v>5349</v>
      </c>
      <c r="C1819" s="48" t="s">
        <v>42</v>
      </c>
      <c r="D1819" s="48"/>
      <c r="E1819" s="48" t="s">
        <v>5192</v>
      </c>
      <c r="F1819" s="14" t="s">
        <v>5868</v>
      </c>
      <c r="G1819" s="48" t="s">
        <v>5445</v>
      </c>
      <c r="H1819" s="13"/>
      <c r="O1819" s="21"/>
    </row>
    <row r="1820" spans="1:15" s="22" customFormat="1" ht="15" x14ac:dyDescent="0.25">
      <c r="A1820" s="48" t="str">
        <f t="shared" si="78"/>
        <v>uart_modem_First_SoC</v>
      </c>
      <c r="B1820" s="48" t="s">
        <v>5349</v>
      </c>
      <c r="C1820" s="48" t="s">
        <v>5216</v>
      </c>
      <c r="D1820" s="48"/>
      <c r="E1820" s="48" t="s">
        <v>5192</v>
      </c>
      <c r="F1820" s="14" t="s">
        <v>5841</v>
      </c>
      <c r="G1820" s="48"/>
      <c r="H1820" s="13"/>
      <c r="O1820" s="21"/>
    </row>
    <row r="1821" spans="1:15" s="22" customFormat="1" ht="15" x14ac:dyDescent="0.25">
      <c r="A1821" s="48" t="str">
        <f t="shared" si="78"/>
        <v>uart_modem_Function</v>
      </c>
      <c r="B1821" s="48" t="s">
        <v>5349</v>
      </c>
      <c r="C1821" s="48" t="s">
        <v>5222</v>
      </c>
      <c r="D1821" s="48"/>
      <c r="E1821" s="48" t="s">
        <v>5192</v>
      </c>
      <c r="F1821" s="14" t="s">
        <v>5349</v>
      </c>
      <c r="G1821" s="48"/>
      <c r="H1821" s="13"/>
      <c r="O1821" s="21"/>
    </row>
    <row r="1822" spans="1:15" s="22" customFormat="1" ht="15" x14ac:dyDescent="0.25">
      <c r="A1822" s="48" t="str">
        <f t="shared" si="78"/>
        <v>uart_modem_pinmux</v>
      </c>
      <c r="B1822" s="48" t="s">
        <v>5349</v>
      </c>
      <c r="C1822" s="48" t="s">
        <v>5270</v>
      </c>
      <c r="D1822" s="48"/>
      <c r="E1822" s="48" t="s">
        <v>5192</v>
      </c>
      <c r="F1822" s="14">
        <v>8</v>
      </c>
      <c r="G1822" s="48"/>
      <c r="H1822" s="13"/>
      <c r="O1822" s="21"/>
    </row>
    <row r="1823" spans="1:15" s="22" customFormat="1" ht="15" x14ac:dyDescent="0.25">
      <c r="A1823" s="48" t="str">
        <f t="shared" si="78"/>
        <v>uart_modem_Pinmux</v>
      </c>
      <c r="B1823" s="48" t="s">
        <v>5349</v>
      </c>
      <c r="C1823" s="48" t="s">
        <v>5261</v>
      </c>
      <c r="D1823" s="48"/>
      <c r="E1823" s="48" t="s">
        <v>5192</v>
      </c>
      <c r="F1823" s="14">
        <v>8</v>
      </c>
      <c r="G1823" s="48"/>
      <c r="H1823" s="13"/>
      <c r="O1823" s="21"/>
    </row>
    <row r="1824" spans="1:15" s="22" customFormat="1" ht="15" x14ac:dyDescent="0.25">
      <c r="A1824" s="48" t="str">
        <f t="shared" si="78"/>
        <v>uart_modem_tag</v>
      </c>
      <c r="B1824" s="49" t="s">
        <v>5349</v>
      </c>
      <c r="C1824" s="49" t="s">
        <v>5234</v>
      </c>
      <c r="D1824" s="49"/>
      <c r="E1824" s="49" t="s">
        <v>5192</v>
      </c>
      <c r="F1824" s="14">
        <v>44499</v>
      </c>
      <c r="G1824" s="49" t="s">
        <v>5254</v>
      </c>
      <c r="H1824" s="13"/>
      <c r="O1824" s="21"/>
    </row>
    <row r="1825" spans="1:15" s="22" customFormat="1" ht="15" x14ac:dyDescent="0.25">
      <c r="A1825" s="48" t="str">
        <f t="shared" si="78"/>
        <v>uart_modem_Type</v>
      </c>
      <c r="B1825" s="48" t="s">
        <v>5349</v>
      </c>
      <c r="C1825" s="48" t="s">
        <v>0</v>
      </c>
      <c r="D1825" s="48"/>
      <c r="E1825" s="48" t="s">
        <v>5192</v>
      </c>
      <c r="F1825" s="14" t="s">
        <v>5785</v>
      </c>
      <c r="G1825" s="48" t="s">
        <v>5288</v>
      </c>
      <c r="H1825" s="13"/>
      <c r="O1825" s="21"/>
    </row>
    <row r="1826" spans="1:15" s="22" customFormat="1" ht="15" x14ac:dyDescent="0.25">
      <c r="A1826" s="48" t="str">
        <f t="shared" ref="A1826:A1840" si="79">B1826&amp;"_"&amp;C1826&amp;"_"&amp;D1826</f>
        <v>uart_modem_vdd_dyn_112k_1p8v</v>
      </c>
      <c r="B1826" s="48" t="s">
        <v>5349</v>
      </c>
      <c r="C1826" s="48" t="s">
        <v>5255</v>
      </c>
      <c r="D1826" s="48" t="s">
        <v>5138</v>
      </c>
      <c r="E1826" s="48" t="s">
        <v>5195</v>
      </c>
      <c r="F1826" s="14">
        <v>6.1944309503999997E-9</v>
      </c>
      <c r="G1826" s="48"/>
      <c r="H1826" s="13"/>
      <c r="O1826" s="21"/>
    </row>
    <row r="1827" spans="1:15" s="22" customFormat="1" ht="15" x14ac:dyDescent="0.25">
      <c r="A1827" s="48" t="str">
        <f t="shared" si="79"/>
        <v>uart_modem_vdd_dyn_112k_3p3v</v>
      </c>
      <c r="B1827" s="48" t="s">
        <v>5349</v>
      </c>
      <c r="C1827" s="48" t="s">
        <v>5255</v>
      </c>
      <c r="D1827" s="48" t="s">
        <v>5144</v>
      </c>
      <c r="E1827" s="48" t="s">
        <v>5195</v>
      </c>
      <c r="F1827" s="14">
        <v>6.1944309503999997E-9</v>
      </c>
      <c r="G1827" s="48"/>
      <c r="H1827" s="13"/>
      <c r="O1827" s="21"/>
    </row>
    <row r="1828" spans="1:15" s="22" customFormat="1" ht="15" x14ac:dyDescent="0.25">
      <c r="A1828" s="48" t="str">
        <f t="shared" si="79"/>
        <v>uart_modem_vdd_dyn_1m_1p8v</v>
      </c>
      <c r="B1828" s="48" t="s">
        <v>5349</v>
      </c>
      <c r="C1828" s="48" t="s">
        <v>5255</v>
      </c>
      <c r="D1828" s="48" t="s">
        <v>5136</v>
      </c>
      <c r="E1828" s="48" t="s">
        <v>5195</v>
      </c>
      <c r="F1828" s="14">
        <v>5.5307419200000008E-8</v>
      </c>
      <c r="G1828" s="48"/>
      <c r="H1828" s="13"/>
      <c r="O1828" s="21"/>
    </row>
    <row r="1829" spans="1:15" s="22" customFormat="1" ht="15" x14ac:dyDescent="0.25">
      <c r="A1829" s="48" t="str">
        <f t="shared" si="79"/>
        <v>uart_modem_vdd_dyn_1m_3p3v</v>
      </c>
      <c r="B1829" s="48" t="s">
        <v>5349</v>
      </c>
      <c r="C1829" s="48" t="s">
        <v>5255</v>
      </c>
      <c r="D1829" s="48" t="s">
        <v>5142</v>
      </c>
      <c r="E1829" s="48" t="s">
        <v>5195</v>
      </c>
      <c r="F1829" s="14">
        <v>5.5307419200000008E-8</v>
      </c>
      <c r="G1829" s="48"/>
      <c r="H1829" s="13"/>
      <c r="O1829" s="21"/>
    </row>
    <row r="1830" spans="1:15" s="22" customFormat="1" ht="15" x14ac:dyDescent="0.25">
      <c r="A1830" s="48" t="str">
        <f t="shared" si="79"/>
        <v>uart_modem_vdd_dyn_3p6m_1p8v</v>
      </c>
      <c r="B1830" s="48" t="s">
        <v>5349</v>
      </c>
      <c r="C1830" s="48" t="s">
        <v>5255</v>
      </c>
      <c r="D1830" s="48" t="s">
        <v>5134</v>
      </c>
      <c r="E1830" s="48" t="s">
        <v>5195</v>
      </c>
      <c r="F1830" s="14">
        <v>1.9910670911999997E-7</v>
      </c>
      <c r="G1830" s="48"/>
      <c r="H1830" s="13"/>
      <c r="O1830" s="21"/>
    </row>
    <row r="1831" spans="1:15" s="22" customFormat="1" ht="15" x14ac:dyDescent="0.25">
      <c r="A1831" s="48" t="str">
        <f t="shared" si="79"/>
        <v>uart_modem_vdd_dyn_3p6m_3p3v</v>
      </c>
      <c r="B1831" s="48" t="s">
        <v>5349</v>
      </c>
      <c r="C1831" s="48" t="s">
        <v>5255</v>
      </c>
      <c r="D1831" s="48" t="s">
        <v>5140</v>
      </c>
      <c r="E1831" s="48" t="s">
        <v>5195</v>
      </c>
      <c r="F1831" s="14">
        <v>1.9910670911999997E-7</v>
      </c>
      <c r="G1831" s="48"/>
      <c r="H1831" s="13"/>
      <c r="O1831" s="21"/>
    </row>
    <row r="1832" spans="1:15" s="22" customFormat="1" ht="15" x14ac:dyDescent="0.25">
      <c r="A1832" s="48" t="str">
        <f t="shared" si="79"/>
        <v>uart_modem_vdd_dyn_off</v>
      </c>
      <c r="B1832" s="48" t="s">
        <v>5349</v>
      </c>
      <c r="C1832" s="48" t="s">
        <v>5255</v>
      </c>
      <c r="D1832" s="48" t="s">
        <v>4798</v>
      </c>
      <c r="E1832" s="48" t="s">
        <v>5195</v>
      </c>
      <c r="F1832" s="14">
        <v>0</v>
      </c>
      <c r="G1832" s="48"/>
      <c r="H1832" s="13"/>
      <c r="O1832" s="21"/>
    </row>
    <row r="1833" spans="1:15" s="22" customFormat="1" ht="15" x14ac:dyDescent="0.25">
      <c r="A1833" s="48" t="str">
        <f t="shared" si="79"/>
        <v>uart_modem_vddh1_dyn_112k_1p8v</v>
      </c>
      <c r="B1833" s="48" t="s">
        <v>5349</v>
      </c>
      <c r="C1833" s="48" t="s">
        <v>5256</v>
      </c>
      <c r="D1833" s="48" t="s">
        <v>5138</v>
      </c>
      <c r="E1833" s="48" t="s">
        <v>5195</v>
      </c>
      <c r="F1833" s="14">
        <v>4.6692858240000006E-3</v>
      </c>
      <c r="G1833" s="48"/>
      <c r="H1833" s="13"/>
      <c r="O1833" s="21"/>
    </row>
    <row r="1834" spans="1:15" s="22" customFormat="1" ht="15" x14ac:dyDescent="0.25">
      <c r="A1834" s="48" t="str">
        <f t="shared" si="79"/>
        <v>uart_modem_vddh1_dyn_1m_1p8v</v>
      </c>
      <c r="B1834" s="48" t="s">
        <v>5349</v>
      </c>
      <c r="C1834" s="48" t="s">
        <v>5256</v>
      </c>
      <c r="D1834" s="48" t="s">
        <v>5136</v>
      </c>
      <c r="E1834" s="48" t="s">
        <v>5195</v>
      </c>
      <c r="F1834" s="14">
        <v>4.1690052000000005E-2</v>
      </c>
      <c r="G1834" s="48"/>
      <c r="H1834" s="13"/>
      <c r="O1834" s="21"/>
    </row>
    <row r="1835" spans="1:15" s="22" customFormat="1" ht="15" x14ac:dyDescent="0.25">
      <c r="A1835" s="48" t="str">
        <f t="shared" si="79"/>
        <v>uart_modem_vddh1_dyn_3p6m_1p8v</v>
      </c>
      <c r="B1835" s="48" t="s">
        <v>5349</v>
      </c>
      <c r="C1835" s="48" t="s">
        <v>5256</v>
      </c>
      <c r="D1835" s="48" t="s">
        <v>5134</v>
      </c>
      <c r="E1835" s="48" t="s">
        <v>5195</v>
      </c>
      <c r="F1835" s="14">
        <v>0.1500841872</v>
      </c>
      <c r="G1835" s="48"/>
      <c r="H1835" s="13"/>
      <c r="O1835" s="21"/>
    </row>
    <row r="1836" spans="1:15" s="22" customFormat="1" ht="15" x14ac:dyDescent="0.25">
      <c r="A1836" s="48" t="str">
        <f t="shared" si="79"/>
        <v>uart_modem_vddh1_dyn_off</v>
      </c>
      <c r="B1836" s="48" t="s">
        <v>5349</v>
      </c>
      <c r="C1836" s="48" t="s">
        <v>5256</v>
      </c>
      <c r="D1836" s="48" t="s">
        <v>4798</v>
      </c>
      <c r="E1836" s="48" t="s">
        <v>5195</v>
      </c>
      <c r="F1836" s="14">
        <v>0</v>
      </c>
      <c r="G1836" s="48"/>
      <c r="H1836" s="13"/>
      <c r="O1836" s="21"/>
    </row>
    <row r="1837" spans="1:15" s="22" customFormat="1" ht="15" x14ac:dyDescent="0.25">
      <c r="A1837" s="48" t="str">
        <f t="shared" si="79"/>
        <v>uart_modem_vddh2_dyn_112k_3p3v</v>
      </c>
      <c r="B1837" s="48" t="s">
        <v>5349</v>
      </c>
      <c r="C1837" s="48" t="s">
        <v>5262</v>
      </c>
      <c r="D1837" s="48" t="s">
        <v>5144</v>
      </c>
      <c r="E1837" s="48" t="s">
        <v>5195</v>
      </c>
      <c r="F1837" s="14">
        <v>2.7369619199999997E-2</v>
      </c>
      <c r="G1837" s="48"/>
      <c r="H1837" s="13"/>
      <c r="O1837" s="21"/>
    </row>
    <row r="1838" spans="1:15" s="22" customFormat="1" ht="15" x14ac:dyDescent="0.25">
      <c r="A1838" s="48" t="str">
        <f t="shared" si="79"/>
        <v>uart_modem_vddh2_dyn_1m_3p3v</v>
      </c>
      <c r="B1838" s="48" t="s">
        <v>5349</v>
      </c>
      <c r="C1838" s="48" t="s">
        <v>5262</v>
      </c>
      <c r="D1838" s="48" t="s">
        <v>5142</v>
      </c>
      <c r="E1838" s="48" t="s">
        <v>5195</v>
      </c>
      <c r="F1838" s="14">
        <v>0.24437159999999999</v>
      </c>
      <c r="G1838" s="48"/>
      <c r="H1838" s="13"/>
      <c r="O1838" s="21"/>
    </row>
    <row r="1839" spans="1:15" s="22" customFormat="1" ht="15" x14ac:dyDescent="0.25">
      <c r="A1839" s="48" t="str">
        <f t="shared" si="79"/>
        <v>uart_modem_vddh2_dyn_3p6m_3p3v</v>
      </c>
      <c r="B1839" s="48" t="s">
        <v>5349</v>
      </c>
      <c r="C1839" s="48" t="s">
        <v>5262</v>
      </c>
      <c r="D1839" s="48" t="s">
        <v>5140</v>
      </c>
      <c r="E1839" s="48" t="s">
        <v>5195</v>
      </c>
      <c r="F1839" s="14">
        <v>0.87973775999999992</v>
      </c>
      <c r="G1839" s="48"/>
      <c r="H1839" s="13"/>
      <c r="O1839" s="21"/>
    </row>
    <row r="1840" spans="1:15" s="22" customFormat="1" ht="15" x14ac:dyDescent="0.25">
      <c r="A1840" s="48" t="str">
        <f t="shared" si="79"/>
        <v>uart_modem_vddh2_dyn_off</v>
      </c>
      <c r="B1840" s="48" t="s">
        <v>5349</v>
      </c>
      <c r="C1840" s="48" t="s">
        <v>5262</v>
      </c>
      <c r="D1840" s="48" t="s">
        <v>4798</v>
      </c>
      <c r="E1840" s="48" t="s">
        <v>5195</v>
      </c>
      <c r="F1840" s="14">
        <v>0</v>
      </c>
      <c r="G1840" s="48"/>
      <c r="H1840" s="13"/>
      <c r="O1840" s="21"/>
    </row>
    <row r="1841" spans="1:15" s="22" customFormat="1" ht="15" x14ac:dyDescent="0.25">
      <c r="A1841" s="48" t="str">
        <f t="shared" ref="A1841:A1849" si="80">B1841&amp;"_"&amp;C1841</f>
        <v>usb2_phy_Area</v>
      </c>
      <c r="B1841" s="48" t="s">
        <v>6159</v>
      </c>
      <c r="C1841" s="50" t="s">
        <v>5211</v>
      </c>
      <c r="D1841" s="48"/>
      <c r="E1841" s="48" t="s">
        <v>5192</v>
      </c>
      <c r="F1841" s="14">
        <v>0.53</v>
      </c>
      <c r="G1841" s="48" t="s">
        <v>6216</v>
      </c>
      <c r="H1841" s="13"/>
      <c r="O1841" s="21"/>
    </row>
    <row r="1842" spans="1:15" s="22" customFormat="1" ht="15" x14ac:dyDescent="0.25">
      <c r="A1842" s="48" t="str">
        <f t="shared" si="80"/>
        <v>usb2_phy_Beachfront</v>
      </c>
      <c r="B1842" s="48" t="s">
        <v>6159</v>
      </c>
      <c r="C1842" s="50" t="s">
        <v>5250</v>
      </c>
      <c r="D1842" s="48"/>
      <c r="E1842" s="48" t="s">
        <v>5192</v>
      </c>
      <c r="F1842" s="174">
        <f>SQRT(0.861)</f>
        <v>0.92790085677296363</v>
      </c>
      <c r="G1842" s="48" t="s">
        <v>5251</v>
      </c>
      <c r="H1842" s="13"/>
      <c r="O1842" s="21"/>
    </row>
    <row r="1843" spans="1:15" s="22" customFormat="1" ht="15" x14ac:dyDescent="0.25">
      <c r="A1843" s="48" t="str">
        <f t="shared" si="80"/>
        <v>usb2_phy_Description</v>
      </c>
      <c r="B1843" s="48" t="s">
        <v>6159</v>
      </c>
      <c r="C1843" s="50" t="s">
        <v>42</v>
      </c>
      <c r="D1843" s="48"/>
      <c r="E1843" s="48" t="s">
        <v>5192</v>
      </c>
      <c r="F1843" s="14" t="s">
        <v>5869</v>
      </c>
      <c r="G1843" s="48" t="s">
        <v>5336</v>
      </c>
      <c r="H1843" s="13"/>
      <c r="O1843" s="21"/>
    </row>
    <row r="1844" spans="1:15" s="22" customFormat="1" ht="15" x14ac:dyDescent="0.25">
      <c r="A1844" s="48" t="str">
        <f t="shared" si="80"/>
        <v>usb2_phy_First_SoC</v>
      </c>
      <c r="B1844" s="48" t="s">
        <v>6159</v>
      </c>
      <c r="C1844" s="48" t="s">
        <v>5216</v>
      </c>
      <c r="D1844" s="48"/>
      <c r="E1844" s="48" t="s">
        <v>5192</v>
      </c>
      <c r="F1844" s="14" t="s">
        <v>6052</v>
      </c>
      <c r="G1844" s="48" t="s">
        <v>5252</v>
      </c>
      <c r="H1844" s="13"/>
      <c r="O1844" s="21"/>
    </row>
    <row r="1845" spans="1:15" s="22" customFormat="1" ht="15" x14ac:dyDescent="0.25">
      <c r="A1845" s="48" t="str">
        <f t="shared" si="80"/>
        <v>usb2_phy_Function</v>
      </c>
      <c r="B1845" s="48" t="s">
        <v>6159</v>
      </c>
      <c r="C1845" s="50" t="s">
        <v>5222</v>
      </c>
      <c r="D1845" s="48"/>
      <c r="E1845" s="48" t="s">
        <v>5192</v>
      </c>
      <c r="F1845" s="14" t="s">
        <v>5864</v>
      </c>
      <c r="G1845" s="48" t="s">
        <v>4677</v>
      </c>
      <c r="H1845" s="13"/>
      <c r="O1845" s="21"/>
    </row>
    <row r="1846" spans="1:15" s="22" customFormat="1" ht="15" x14ac:dyDescent="0.25">
      <c r="A1846" s="48" t="str">
        <f t="shared" si="80"/>
        <v>usb2_phy_macro_area</v>
      </c>
      <c r="B1846" s="52" t="s">
        <v>6159</v>
      </c>
      <c r="C1846" s="52" t="s">
        <v>5228</v>
      </c>
      <c r="D1846" s="52"/>
      <c r="E1846" s="52" t="s">
        <v>5192</v>
      </c>
      <c r="F1846" s="14">
        <v>0.53</v>
      </c>
      <c r="G1846" s="48" t="s">
        <v>4677</v>
      </c>
      <c r="H1846" s="13"/>
      <c r="O1846" s="21"/>
    </row>
    <row r="1847" spans="1:15" s="22" customFormat="1" ht="15" x14ac:dyDescent="0.25">
      <c r="A1847" s="48" t="str">
        <f t="shared" si="80"/>
        <v>usb2_phy_Pins</v>
      </c>
      <c r="B1847" s="48" t="s">
        <v>6159</v>
      </c>
      <c r="C1847" s="50" t="s">
        <v>5253</v>
      </c>
      <c r="D1847" s="48"/>
      <c r="E1847" s="48" t="s">
        <v>5192</v>
      </c>
      <c r="F1847" s="14">
        <v>7</v>
      </c>
      <c r="G1847" s="48" t="s">
        <v>4677</v>
      </c>
      <c r="H1847" s="13"/>
      <c r="O1847" s="21"/>
    </row>
    <row r="1848" spans="1:15" s="22" customFormat="1" ht="15" x14ac:dyDescent="0.25">
      <c r="A1848" s="48" t="str">
        <f t="shared" si="80"/>
        <v>usb2_phy_tag</v>
      </c>
      <c r="B1848" s="49" t="s">
        <v>6159</v>
      </c>
      <c r="C1848" s="49" t="s">
        <v>5234</v>
      </c>
      <c r="D1848" s="49"/>
      <c r="E1848" s="49" t="s">
        <v>5192</v>
      </c>
      <c r="F1848" s="14">
        <v>44499</v>
      </c>
      <c r="G1848" s="49" t="s">
        <v>5254</v>
      </c>
      <c r="H1848" s="13"/>
      <c r="O1848" s="21"/>
    </row>
    <row r="1849" spans="1:15" s="22" customFormat="1" ht="15" x14ac:dyDescent="0.25">
      <c r="A1849" s="48" t="str">
        <f t="shared" si="80"/>
        <v>usb2_phy_Type</v>
      </c>
      <c r="B1849" s="48" t="s">
        <v>6159</v>
      </c>
      <c r="C1849" s="50" t="s">
        <v>0</v>
      </c>
      <c r="D1849" s="48"/>
      <c r="E1849" s="48" t="s">
        <v>5192</v>
      </c>
      <c r="F1849" s="14" t="s">
        <v>5784</v>
      </c>
      <c r="G1849" s="48" t="s">
        <v>4677</v>
      </c>
      <c r="H1849" s="13"/>
      <c r="O1849" s="21"/>
    </row>
    <row r="1850" spans="1:15" s="22" customFormat="1" ht="15" x14ac:dyDescent="0.25">
      <c r="A1850" s="48" t="str">
        <f t="shared" ref="A1850:A1863" si="81">B1850&amp;"_"&amp;C1850&amp;"_"&amp;D1850</f>
        <v>usb2_phy_vdd_dyn_device_fs</v>
      </c>
      <c r="B1850" s="48" t="s">
        <v>6159</v>
      </c>
      <c r="C1850" s="50" t="s">
        <v>5255</v>
      </c>
      <c r="D1850" s="48" t="s">
        <v>4860</v>
      </c>
      <c r="E1850" s="48" t="s">
        <v>5192</v>
      </c>
      <c r="F1850" s="14">
        <f>(1.578+1.603)/2</f>
        <v>1.5905</v>
      </c>
      <c r="G1850" s="48" t="s">
        <v>5337</v>
      </c>
      <c r="H1850" s="13"/>
      <c r="O1850" s="21"/>
    </row>
    <row r="1851" spans="1:15" s="22" customFormat="1" ht="15" x14ac:dyDescent="0.25">
      <c r="A1851" s="48" t="str">
        <f t="shared" si="81"/>
        <v>usb2_phy_vdd_dyn_device_fs_idle</v>
      </c>
      <c r="B1851" s="48" t="s">
        <v>6159</v>
      </c>
      <c r="C1851" s="50" t="s">
        <v>5255</v>
      </c>
      <c r="D1851" s="48" t="s">
        <v>4864</v>
      </c>
      <c r="E1851" s="48" t="s">
        <v>5192</v>
      </c>
      <c r="F1851" s="14">
        <v>1.5629999999999999</v>
      </c>
      <c r="G1851" s="48" t="s">
        <v>5338</v>
      </c>
      <c r="H1851" s="13"/>
      <c r="O1851" s="21"/>
    </row>
    <row r="1852" spans="1:15" s="22" customFormat="1" ht="15" x14ac:dyDescent="0.25">
      <c r="A1852" s="48" t="str">
        <f t="shared" si="81"/>
        <v>usb2_phy_vdd_dyn_device_hs</v>
      </c>
      <c r="B1852" s="48" t="s">
        <v>6159</v>
      </c>
      <c r="C1852" s="50" t="s">
        <v>5255</v>
      </c>
      <c r="D1852" s="48" t="s">
        <v>4861</v>
      </c>
      <c r="E1852" s="48" t="s">
        <v>5192</v>
      </c>
      <c r="F1852" s="14">
        <f>(1.457+1.834)/2</f>
        <v>1.6455000000000002</v>
      </c>
      <c r="G1852" s="48" t="s">
        <v>5337</v>
      </c>
      <c r="H1852" s="13"/>
      <c r="O1852" s="21"/>
    </row>
    <row r="1853" spans="1:15" s="22" customFormat="1" ht="15" x14ac:dyDescent="0.25">
      <c r="A1853" s="48" t="str">
        <f t="shared" si="81"/>
        <v>usb2_phy_vdd_dyn_device_hs_idle</v>
      </c>
      <c r="B1853" s="48" t="s">
        <v>6159</v>
      </c>
      <c r="C1853" s="50" t="s">
        <v>5255</v>
      </c>
      <c r="D1853" s="48" t="s">
        <v>4863</v>
      </c>
      <c r="E1853" s="48" t="s">
        <v>5192</v>
      </c>
      <c r="F1853" s="14">
        <v>1.28</v>
      </c>
      <c r="G1853" s="48" t="s">
        <v>5338</v>
      </c>
      <c r="H1853" s="13"/>
      <c r="O1853" s="21"/>
    </row>
    <row r="1854" spans="1:15" s="22" customFormat="1" ht="15" x14ac:dyDescent="0.25">
      <c r="A1854" s="48" t="str">
        <f t="shared" si="81"/>
        <v>usb2_phy_vdd_dyn_device_ls</v>
      </c>
      <c r="B1854" s="48" t="s">
        <v>6159</v>
      </c>
      <c r="C1854" s="50" t="s">
        <v>5255</v>
      </c>
      <c r="D1854" s="48" t="s">
        <v>4862</v>
      </c>
      <c r="E1854" s="48" t="s">
        <v>5192</v>
      </c>
      <c r="F1854" s="14">
        <f>(1.568+1.582)/2</f>
        <v>1.5750000000000002</v>
      </c>
      <c r="G1854" s="48" t="s">
        <v>5337</v>
      </c>
      <c r="H1854" s="13"/>
      <c r="O1854" s="21"/>
    </row>
    <row r="1855" spans="1:15" s="22" customFormat="1" ht="15" x14ac:dyDescent="0.25">
      <c r="A1855" s="48" t="str">
        <f t="shared" si="81"/>
        <v>usb2_phy_vdd_dyn_device_ls_idle</v>
      </c>
      <c r="B1855" s="48" t="s">
        <v>6159</v>
      </c>
      <c r="C1855" s="50" t="s">
        <v>5255</v>
      </c>
      <c r="D1855" s="48" t="s">
        <v>4865</v>
      </c>
      <c r="E1855" s="48" t="s">
        <v>5192</v>
      </c>
      <c r="F1855" s="14">
        <v>1.5629999999999999</v>
      </c>
      <c r="G1855" s="48" t="s">
        <v>5338</v>
      </c>
      <c r="H1855" s="13"/>
      <c r="O1855" s="21"/>
    </row>
    <row r="1856" spans="1:15" s="22" customFormat="1" ht="15" x14ac:dyDescent="0.25">
      <c r="A1856" s="48" t="str">
        <f t="shared" si="81"/>
        <v>usb2_phy_vdd_dyn_host_fs</v>
      </c>
      <c r="B1856" s="48" t="s">
        <v>6159</v>
      </c>
      <c r="C1856" s="50" t="s">
        <v>5255</v>
      </c>
      <c r="D1856" s="48" t="s">
        <v>4866</v>
      </c>
      <c r="E1856" s="48" t="s">
        <v>5192</v>
      </c>
      <c r="F1856" s="14">
        <f>(1.577+1.599)/2</f>
        <v>1.5880000000000001</v>
      </c>
      <c r="G1856" s="48" t="s">
        <v>5337</v>
      </c>
      <c r="H1856" s="13"/>
      <c r="O1856" s="21"/>
    </row>
    <row r="1857" spans="1:15" s="22" customFormat="1" ht="15" x14ac:dyDescent="0.25">
      <c r="A1857" s="48" t="str">
        <f t="shared" si="81"/>
        <v>usb2_phy_vdd_dyn_host_fs_idle</v>
      </c>
      <c r="B1857" s="48" t="s">
        <v>6159</v>
      </c>
      <c r="C1857" s="50" t="s">
        <v>5255</v>
      </c>
      <c r="D1857" s="48" t="s">
        <v>4870</v>
      </c>
      <c r="E1857" s="48" t="s">
        <v>5192</v>
      </c>
      <c r="F1857" s="14">
        <v>1.5629999999999999</v>
      </c>
      <c r="G1857" s="48" t="s">
        <v>4677</v>
      </c>
      <c r="H1857" s="13"/>
      <c r="O1857" s="21"/>
    </row>
    <row r="1858" spans="1:15" s="22" customFormat="1" ht="15" x14ac:dyDescent="0.25">
      <c r="A1858" s="48" t="str">
        <f t="shared" si="81"/>
        <v>usb2_phy_vdd_dyn_host_hs</v>
      </c>
      <c r="B1858" s="48" t="s">
        <v>6159</v>
      </c>
      <c r="C1858" s="50" t="s">
        <v>5255</v>
      </c>
      <c r="D1858" s="48" t="s">
        <v>4867</v>
      </c>
      <c r="E1858" s="48" t="s">
        <v>5192</v>
      </c>
      <c r="F1858" s="14">
        <f>(1.457+1.811)/2</f>
        <v>1.6339999999999999</v>
      </c>
      <c r="G1858" s="48" t="s">
        <v>5337</v>
      </c>
      <c r="H1858" s="13"/>
      <c r="O1858" s="21"/>
    </row>
    <row r="1859" spans="1:15" s="22" customFormat="1" ht="15" x14ac:dyDescent="0.25">
      <c r="A1859" s="48" t="str">
        <f t="shared" si="81"/>
        <v>usb2_phy_vdd_dyn_host_hs_idle</v>
      </c>
      <c r="B1859" s="48" t="s">
        <v>6159</v>
      </c>
      <c r="C1859" s="50" t="s">
        <v>5255</v>
      </c>
      <c r="D1859" s="48" t="s">
        <v>4869</v>
      </c>
      <c r="E1859" s="48" t="s">
        <v>5192</v>
      </c>
      <c r="F1859" s="14">
        <v>1.28</v>
      </c>
      <c r="G1859" s="48" t="s">
        <v>4677</v>
      </c>
      <c r="H1859" s="13"/>
      <c r="O1859" s="21"/>
    </row>
    <row r="1860" spans="1:15" s="22" customFormat="1" ht="15" x14ac:dyDescent="0.25">
      <c r="A1860" s="48" t="str">
        <f t="shared" si="81"/>
        <v>usb2_phy_vdd_dyn_host_ls</v>
      </c>
      <c r="B1860" s="48" t="s">
        <v>6159</v>
      </c>
      <c r="C1860" s="50" t="s">
        <v>5255</v>
      </c>
      <c r="D1860" s="48" t="s">
        <v>4868</v>
      </c>
      <c r="E1860" s="48" t="s">
        <v>5192</v>
      </c>
      <c r="F1860" s="14">
        <f>(1.566+1.58)/2</f>
        <v>1.573</v>
      </c>
      <c r="G1860" s="48" t="s">
        <v>4677</v>
      </c>
      <c r="H1860" s="13"/>
      <c r="O1860" s="21"/>
    </row>
    <row r="1861" spans="1:15" s="22" customFormat="1" ht="15" x14ac:dyDescent="0.25">
      <c r="A1861" s="48" t="str">
        <f t="shared" si="81"/>
        <v>usb2_phy_vdd_dyn_host_ls_idle</v>
      </c>
      <c r="B1861" s="48" t="s">
        <v>6159</v>
      </c>
      <c r="C1861" s="50" t="s">
        <v>5255</v>
      </c>
      <c r="D1861" s="48" t="s">
        <v>4871</v>
      </c>
      <c r="E1861" s="48" t="s">
        <v>5192</v>
      </c>
      <c r="F1861" s="14">
        <v>1.5629999999999999</v>
      </c>
      <c r="G1861" s="48" t="s">
        <v>4677</v>
      </c>
      <c r="H1861" s="13"/>
      <c r="O1861" s="21"/>
    </row>
    <row r="1862" spans="1:15" s="22" customFormat="1" ht="15" x14ac:dyDescent="0.25">
      <c r="A1862" s="48" t="str">
        <f t="shared" si="81"/>
        <v>usb2_phy_vdd_dyn_Power_down</v>
      </c>
      <c r="B1862" s="48" t="s">
        <v>6159</v>
      </c>
      <c r="C1862" s="50" t="s">
        <v>5255</v>
      </c>
      <c r="D1862" s="48" t="s">
        <v>5339</v>
      </c>
      <c r="E1862" s="48" t="s">
        <v>5192</v>
      </c>
      <c r="F1862" s="14">
        <v>0.25600000000000001</v>
      </c>
      <c r="G1862" s="48" t="s">
        <v>5340</v>
      </c>
      <c r="H1862" s="13"/>
      <c r="O1862" s="21"/>
    </row>
    <row r="1863" spans="1:15" s="22" customFormat="1" ht="15" x14ac:dyDescent="0.25">
      <c r="A1863" s="48" t="str">
        <f t="shared" si="81"/>
        <v>usb2_phy_vdd_dyn_sleep</v>
      </c>
      <c r="B1863" s="48" t="s">
        <v>6159</v>
      </c>
      <c r="C1863" s="50" t="s">
        <v>5255</v>
      </c>
      <c r="D1863" s="48" t="s">
        <v>4849</v>
      </c>
      <c r="E1863" s="48" t="s">
        <v>5192</v>
      </c>
      <c r="F1863" s="14">
        <v>0.255</v>
      </c>
      <c r="G1863" s="48" t="s">
        <v>5341</v>
      </c>
      <c r="H1863" s="13"/>
      <c r="O1863" s="21"/>
    </row>
    <row r="1864" spans="1:15" s="22" customFormat="1" ht="15" x14ac:dyDescent="0.25">
      <c r="A1864" s="48" t="str">
        <f>B1864&amp;"_"&amp;C1864</f>
        <v>usb2_phy_vdd_lkg</v>
      </c>
      <c r="B1864" s="48" t="s">
        <v>6159</v>
      </c>
      <c r="C1864" s="50" t="s">
        <v>5245</v>
      </c>
      <c r="D1864" s="48"/>
      <c r="E1864" s="48" t="s">
        <v>5192</v>
      </c>
      <c r="F1864" s="14">
        <v>0</v>
      </c>
      <c r="G1864" s="48" t="s">
        <v>5342</v>
      </c>
      <c r="H1864" s="13"/>
      <c r="O1864" s="21"/>
    </row>
    <row r="1865" spans="1:15" s="22" customFormat="1" ht="15" x14ac:dyDescent="0.25">
      <c r="A1865" s="48" t="str">
        <f t="shared" ref="A1865:A1878" si="82">B1865&amp;"_"&amp;C1865&amp;"_"&amp;D1865</f>
        <v>usb2_phy_vdda_dyn_device_fs</v>
      </c>
      <c r="B1865" s="48" t="s">
        <v>6159</v>
      </c>
      <c r="C1865" s="50" t="s">
        <v>5274</v>
      </c>
      <c r="D1865" s="48" t="s">
        <v>4860</v>
      </c>
      <c r="E1865" s="48" t="s">
        <v>5192</v>
      </c>
      <c r="F1865" s="14">
        <f>(0.185+0.188)/2</f>
        <v>0.1865</v>
      </c>
      <c r="G1865" s="48" t="s">
        <v>5337</v>
      </c>
      <c r="H1865" s="13"/>
      <c r="O1865" s="21"/>
    </row>
    <row r="1866" spans="1:15" s="22" customFormat="1" ht="15" x14ac:dyDescent="0.25">
      <c r="A1866" s="48" t="str">
        <f t="shared" si="82"/>
        <v>usb2_phy_vdda_dyn_device_fs_idle</v>
      </c>
      <c r="B1866" s="48" t="s">
        <v>6159</v>
      </c>
      <c r="C1866" s="50" t="s">
        <v>5274</v>
      </c>
      <c r="D1866" s="48" t="s">
        <v>4864</v>
      </c>
      <c r="E1866" s="48" t="s">
        <v>5192</v>
      </c>
      <c r="F1866" s="14">
        <v>0.185</v>
      </c>
      <c r="G1866" s="48" t="s">
        <v>5338</v>
      </c>
      <c r="H1866" s="13"/>
      <c r="O1866" s="21"/>
    </row>
    <row r="1867" spans="1:15" s="22" customFormat="1" ht="15" x14ac:dyDescent="0.25">
      <c r="A1867" s="48" t="str">
        <f t="shared" si="82"/>
        <v>usb2_phy_vdda_dyn_device_hs</v>
      </c>
      <c r="B1867" s="48" t="s">
        <v>6159</v>
      </c>
      <c r="C1867" s="50" t="s">
        <v>5274</v>
      </c>
      <c r="D1867" s="48" t="s">
        <v>4861</v>
      </c>
      <c r="E1867" s="48" t="s">
        <v>5192</v>
      </c>
      <c r="F1867" s="14">
        <f>(6.757+4.183)/2</f>
        <v>5.47</v>
      </c>
      <c r="G1867" s="48" t="s">
        <v>5337</v>
      </c>
      <c r="H1867" s="13"/>
      <c r="O1867" s="21"/>
    </row>
    <row r="1868" spans="1:15" s="22" customFormat="1" ht="15" x14ac:dyDescent="0.25">
      <c r="A1868" s="48" t="str">
        <f t="shared" si="82"/>
        <v>usb2_phy_vdda_dyn_device_hs_idle</v>
      </c>
      <c r="B1868" s="48" t="s">
        <v>6159</v>
      </c>
      <c r="C1868" s="50" t="s">
        <v>5274</v>
      </c>
      <c r="D1868" s="48" t="s">
        <v>4863</v>
      </c>
      <c r="E1868" s="48" t="s">
        <v>5192</v>
      </c>
      <c r="F1868" s="14">
        <v>0.51</v>
      </c>
      <c r="G1868" s="48" t="s">
        <v>5338</v>
      </c>
      <c r="H1868" s="13"/>
      <c r="O1868" s="21"/>
    </row>
    <row r="1869" spans="1:15" s="22" customFormat="1" ht="15" x14ac:dyDescent="0.25">
      <c r="A1869" s="48" t="str">
        <f t="shared" si="82"/>
        <v>usb2_phy_vdda_dyn_device_ls</v>
      </c>
      <c r="B1869" s="48" t="s">
        <v>6159</v>
      </c>
      <c r="C1869" s="50" t="s">
        <v>5274</v>
      </c>
      <c r="D1869" s="48" t="s">
        <v>4862</v>
      </c>
      <c r="E1869" s="48" t="s">
        <v>5192</v>
      </c>
      <c r="F1869" s="14">
        <f>(0.185+0.187)/2</f>
        <v>0.186</v>
      </c>
      <c r="G1869" s="48" t="s">
        <v>5337</v>
      </c>
      <c r="H1869" s="13"/>
      <c r="O1869" s="21"/>
    </row>
    <row r="1870" spans="1:15" s="22" customFormat="1" ht="15" x14ac:dyDescent="0.25">
      <c r="A1870" s="48" t="str">
        <f t="shared" si="82"/>
        <v>usb2_phy_vdda_dyn_device_ls_idle</v>
      </c>
      <c r="B1870" s="48" t="s">
        <v>6159</v>
      </c>
      <c r="C1870" s="50" t="s">
        <v>5274</v>
      </c>
      <c r="D1870" s="48" t="s">
        <v>4865</v>
      </c>
      <c r="E1870" s="48" t="s">
        <v>5192</v>
      </c>
      <c r="F1870" s="14">
        <v>0.185</v>
      </c>
      <c r="G1870" s="48" t="s">
        <v>5338</v>
      </c>
      <c r="H1870" s="13"/>
      <c r="O1870" s="21"/>
    </row>
    <row r="1871" spans="1:15" s="22" customFormat="1" ht="15" x14ac:dyDescent="0.25">
      <c r="A1871" s="48" t="str">
        <f t="shared" si="82"/>
        <v>usb2_phy_vdda_dyn_host_fs</v>
      </c>
      <c r="B1871" s="48" t="s">
        <v>6159</v>
      </c>
      <c r="C1871" s="50" t="s">
        <v>5274</v>
      </c>
      <c r="D1871" s="48" t="s">
        <v>4866</v>
      </c>
      <c r="E1871" s="48" t="s">
        <v>5192</v>
      </c>
      <c r="F1871" s="14">
        <f>(0.185+0.187)/2</f>
        <v>0.186</v>
      </c>
      <c r="G1871" s="48" t="s">
        <v>5337</v>
      </c>
      <c r="H1871" s="13"/>
      <c r="O1871" s="21"/>
    </row>
    <row r="1872" spans="1:15" s="22" customFormat="1" ht="15" x14ac:dyDescent="0.25">
      <c r="A1872" s="48" t="str">
        <f t="shared" si="82"/>
        <v>usb2_phy_vdda_dyn_host_fs_idle</v>
      </c>
      <c r="B1872" s="48" t="s">
        <v>6159</v>
      </c>
      <c r="C1872" s="50" t="s">
        <v>5274</v>
      </c>
      <c r="D1872" s="48" t="s">
        <v>4870</v>
      </c>
      <c r="E1872" s="48" t="s">
        <v>5192</v>
      </c>
      <c r="F1872" s="14">
        <v>0.185</v>
      </c>
      <c r="G1872" s="48" t="s">
        <v>4677</v>
      </c>
      <c r="H1872" s="13"/>
      <c r="O1872" s="21"/>
    </row>
    <row r="1873" spans="1:15" s="22" customFormat="1" ht="15" x14ac:dyDescent="0.25">
      <c r="A1873" s="48" t="str">
        <f t="shared" si="82"/>
        <v>usb2_phy_vdda_dyn_host_hs</v>
      </c>
      <c r="B1873" s="48" t="s">
        <v>6159</v>
      </c>
      <c r="C1873" s="50" t="s">
        <v>5274</v>
      </c>
      <c r="D1873" s="48" t="s">
        <v>4867</v>
      </c>
      <c r="E1873" s="48" t="s">
        <v>5192</v>
      </c>
      <c r="F1873" s="14">
        <f>(6.752+4.181)/2</f>
        <v>5.4664999999999999</v>
      </c>
      <c r="G1873" s="48" t="s">
        <v>5337</v>
      </c>
      <c r="H1873" s="13"/>
      <c r="O1873" s="21"/>
    </row>
    <row r="1874" spans="1:15" s="22" customFormat="1" ht="15" x14ac:dyDescent="0.25">
      <c r="A1874" s="48" t="str">
        <f t="shared" si="82"/>
        <v>usb2_phy_vdda_dyn_host_hs_idle</v>
      </c>
      <c r="B1874" s="48" t="s">
        <v>6159</v>
      </c>
      <c r="C1874" s="50" t="s">
        <v>5274</v>
      </c>
      <c r="D1874" s="48" t="s">
        <v>4869</v>
      </c>
      <c r="E1874" s="48" t="s">
        <v>5192</v>
      </c>
      <c r="F1874" s="14">
        <v>0.51</v>
      </c>
      <c r="G1874" s="48" t="s">
        <v>4677</v>
      </c>
      <c r="H1874" s="13"/>
      <c r="O1874" s="21"/>
    </row>
    <row r="1875" spans="1:15" s="22" customFormat="1" ht="15" x14ac:dyDescent="0.25">
      <c r="A1875" s="48" t="str">
        <f t="shared" si="82"/>
        <v>usb2_phy_vdda_dyn_host_ls</v>
      </c>
      <c r="B1875" s="48" t="s">
        <v>6159</v>
      </c>
      <c r="C1875" s="50" t="s">
        <v>5274</v>
      </c>
      <c r="D1875" s="48" t="s">
        <v>4868</v>
      </c>
      <c r="E1875" s="48" t="s">
        <v>5192</v>
      </c>
      <c r="F1875" s="14">
        <f>(0.186+0.185)/2</f>
        <v>0.1855</v>
      </c>
      <c r="G1875" s="48" t="s">
        <v>4677</v>
      </c>
      <c r="H1875" s="13"/>
      <c r="O1875" s="21"/>
    </row>
    <row r="1876" spans="1:15" s="22" customFormat="1" ht="15" x14ac:dyDescent="0.25">
      <c r="A1876" s="48" t="str">
        <f t="shared" si="82"/>
        <v>usb2_phy_vdda_dyn_host_ls_idle</v>
      </c>
      <c r="B1876" s="48" t="s">
        <v>6159</v>
      </c>
      <c r="C1876" s="50" t="s">
        <v>5274</v>
      </c>
      <c r="D1876" s="48" t="s">
        <v>4871</v>
      </c>
      <c r="E1876" s="48" t="s">
        <v>5192</v>
      </c>
      <c r="F1876" s="14">
        <v>0.185</v>
      </c>
      <c r="G1876" s="48" t="s">
        <v>4677</v>
      </c>
      <c r="H1876" s="13"/>
      <c r="O1876" s="21"/>
    </row>
    <row r="1877" spans="1:15" s="22" customFormat="1" ht="15" x14ac:dyDescent="0.25">
      <c r="A1877" s="48" t="str">
        <f t="shared" si="82"/>
        <v>usb2_phy_vdda_dyn_Power_down</v>
      </c>
      <c r="B1877" s="48" t="s">
        <v>6159</v>
      </c>
      <c r="C1877" s="50" t="s">
        <v>5274</v>
      </c>
      <c r="D1877" s="48" t="s">
        <v>5339</v>
      </c>
      <c r="E1877" s="48" t="s">
        <v>5192</v>
      </c>
      <c r="F1877" s="14">
        <v>0.03</v>
      </c>
      <c r="G1877" s="48" t="s">
        <v>5340</v>
      </c>
      <c r="H1877" s="13"/>
      <c r="O1877" s="21"/>
    </row>
    <row r="1878" spans="1:15" s="22" customFormat="1" ht="15" x14ac:dyDescent="0.25">
      <c r="A1878" s="48" t="str">
        <f t="shared" si="82"/>
        <v>usb2_phy_vdda_dyn_sleep</v>
      </c>
      <c r="B1878" s="48" t="s">
        <v>6159</v>
      </c>
      <c r="C1878" s="50" t="s">
        <v>5274</v>
      </c>
      <c r="D1878" s="48" t="s">
        <v>4849</v>
      </c>
      <c r="E1878" s="48" t="s">
        <v>5192</v>
      </c>
      <c r="F1878" s="14">
        <v>0.03</v>
      </c>
      <c r="G1878" s="48" t="s">
        <v>5341</v>
      </c>
      <c r="H1878" s="13"/>
      <c r="O1878" s="21"/>
    </row>
    <row r="1879" spans="1:15" s="22" customFormat="1" ht="15" x14ac:dyDescent="0.25">
      <c r="A1879" s="48" t="str">
        <f>B1879&amp;"_"&amp;C1879</f>
        <v>usb2_phy_vdda_lkg</v>
      </c>
      <c r="B1879" s="48" t="s">
        <v>6159</v>
      </c>
      <c r="C1879" s="50" t="s">
        <v>5275</v>
      </c>
      <c r="D1879" s="48"/>
      <c r="E1879" s="48" t="s">
        <v>5192</v>
      </c>
      <c r="F1879" s="14">
        <v>0</v>
      </c>
      <c r="G1879" s="48" t="s">
        <v>5342</v>
      </c>
      <c r="H1879" s="13"/>
      <c r="O1879" s="21"/>
    </row>
    <row r="1880" spans="1:15" s="22" customFormat="1" ht="15" x14ac:dyDescent="0.25">
      <c r="A1880" s="48" t="str">
        <f t="shared" ref="A1880:A1893" si="83">B1880&amp;"_"&amp;C1880&amp;"_"&amp;D1880</f>
        <v>usb2_phy_vddh1_dyn_device_fs</v>
      </c>
      <c r="B1880" s="48" t="s">
        <v>6159</v>
      </c>
      <c r="C1880" s="50" t="s">
        <v>5256</v>
      </c>
      <c r="D1880" s="48" t="s">
        <v>4860</v>
      </c>
      <c r="E1880" s="48" t="s">
        <v>5192</v>
      </c>
      <c r="F1880" s="14">
        <f>(5.872+5.399)/2</f>
        <v>5.6355000000000004</v>
      </c>
      <c r="G1880" s="48" t="s">
        <v>5337</v>
      </c>
      <c r="H1880" s="13"/>
      <c r="O1880" s="21"/>
    </row>
    <row r="1881" spans="1:15" s="22" customFormat="1" ht="15" x14ac:dyDescent="0.25">
      <c r="A1881" s="48" t="str">
        <f t="shared" si="83"/>
        <v>usb2_phy_vddh1_dyn_device_fs_idle</v>
      </c>
      <c r="B1881" s="48" t="s">
        <v>6159</v>
      </c>
      <c r="C1881" s="50" t="s">
        <v>5256</v>
      </c>
      <c r="D1881" s="48" t="s">
        <v>4864</v>
      </c>
      <c r="E1881" s="48" t="s">
        <v>5192</v>
      </c>
      <c r="F1881" s="14">
        <v>5.3440000000000003</v>
      </c>
      <c r="G1881" s="48" t="s">
        <v>5338</v>
      </c>
      <c r="H1881" s="13"/>
      <c r="O1881" s="21"/>
    </row>
    <row r="1882" spans="1:15" s="22" customFormat="1" ht="15" x14ac:dyDescent="0.25">
      <c r="A1882" s="48" t="str">
        <f t="shared" si="83"/>
        <v>usb2_phy_vddh1_dyn_device_hs</v>
      </c>
      <c r="B1882" s="48" t="s">
        <v>6159</v>
      </c>
      <c r="C1882" s="50" t="s">
        <v>5256</v>
      </c>
      <c r="D1882" s="48" t="s">
        <v>4861</v>
      </c>
      <c r="E1882" s="48" t="s">
        <v>5192</v>
      </c>
      <c r="F1882" s="14">
        <f>(16.329+9.445)/2</f>
        <v>12.887</v>
      </c>
      <c r="G1882" s="48" t="s">
        <v>5337</v>
      </c>
      <c r="H1882" s="13"/>
      <c r="O1882" s="21"/>
    </row>
    <row r="1883" spans="1:15" s="22" customFormat="1" ht="15" x14ac:dyDescent="0.25">
      <c r="A1883" s="48" t="str">
        <f t="shared" si="83"/>
        <v>usb2_phy_vddh1_dyn_device_hs_idle</v>
      </c>
      <c r="B1883" s="48" t="s">
        <v>6159</v>
      </c>
      <c r="C1883" s="50" t="s">
        <v>5256</v>
      </c>
      <c r="D1883" s="48" t="s">
        <v>4863</v>
      </c>
      <c r="E1883" s="48" t="s">
        <v>5192</v>
      </c>
      <c r="F1883" s="14">
        <v>9.4209999999999994</v>
      </c>
      <c r="G1883" s="48" t="s">
        <v>5338</v>
      </c>
      <c r="H1883" s="13"/>
      <c r="O1883" s="21"/>
    </row>
    <row r="1884" spans="1:15" s="22" customFormat="1" ht="15" x14ac:dyDescent="0.25">
      <c r="A1884" s="48" t="str">
        <f t="shared" si="83"/>
        <v>usb2_phy_vddh1_dyn_device_ls</v>
      </c>
      <c r="B1884" s="48" t="s">
        <v>6159</v>
      </c>
      <c r="C1884" s="50" t="s">
        <v>5256</v>
      </c>
      <c r="D1884" s="48" t="s">
        <v>4862</v>
      </c>
      <c r="E1884" s="48" t="s">
        <v>5192</v>
      </c>
      <c r="F1884" s="14">
        <f>(5.79+5.39)/2</f>
        <v>5.59</v>
      </c>
      <c r="G1884" s="48" t="s">
        <v>5337</v>
      </c>
      <c r="H1884" s="13"/>
      <c r="O1884" s="21"/>
    </row>
    <row r="1885" spans="1:15" s="22" customFormat="1" ht="15" x14ac:dyDescent="0.25">
      <c r="A1885" s="48" t="str">
        <f t="shared" si="83"/>
        <v>usb2_phy_vddh1_dyn_device_ls_idle</v>
      </c>
      <c r="B1885" s="48" t="s">
        <v>6159</v>
      </c>
      <c r="C1885" s="50" t="s">
        <v>5256</v>
      </c>
      <c r="D1885" s="48" t="s">
        <v>4865</v>
      </c>
      <c r="E1885" s="48" t="s">
        <v>5192</v>
      </c>
      <c r="F1885" s="14">
        <v>5.3940000000000001</v>
      </c>
      <c r="G1885" s="48" t="s">
        <v>5338</v>
      </c>
      <c r="H1885" s="13"/>
      <c r="O1885" s="21"/>
    </row>
    <row r="1886" spans="1:15" s="22" customFormat="1" ht="15" x14ac:dyDescent="0.25">
      <c r="A1886" s="48" t="str">
        <f t="shared" si="83"/>
        <v>usb2_phy_vddh1_dyn_host_fs</v>
      </c>
      <c r="B1886" s="48" t="s">
        <v>6159</v>
      </c>
      <c r="C1886" s="50" t="s">
        <v>5256</v>
      </c>
      <c r="D1886" s="48" t="s">
        <v>4866</v>
      </c>
      <c r="E1886" s="48" t="s">
        <v>5192</v>
      </c>
      <c r="F1886" s="14">
        <f>(5.871+5.398)/2</f>
        <v>5.6345000000000001</v>
      </c>
      <c r="G1886" s="48" t="s">
        <v>5337</v>
      </c>
      <c r="H1886" s="13"/>
      <c r="O1886" s="21"/>
    </row>
    <row r="1887" spans="1:15" s="22" customFormat="1" ht="15" x14ac:dyDescent="0.25">
      <c r="A1887" s="48" t="str">
        <f t="shared" si="83"/>
        <v>usb2_phy_vddh1_dyn_host_fs_idle</v>
      </c>
      <c r="B1887" s="48" t="s">
        <v>6159</v>
      </c>
      <c r="C1887" s="50" t="s">
        <v>5256</v>
      </c>
      <c r="D1887" s="48" t="s">
        <v>4870</v>
      </c>
      <c r="E1887" s="48" t="s">
        <v>5192</v>
      </c>
      <c r="F1887" s="14">
        <v>5.3460000000000001</v>
      </c>
      <c r="G1887" s="48" t="s">
        <v>4677</v>
      </c>
      <c r="H1887" s="13"/>
      <c r="O1887" s="21"/>
    </row>
    <row r="1888" spans="1:15" s="22" customFormat="1" ht="15" x14ac:dyDescent="0.25">
      <c r="A1888" s="48" t="str">
        <f t="shared" si="83"/>
        <v>usb2_phy_vddh1_dyn_host_hs</v>
      </c>
      <c r="B1888" s="48" t="s">
        <v>6159</v>
      </c>
      <c r="C1888" s="50" t="s">
        <v>5256</v>
      </c>
      <c r="D1888" s="48" t="s">
        <v>4867</v>
      </c>
      <c r="E1888" s="48" t="s">
        <v>5192</v>
      </c>
      <c r="F1888" s="14">
        <f>(16.317+9.452)/2</f>
        <v>12.884499999999999</v>
      </c>
      <c r="G1888" s="48" t="s">
        <v>5337</v>
      </c>
      <c r="H1888" s="13"/>
      <c r="O1888" s="21"/>
    </row>
    <row r="1889" spans="1:15" s="22" customFormat="1" ht="15" x14ac:dyDescent="0.25">
      <c r="A1889" s="48" t="str">
        <f t="shared" si="83"/>
        <v>usb2_phy_vddh1_dyn_host_hs_idle</v>
      </c>
      <c r="B1889" s="48" t="s">
        <v>6159</v>
      </c>
      <c r="C1889" s="50" t="s">
        <v>5256</v>
      </c>
      <c r="D1889" s="48" t="s">
        <v>4869</v>
      </c>
      <c r="E1889" s="48" t="s">
        <v>5192</v>
      </c>
      <c r="F1889" s="14">
        <v>9.4209999999999994</v>
      </c>
      <c r="G1889" s="48" t="s">
        <v>4677</v>
      </c>
      <c r="H1889" s="13"/>
      <c r="O1889" s="21"/>
    </row>
    <row r="1890" spans="1:15" s="22" customFormat="1" ht="15" x14ac:dyDescent="0.25">
      <c r="A1890" s="48" t="str">
        <f t="shared" si="83"/>
        <v>usb2_phy_vddh1_dyn_host_ls</v>
      </c>
      <c r="B1890" s="48" t="s">
        <v>6159</v>
      </c>
      <c r="C1890" s="50" t="s">
        <v>5256</v>
      </c>
      <c r="D1890" s="48" t="s">
        <v>4868</v>
      </c>
      <c r="E1890" s="48" t="s">
        <v>5192</v>
      </c>
      <c r="F1890" s="14">
        <f>(5.798+5.39)/2</f>
        <v>5.5939999999999994</v>
      </c>
      <c r="G1890" s="48" t="s">
        <v>4677</v>
      </c>
      <c r="H1890" s="13"/>
      <c r="O1890" s="21"/>
    </row>
    <row r="1891" spans="1:15" s="22" customFormat="1" ht="15" x14ac:dyDescent="0.25">
      <c r="A1891" s="48" t="str">
        <f t="shared" si="83"/>
        <v>usb2_phy_vddh1_dyn_host_ls_idle</v>
      </c>
      <c r="B1891" s="48" t="s">
        <v>6159</v>
      </c>
      <c r="C1891" s="50" t="s">
        <v>5256</v>
      </c>
      <c r="D1891" s="48" t="s">
        <v>4871</v>
      </c>
      <c r="E1891" s="48" t="s">
        <v>5192</v>
      </c>
      <c r="F1891" s="14">
        <v>5.3940000000000001</v>
      </c>
      <c r="G1891" s="48" t="s">
        <v>4677</v>
      </c>
      <c r="H1891" s="13"/>
      <c r="O1891" s="21"/>
    </row>
    <row r="1892" spans="1:15" s="22" customFormat="1" ht="15" x14ac:dyDescent="0.25">
      <c r="A1892" s="48" t="str">
        <f t="shared" si="83"/>
        <v>usb2_phy_vddh1_dyn_Power_down</v>
      </c>
      <c r="B1892" s="48" t="s">
        <v>6159</v>
      </c>
      <c r="C1892" s="50" t="s">
        <v>5256</v>
      </c>
      <c r="D1892" s="48" t="s">
        <v>5339</v>
      </c>
      <c r="E1892" s="48" t="s">
        <v>5192</v>
      </c>
      <c r="F1892" s="14">
        <v>0.182</v>
      </c>
      <c r="G1892" s="48" t="s">
        <v>5340</v>
      </c>
      <c r="H1892" s="13"/>
      <c r="O1892" s="21"/>
    </row>
    <row r="1893" spans="1:15" s="22" customFormat="1" ht="15" x14ac:dyDescent="0.25">
      <c r="A1893" s="48" t="str">
        <f t="shared" si="83"/>
        <v>usb2_phy_vddh1_dyn_sleep</v>
      </c>
      <c r="B1893" s="48" t="s">
        <v>6159</v>
      </c>
      <c r="C1893" s="50" t="s">
        <v>5256</v>
      </c>
      <c r="D1893" s="48" t="s">
        <v>4849</v>
      </c>
      <c r="E1893" s="48" t="s">
        <v>5192</v>
      </c>
      <c r="F1893" s="14">
        <v>0.23899999999999999</v>
      </c>
      <c r="G1893" s="48" t="s">
        <v>5341</v>
      </c>
      <c r="H1893" s="13"/>
      <c r="O1893" s="21"/>
    </row>
    <row r="1894" spans="1:15" s="22" customFormat="1" ht="15" x14ac:dyDescent="0.25">
      <c r="A1894" s="48" t="str">
        <f>B1894&amp;"_"&amp;C1894</f>
        <v>usb2_phy_vddh1_lkg</v>
      </c>
      <c r="B1894" s="48" t="s">
        <v>6159</v>
      </c>
      <c r="C1894" s="50" t="s">
        <v>5257</v>
      </c>
      <c r="D1894" s="48"/>
      <c r="E1894" s="48" t="s">
        <v>5192</v>
      </c>
      <c r="F1894" s="14">
        <v>0</v>
      </c>
      <c r="G1894" s="48" t="s">
        <v>5342</v>
      </c>
      <c r="H1894" s="13"/>
      <c r="O1894" s="21"/>
    </row>
    <row r="1895" spans="1:15" s="22" customFormat="1" ht="15" x14ac:dyDescent="0.25">
      <c r="A1895" s="48" t="str">
        <f t="shared" ref="A1895:A1908" si="84">B1895&amp;"_"&amp;C1895&amp;"_"&amp;D1895</f>
        <v>usb2_phy_vddh2_dyn_device_fs</v>
      </c>
      <c r="B1895" s="48" t="s">
        <v>6159</v>
      </c>
      <c r="C1895" s="50" t="s">
        <v>5262</v>
      </c>
      <c r="D1895" s="48" t="s">
        <v>4860</v>
      </c>
      <c r="E1895" s="48" t="s">
        <v>5192</v>
      </c>
      <c r="F1895" s="14">
        <f>(17.993+5.414)/2</f>
        <v>11.703499999999998</v>
      </c>
      <c r="G1895" s="48" t="s">
        <v>5337</v>
      </c>
      <c r="H1895" s="13"/>
      <c r="O1895" s="21"/>
    </row>
    <row r="1896" spans="1:15" s="22" customFormat="1" ht="15" x14ac:dyDescent="0.25">
      <c r="A1896" s="48" t="str">
        <f t="shared" si="84"/>
        <v>usb2_phy_vddh2_dyn_device_fs_idle</v>
      </c>
      <c r="B1896" s="48" t="s">
        <v>6159</v>
      </c>
      <c r="C1896" s="50" t="s">
        <v>5262</v>
      </c>
      <c r="D1896" s="48" t="s">
        <v>4864</v>
      </c>
      <c r="E1896" s="48" t="s">
        <v>5192</v>
      </c>
      <c r="F1896" s="14">
        <v>3.4550000000000001</v>
      </c>
      <c r="G1896" s="48" t="s">
        <v>5338</v>
      </c>
      <c r="H1896" s="13"/>
      <c r="O1896" s="21"/>
    </row>
    <row r="1897" spans="1:15" s="22" customFormat="1" ht="15" x14ac:dyDescent="0.25">
      <c r="A1897" s="48" t="str">
        <f t="shared" si="84"/>
        <v>usb2_phy_vddh2_dyn_device_hs</v>
      </c>
      <c r="B1897" s="48" t="s">
        <v>6159</v>
      </c>
      <c r="C1897" s="50" t="s">
        <v>5262</v>
      </c>
      <c r="D1897" s="48" t="s">
        <v>4861</v>
      </c>
      <c r="E1897" s="48" t="s">
        <v>5192</v>
      </c>
      <c r="F1897" s="14">
        <f>(1.089+2.727)/2</f>
        <v>1.9079999999999999</v>
      </c>
      <c r="G1897" s="48" t="s">
        <v>5337</v>
      </c>
      <c r="H1897" s="13"/>
      <c r="O1897" s="21"/>
    </row>
    <row r="1898" spans="1:15" s="22" customFormat="1" ht="15" x14ac:dyDescent="0.25">
      <c r="A1898" s="48" t="str">
        <f t="shared" si="84"/>
        <v>usb2_phy_vddh2_dyn_device_hs_idle</v>
      </c>
      <c r="B1898" s="48" t="s">
        <v>6159</v>
      </c>
      <c r="C1898" s="50" t="s">
        <v>5262</v>
      </c>
      <c r="D1898" s="48" t="s">
        <v>4863</v>
      </c>
      <c r="E1898" s="48" t="s">
        <v>5192</v>
      </c>
      <c r="F1898" s="14">
        <v>2.722</v>
      </c>
      <c r="G1898" s="48" t="s">
        <v>5338</v>
      </c>
      <c r="H1898" s="13"/>
      <c r="O1898" s="21"/>
    </row>
    <row r="1899" spans="1:15" s="22" customFormat="1" ht="15" x14ac:dyDescent="0.25">
      <c r="A1899" s="48" t="str">
        <f t="shared" si="84"/>
        <v>usb2_phy_vddh2_dyn_device_ls</v>
      </c>
      <c r="B1899" s="48" t="s">
        <v>6159</v>
      </c>
      <c r="C1899" s="50" t="s">
        <v>5262</v>
      </c>
      <c r="D1899" s="48" t="s">
        <v>4862</v>
      </c>
      <c r="E1899" s="48" t="s">
        <v>5192</v>
      </c>
      <c r="F1899" s="14">
        <f>(9.351+5.327)/2</f>
        <v>7.3390000000000004</v>
      </c>
      <c r="G1899" s="48" t="s">
        <v>5337</v>
      </c>
      <c r="H1899" s="13"/>
      <c r="O1899" s="21"/>
    </row>
    <row r="1900" spans="1:15" s="22" customFormat="1" ht="15" x14ac:dyDescent="0.25">
      <c r="A1900" s="48" t="str">
        <f t="shared" si="84"/>
        <v>usb2_phy_vddh2_dyn_device_ls_idle</v>
      </c>
      <c r="B1900" s="48" t="s">
        <v>6159</v>
      </c>
      <c r="C1900" s="50" t="s">
        <v>5262</v>
      </c>
      <c r="D1900" s="48" t="s">
        <v>4865</v>
      </c>
      <c r="E1900" s="48" t="s">
        <v>5192</v>
      </c>
      <c r="F1900" s="14">
        <v>3.2989999999999999</v>
      </c>
      <c r="G1900" s="48" t="s">
        <v>5338</v>
      </c>
      <c r="H1900" s="13"/>
      <c r="O1900" s="21"/>
    </row>
    <row r="1901" spans="1:15" s="22" customFormat="1" ht="15" x14ac:dyDescent="0.25">
      <c r="A1901" s="48" t="str">
        <f t="shared" si="84"/>
        <v>usb2_phy_vddh2_dyn_host_fs</v>
      </c>
      <c r="B1901" s="48" t="s">
        <v>6159</v>
      </c>
      <c r="C1901" s="50" t="s">
        <v>5262</v>
      </c>
      <c r="D1901" s="48" t="s">
        <v>4866</v>
      </c>
      <c r="E1901" s="48" t="s">
        <v>5192</v>
      </c>
      <c r="F1901" s="14">
        <f>(15.971+2.467)/2</f>
        <v>9.2189999999999994</v>
      </c>
      <c r="G1901" s="48" t="s">
        <v>5337</v>
      </c>
      <c r="H1901" s="13"/>
      <c r="O1901" s="21"/>
    </row>
    <row r="1902" spans="1:15" s="22" customFormat="1" ht="15" x14ac:dyDescent="0.25">
      <c r="A1902" s="48" t="str">
        <f t="shared" si="84"/>
        <v>usb2_phy_vddh2_dyn_host_fs_idle</v>
      </c>
      <c r="B1902" s="48" t="s">
        <v>6159</v>
      </c>
      <c r="C1902" s="50" t="s">
        <v>5262</v>
      </c>
      <c r="D1902" s="48" t="s">
        <v>4870</v>
      </c>
      <c r="E1902" s="48" t="s">
        <v>5192</v>
      </c>
      <c r="F1902" s="14">
        <v>2.4569999999999999</v>
      </c>
      <c r="G1902" s="48" t="s">
        <v>4677</v>
      </c>
      <c r="H1902" s="13"/>
      <c r="O1902" s="21"/>
    </row>
    <row r="1903" spans="1:15" s="22" customFormat="1" ht="15" x14ac:dyDescent="0.25">
      <c r="A1903" s="48" t="str">
        <f t="shared" si="84"/>
        <v>usb2_phy_vddh2_dyn_host_hs</v>
      </c>
      <c r="B1903" s="48" t="s">
        <v>6159</v>
      </c>
      <c r="C1903" s="50" t="s">
        <v>5262</v>
      </c>
      <c r="D1903" s="48" t="s">
        <v>4867</v>
      </c>
      <c r="E1903" s="48" t="s">
        <v>5192</v>
      </c>
      <c r="F1903" s="14">
        <f>(1.089+2.727)/2</f>
        <v>1.9079999999999999</v>
      </c>
      <c r="G1903" s="48" t="s">
        <v>5337</v>
      </c>
      <c r="H1903" s="13"/>
      <c r="O1903" s="21"/>
    </row>
    <row r="1904" spans="1:15" s="22" customFormat="1" ht="15" x14ac:dyDescent="0.25">
      <c r="A1904" s="48" t="str">
        <f t="shared" si="84"/>
        <v>usb2_phy_vddh2_dyn_host_hs_idle</v>
      </c>
      <c r="B1904" s="48" t="s">
        <v>6159</v>
      </c>
      <c r="C1904" s="50" t="s">
        <v>5262</v>
      </c>
      <c r="D1904" s="48" t="s">
        <v>4869</v>
      </c>
      <c r="E1904" s="48" t="s">
        <v>5192</v>
      </c>
      <c r="F1904" s="14">
        <v>2.722</v>
      </c>
      <c r="G1904" s="48" t="s">
        <v>4677</v>
      </c>
      <c r="H1904" s="13"/>
      <c r="O1904" s="21"/>
    </row>
    <row r="1905" spans="1:15" s="22" customFormat="1" ht="15" x14ac:dyDescent="0.25">
      <c r="A1905" s="48" t="str">
        <f t="shared" si="84"/>
        <v>usb2_phy_vddh2_dyn_host_ls</v>
      </c>
      <c r="B1905" s="48" t="s">
        <v>6159</v>
      </c>
      <c r="C1905" s="50" t="s">
        <v>5262</v>
      </c>
      <c r="D1905" s="48" t="s">
        <v>4868</v>
      </c>
      <c r="E1905" s="48" t="s">
        <v>5192</v>
      </c>
      <c r="F1905" s="14">
        <f>(7.407+2.39)/2</f>
        <v>4.8985000000000003</v>
      </c>
      <c r="G1905" s="48" t="s">
        <v>4677</v>
      </c>
      <c r="H1905" s="13"/>
      <c r="O1905" s="21"/>
    </row>
    <row r="1906" spans="1:15" s="22" customFormat="1" ht="15" x14ac:dyDescent="0.25">
      <c r="A1906" s="48" t="str">
        <f t="shared" si="84"/>
        <v>usb2_phy_vddh2_dyn_host_ls_idle</v>
      </c>
      <c r="B1906" s="48" t="s">
        <v>6159</v>
      </c>
      <c r="C1906" s="50" t="s">
        <v>5262</v>
      </c>
      <c r="D1906" s="48" t="s">
        <v>4871</v>
      </c>
      <c r="E1906" s="48" t="s">
        <v>5192</v>
      </c>
      <c r="F1906" s="14">
        <v>2.3879999999999999</v>
      </c>
      <c r="G1906" s="48" t="s">
        <v>4677</v>
      </c>
      <c r="H1906" s="13"/>
      <c r="O1906" s="21"/>
    </row>
    <row r="1907" spans="1:15" s="22" customFormat="1" ht="15" x14ac:dyDescent="0.25">
      <c r="A1907" s="48" t="str">
        <f t="shared" si="84"/>
        <v>usb2_phy_vddh2_dyn_Power_down</v>
      </c>
      <c r="B1907" s="48" t="s">
        <v>6159</v>
      </c>
      <c r="C1907" s="50" t="s">
        <v>5262</v>
      </c>
      <c r="D1907" s="48" t="s">
        <v>5339</v>
      </c>
      <c r="E1907" s="48" t="s">
        <v>5192</v>
      </c>
      <c r="F1907" s="14">
        <v>0.155</v>
      </c>
      <c r="G1907" s="48" t="s">
        <v>5340</v>
      </c>
      <c r="H1907" s="13"/>
      <c r="O1907" s="21"/>
    </row>
    <row r="1908" spans="1:15" s="22" customFormat="1" ht="15" x14ac:dyDescent="0.25">
      <c r="A1908" s="48" t="str">
        <f t="shared" si="84"/>
        <v>usb2_phy_vddh2_dyn_sleep</v>
      </c>
      <c r="B1908" s="48" t="s">
        <v>6159</v>
      </c>
      <c r="C1908" s="50" t="s">
        <v>5262</v>
      </c>
      <c r="D1908" s="48" t="s">
        <v>4849</v>
      </c>
      <c r="E1908" s="48" t="s">
        <v>5192</v>
      </c>
      <c r="F1908" s="14">
        <v>1.024</v>
      </c>
      <c r="G1908" s="48" t="s">
        <v>5341</v>
      </c>
      <c r="H1908" s="13"/>
      <c r="O1908" s="21"/>
    </row>
    <row r="1909" spans="1:15" s="22" customFormat="1" ht="15" x14ac:dyDescent="0.25">
      <c r="A1909" s="48" t="str">
        <f t="shared" ref="A1909:A1925" si="85">B1909&amp;"_"&amp;C1909</f>
        <v>usb2_phy_vddh2_lkg</v>
      </c>
      <c r="B1909" s="48" t="s">
        <v>6159</v>
      </c>
      <c r="C1909" s="50" t="s">
        <v>5263</v>
      </c>
      <c r="D1909" s="48"/>
      <c r="E1909" s="48" t="s">
        <v>5192</v>
      </c>
      <c r="F1909" s="14">
        <v>0</v>
      </c>
      <c r="G1909" s="48" t="s">
        <v>5342</v>
      </c>
      <c r="H1909" s="13"/>
      <c r="O1909" s="21"/>
    </row>
    <row r="1910" spans="1:15" s="22" customFormat="1" ht="15" x14ac:dyDescent="0.25">
      <c r="A1910" s="48" t="str">
        <f t="shared" si="85"/>
        <v>vmon_area</v>
      </c>
      <c r="B1910" s="59" t="s">
        <v>5466</v>
      </c>
      <c r="C1910" s="48" t="s">
        <v>5360</v>
      </c>
      <c r="D1910" s="48"/>
      <c r="E1910" s="48" t="s">
        <v>5192</v>
      </c>
      <c r="F1910" s="14">
        <v>0.04</v>
      </c>
      <c r="G1910" s="48"/>
      <c r="H1910" s="13"/>
      <c r="O1910" s="21"/>
    </row>
    <row r="1911" spans="1:15" s="22" customFormat="1" ht="15" x14ac:dyDescent="0.25">
      <c r="A1911" s="48" t="str">
        <f t="shared" si="85"/>
        <v>vmon_description</v>
      </c>
      <c r="B1911" s="59" t="s">
        <v>5466</v>
      </c>
      <c r="C1911" s="48" t="s">
        <v>5379</v>
      </c>
      <c r="D1911" s="48"/>
      <c r="E1911" s="48" t="s">
        <v>5192</v>
      </c>
      <c r="F1911" s="14" t="s">
        <v>5871</v>
      </c>
      <c r="G1911" s="13"/>
      <c r="H1911" s="13"/>
      <c r="O1911" s="21"/>
    </row>
    <row r="1912" spans="1:15" s="22" customFormat="1" ht="15" x14ac:dyDescent="0.25">
      <c r="A1912" s="48" t="str">
        <f t="shared" si="85"/>
        <v>vmon_first_soc</v>
      </c>
      <c r="B1912" s="59" t="s">
        <v>5466</v>
      </c>
      <c r="C1912" s="48" t="s">
        <v>5378</v>
      </c>
      <c r="D1912" s="48"/>
      <c r="E1912" s="48" t="s">
        <v>5192</v>
      </c>
      <c r="F1912" s="14" t="s">
        <v>5381</v>
      </c>
      <c r="G1912" s="13"/>
      <c r="H1912" s="13"/>
      <c r="O1912" s="21"/>
    </row>
    <row r="1913" spans="1:15" s="22" customFormat="1" ht="15" x14ac:dyDescent="0.25">
      <c r="A1913" s="48" t="str">
        <f t="shared" si="85"/>
        <v>vmon_function</v>
      </c>
      <c r="B1913" s="59" t="s">
        <v>5466</v>
      </c>
      <c r="C1913" s="48" t="s">
        <v>5367</v>
      </c>
      <c r="D1913" s="48"/>
      <c r="E1913" s="48" t="s">
        <v>5192</v>
      </c>
      <c r="F1913" s="14" t="s">
        <v>5858</v>
      </c>
      <c r="G1913" s="13"/>
      <c r="H1913" s="13"/>
      <c r="O1913" s="21"/>
    </row>
    <row r="1914" spans="1:15" s="22" customFormat="1" ht="15" x14ac:dyDescent="0.25">
      <c r="A1914" s="48" t="str">
        <f t="shared" si="85"/>
        <v>vmon_macro_area</v>
      </c>
      <c r="B1914" s="59" t="s">
        <v>5466</v>
      </c>
      <c r="C1914" s="48" t="s">
        <v>5228</v>
      </c>
      <c r="D1914" s="48"/>
      <c r="E1914" s="48" t="s">
        <v>5192</v>
      </c>
      <c r="F1914" s="14">
        <v>0.04</v>
      </c>
      <c r="G1914" s="13"/>
      <c r="H1914" s="13"/>
      <c r="O1914" s="21"/>
    </row>
    <row r="1915" spans="1:15" s="22" customFormat="1" ht="15" x14ac:dyDescent="0.25">
      <c r="A1915" s="48" t="str">
        <f t="shared" si="85"/>
        <v>vmon_tag</v>
      </c>
      <c r="B1915" s="59" t="s">
        <v>5466</v>
      </c>
      <c r="C1915" s="48" t="s">
        <v>5234</v>
      </c>
      <c r="D1915" s="48"/>
      <c r="E1915" s="48" t="s">
        <v>5192</v>
      </c>
      <c r="F1915" s="14" t="s">
        <v>5419</v>
      </c>
      <c r="G1915" s="13"/>
      <c r="H1915" s="13"/>
      <c r="O1915" s="21"/>
    </row>
    <row r="1916" spans="1:15" s="22" customFormat="1" ht="15" x14ac:dyDescent="0.25">
      <c r="A1916" s="48" t="str">
        <f t="shared" si="85"/>
        <v>vmon_type</v>
      </c>
      <c r="B1916" s="59" t="s">
        <v>5466</v>
      </c>
      <c r="C1916" s="48" t="s">
        <v>1</v>
      </c>
      <c r="D1916" s="48"/>
      <c r="E1916" s="48" t="s">
        <v>5192</v>
      </c>
      <c r="F1916" s="14" t="s">
        <v>5783</v>
      </c>
      <c r="G1916" s="13"/>
      <c r="H1916" s="13"/>
      <c r="O1916" s="21"/>
    </row>
    <row r="1917" spans="1:15" s="22" customFormat="1" ht="15" x14ac:dyDescent="0.25">
      <c r="A1917" s="48" t="str">
        <f t="shared" si="85"/>
        <v>vmon_vdd_lkg</v>
      </c>
      <c r="B1917" s="59" t="s">
        <v>5466</v>
      </c>
      <c r="C1917" s="48" t="s">
        <v>5245</v>
      </c>
      <c r="D1917" s="48"/>
      <c r="E1917" s="48" t="s">
        <v>5192</v>
      </c>
      <c r="F1917" s="14">
        <v>0</v>
      </c>
      <c r="G1917" s="13" t="s">
        <v>5421</v>
      </c>
      <c r="H1917" s="13"/>
      <c r="O1917" s="21"/>
    </row>
    <row r="1918" spans="1:15" s="22" customFormat="1" ht="15" x14ac:dyDescent="0.25">
      <c r="A1918" s="48" t="str">
        <f t="shared" si="85"/>
        <v>vsldo_area</v>
      </c>
      <c r="B1918" s="59" t="s">
        <v>5467</v>
      </c>
      <c r="C1918" s="48" t="s">
        <v>5360</v>
      </c>
      <c r="D1918" s="48"/>
      <c r="E1918" s="48" t="s">
        <v>5192</v>
      </c>
      <c r="F1918" s="14">
        <v>0.06</v>
      </c>
      <c r="G1918" s="48"/>
      <c r="H1918" s="13"/>
      <c r="O1918" s="21"/>
    </row>
    <row r="1919" spans="1:15" s="22" customFormat="1" ht="15" x14ac:dyDescent="0.25">
      <c r="A1919" s="48" t="str">
        <f t="shared" si="85"/>
        <v>vsldo_description</v>
      </c>
      <c r="B1919" s="59" t="s">
        <v>5467</v>
      </c>
      <c r="C1919" s="48" t="s">
        <v>5379</v>
      </c>
      <c r="D1919" s="48"/>
      <c r="E1919" s="48" t="s">
        <v>5192</v>
      </c>
      <c r="F1919" s="14" t="s">
        <v>5781</v>
      </c>
      <c r="G1919" s="48"/>
      <c r="H1919" s="13"/>
      <c r="O1919" s="21"/>
    </row>
    <row r="1920" spans="1:15" s="22" customFormat="1" ht="15" x14ac:dyDescent="0.25">
      <c r="A1920" s="48" t="str">
        <f t="shared" si="85"/>
        <v>vsldo_first_soc</v>
      </c>
      <c r="B1920" s="59" t="s">
        <v>5467</v>
      </c>
      <c r="C1920" s="48" t="s">
        <v>5378</v>
      </c>
      <c r="D1920" s="48"/>
      <c r="E1920" s="48" t="s">
        <v>5192</v>
      </c>
      <c r="F1920" s="14" t="s">
        <v>5381</v>
      </c>
      <c r="G1920" s="48"/>
      <c r="H1920" s="13"/>
      <c r="O1920" s="21"/>
    </row>
    <row r="1921" spans="1:15" s="22" customFormat="1" ht="15" x14ac:dyDescent="0.25">
      <c r="A1921" s="48" t="str">
        <f t="shared" si="85"/>
        <v>vsldo_function</v>
      </c>
      <c r="B1921" s="59" t="s">
        <v>5467</v>
      </c>
      <c r="C1921" s="48" t="s">
        <v>5367</v>
      </c>
      <c r="D1921" s="48"/>
      <c r="E1921" s="48" t="s">
        <v>5192</v>
      </c>
      <c r="F1921" s="14" t="s">
        <v>5858</v>
      </c>
      <c r="G1921" s="48"/>
      <c r="H1921" s="13"/>
      <c r="O1921" s="21"/>
    </row>
    <row r="1922" spans="1:15" s="22" customFormat="1" ht="15" x14ac:dyDescent="0.25">
      <c r="A1922" s="48" t="str">
        <f t="shared" si="85"/>
        <v>vsldo_macro_area</v>
      </c>
      <c r="B1922" s="59" t="s">
        <v>5467</v>
      </c>
      <c r="C1922" s="48" t="s">
        <v>5228</v>
      </c>
      <c r="D1922" s="48"/>
      <c r="E1922" s="48" t="s">
        <v>5192</v>
      </c>
      <c r="F1922" s="14">
        <v>0.06</v>
      </c>
      <c r="G1922" s="48"/>
      <c r="H1922" s="13"/>
      <c r="O1922" s="21"/>
    </row>
    <row r="1923" spans="1:15" s="22" customFormat="1" ht="15" x14ac:dyDescent="0.25">
      <c r="A1923" s="48" t="str">
        <f t="shared" si="85"/>
        <v>vsldo_tag</v>
      </c>
      <c r="B1923" s="59" t="s">
        <v>5467</v>
      </c>
      <c r="C1923" s="48" t="s">
        <v>5234</v>
      </c>
      <c r="D1923" s="48"/>
      <c r="E1923" s="48" t="s">
        <v>5192</v>
      </c>
      <c r="F1923" s="14" t="s">
        <v>5419</v>
      </c>
      <c r="G1923" s="48"/>
      <c r="H1923" s="13"/>
      <c r="O1923" s="21"/>
    </row>
    <row r="1924" spans="1:15" s="22" customFormat="1" ht="15" x14ac:dyDescent="0.25">
      <c r="A1924" s="48" t="str">
        <f t="shared" si="85"/>
        <v>vsldo_type</v>
      </c>
      <c r="B1924" s="59" t="s">
        <v>5467</v>
      </c>
      <c r="C1924" s="48" t="s">
        <v>1</v>
      </c>
      <c r="D1924" s="48"/>
      <c r="E1924" s="48" t="s">
        <v>5192</v>
      </c>
      <c r="F1924" s="14" t="s">
        <v>5783</v>
      </c>
      <c r="G1924" s="48"/>
      <c r="H1924" s="13"/>
      <c r="O1924" s="21"/>
    </row>
    <row r="1925" spans="1:15" s="22" customFormat="1" ht="15" x14ac:dyDescent="0.25">
      <c r="A1925" s="48" t="str">
        <f t="shared" si="85"/>
        <v>vsldo_vdd_lkg</v>
      </c>
      <c r="B1925" s="59" t="s">
        <v>5467</v>
      </c>
      <c r="C1925" s="48" t="s">
        <v>5245</v>
      </c>
      <c r="D1925" s="48"/>
      <c r="E1925" s="48" t="s">
        <v>5192</v>
      </c>
      <c r="F1925" s="14">
        <v>0</v>
      </c>
      <c r="G1925" s="48" t="s">
        <v>5420</v>
      </c>
      <c r="H1925" s="13"/>
      <c r="O1925" s="21"/>
    </row>
    <row r="1926" spans="1:15" customFormat="1" ht="15" x14ac:dyDescent="0.25">
      <c r="A1926" s="48" t="s">
        <v>6320</v>
      </c>
      <c r="B1926" s="59" t="s">
        <v>6321</v>
      </c>
      <c r="C1926" s="48" t="s">
        <v>5366</v>
      </c>
      <c r="D1926" s="48"/>
      <c r="E1926" s="48" t="s">
        <v>5192</v>
      </c>
      <c r="F1926" s="14" t="s">
        <v>5786</v>
      </c>
      <c r="G1926" s="13" t="s">
        <v>5425</v>
      </c>
      <c r="H1926" s="13"/>
      <c r="O1926" s="21"/>
    </row>
    <row r="1927" spans="1:15" customFormat="1" ht="15" x14ac:dyDescent="0.25">
      <c r="A1927" s="48" t="s">
        <v>6322</v>
      </c>
      <c r="B1927" s="59" t="s">
        <v>6321</v>
      </c>
      <c r="C1927" s="48" t="s">
        <v>5360</v>
      </c>
      <c r="D1927" s="48"/>
      <c r="E1927" s="48" t="s">
        <v>5192</v>
      </c>
      <c r="F1927" s="268">
        <v>4.8600000000000003</v>
      </c>
      <c r="G1927" s="13" t="s">
        <v>6483</v>
      </c>
      <c r="H1927" s="13"/>
      <c r="O1927" s="21"/>
    </row>
    <row r="1928" spans="1:15" customFormat="1" ht="15" x14ac:dyDescent="0.25">
      <c r="A1928" s="48" t="s">
        <v>6323</v>
      </c>
      <c r="B1928" s="59" t="s">
        <v>6321</v>
      </c>
      <c r="C1928" s="48" t="s">
        <v>5368</v>
      </c>
      <c r="D1928" s="48"/>
      <c r="E1928" s="48" t="s">
        <v>5192</v>
      </c>
      <c r="F1928" s="14" t="s">
        <v>5369</v>
      </c>
      <c r="G1928" s="13" t="s">
        <v>5425</v>
      </c>
      <c r="H1928" s="13"/>
      <c r="O1928" s="21"/>
    </row>
    <row r="1929" spans="1:15" customFormat="1" ht="15" x14ac:dyDescent="0.25">
      <c r="A1929" s="48" t="s">
        <v>6324</v>
      </c>
      <c r="B1929" s="59" t="s">
        <v>6321</v>
      </c>
      <c r="C1929" s="48" t="s">
        <v>5379</v>
      </c>
      <c r="D1929" s="48"/>
      <c r="E1929" s="48" t="s">
        <v>5192</v>
      </c>
      <c r="F1929" s="242" t="s">
        <v>6325</v>
      </c>
      <c r="G1929" s="13" t="s">
        <v>5425</v>
      </c>
      <c r="H1929" s="13"/>
      <c r="O1929" s="21"/>
    </row>
    <row r="1930" spans="1:15" customFormat="1" ht="15" x14ac:dyDescent="0.25">
      <c r="A1930" s="48" t="s">
        <v>6326</v>
      </c>
      <c r="B1930" s="59" t="s">
        <v>6321</v>
      </c>
      <c r="C1930" s="48" t="s">
        <v>5378</v>
      </c>
      <c r="D1930" s="48"/>
      <c r="E1930" s="48" t="s">
        <v>5192</v>
      </c>
      <c r="F1930" s="14" t="s">
        <v>6270</v>
      </c>
      <c r="G1930" s="13" t="s">
        <v>5425</v>
      </c>
      <c r="H1930" s="13"/>
      <c r="O1930" s="21"/>
    </row>
    <row r="1931" spans="1:15" customFormat="1" ht="15" x14ac:dyDescent="0.25">
      <c r="A1931" s="48" t="s">
        <v>6327</v>
      </c>
      <c r="B1931" s="59" t="s">
        <v>6321</v>
      </c>
      <c r="C1931" s="48" t="s">
        <v>5220</v>
      </c>
      <c r="D1931" s="48"/>
      <c r="E1931" s="48" t="s">
        <v>5192</v>
      </c>
      <c r="F1931" s="14">
        <v>400</v>
      </c>
      <c r="G1931" s="13" t="s">
        <v>5425</v>
      </c>
      <c r="H1931" s="13"/>
      <c r="O1931" s="21"/>
    </row>
    <row r="1932" spans="1:15" customFormat="1" ht="15" x14ac:dyDescent="0.25">
      <c r="A1932" s="48" t="s">
        <v>6328</v>
      </c>
      <c r="B1932" s="59" t="s">
        <v>6321</v>
      </c>
      <c r="C1932" s="48" t="s">
        <v>5367</v>
      </c>
      <c r="D1932" s="48"/>
      <c r="E1932" s="48" t="s">
        <v>5192</v>
      </c>
      <c r="F1932" s="14" t="s">
        <v>5850</v>
      </c>
      <c r="G1932" s="13" t="s">
        <v>5425</v>
      </c>
      <c r="H1932" s="13"/>
      <c r="O1932" s="21"/>
    </row>
    <row r="1933" spans="1:15" x14ac:dyDescent="0.2">
      <c r="A1933" s="214" t="s">
        <v>6329</v>
      </c>
      <c r="B1933" s="215" t="s">
        <v>6321</v>
      </c>
      <c r="C1933" s="214" t="s">
        <v>5224</v>
      </c>
      <c r="D1933" s="214"/>
      <c r="E1933" s="214" t="s">
        <v>5192</v>
      </c>
      <c r="F1933" s="242">
        <v>2663.9360000000001</v>
      </c>
      <c r="G1933" s="243" t="s">
        <v>5949</v>
      </c>
      <c r="H1933" s="243"/>
    </row>
    <row r="1934" spans="1:15" customFormat="1" ht="15" x14ac:dyDescent="0.25">
      <c r="A1934" s="48" t="s">
        <v>6330</v>
      </c>
      <c r="B1934" s="59" t="s">
        <v>6321</v>
      </c>
      <c r="C1934" s="48" t="s">
        <v>5357</v>
      </c>
      <c r="D1934" s="48"/>
      <c r="E1934" s="48" t="s">
        <v>5192</v>
      </c>
      <c r="F1934" s="14">
        <v>0</v>
      </c>
      <c r="G1934" s="13" t="s">
        <v>5425</v>
      </c>
      <c r="H1934" s="13"/>
      <c r="O1934" s="21"/>
    </row>
    <row r="1935" spans="1:15" customFormat="1" ht="15" x14ac:dyDescent="0.25">
      <c r="A1935" s="48" t="s">
        <v>6331</v>
      </c>
      <c r="B1935" s="59" t="s">
        <v>6321</v>
      </c>
      <c r="C1935" s="48" t="s">
        <v>5228</v>
      </c>
      <c r="D1935" s="48"/>
      <c r="E1935" s="48" t="s">
        <v>5192</v>
      </c>
      <c r="F1935" s="268">
        <v>1.55</v>
      </c>
      <c r="G1935" s="13" t="s">
        <v>6484</v>
      </c>
      <c r="H1935" s="13"/>
      <c r="O1935" s="21"/>
    </row>
    <row r="1936" spans="1:15" customFormat="1" ht="15" x14ac:dyDescent="0.25">
      <c r="A1936" s="48" t="s">
        <v>6332</v>
      </c>
      <c r="B1936" s="59" t="s">
        <v>6321</v>
      </c>
      <c r="C1936" s="48" t="s">
        <v>5229</v>
      </c>
      <c r="D1936" s="48"/>
      <c r="E1936" s="48" t="s">
        <v>5192</v>
      </c>
      <c r="F1936" s="14">
        <v>71</v>
      </c>
      <c r="G1936" s="13" t="s">
        <v>6486</v>
      </c>
      <c r="H1936" s="13"/>
      <c r="O1936" s="21"/>
    </row>
    <row r="1937" spans="1:15" customFormat="1" ht="15" x14ac:dyDescent="0.25">
      <c r="A1937" s="48" t="s">
        <v>6333</v>
      </c>
      <c r="B1937" s="59" t="s">
        <v>6321</v>
      </c>
      <c r="C1937" s="48" t="s">
        <v>5354</v>
      </c>
      <c r="D1937" s="48"/>
      <c r="E1937" s="48" t="s">
        <v>5192</v>
      </c>
      <c r="F1937" s="14">
        <v>0.22274270384286995</v>
      </c>
      <c r="G1937" s="13" t="s">
        <v>5425</v>
      </c>
      <c r="H1937" s="13"/>
      <c r="O1937" s="21"/>
    </row>
    <row r="1938" spans="1:15" customFormat="1" ht="15" x14ac:dyDescent="0.25">
      <c r="A1938" s="48" t="s">
        <v>6334</v>
      </c>
      <c r="B1938" s="59" t="s">
        <v>6321</v>
      </c>
      <c r="C1938" s="48" t="s">
        <v>5230</v>
      </c>
      <c r="D1938" s="48"/>
      <c r="E1938" s="48" t="s">
        <v>5192</v>
      </c>
      <c r="F1938" s="268">
        <v>1.55</v>
      </c>
      <c r="G1938" s="13" t="s">
        <v>6485</v>
      </c>
      <c r="H1938" s="13"/>
      <c r="O1938" s="21"/>
    </row>
    <row r="1939" spans="1:15" customFormat="1" ht="15" x14ac:dyDescent="0.25">
      <c r="A1939" s="48" t="s">
        <v>6335</v>
      </c>
      <c r="B1939" s="59" t="s">
        <v>6321</v>
      </c>
      <c r="C1939" s="48" t="s">
        <v>5356</v>
      </c>
      <c r="D1939" s="48"/>
      <c r="E1939" s="48" t="s">
        <v>5192</v>
      </c>
      <c r="F1939" s="14">
        <v>0.32682989728760298</v>
      </c>
      <c r="G1939" s="21" t="s">
        <v>5425</v>
      </c>
      <c r="H1939" s="13"/>
      <c r="O1939" s="21"/>
    </row>
    <row r="1940" spans="1:15" customFormat="1" ht="15" x14ac:dyDescent="0.25">
      <c r="A1940" s="48" t="s">
        <v>6336</v>
      </c>
      <c r="B1940" s="59" t="s">
        <v>6321</v>
      </c>
      <c r="C1940" s="48" t="s">
        <v>5234</v>
      </c>
      <c r="D1940" s="48"/>
      <c r="E1940" s="48" t="s">
        <v>5192</v>
      </c>
      <c r="F1940" s="14" t="s">
        <v>5370</v>
      </c>
      <c r="G1940" s="13" t="s">
        <v>5425</v>
      </c>
      <c r="H1940" s="13"/>
      <c r="O1940" s="21"/>
    </row>
    <row r="1941" spans="1:15" customFormat="1" ht="15" x14ac:dyDescent="0.25">
      <c r="A1941" s="48" t="s">
        <v>6337</v>
      </c>
      <c r="B1941" s="59" t="s">
        <v>6321</v>
      </c>
      <c r="C1941" s="48" t="s">
        <v>1</v>
      </c>
      <c r="D1941" s="48"/>
      <c r="E1941" s="48" t="s">
        <v>5192</v>
      </c>
      <c r="F1941" s="14" t="s">
        <v>5777</v>
      </c>
      <c r="G1941" s="13" t="s">
        <v>5425</v>
      </c>
      <c r="H1941" s="13"/>
      <c r="O1941" s="21"/>
    </row>
    <row r="1942" spans="1:15" customFormat="1" ht="15" x14ac:dyDescent="0.25">
      <c r="A1942" s="48" t="s">
        <v>6338</v>
      </c>
      <c r="B1942" s="59" t="s">
        <v>6321</v>
      </c>
      <c r="C1942" s="48" t="s">
        <v>5363</v>
      </c>
      <c r="D1942" s="48"/>
      <c r="E1942" s="48" t="s">
        <v>5192</v>
      </c>
      <c r="F1942" s="166">
        <v>1.2500000000000001E-2</v>
      </c>
      <c r="G1942" s="13" t="s">
        <v>6045</v>
      </c>
      <c r="H1942" s="13"/>
      <c r="O1942" s="21"/>
    </row>
    <row r="1943" spans="1:15" customFormat="1" ht="15" x14ac:dyDescent="0.25">
      <c r="A1943" s="48" t="s">
        <v>6339</v>
      </c>
      <c r="B1943" s="59" t="s">
        <v>6321</v>
      </c>
      <c r="C1943" s="48" t="s">
        <v>5361</v>
      </c>
      <c r="D1943" s="48"/>
      <c r="E1943" s="48" t="s">
        <v>5192</v>
      </c>
      <c r="F1943" s="14">
        <v>2091.6</v>
      </c>
      <c r="G1943" s="13" t="s">
        <v>5425</v>
      </c>
      <c r="H1943" s="13"/>
      <c r="O1943" s="21"/>
    </row>
    <row r="1944" spans="1:15" customFormat="1" ht="15" x14ac:dyDescent="0.25">
      <c r="A1944" s="48" t="s">
        <v>6340</v>
      </c>
      <c r="B1944" s="59" t="s">
        <v>6321</v>
      </c>
      <c r="C1944" s="48" t="s">
        <v>5364</v>
      </c>
      <c r="D1944" s="48"/>
      <c r="E1944" s="48" t="s">
        <v>5192</v>
      </c>
      <c r="F1944" s="14">
        <v>4.0500000000000001E-2</v>
      </c>
      <c r="G1944" s="13" t="s">
        <v>6044</v>
      </c>
      <c r="H1944" s="13"/>
      <c r="O1944" s="21"/>
    </row>
    <row r="1945" spans="1:15" customFormat="1" ht="15" x14ac:dyDescent="0.25">
      <c r="A1945" s="48" t="s">
        <v>6341</v>
      </c>
      <c r="B1945" s="59" t="s">
        <v>6321</v>
      </c>
      <c r="C1945" s="48" t="s">
        <v>5365</v>
      </c>
      <c r="D1945" s="48"/>
      <c r="E1945" s="48" t="s">
        <v>5192</v>
      </c>
      <c r="F1945" s="14">
        <v>0.06</v>
      </c>
      <c r="G1945" s="13" t="s">
        <v>5425</v>
      </c>
      <c r="H1945" s="13"/>
      <c r="O1945" s="21"/>
    </row>
    <row r="1946" spans="1:15" customFormat="1" ht="15" x14ac:dyDescent="0.25">
      <c r="A1946" s="48" t="s">
        <v>6342</v>
      </c>
      <c r="B1946" s="59" t="s">
        <v>6321</v>
      </c>
      <c r="C1946" s="48" t="s">
        <v>5362</v>
      </c>
      <c r="D1946" s="48"/>
      <c r="E1946" s="48" t="s">
        <v>5192</v>
      </c>
      <c r="F1946" s="14">
        <v>2870.8</v>
      </c>
      <c r="G1946" s="13" t="s">
        <v>5425</v>
      </c>
      <c r="H1946" s="13"/>
      <c r="O1946" s="21"/>
    </row>
    <row r="1947" spans="1:15" customFormat="1" ht="15" x14ac:dyDescent="0.25">
      <c r="A1947" s="48" t="s">
        <v>6343</v>
      </c>
      <c r="B1947" s="59" t="s">
        <v>6321</v>
      </c>
      <c r="C1947" s="48" t="s">
        <v>5245</v>
      </c>
      <c r="D1947" s="48"/>
      <c r="E1947" s="48" t="s">
        <v>5192</v>
      </c>
      <c r="F1947" s="14">
        <v>80.12</v>
      </c>
      <c r="G1947" s="13" t="s">
        <v>5425</v>
      </c>
      <c r="H1947" s="13"/>
      <c r="O1947" s="21"/>
    </row>
    <row r="1948" spans="1:15" customFormat="1" ht="15" x14ac:dyDescent="0.25">
      <c r="A1948" s="48" t="s">
        <v>6344</v>
      </c>
      <c r="B1948" s="59" t="s">
        <v>6321</v>
      </c>
      <c r="C1948" s="48" t="s">
        <v>5246</v>
      </c>
      <c r="D1948" s="48"/>
      <c r="E1948" s="48" t="s">
        <v>5192</v>
      </c>
      <c r="F1948" s="14">
        <v>6</v>
      </c>
      <c r="G1948" s="13" t="s">
        <v>5425</v>
      </c>
      <c r="H1948" s="13"/>
      <c r="O1948" s="21"/>
    </row>
    <row r="1949" spans="1:15" customFormat="1" ht="15" x14ac:dyDescent="0.25">
      <c r="A1949" s="48" t="s">
        <v>6345</v>
      </c>
      <c r="B1949" s="59" t="s">
        <v>6321</v>
      </c>
      <c r="C1949" s="48" t="s">
        <v>5355</v>
      </c>
      <c r="D1949" s="48"/>
      <c r="E1949" s="48" t="s">
        <v>5192</v>
      </c>
      <c r="F1949" s="14">
        <v>0.45042739886952715</v>
      </c>
      <c r="G1949" s="13" t="s">
        <v>5425</v>
      </c>
      <c r="H1949" s="13"/>
      <c r="O1949" s="21"/>
    </row>
    <row r="1950" spans="1:15" customFormat="1" ht="15" x14ac:dyDescent="0.25">
      <c r="A1950" s="201" t="s">
        <v>6271</v>
      </c>
      <c r="B1950" s="59" t="s">
        <v>6272</v>
      </c>
      <c r="C1950" s="48" t="s">
        <v>5366</v>
      </c>
      <c r="D1950" s="48"/>
      <c r="E1950" s="48" t="s">
        <v>5192</v>
      </c>
      <c r="F1950" s="14" t="s">
        <v>5417</v>
      </c>
      <c r="G1950" s="21" t="s">
        <v>6214</v>
      </c>
      <c r="H1950" s="13"/>
      <c r="O1950" s="21"/>
    </row>
    <row r="1951" spans="1:15" customFormat="1" ht="15" x14ac:dyDescent="0.25">
      <c r="A1951" s="201" t="s">
        <v>6273</v>
      </c>
      <c r="B1951" s="59" t="s">
        <v>6272</v>
      </c>
      <c r="C1951" s="48" t="s">
        <v>5360</v>
      </c>
      <c r="D1951" s="48"/>
      <c r="E1951" s="48" t="s">
        <v>5192</v>
      </c>
      <c r="F1951" s="268">
        <v>1.1000000000000001</v>
      </c>
      <c r="G1951" s="21" t="s">
        <v>6488</v>
      </c>
      <c r="H1951" s="13"/>
      <c r="O1951" s="21"/>
    </row>
    <row r="1952" spans="1:15" customFormat="1" ht="15" x14ac:dyDescent="0.25">
      <c r="A1952" s="201" t="s">
        <v>6274</v>
      </c>
      <c r="B1952" s="59" t="s">
        <v>6272</v>
      </c>
      <c r="C1952" s="48" t="s">
        <v>5368</v>
      </c>
      <c r="D1952" s="48"/>
      <c r="E1952" s="48" t="s">
        <v>5192</v>
      </c>
      <c r="F1952" s="14" t="s">
        <v>5371</v>
      </c>
      <c r="G1952" s="21" t="s">
        <v>6214</v>
      </c>
      <c r="H1952" s="13"/>
      <c r="O1952" s="21"/>
    </row>
    <row r="1953" spans="1:15" customFormat="1" ht="15" x14ac:dyDescent="0.25">
      <c r="A1953" s="201" t="s">
        <v>6275</v>
      </c>
      <c r="B1953" s="59" t="s">
        <v>6272</v>
      </c>
      <c r="C1953" s="48" t="s">
        <v>5379</v>
      </c>
      <c r="D1953" s="48"/>
      <c r="E1953" s="48" t="s">
        <v>5192</v>
      </c>
      <c r="F1953" s="14" t="s">
        <v>5870</v>
      </c>
      <c r="G1953" s="21" t="s">
        <v>6214</v>
      </c>
      <c r="H1953" s="13"/>
      <c r="O1953" s="21"/>
    </row>
    <row r="1954" spans="1:15" customFormat="1" ht="15" x14ac:dyDescent="0.25">
      <c r="A1954" s="201" t="s">
        <v>6276</v>
      </c>
      <c r="B1954" s="59" t="s">
        <v>6272</v>
      </c>
      <c r="C1954" s="48" t="s">
        <v>5378</v>
      </c>
      <c r="D1954" s="48"/>
      <c r="E1954" s="48" t="s">
        <v>5192</v>
      </c>
      <c r="F1954" s="14" t="s">
        <v>6270</v>
      </c>
      <c r="G1954" s="21" t="s">
        <v>6214</v>
      </c>
      <c r="H1954" s="13"/>
      <c r="O1954" s="21"/>
    </row>
    <row r="1955" spans="1:15" customFormat="1" ht="15" x14ac:dyDescent="0.25">
      <c r="A1955" s="201" t="s">
        <v>6277</v>
      </c>
      <c r="B1955" s="59" t="s">
        <v>6272</v>
      </c>
      <c r="C1955" s="48" t="s">
        <v>5220</v>
      </c>
      <c r="D1955" s="48"/>
      <c r="E1955" s="48" t="s">
        <v>5192</v>
      </c>
      <c r="F1955" s="14">
        <v>960</v>
      </c>
      <c r="G1955" s="21" t="s">
        <v>6214</v>
      </c>
      <c r="H1955" s="13"/>
      <c r="O1955" s="21"/>
    </row>
    <row r="1956" spans="1:15" customFormat="1" ht="15" x14ac:dyDescent="0.25">
      <c r="A1956" s="201" t="s">
        <v>6278</v>
      </c>
      <c r="B1956" s="59" t="s">
        <v>6272</v>
      </c>
      <c r="C1956" s="48" t="s">
        <v>5367</v>
      </c>
      <c r="D1956" s="48"/>
      <c r="E1956" s="48" t="s">
        <v>5192</v>
      </c>
      <c r="F1956" s="14" t="s">
        <v>5806</v>
      </c>
      <c r="G1956" s="21" t="s">
        <v>6214</v>
      </c>
      <c r="H1956" s="13"/>
      <c r="O1956" s="21"/>
    </row>
    <row r="1957" spans="1:15" customFormat="1" ht="15" x14ac:dyDescent="0.25">
      <c r="A1957" s="201" t="s">
        <v>6279</v>
      </c>
      <c r="B1957" s="59" t="s">
        <v>6272</v>
      </c>
      <c r="C1957" s="48" t="s">
        <v>5357</v>
      </c>
      <c r="D1957" s="48"/>
      <c r="E1957" s="48" t="s">
        <v>5192</v>
      </c>
      <c r="F1957" s="14">
        <v>0</v>
      </c>
      <c r="G1957" s="21" t="s">
        <v>6214</v>
      </c>
      <c r="H1957" s="13"/>
      <c r="O1957" s="21"/>
    </row>
    <row r="1958" spans="1:15" customFormat="1" ht="15" x14ac:dyDescent="0.25">
      <c r="A1958" s="201" t="s">
        <v>6280</v>
      </c>
      <c r="B1958" s="59" t="s">
        <v>6272</v>
      </c>
      <c r="C1958" s="48" t="s">
        <v>5228</v>
      </c>
      <c r="D1958" s="48"/>
      <c r="E1958" s="48" t="s">
        <v>5192</v>
      </c>
      <c r="F1958" s="14">
        <v>0.12</v>
      </c>
      <c r="G1958" s="21" t="s">
        <v>6214</v>
      </c>
      <c r="H1958" s="13"/>
      <c r="O1958" s="21"/>
    </row>
    <row r="1959" spans="1:15" customFormat="1" ht="15" x14ac:dyDescent="0.25">
      <c r="A1959" s="201" t="s">
        <v>6281</v>
      </c>
      <c r="B1959" s="59" t="s">
        <v>6272</v>
      </c>
      <c r="C1959" s="48" t="s">
        <v>5354</v>
      </c>
      <c r="D1959" s="48"/>
      <c r="E1959" s="48" t="s">
        <v>5192</v>
      </c>
      <c r="F1959" s="14">
        <v>2.865768703421815E-3</v>
      </c>
      <c r="G1959" s="21" t="s">
        <v>6214</v>
      </c>
      <c r="H1959" s="13"/>
      <c r="O1959" s="21"/>
    </row>
    <row r="1960" spans="1:15" customFormat="1" ht="15" x14ac:dyDescent="0.25">
      <c r="A1960" s="201" t="s">
        <v>6282</v>
      </c>
      <c r="B1960" s="59" t="s">
        <v>6272</v>
      </c>
      <c r="C1960" s="48" t="s">
        <v>5230</v>
      </c>
      <c r="D1960" s="48"/>
      <c r="E1960" s="48" t="s">
        <v>5192</v>
      </c>
      <c r="F1960" s="14">
        <v>0.66500000000000004</v>
      </c>
      <c r="G1960" s="21" t="s">
        <v>6214</v>
      </c>
      <c r="H1960" s="13"/>
      <c r="O1960" s="21"/>
    </row>
    <row r="1961" spans="1:15" customFormat="1" ht="15" x14ac:dyDescent="0.25">
      <c r="A1961" s="201" t="s">
        <v>6283</v>
      </c>
      <c r="B1961" s="59" t="s">
        <v>6272</v>
      </c>
      <c r="C1961" s="48" t="s">
        <v>5356</v>
      </c>
      <c r="D1961" s="48"/>
      <c r="E1961" s="48" t="s">
        <v>5192</v>
      </c>
      <c r="F1961" s="14">
        <v>0.9028067493133991</v>
      </c>
      <c r="G1961" s="21" t="s">
        <v>6214</v>
      </c>
      <c r="H1961" s="13"/>
      <c r="O1961" s="21"/>
    </row>
    <row r="1962" spans="1:15" customFormat="1" ht="15" x14ac:dyDescent="0.25">
      <c r="A1962" s="201" t="s">
        <v>6284</v>
      </c>
      <c r="B1962" s="59" t="s">
        <v>6272</v>
      </c>
      <c r="C1962" s="48" t="s">
        <v>5234</v>
      </c>
      <c r="D1962" s="48"/>
      <c r="E1962" s="48" t="s">
        <v>5192</v>
      </c>
      <c r="F1962" s="173">
        <v>44797</v>
      </c>
      <c r="G1962" s="21" t="s">
        <v>6214</v>
      </c>
      <c r="H1962" s="13"/>
      <c r="O1962" s="21"/>
    </row>
    <row r="1963" spans="1:15" customFormat="1" ht="15" x14ac:dyDescent="0.25">
      <c r="A1963" s="201" t="s">
        <v>6285</v>
      </c>
      <c r="B1963" s="59" t="s">
        <v>6272</v>
      </c>
      <c r="C1963" s="48" t="s">
        <v>1</v>
      </c>
      <c r="D1963" s="48"/>
      <c r="E1963" s="48" t="s">
        <v>5192</v>
      </c>
      <c r="F1963" s="14" t="s">
        <v>5780</v>
      </c>
      <c r="G1963" s="21" t="s">
        <v>6214</v>
      </c>
      <c r="H1963" s="13"/>
      <c r="O1963" s="21"/>
    </row>
    <row r="1964" spans="1:15" customFormat="1" ht="15" x14ac:dyDescent="0.25">
      <c r="A1964" s="201" t="s">
        <v>6286</v>
      </c>
      <c r="B1964" s="59" t="s">
        <v>6272</v>
      </c>
      <c r="C1964" s="48" t="s">
        <v>5363</v>
      </c>
      <c r="D1964" s="48"/>
      <c r="E1964" s="48" t="s">
        <v>5192</v>
      </c>
      <c r="F1964" s="166">
        <v>1.9099999999999999E-2</v>
      </c>
      <c r="G1964" s="21" t="s">
        <v>6214</v>
      </c>
      <c r="H1964" s="13"/>
      <c r="O1964" s="21"/>
    </row>
    <row r="1965" spans="1:15" customFormat="1" ht="15" x14ac:dyDescent="0.25">
      <c r="A1965" s="201" t="s">
        <v>6287</v>
      </c>
      <c r="B1965" s="59" t="s">
        <v>6272</v>
      </c>
      <c r="C1965" s="48" t="s">
        <v>5361</v>
      </c>
      <c r="D1965" s="48"/>
      <c r="E1965" s="48" t="s">
        <v>5192</v>
      </c>
      <c r="F1965" s="14">
        <v>1408.23495</v>
      </c>
      <c r="G1965" s="21" t="s">
        <v>6214</v>
      </c>
      <c r="H1965" s="13"/>
      <c r="O1965" s="21"/>
    </row>
    <row r="1966" spans="1:15" customFormat="1" ht="15" x14ac:dyDescent="0.25">
      <c r="A1966" s="201" t="s">
        <v>6288</v>
      </c>
      <c r="B1966" s="59" t="s">
        <v>6272</v>
      </c>
      <c r="C1966" s="48" t="s">
        <v>5364</v>
      </c>
      <c r="D1966" s="48"/>
      <c r="E1966" s="48" t="s">
        <v>5192</v>
      </c>
      <c r="F1966" s="14">
        <v>0.04</v>
      </c>
      <c r="G1966" s="21" t="s">
        <v>6214</v>
      </c>
      <c r="H1966" s="13"/>
      <c r="O1966" s="21"/>
    </row>
    <row r="1967" spans="1:15" customFormat="1" ht="15" x14ac:dyDescent="0.25">
      <c r="A1967" s="201" t="s">
        <v>6289</v>
      </c>
      <c r="B1967" s="59" t="s">
        <v>6272</v>
      </c>
      <c r="C1967" s="48" t="s">
        <v>5365</v>
      </c>
      <c r="D1967" s="48"/>
      <c r="E1967" s="48" t="s">
        <v>5192</v>
      </c>
      <c r="F1967" s="14">
        <v>0.06</v>
      </c>
      <c r="G1967" s="21" t="s">
        <v>6214</v>
      </c>
      <c r="H1967" s="13"/>
      <c r="O1967" s="21"/>
    </row>
    <row r="1968" spans="1:15" customFormat="1" ht="15" x14ac:dyDescent="0.25">
      <c r="A1968" s="201" t="s">
        <v>6290</v>
      </c>
      <c r="B1968" s="59" t="s">
        <v>6272</v>
      </c>
      <c r="C1968" s="48" t="s">
        <v>5362</v>
      </c>
      <c r="D1968" s="48"/>
      <c r="E1968" s="48" t="s">
        <v>5192</v>
      </c>
      <c r="F1968" s="14">
        <v>1735.7314500000002</v>
      </c>
      <c r="G1968" s="21" t="s">
        <v>6214</v>
      </c>
      <c r="H1968" s="13"/>
      <c r="O1968" s="21"/>
    </row>
    <row r="1969" spans="1:15" customFormat="1" ht="15" x14ac:dyDescent="0.25">
      <c r="A1969" s="201" t="s">
        <v>6291</v>
      </c>
      <c r="B1969" s="59" t="s">
        <v>6272</v>
      </c>
      <c r="C1969" s="48" t="s">
        <v>5245</v>
      </c>
      <c r="D1969" s="48"/>
      <c r="E1969" s="48" t="s">
        <v>5192</v>
      </c>
      <c r="F1969" s="14">
        <v>39.008554893788073</v>
      </c>
      <c r="G1969" s="21" t="s">
        <v>6214</v>
      </c>
      <c r="H1969" s="13"/>
      <c r="O1969" s="21"/>
    </row>
    <row r="1970" spans="1:15" customFormat="1" ht="15" x14ac:dyDescent="0.25">
      <c r="A1970" s="201" t="s">
        <v>6292</v>
      </c>
      <c r="B1970" s="59" t="s">
        <v>6272</v>
      </c>
      <c r="C1970" s="48" t="s">
        <v>5246</v>
      </c>
      <c r="D1970" s="48"/>
      <c r="E1970" s="48" t="s">
        <v>5192</v>
      </c>
      <c r="F1970" s="14">
        <v>1.03201875</v>
      </c>
      <c r="G1970" s="21" t="s">
        <v>6214</v>
      </c>
      <c r="H1970" s="13"/>
      <c r="O1970" s="21"/>
    </row>
    <row r="1971" spans="1:15" customFormat="1" ht="15" x14ac:dyDescent="0.25">
      <c r="A1971" s="201" t="s">
        <v>6293</v>
      </c>
      <c r="B1971" s="59" t="s">
        <v>6272</v>
      </c>
      <c r="C1971" s="48" t="s">
        <v>5355</v>
      </c>
      <c r="D1971" s="48"/>
      <c r="E1971" s="48" t="s">
        <v>5192</v>
      </c>
      <c r="F1971" s="14">
        <v>9.4327481983179098E-2</v>
      </c>
      <c r="G1971" s="21" t="s">
        <v>6214</v>
      </c>
      <c r="H1971" s="13"/>
      <c r="O1971" s="21"/>
    </row>
    <row r="1972" spans="1:15" customFormat="1" ht="15" x14ac:dyDescent="0.25">
      <c r="A1972" s="201" t="s">
        <v>6294</v>
      </c>
      <c r="B1972" s="201" t="s">
        <v>6295</v>
      </c>
      <c r="C1972" s="201" t="s">
        <v>5366</v>
      </c>
      <c r="D1972" s="201"/>
      <c r="E1972" s="201" t="s">
        <v>5192</v>
      </c>
      <c r="F1972" s="14" t="s">
        <v>6002</v>
      </c>
      <c r="G1972" s="21" t="s">
        <v>6018</v>
      </c>
      <c r="H1972" s="14" t="s">
        <v>6002</v>
      </c>
      <c r="O1972" s="21"/>
    </row>
    <row r="1973" spans="1:15" customFormat="1" ht="15" x14ac:dyDescent="0.25">
      <c r="A1973" s="201" t="s">
        <v>6296</v>
      </c>
      <c r="B1973" s="201" t="s">
        <v>6295</v>
      </c>
      <c r="C1973" s="201" t="s">
        <v>5360</v>
      </c>
      <c r="D1973" s="201"/>
      <c r="E1973" s="201" t="s">
        <v>5192</v>
      </c>
      <c r="F1973" s="202">
        <v>15.2</v>
      </c>
      <c r="G1973" s="269" t="s">
        <v>6487</v>
      </c>
      <c r="H1973" s="20">
        <v>21.39</v>
      </c>
      <c r="O1973" s="21"/>
    </row>
    <row r="1974" spans="1:15" customFormat="1" ht="15" x14ac:dyDescent="0.25">
      <c r="A1974" s="201" t="s">
        <v>6297</v>
      </c>
      <c r="B1974" s="201" t="s">
        <v>6295</v>
      </c>
      <c r="C1974" s="201" t="s">
        <v>5368</v>
      </c>
      <c r="D1974" s="201"/>
      <c r="E1974" s="201" t="s">
        <v>5192</v>
      </c>
      <c r="F1974" s="14" t="s">
        <v>5371</v>
      </c>
      <c r="G1974" s="21" t="s">
        <v>6018</v>
      </c>
      <c r="H1974" s="14" t="s">
        <v>5371</v>
      </c>
      <c r="O1974" s="21"/>
    </row>
    <row r="1975" spans="1:15" customFormat="1" ht="15" x14ac:dyDescent="0.25">
      <c r="A1975" s="201" t="s">
        <v>6298</v>
      </c>
      <c r="B1975" s="201" t="s">
        <v>6295</v>
      </c>
      <c r="C1975" s="201" t="s">
        <v>5379</v>
      </c>
      <c r="D1975" s="201"/>
      <c r="E1975" s="201" t="s">
        <v>5192</v>
      </c>
      <c r="F1975" s="14" t="s">
        <v>6299</v>
      </c>
      <c r="G1975" s="21" t="s">
        <v>6018</v>
      </c>
      <c r="H1975" s="14" t="s">
        <v>6299</v>
      </c>
      <c r="O1975" s="21"/>
    </row>
    <row r="1976" spans="1:15" customFormat="1" ht="15" x14ac:dyDescent="0.25">
      <c r="A1976" s="201" t="s">
        <v>6300</v>
      </c>
      <c r="B1976" s="201" t="s">
        <v>6295</v>
      </c>
      <c r="C1976" s="201" t="s">
        <v>5378</v>
      </c>
      <c r="D1976" s="201"/>
      <c r="E1976" s="201" t="s">
        <v>5192</v>
      </c>
      <c r="F1976" s="14" t="s">
        <v>6270</v>
      </c>
      <c r="G1976" s="21" t="s">
        <v>6018</v>
      </c>
      <c r="H1976" s="14" t="s">
        <v>6270</v>
      </c>
      <c r="O1976" s="21"/>
    </row>
    <row r="1977" spans="1:15" customFormat="1" ht="15" x14ac:dyDescent="0.25">
      <c r="A1977" s="201" t="s">
        <v>6301</v>
      </c>
      <c r="B1977" s="201" t="s">
        <v>6295</v>
      </c>
      <c r="C1977" s="201" t="s">
        <v>5220</v>
      </c>
      <c r="D1977" s="201"/>
      <c r="E1977" s="201" t="s">
        <v>5192</v>
      </c>
      <c r="F1977" s="14">
        <v>200</v>
      </c>
      <c r="G1977" s="21" t="s">
        <v>6428</v>
      </c>
      <c r="H1977" s="14">
        <v>200</v>
      </c>
      <c r="O1977" s="21"/>
    </row>
    <row r="1978" spans="1:15" customFormat="1" ht="15" x14ac:dyDescent="0.25">
      <c r="A1978" s="201" t="s">
        <v>6302</v>
      </c>
      <c r="B1978" s="201" t="s">
        <v>6295</v>
      </c>
      <c r="C1978" s="201" t="s">
        <v>5367</v>
      </c>
      <c r="D1978" s="201"/>
      <c r="E1978" s="201" t="s">
        <v>5192</v>
      </c>
      <c r="F1978" s="14" t="s">
        <v>5851</v>
      </c>
      <c r="G1978" s="21" t="s">
        <v>6018</v>
      </c>
      <c r="H1978" s="14" t="s">
        <v>5851</v>
      </c>
      <c r="O1978" s="21"/>
    </row>
    <row r="1979" spans="1:15" x14ac:dyDescent="0.2">
      <c r="A1979" s="246" t="s">
        <v>6303</v>
      </c>
      <c r="B1979" s="246" t="s">
        <v>6295</v>
      </c>
      <c r="C1979" s="246" t="s">
        <v>5224</v>
      </c>
      <c r="D1979" s="246"/>
      <c r="E1979" s="246" t="s">
        <v>5192</v>
      </c>
      <c r="F1979" s="242">
        <v>8621.8289502762455</v>
      </c>
      <c r="G1979" s="236" t="s">
        <v>6018</v>
      </c>
      <c r="H1979" s="242">
        <v>20909.828950276245</v>
      </c>
    </row>
    <row r="1980" spans="1:15" customFormat="1" ht="15" x14ac:dyDescent="0.25">
      <c r="A1980" s="201" t="s">
        <v>6304</v>
      </c>
      <c r="B1980" s="201" t="s">
        <v>6295</v>
      </c>
      <c r="C1980" s="201" t="s">
        <v>5357</v>
      </c>
      <c r="D1980" s="201"/>
      <c r="E1980" s="201" t="s">
        <v>5192</v>
      </c>
      <c r="F1980" s="20">
        <v>0</v>
      </c>
      <c r="G1980" s="21" t="s">
        <v>6018</v>
      </c>
      <c r="H1980" s="20">
        <v>0</v>
      </c>
      <c r="O1980" s="21"/>
    </row>
    <row r="1981" spans="1:15" customFormat="1" ht="15" x14ac:dyDescent="0.25">
      <c r="A1981" s="201" t="s">
        <v>6305</v>
      </c>
      <c r="B1981" s="201" t="s">
        <v>6295</v>
      </c>
      <c r="C1981" s="201" t="s">
        <v>5228</v>
      </c>
      <c r="D1981" s="201"/>
      <c r="E1981" s="201" t="s">
        <v>5192</v>
      </c>
      <c r="F1981" s="20">
        <v>5.6999999999999993</v>
      </c>
      <c r="G1981" s="171">
        <v>44840</v>
      </c>
      <c r="H1981" s="20">
        <v>8.2799999999999994</v>
      </c>
      <c r="O1981" s="21"/>
    </row>
    <row r="1982" spans="1:15" customFormat="1" ht="15" x14ac:dyDescent="0.25">
      <c r="A1982" s="201" t="s">
        <v>6306</v>
      </c>
      <c r="B1982" s="201" t="s">
        <v>6295</v>
      </c>
      <c r="C1982" s="201" t="s">
        <v>5229</v>
      </c>
      <c r="D1982" s="201"/>
      <c r="E1982" s="201" t="s">
        <v>5192</v>
      </c>
      <c r="F1982" s="14">
        <v>177.04419889502762</v>
      </c>
      <c r="G1982" s="21" t="s">
        <v>6018</v>
      </c>
      <c r="H1982" s="14">
        <v>177.04419889502762</v>
      </c>
      <c r="O1982" s="21"/>
    </row>
    <row r="1983" spans="1:15" customFormat="1" ht="15" x14ac:dyDescent="0.25">
      <c r="A1983" s="201" t="s">
        <v>6307</v>
      </c>
      <c r="B1983" s="201" t="s">
        <v>6295</v>
      </c>
      <c r="C1983" s="201" t="s">
        <v>5354</v>
      </c>
      <c r="D1983" s="201"/>
      <c r="E1983" s="201" t="s">
        <v>5192</v>
      </c>
      <c r="F1983" s="20">
        <v>0.05</v>
      </c>
      <c r="G1983" s="21" t="s">
        <v>6018</v>
      </c>
      <c r="H1983" s="20">
        <v>0.05</v>
      </c>
      <c r="O1983" s="21"/>
    </row>
    <row r="1984" spans="1:15" customFormat="1" ht="15" x14ac:dyDescent="0.25">
      <c r="A1984" s="201" t="s">
        <v>6308</v>
      </c>
      <c r="B1984" s="201" t="s">
        <v>6295</v>
      </c>
      <c r="C1984" s="201" t="s">
        <v>5230</v>
      </c>
      <c r="D1984" s="201"/>
      <c r="E1984" s="201" t="s">
        <v>5192</v>
      </c>
      <c r="F1984" s="202">
        <v>5.5981250000000005</v>
      </c>
      <c r="G1984" s="171">
        <v>44840</v>
      </c>
      <c r="H1984" s="20">
        <v>9.4570000000000007</v>
      </c>
      <c r="O1984" s="21"/>
    </row>
    <row r="1985" spans="1:15" customFormat="1" ht="15" x14ac:dyDescent="0.25">
      <c r="A1985" s="201" t="s">
        <v>6309</v>
      </c>
      <c r="B1985" s="201" t="s">
        <v>6295</v>
      </c>
      <c r="C1985" s="201" t="s">
        <v>5356</v>
      </c>
      <c r="D1985" s="201"/>
      <c r="E1985" s="201" t="s">
        <v>5192</v>
      </c>
      <c r="F1985" s="20">
        <v>0.45</v>
      </c>
      <c r="G1985" s="171">
        <v>44797</v>
      </c>
      <c r="H1985" s="20">
        <v>0.45</v>
      </c>
      <c r="O1985" s="21"/>
    </row>
    <row r="1986" spans="1:15" customFormat="1" ht="15" x14ac:dyDescent="0.25">
      <c r="A1986" s="201" t="s">
        <v>6310</v>
      </c>
      <c r="B1986" s="201" t="s">
        <v>6295</v>
      </c>
      <c r="C1986" s="201" t="s">
        <v>5234</v>
      </c>
      <c r="D1986" s="201"/>
      <c r="E1986" s="201" t="s">
        <v>5192</v>
      </c>
      <c r="F1986" s="14" t="s">
        <v>6003</v>
      </c>
      <c r="G1986" s="21" t="s">
        <v>6018</v>
      </c>
      <c r="H1986" s="14" t="s">
        <v>6003</v>
      </c>
      <c r="O1986" s="21"/>
    </row>
    <row r="1987" spans="1:15" customFormat="1" ht="15" x14ac:dyDescent="0.25">
      <c r="A1987" s="201" t="s">
        <v>6311</v>
      </c>
      <c r="B1987" s="201" t="s">
        <v>6295</v>
      </c>
      <c r="C1987" s="201" t="s">
        <v>1</v>
      </c>
      <c r="D1987" s="201"/>
      <c r="E1987" s="201" t="s">
        <v>5192</v>
      </c>
      <c r="F1987" s="14" t="s">
        <v>5782</v>
      </c>
      <c r="G1987" s="21" t="s">
        <v>6018</v>
      </c>
      <c r="H1987" s="14" t="s">
        <v>5782</v>
      </c>
      <c r="O1987" s="21"/>
    </row>
    <row r="1988" spans="1:15" customFormat="1" ht="15" x14ac:dyDescent="0.25">
      <c r="A1988" s="201" t="s">
        <v>6312</v>
      </c>
      <c r="B1988" s="201" t="s">
        <v>6295</v>
      </c>
      <c r="C1988" s="201" t="s">
        <v>5363</v>
      </c>
      <c r="D1988" s="201"/>
      <c r="E1988" s="201" t="s">
        <v>5192</v>
      </c>
      <c r="F1988" s="166">
        <v>1.9120000000000002E-2</v>
      </c>
      <c r="G1988" s="21" t="s">
        <v>6045</v>
      </c>
      <c r="H1988" s="166">
        <v>1.9120000000000002E-2</v>
      </c>
      <c r="O1988" s="21"/>
    </row>
    <row r="1989" spans="1:15" customFormat="1" ht="15" x14ac:dyDescent="0.25">
      <c r="A1989" s="201" t="s">
        <v>6313</v>
      </c>
      <c r="B1989" s="201" t="s">
        <v>6295</v>
      </c>
      <c r="C1989" s="201" t="s">
        <v>5361</v>
      </c>
      <c r="D1989" s="201"/>
      <c r="E1989" s="201" t="s">
        <v>5192</v>
      </c>
      <c r="F1989" s="14">
        <v>4758.1354233281618</v>
      </c>
      <c r="G1989" s="171">
        <v>44840</v>
      </c>
      <c r="H1989" s="14">
        <v>7289.4634685387427</v>
      </c>
      <c r="O1989" s="21"/>
    </row>
    <row r="1990" spans="1:15" customFormat="1" ht="15" x14ac:dyDescent="0.25">
      <c r="A1990" s="201" t="s">
        <v>6314</v>
      </c>
      <c r="B1990" s="201" t="s">
        <v>6295</v>
      </c>
      <c r="C1990" s="201" t="s">
        <v>5364</v>
      </c>
      <c r="D1990" s="201"/>
      <c r="E1990" s="201" t="s">
        <v>5192</v>
      </c>
      <c r="F1990" s="167">
        <v>4.4999999999999998E-2</v>
      </c>
      <c r="G1990" s="21" t="s">
        <v>6191</v>
      </c>
      <c r="H1990" s="167">
        <v>4.4999999999999998E-2</v>
      </c>
      <c r="O1990" s="21"/>
    </row>
    <row r="1991" spans="1:15" customFormat="1" ht="15" x14ac:dyDescent="0.25">
      <c r="A1991" s="201" t="s">
        <v>6315</v>
      </c>
      <c r="B1991" s="201" t="s">
        <v>6295</v>
      </c>
      <c r="C1991" s="201" t="s">
        <v>5365</v>
      </c>
      <c r="D1991" s="201"/>
      <c r="E1991" s="201" t="s">
        <v>5192</v>
      </c>
      <c r="F1991" s="14">
        <v>0.06</v>
      </c>
      <c r="G1991" s="21" t="s">
        <v>6018</v>
      </c>
      <c r="H1991" s="14">
        <v>0.06</v>
      </c>
      <c r="O1991" s="21"/>
    </row>
    <row r="1992" spans="1:15" customFormat="1" ht="15" x14ac:dyDescent="0.25">
      <c r="A1992" s="201" t="s">
        <v>6316</v>
      </c>
      <c r="B1992" s="201" t="s">
        <v>6295</v>
      </c>
      <c r="C1992" s="201" t="s">
        <v>5362</v>
      </c>
      <c r="D1992" s="201"/>
      <c r="E1992" s="201" t="s">
        <v>5192</v>
      </c>
      <c r="F1992" s="14">
        <v>6005.2500207057892</v>
      </c>
      <c r="G1992" s="171">
        <v>44840</v>
      </c>
      <c r="H1992" s="14">
        <v>9200.0430317212686</v>
      </c>
      <c r="O1992" s="21"/>
    </row>
    <row r="1993" spans="1:15" customFormat="1" ht="15" x14ac:dyDescent="0.25">
      <c r="A1993" s="201" t="s">
        <v>6317</v>
      </c>
      <c r="B1993" s="201" t="s">
        <v>6295</v>
      </c>
      <c r="C1993" s="201" t="s">
        <v>5245</v>
      </c>
      <c r="D1993" s="201"/>
      <c r="E1993" s="201" t="s">
        <v>5192</v>
      </c>
      <c r="F1993" s="20">
        <v>394.51774347508126</v>
      </c>
      <c r="G1993" s="171">
        <v>44840</v>
      </c>
      <c r="H1993" s="20">
        <v>604.46881461699161</v>
      </c>
      <c r="O1993" s="21"/>
    </row>
    <row r="1994" spans="1:15" customFormat="1" ht="15" x14ac:dyDescent="0.25">
      <c r="A1994" s="201" t="s">
        <v>6318</v>
      </c>
      <c r="B1994" s="201" t="s">
        <v>6295</v>
      </c>
      <c r="C1994" s="201" t="s">
        <v>5246</v>
      </c>
      <c r="D1994" s="201"/>
      <c r="E1994" s="201" t="s">
        <v>5192</v>
      </c>
      <c r="F1994" s="20">
        <v>24.231584683903588</v>
      </c>
      <c r="G1994" s="171">
        <v>44840</v>
      </c>
      <c r="H1994" s="20">
        <v>58.766915216790935</v>
      </c>
      <c r="O1994" s="21"/>
    </row>
    <row r="1995" spans="1:15" customFormat="1" ht="15" x14ac:dyDescent="0.25">
      <c r="A1995" s="201" t="s">
        <v>6319</v>
      </c>
      <c r="B1995" s="201" t="s">
        <v>6295</v>
      </c>
      <c r="C1995" s="201" t="s">
        <v>5355</v>
      </c>
      <c r="D1995" s="201"/>
      <c r="E1995" s="201" t="s">
        <v>5192</v>
      </c>
      <c r="F1995" s="20">
        <v>0.5</v>
      </c>
      <c r="G1995" s="171">
        <v>44797</v>
      </c>
      <c r="H1995" s="20">
        <v>0.5</v>
      </c>
      <c r="O1995" s="21"/>
    </row>
    <row r="1996" spans="1:15" customFormat="1" ht="15" x14ac:dyDescent="0.25">
      <c r="A1996" s="201" t="s">
        <v>6320</v>
      </c>
      <c r="B1996" s="201" t="s">
        <v>6321</v>
      </c>
      <c r="C1996" s="201" t="s">
        <v>5366</v>
      </c>
      <c r="D1996" s="201"/>
      <c r="E1996" s="201" t="s">
        <v>5192</v>
      </c>
      <c r="F1996" s="14" t="s">
        <v>6002</v>
      </c>
      <c r="G1996" s="21" t="s">
        <v>6016</v>
      </c>
      <c r="H1996" s="14" t="s">
        <v>6002</v>
      </c>
      <c r="O1996" s="21"/>
    </row>
    <row r="1997" spans="1:15" customFormat="1" ht="15" x14ac:dyDescent="0.25">
      <c r="A1997" s="201" t="s">
        <v>6322</v>
      </c>
      <c r="B1997" s="201" t="s">
        <v>6321</v>
      </c>
      <c r="C1997" s="201" t="s">
        <v>5360</v>
      </c>
      <c r="D1997" s="201"/>
      <c r="E1997" s="201" t="s">
        <v>5192</v>
      </c>
      <c r="F1997" s="203">
        <v>4.1040000000000001</v>
      </c>
      <c r="G1997" s="171">
        <v>44840</v>
      </c>
      <c r="H1997" s="203">
        <v>4.1040000000000001</v>
      </c>
      <c r="O1997" s="21"/>
    </row>
    <row r="1998" spans="1:15" customFormat="1" ht="15" x14ac:dyDescent="0.25">
      <c r="A1998" s="201" t="s">
        <v>6323</v>
      </c>
      <c r="B1998" s="201" t="s">
        <v>6321</v>
      </c>
      <c r="C1998" s="201" t="s">
        <v>5368</v>
      </c>
      <c r="D1998" s="201"/>
      <c r="E1998" s="201" t="s">
        <v>5192</v>
      </c>
      <c r="F1998" s="14" t="s">
        <v>5371</v>
      </c>
      <c r="G1998" s="21" t="s">
        <v>6016</v>
      </c>
      <c r="H1998" s="14" t="s">
        <v>5371</v>
      </c>
      <c r="O1998" s="21"/>
    </row>
    <row r="1999" spans="1:15" customFormat="1" ht="15" x14ac:dyDescent="0.25">
      <c r="A1999" s="201" t="s">
        <v>6324</v>
      </c>
      <c r="B1999" s="201" t="s">
        <v>6321</v>
      </c>
      <c r="C1999" s="201" t="s">
        <v>5379</v>
      </c>
      <c r="D1999" s="201"/>
      <c r="E1999" s="201" t="s">
        <v>5192</v>
      </c>
      <c r="F1999" s="14" t="s">
        <v>6325</v>
      </c>
      <c r="G1999" s="21" t="s">
        <v>6016</v>
      </c>
      <c r="H1999" s="14" t="s">
        <v>6325</v>
      </c>
      <c r="O1999" s="21"/>
    </row>
    <row r="2000" spans="1:15" customFormat="1" ht="15" x14ac:dyDescent="0.25">
      <c r="A2000" s="201" t="s">
        <v>6326</v>
      </c>
      <c r="B2000" s="201" t="s">
        <v>6321</v>
      </c>
      <c r="C2000" s="201" t="s">
        <v>5378</v>
      </c>
      <c r="D2000" s="201"/>
      <c r="E2000" s="201" t="s">
        <v>5192</v>
      </c>
      <c r="F2000" s="14" t="s">
        <v>6270</v>
      </c>
      <c r="G2000" s="21" t="s">
        <v>6016</v>
      </c>
      <c r="H2000" s="14" t="s">
        <v>6270</v>
      </c>
      <c r="O2000" s="21"/>
    </row>
    <row r="2001" spans="1:15" customFormat="1" ht="15" x14ac:dyDescent="0.25">
      <c r="A2001" s="201" t="s">
        <v>6327</v>
      </c>
      <c r="B2001" s="201" t="s">
        <v>6321</v>
      </c>
      <c r="C2001" s="201" t="s">
        <v>5220</v>
      </c>
      <c r="D2001" s="201"/>
      <c r="E2001" s="201" t="s">
        <v>5192</v>
      </c>
      <c r="F2001" s="14">
        <v>500</v>
      </c>
      <c r="G2001" s="21" t="s">
        <v>6016</v>
      </c>
      <c r="H2001" s="14">
        <v>400</v>
      </c>
      <c r="O2001" s="21"/>
    </row>
    <row r="2002" spans="1:15" customFormat="1" ht="15" x14ac:dyDescent="0.25">
      <c r="A2002" s="201" t="s">
        <v>6328</v>
      </c>
      <c r="B2002" s="201" t="s">
        <v>6321</v>
      </c>
      <c r="C2002" s="201" t="s">
        <v>5367</v>
      </c>
      <c r="D2002" s="201"/>
      <c r="E2002" s="201" t="s">
        <v>5192</v>
      </c>
      <c r="F2002" s="14" t="s">
        <v>5850</v>
      </c>
      <c r="G2002" s="21" t="s">
        <v>6016</v>
      </c>
      <c r="H2002" s="14" t="s">
        <v>5850</v>
      </c>
      <c r="O2002" s="21"/>
    </row>
    <row r="2003" spans="1:15" x14ac:dyDescent="0.2">
      <c r="A2003" s="246" t="s">
        <v>6329</v>
      </c>
      <c r="B2003" s="246" t="s">
        <v>6321</v>
      </c>
      <c r="C2003" s="246" t="s">
        <v>5224</v>
      </c>
      <c r="D2003" s="246"/>
      <c r="E2003" s="246" t="s">
        <v>5192</v>
      </c>
      <c r="F2003" s="242">
        <v>2663.9360000000001</v>
      </c>
      <c r="G2003" s="236" t="s">
        <v>6016</v>
      </c>
      <c r="H2003" s="242">
        <v>2663.9360000000001</v>
      </c>
    </row>
    <row r="2004" spans="1:15" customFormat="1" ht="15" x14ac:dyDescent="0.25">
      <c r="A2004" s="201" t="s">
        <v>6330</v>
      </c>
      <c r="B2004" s="201" t="s">
        <v>6321</v>
      </c>
      <c r="C2004" s="201" t="s">
        <v>5357</v>
      </c>
      <c r="D2004" s="201"/>
      <c r="E2004" s="201" t="s">
        <v>5192</v>
      </c>
      <c r="F2004" s="14">
        <v>0</v>
      </c>
      <c r="G2004" s="21" t="s">
        <v>6016</v>
      </c>
      <c r="H2004" s="14">
        <v>0</v>
      </c>
      <c r="O2004" s="21"/>
    </row>
    <row r="2005" spans="1:15" customFormat="1" ht="15" x14ac:dyDescent="0.25">
      <c r="A2005" s="201" t="s">
        <v>6331</v>
      </c>
      <c r="B2005" s="201" t="s">
        <v>6321</v>
      </c>
      <c r="C2005" s="201" t="s">
        <v>5228</v>
      </c>
      <c r="D2005" s="201"/>
      <c r="E2005" s="201" t="s">
        <v>5192</v>
      </c>
      <c r="F2005" s="203">
        <v>1.843</v>
      </c>
      <c r="G2005" s="171">
        <v>44840</v>
      </c>
      <c r="H2005" s="203">
        <v>1.843</v>
      </c>
      <c r="O2005" s="21"/>
    </row>
    <row r="2006" spans="1:15" customFormat="1" ht="15" x14ac:dyDescent="0.25">
      <c r="A2006" s="201" t="s">
        <v>6332</v>
      </c>
      <c r="B2006" s="201" t="s">
        <v>6321</v>
      </c>
      <c r="C2006" s="201" t="s">
        <v>5229</v>
      </c>
      <c r="D2006" s="201"/>
      <c r="E2006" s="201" t="s">
        <v>5192</v>
      </c>
      <c r="F2006" s="14">
        <v>77</v>
      </c>
      <c r="G2006" s="21" t="s">
        <v>6016</v>
      </c>
      <c r="H2006" s="14">
        <v>77</v>
      </c>
      <c r="O2006" s="21"/>
    </row>
    <row r="2007" spans="1:15" customFormat="1" ht="15" x14ac:dyDescent="0.25">
      <c r="A2007" s="201" t="s">
        <v>6333</v>
      </c>
      <c r="B2007" s="201" t="s">
        <v>6321</v>
      </c>
      <c r="C2007" s="201" t="s">
        <v>5354</v>
      </c>
      <c r="D2007" s="201"/>
      <c r="E2007" s="201" t="s">
        <v>5192</v>
      </c>
      <c r="F2007" s="14">
        <v>0.22274270384286995</v>
      </c>
      <c r="G2007" s="21" t="s">
        <v>6016</v>
      </c>
      <c r="H2007" s="14">
        <v>0.22274270384286995</v>
      </c>
      <c r="O2007" s="21"/>
    </row>
    <row r="2008" spans="1:15" customFormat="1" ht="15" x14ac:dyDescent="0.25">
      <c r="A2008" s="201" t="s">
        <v>6334</v>
      </c>
      <c r="B2008" s="201" t="s">
        <v>6321</v>
      </c>
      <c r="C2008" s="201" t="s">
        <v>5230</v>
      </c>
      <c r="D2008" s="201"/>
      <c r="E2008" s="201" t="s">
        <v>5192</v>
      </c>
      <c r="F2008" s="203">
        <v>1.6897</v>
      </c>
      <c r="G2008" s="171">
        <v>44840</v>
      </c>
      <c r="H2008" s="203">
        <v>1.6897</v>
      </c>
      <c r="O2008" s="21"/>
    </row>
    <row r="2009" spans="1:15" customFormat="1" ht="15" x14ac:dyDescent="0.25">
      <c r="A2009" s="201" t="s">
        <v>6335</v>
      </c>
      <c r="B2009" s="201" t="s">
        <v>6321</v>
      </c>
      <c r="C2009" s="201" t="s">
        <v>5356</v>
      </c>
      <c r="D2009" s="201"/>
      <c r="E2009" s="201" t="s">
        <v>5192</v>
      </c>
      <c r="F2009" s="14">
        <v>0.32682989728760298</v>
      </c>
      <c r="G2009" s="21" t="s">
        <v>6016</v>
      </c>
      <c r="H2009" s="14">
        <v>0.32682989728760298</v>
      </c>
      <c r="O2009" s="21"/>
    </row>
    <row r="2010" spans="1:15" customFormat="1" ht="15" x14ac:dyDescent="0.25">
      <c r="A2010" s="201" t="s">
        <v>6336</v>
      </c>
      <c r="B2010" s="201" t="s">
        <v>6321</v>
      </c>
      <c r="C2010" s="201" t="s">
        <v>5234</v>
      </c>
      <c r="D2010" s="201"/>
      <c r="E2010" s="201" t="s">
        <v>5192</v>
      </c>
      <c r="F2010" s="14" t="s">
        <v>6011</v>
      </c>
      <c r="G2010" s="21" t="s">
        <v>6016</v>
      </c>
      <c r="H2010" s="14" t="s">
        <v>6011</v>
      </c>
      <c r="O2010" s="21"/>
    </row>
    <row r="2011" spans="1:15" customFormat="1" ht="15" x14ac:dyDescent="0.25">
      <c r="A2011" s="201" t="s">
        <v>6337</v>
      </c>
      <c r="B2011" s="201" t="s">
        <v>6321</v>
      </c>
      <c r="C2011" s="201" t="s">
        <v>1</v>
      </c>
      <c r="D2011" s="201"/>
      <c r="E2011" s="201" t="s">
        <v>5192</v>
      </c>
      <c r="F2011" s="14" t="s">
        <v>5777</v>
      </c>
      <c r="G2011" s="21" t="s">
        <v>6016</v>
      </c>
      <c r="H2011" s="14" t="s">
        <v>5777</v>
      </c>
      <c r="O2011" s="21"/>
    </row>
    <row r="2012" spans="1:15" customFormat="1" ht="15" x14ac:dyDescent="0.25">
      <c r="A2012" s="201" t="s">
        <v>6338</v>
      </c>
      <c r="B2012" s="201" t="s">
        <v>6321</v>
      </c>
      <c r="C2012" s="201" t="s">
        <v>5363</v>
      </c>
      <c r="D2012" s="201"/>
      <c r="E2012" s="201" t="s">
        <v>5192</v>
      </c>
      <c r="F2012" s="166">
        <v>1.2500000000000001E-2</v>
      </c>
      <c r="G2012" s="21" t="s">
        <v>6045</v>
      </c>
      <c r="H2012" s="166">
        <v>1.2500000000000001E-2</v>
      </c>
      <c r="O2012" s="21"/>
    </row>
    <row r="2013" spans="1:15" customFormat="1" ht="15" x14ac:dyDescent="0.25">
      <c r="A2013" s="201" t="s">
        <v>6339</v>
      </c>
      <c r="B2013" s="201" t="s">
        <v>6321</v>
      </c>
      <c r="C2013" s="201" t="s">
        <v>5361</v>
      </c>
      <c r="D2013" s="201"/>
      <c r="E2013" s="201" t="s">
        <v>5192</v>
      </c>
      <c r="F2013" s="14">
        <v>2420.6688493150687</v>
      </c>
      <c r="G2013" s="171">
        <v>44797</v>
      </c>
      <c r="H2013" s="14">
        <v>2420.6688493150687</v>
      </c>
      <c r="O2013" s="21"/>
    </row>
    <row r="2014" spans="1:15" customFormat="1" ht="15" x14ac:dyDescent="0.25">
      <c r="A2014" s="201" t="s">
        <v>6340</v>
      </c>
      <c r="B2014" s="201" t="s">
        <v>6321</v>
      </c>
      <c r="C2014" s="201" t="s">
        <v>5364</v>
      </c>
      <c r="D2014" s="201"/>
      <c r="E2014" s="201" t="s">
        <v>5192</v>
      </c>
      <c r="F2014" s="14">
        <v>0.04</v>
      </c>
      <c r="G2014" s="21" t="s">
        <v>6016</v>
      </c>
      <c r="H2014" s="14">
        <v>0.04</v>
      </c>
      <c r="O2014" s="21"/>
    </row>
    <row r="2015" spans="1:15" customFormat="1" ht="15" x14ac:dyDescent="0.25">
      <c r="A2015" s="201" t="s">
        <v>6341</v>
      </c>
      <c r="B2015" s="201" t="s">
        <v>6321</v>
      </c>
      <c r="C2015" s="201" t="s">
        <v>5365</v>
      </c>
      <c r="D2015" s="201"/>
      <c r="E2015" s="201" t="s">
        <v>5192</v>
      </c>
      <c r="F2015" s="14">
        <v>0.06</v>
      </c>
      <c r="G2015" s="21" t="s">
        <v>6016</v>
      </c>
      <c r="H2015" s="14">
        <v>0.06</v>
      </c>
      <c r="O2015" s="21"/>
    </row>
    <row r="2016" spans="1:15" customFormat="1" ht="15" x14ac:dyDescent="0.25">
      <c r="A2016" s="201" t="s">
        <v>6342</v>
      </c>
      <c r="B2016" s="201" t="s">
        <v>6321</v>
      </c>
      <c r="C2016" s="201" t="s">
        <v>5362</v>
      </c>
      <c r="D2016" s="201"/>
      <c r="E2016" s="201" t="s">
        <v>5192</v>
      </c>
      <c r="F2016" s="14">
        <v>3322.4594246575343</v>
      </c>
      <c r="G2016" s="171">
        <v>44797</v>
      </c>
      <c r="H2016" s="14">
        <v>3322.4594246575343</v>
      </c>
      <c r="O2016" s="21"/>
    </row>
    <row r="2017" spans="1:15" customFormat="1" ht="15" x14ac:dyDescent="0.25">
      <c r="A2017" s="201" t="s">
        <v>6343</v>
      </c>
      <c r="B2017" s="201" t="s">
        <v>6321</v>
      </c>
      <c r="C2017" s="201" t="s">
        <v>5245</v>
      </c>
      <c r="D2017" s="201"/>
      <c r="E2017" s="201" t="s">
        <v>5192</v>
      </c>
      <c r="F2017" s="14">
        <v>92.725180821917817</v>
      </c>
      <c r="G2017" s="171">
        <v>44797</v>
      </c>
      <c r="H2017" s="14">
        <v>92.725180821917817</v>
      </c>
      <c r="O2017" s="21"/>
    </row>
    <row r="2018" spans="1:15" customFormat="1" ht="15" x14ac:dyDescent="0.25">
      <c r="A2018" s="201" t="s">
        <v>6344</v>
      </c>
      <c r="B2018" s="201" t="s">
        <v>6321</v>
      </c>
      <c r="C2018" s="201" t="s">
        <v>5246</v>
      </c>
      <c r="D2018" s="201"/>
      <c r="E2018" s="201" t="s">
        <v>5192</v>
      </c>
      <c r="F2018" s="14">
        <v>10.948514851485148</v>
      </c>
      <c r="G2018" s="171">
        <v>44797</v>
      </c>
      <c r="H2018" s="14">
        <v>10.948514851485148</v>
      </c>
      <c r="O2018" s="21"/>
    </row>
    <row r="2019" spans="1:15" customFormat="1" ht="15" x14ac:dyDescent="0.25">
      <c r="A2019" s="201" t="s">
        <v>6345</v>
      </c>
      <c r="B2019" s="201" t="s">
        <v>6321</v>
      </c>
      <c r="C2019" s="201" t="s">
        <v>5355</v>
      </c>
      <c r="D2019" s="201"/>
      <c r="E2019" s="201" t="s">
        <v>5192</v>
      </c>
      <c r="F2019" s="14">
        <v>0.45042739886952715</v>
      </c>
      <c r="G2019" s="21" t="s">
        <v>6016</v>
      </c>
      <c r="H2019" s="14">
        <v>0.45042739886952715</v>
      </c>
      <c r="O2019" s="21"/>
    </row>
    <row r="2020" spans="1:15" customFormat="1" ht="15" x14ac:dyDescent="0.25">
      <c r="A2020" s="201" t="s">
        <v>6346</v>
      </c>
      <c r="B2020" s="201" t="s">
        <v>6347</v>
      </c>
      <c r="C2020" s="201" t="s">
        <v>5366</v>
      </c>
      <c r="D2020" s="201"/>
      <c r="E2020" s="201" t="s">
        <v>5192</v>
      </c>
      <c r="F2020" s="14" t="s">
        <v>5786</v>
      </c>
      <c r="G2020" s="21" t="s">
        <v>6201</v>
      </c>
      <c r="H2020" s="14" t="s">
        <v>5786</v>
      </c>
      <c r="O2020" s="21"/>
    </row>
    <row r="2021" spans="1:15" customFormat="1" ht="15" x14ac:dyDescent="0.25">
      <c r="A2021" s="201" t="s">
        <v>6348</v>
      </c>
      <c r="B2021" s="201" t="s">
        <v>6347</v>
      </c>
      <c r="C2021" s="201" t="s">
        <v>5360</v>
      </c>
      <c r="D2021" s="201"/>
      <c r="E2021" s="201" t="s">
        <v>5192</v>
      </c>
      <c r="F2021" s="203">
        <v>2.23</v>
      </c>
      <c r="G2021" s="204" t="s">
        <v>6489</v>
      </c>
      <c r="H2021" s="203">
        <v>2.4722795106</v>
      </c>
      <c r="O2021" s="21"/>
    </row>
    <row r="2022" spans="1:15" customFormat="1" ht="15" x14ac:dyDescent="0.25">
      <c r="A2022" s="201" t="s">
        <v>6349</v>
      </c>
      <c r="B2022" s="201" t="s">
        <v>6347</v>
      </c>
      <c r="C2022" s="201" t="s">
        <v>5368</v>
      </c>
      <c r="D2022" s="201"/>
      <c r="E2022" s="201" t="s">
        <v>5192</v>
      </c>
      <c r="F2022" s="14" t="s">
        <v>5369</v>
      </c>
      <c r="G2022" s="21" t="s">
        <v>6201</v>
      </c>
      <c r="H2022" s="14" t="s">
        <v>5369</v>
      </c>
      <c r="O2022" s="21"/>
    </row>
    <row r="2023" spans="1:15" customFormat="1" ht="15" x14ac:dyDescent="0.25">
      <c r="A2023" s="201" t="s">
        <v>6350</v>
      </c>
      <c r="B2023" s="201" t="s">
        <v>6347</v>
      </c>
      <c r="C2023" s="201" t="s">
        <v>5379</v>
      </c>
      <c r="D2023" s="201"/>
      <c r="E2023" s="201" t="s">
        <v>5192</v>
      </c>
      <c r="F2023" s="14" t="s">
        <v>5811</v>
      </c>
      <c r="G2023" s="21" t="s">
        <v>6201</v>
      </c>
      <c r="H2023" s="14" t="s">
        <v>5811</v>
      </c>
      <c r="O2023" s="21"/>
    </row>
    <row r="2024" spans="1:15" customFormat="1" ht="15" x14ac:dyDescent="0.25">
      <c r="A2024" s="201" t="s">
        <v>6351</v>
      </c>
      <c r="B2024" s="201" t="s">
        <v>6347</v>
      </c>
      <c r="C2024" s="201" t="s">
        <v>5378</v>
      </c>
      <c r="D2024" s="201"/>
      <c r="E2024" s="201" t="s">
        <v>5192</v>
      </c>
      <c r="F2024" s="14" t="s">
        <v>6270</v>
      </c>
      <c r="G2024" s="21" t="s">
        <v>6201</v>
      </c>
      <c r="H2024" s="14" t="s">
        <v>6270</v>
      </c>
      <c r="O2024" s="21"/>
    </row>
    <row r="2025" spans="1:15" customFormat="1" ht="15" x14ac:dyDescent="0.25">
      <c r="A2025" s="201" t="s">
        <v>6352</v>
      </c>
      <c r="B2025" s="201" t="s">
        <v>6347</v>
      </c>
      <c r="C2025" s="201" t="s">
        <v>5220</v>
      </c>
      <c r="D2025" s="201"/>
      <c r="E2025" s="201" t="s">
        <v>5192</v>
      </c>
      <c r="F2025" s="14">
        <v>240</v>
      </c>
      <c r="G2025" s="21" t="s">
        <v>6201</v>
      </c>
      <c r="H2025" s="14">
        <v>240</v>
      </c>
      <c r="O2025" s="21"/>
    </row>
    <row r="2026" spans="1:15" customFormat="1" ht="15" x14ac:dyDescent="0.25">
      <c r="A2026" s="201" t="s">
        <v>6353</v>
      </c>
      <c r="B2026" s="201" t="s">
        <v>6347</v>
      </c>
      <c r="C2026" s="201" t="s">
        <v>5367</v>
      </c>
      <c r="D2026" s="201"/>
      <c r="E2026" s="201" t="s">
        <v>5192</v>
      </c>
      <c r="F2026" s="14" t="s">
        <v>5852</v>
      </c>
      <c r="G2026" s="21" t="s">
        <v>6201</v>
      </c>
      <c r="H2026" s="14" t="s">
        <v>5852</v>
      </c>
      <c r="O2026" s="21"/>
    </row>
    <row r="2027" spans="1:15" x14ac:dyDescent="0.2">
      <c r="A2027" s="246" t="s">
        <v>6354</v>
      </c>
      <c r="B2027" s="246" t="s">
        <v>6347</v>
      </c>
      <c r="C2027" s="246" t="s">
        <v>5224</v>
      </c>
      <c r="D2027" s="246"/>
      <c r="E2027" s="246" t="s">
        <v>5192</v>
      </c>
      <c r="F2027" s="242">
        <v>539.13599999999997</v>
      </c>
      <c r="G2027" s="236" t="s">
        <v>6201</v>
      </c>
      <c r="H2027" s="242">
        <v>539.13599999999997</v>
      </c>
    </row>
    <row r="2028" spans="1:15" customFormat="1" ht="15" x14ac:dyDescent="0.25">
      <c r="A2028" s="201" t="s">
        <v>6355</v>
      </c>
      <c r="B2028" s="201" t="s">
        <v>6347</v>
      </c>
      <c r="C2028" s="201" t="s">
        <v>5357</v>
      </c>
      <c r="D2028" s="201"/>
      <c r="E2028" s="201" t="s">
        <v>5192</v>
      </c>
      <c r="F2028" s="14">
        <v>0</v>
      </c>
      <c r="G2028" s="21" t="s">
        <v>6201</v>
      </c>
      <c r="H2028" s="14">
        <v>0</v>
      </c>
      <c r="O2028" s="21"/>
    </row>
    <row r="2029" spans="1:15" customFormat="1" ht="15" x14ac:dyDescent="0.25">
      <c r="A2029" s="201" t="s">
        <v>6356</v>
      </c>
      <c r="B2029" s="201" t="s">
        <v>6347</v>
      </c>
      <c r="C2029" s="201" t="s">
        <v>5228</v>
      </c>
      <c r="D2029" s="201"/>
      <c r="E2029" s="201" t="s">
        <v>5192</v>
      </c>
      <c r="F2029" s="203">
        <v>0.28158998599999996</v>
      </c>
      <c r="G2029" s="171">
        <v>44840</v>
      </c>
      <c r="H2029" s="203">
        <v>0.28158998599999996</v>
      </c>
      <c r="O2029" s="21"/>
    </row>
    <row r="2030" spans="1:15" customFormat="1" ht="15" x14ac:dyDescent="0.25">
      <c r="A2030" s="201" t="s">
        <v>6357</v>
      </c>
      <c r="B2030" s="201" t="s">
        <v>6347</v>
      </c>
      <c r="C2030" s="201" t="s">
        <v>5229</v>
      </c>
      <c r="D2030" s="201"/>
      <c r="E2030" s="201" t="s">
        <v>5192</v>
      </c>
      <c r="F2030" s="14">
        <v>12</v>
      </c>
      <c r="G2030" s="21" t="s">
        <v>6201</v>
      </c>
      <c r="H2030" s="14">
        <v>12</v>
      </c>
      <c r="O2030" s="21"/>
    </row>
    <row r="2031" spans="1:15" customFormat="1" ht="15" x14ac:dyDescent="0.25">
      <c r="A2031" s="201" t="s">
        <v>6358</v>
      </c>
      <c r="B2031" s="201" t="s">
        <v>6347</v>
      </c>
      <c r="C2031" s="201" t="s">
        <v>5354</v>
      </c>
      <c r="D2031" s="201"/>
      <c r="E2031" s="201" t="s">
        <v>5192</v>
      </c>
      <c r="F2031" s="14">
        <v>0</v>
      </c>
      <c r="G2031" s="21" t="s">
        <v>6201</v>
      </c>
      <c r="H2031" s="14">
        <v>0</v>
      </c>
      <c r="O2031" s="21"/>
    </row>
    <row r="2032" spans="1:15" customFormat="1" ht="15" x14ac:dyDescent="0.25">
      <c r="A2032" s="201" t="s">
        <v>6359</v>
      </c>
      <c r="B2032" s="201" t="s">
        <v>6347</v>
      </c>
      <c r="C2032" s="201" t="s">
        <v>5230</v>
      </c>
      <c r="D2032" s="201"/>
      <c r="E2032" s="201" t="s">
        <v>5192</v>
      </c>
      <c r="F2032" s="203">
        <v>1.2899050000000001</v>
      </c>
      <c r="G2032" s="171">
        <v>44840</v>
      </c>
      <c r="H2032" s="203">
        <v>1.2899050000000001</v>
      </c>
      <c r="O2032" s="21"/>
    </row>
    <row r="2033" spans="1:15" customFormat="1" ht="15" x14ac:dyDescent="0.25">
      <c r="A2033" s="201" t="s">
        <v>6360</v>
      </c>
      <c r="B2033" s="201" t="s">
        <v>6347</v>
      </c>
      <c r="C2033" s="201" t="s">
        <v>5356</v>
      </c>
      <c r="D2033" s="201"/>
      <c r="E2033" s="201" t="s">
        <v>5192</v>
      </c>
      <c r="F2033" s="14">
        <v>0.5</v>
      </c>
      <c r="G2033" s="21" t="s">
        <v>6201</v>
      </c>
      <c r="H2033" s="14">
        <v>0.5</v>
      </c>
      <c r="O2033" s="21"/>
    </row>
    <row r="2034" spans="1:15" customFormat="1" ht="15" x14ac:dyDescent="0.25">
      <c r="A2034" s="201" t="s">
        <v>6361</v>
      </c>
      <c r="B2034" s="201" t="s">
        <v>6347</v>
      </c>
      <c r="C2034" s="201" t="s">
        <v>5234</v>
      </c>
      <c r="D2034" s="201"/>
      <c r="E2034" s="201" t="s">
        <v>5192</v>
      </c>
      <c r="F2034" s="14" t="s">
        <v>5370</v>
      </c>
      <c r="G2034" s="21" t="s">
        <v>6201</v>
      </c>
      <c r="H2034" s="14" t="s">
        <v>5370</v>
      </c>
      <c r="O2034" s="21"/>
    </row>
    <row r="2035" spans="1:15" customFormat="1" ht="15" x14ac:dyDescent="0.25">
      <c r="A2035" s="201" t="s">
        <v>6362</v>
      </c>
      <c r="B2035" s="201" t="s">
        <v>6347</v>
      </c>
      <c r="C2035" s="201" t="s">
        <v>1</v>
      </c>
      <c r="D2035" s="201"/>
      <c r="E2035" s="201" t="s">
        <v>5192</v>
      </c>
      <c r="F2035" s="14" t="s">
        <v>5780</v>
      </c>
      <c r="G2035" s="21" t="s">
        <v>6201</v>
      </c>
      <c r="H2035" s="14" t="s">
        <v>5780</v>
      </c>
      <c r="O2035" s="21"/>
    </row>
    <row r="2036" spans="1:15" customFormat="1" ht="15" x14ac:dyDescent="0.25">
      <c r="A2036" s="201" t="s">
        <v>6363</v>
      </c>
      <c r="B2036" s="201" t="s">
        <v>6347</v>
      </c>
      <c r="C2036" s="201" t="s">
        <v>5363</v>
      </c>
      <c r="D2036" s="201"/>
      <c r="E2036" s="201" t="s">
        <v>5192</v>
      </c>
      <c r="F2036" s="166">
        <v>3.6478658536585364E-2</v>
      </c>
      <c r="G2036" s="21" t="s">
        <v>6201</v>
      </c>
      <c r="H2036" s="166">
        <v>3.6478658536585364E-2</v>
      </c>
      <c r="O2036" s="21"/>
    </row>
    <row r="2037" spans="1:15" customFormat="1" ht="15" x14ac:dyDescent="0.25">
      <c r="A2037" s="201" t="s">
        <v>6364</v>
      </c>
      <c r="B2037" s="201" t="s">
        <v>6347</v>
      </c>
      <c r="C2037" s="201" t="s">
        <v>5361</v>
      </c>
      <c r="D2037" s="201"/>
      <c r="E2037" s="201" t="s">
        <v>5192</v>
      </c>
      <c r="F2037" s="14">
        <v>1062.4000000000001</v>
      </c>
      <c r="G2037" s="21" t="s">
        <v>6201</v>
      </c>
      <c r="H2037" s="14">
        <v>1062.4000000000001</v>
      </c>
      <c r="O2037" s="21"/>
    </row>
    <row r="2038" spans="1:15" customFormat="1" ht="15" x14ac:dyDescent="0.25">
      <c r="A2038" s="201" t="s">
        <v>6365</v>
      </c>
      <c r="B2038" s="201" t="s">
        <v>6347</v>
      </c>
      <c r="C2038" s="201" t="s">
        <v>5364</v>
      </c>
      <c r="D2038" s="201"/>
      <c r="E2038" s="201" t="s">
        <v>5192</v>
      </c>
      <c r="F2038" s="14">
        <v>0.04</v>
      </c>
      <c r="G2038" s="21" t="s">
        <v>6201</v>
      </c>
      <c r="H2038" s="14">
        <v>0.04</v>
      </c>
      <c r="O2038" s="21"/>
    </row>
    <row r="2039" spans="1:15" customFormat="1" ht="15" x14ac:dyDescent="0.25">
      <c r="A2039" s="201" t="s">
        <v>6366</v>
      </c>
      <c r="B2039" s="201" t="s">
        <v>6347</v>
      </c>
      <c r="C2039" s="201" t="s">
        <v>5365</v>
      </c>
      <c r="D2039" s="201"/>
      <c r="E2039" s="201" t="s">
        <v>5192</v>
      </c>
      <c r="F2039" s="14">
        <v>0.06</v>
      </c>
      <c r="G2039" s="21" t="s">
        <v>6201</v>
      </c>
      <c r="H2039" s="14">
        <v>0.06</v>
      </c>
      <c r="O2039" s="21"/>
    </row>
    <row r="2040" spans="1:15" customFormat="1" ht="15" x14ac:dyDescent="0.25">
      <c r="A2040" s="201" t="s">
        <v>6367</v>
      </c>
      <c r="B2040" s="201" t="s">
        <v>6347</v>
      </c>
      <c r="C2040" s="201" t="s">
        <v>5362</v>
      </c>
      <c r="D2040" s="201"/>
      <c r="E2040" s="201" t="s">
        <v>5192</v>
      </c>
      <c r="F2040" s="14">
        <v>1713.6</v>
      </c>
      <c r="G2040" s="21" t="s">
        <v>6201</v>
      </c>
      <c r="H2040" s="14">
        <v>1713.6</v>
      </c>
      <c r="O2040" s="21"/>
    </row>
    <row r="2041" spans="1:15" customFormat="1" ht="15" x14ac:dyDescent="0.25">
      <c r="A2041" s="201" t="s">
        <v>6368</v>
      </c>
      <c r="B2041" s="201" t="s">
        <v>6347</v>
      </c>
      <c r="C2041" s="201" t="s">
        <v>5245</v>
      </c>
      <c r="D2041" s="201"/>
      <c r="E2041" s="201" t="s">
        <v>5192</v>
      </c>
      <c r="F2041" s="14">
        <v>56.944881889763771</v>
      </c>
      <c r="G2041" s="21" t="s">
        <v>6201</v>
      </c>
      <c r="H2041" s="14">
        <v>56.944881889763771</v>
      </c>
      <c r="O2041" s="21"/>
    </row>
    <row r="2042" spans="1:15" customFormat="1" ht="15" x14ac:dyDescent="0.25">
      <c r="A2042" s="201" t="s">
        <v>6369</v>
      </c>
      <c r="B2042" s="201" t="s">
        <v>6347</v>
      </c>
      <c r="C2042" s="201" t="s">
        <v>5246</v>
      </c>
      <c r="D2042" s="201"/>
      <c r="E2042" s="201" t="s">
        <v>5192</v>
      </c>
      <c r="F2042" s="14">
        <v>1</v>
      </c>
      <c r="G2042" s="21" t="s">
        <v>6201</v>
      </c>
      <c r="H2042" s="14">
        <v>1</v>
      </c>
      <c r="O2042" s="21"/>
    </row>
    <row r="2043" spans="1:15" customFormat="1" ht="15" x14ac:dyDescent="0.25">
      <c r="A2043" s="201" t="s">
        <v>6370</v>
      </c>
      <c r="B2043" s="201" t="s">
        <v>6347</v>
      </c>
      <c r="C2043" s="201" t="s">
        <v>5355</v>
      </c>
      <c r="D2043" s="201"/>
      <c r="E2043" s="201" t="s">
        <v>5192</v>
      </c>
      <c r="F2043" s="14">
        <v>0.5</v>
      </c>
      <c r="G2043" s="21" t="s">
        <v>6201</v>
      </c>
      <c r="H2043" s="14">
        <v>0.5</v>
      </c>
      <c r="O2043" s="21"/>
    </row>
    <row r="2044" spans="1:15" customFormat="1" ht="15" x14ac:dyDescent="0.25">
      <c r="A2044" s="201" t="s">
        <v>6371</v>
      </c>
      <c r="B2044" s="201" t="s">
        <v>6372</v>
      </c>
      <c r="C2044" s="201" t="s">
        <v>5366</v>
      </c>
      <c r="D2044" s="201"/>
      <c r="E2044" s="201" t="s">
        <v>5192</v>
      </c>
      <c r="F2044" s="14" t="s">
        <v>5369</v>
      </c>
      <c r="G2044" s="21" t="s">
        <v>6016</v>
      </c>
      <c r="H2044" s="14" t="s">
        <v>5369</v>
      </c>
      <c r="O2044" s="21"/>
    </row>
    <row r="2045" spans="1:15" customFormat="1" ht="15" x14ac:dyDescent="0.25">
      <c r="A2045" s="201" t="s">
        <v>6373</v>
      </c>
      <c r="B2045" s="201" t="s">
        <v>6372</v>
      </c>
      <c r="C2045" s="201" t="s">
        <v>5360</v>
      </c>
      <c r="D2045" s="201"/>
      <c r="E2045" s="201" t="s">
        <v>5192</v>
      </c>
      <c r="F2045" s="203">
        <v>2.16</v>
      </c>
      <c r="G2045" s="171" t="s">
        <v>6490</v>
      </c>
      <c r="H2045" s="203">
        <v>3.4910000000000001</v>
      </c>
      <c r="O2045" s="21"/>
    </row>
    <row r="2046" spans="1:15" customFormat="1" ht="15" x14ac:dyDescent="0.25">
      <c r="A2046" s="201" t="s">
        <v>6374</v>
      </c>
      <c r="B2046" s="201" t="s">
        <v>6372</v>
      </c>
      <c r="C2046" s="201" t="s">
        <v>5368</v>
      </c>
      <c r="D2046" s="201"/>
      <c r="E2046" s="201" t="s">
        <v>5192</v>
      </c>
      <c r="F2046" s="14" t="s">
        <v>5371</v>
      </c>
      <c r="G2046" s="21" t="s">
        <v>6016</v>
      </c>
      <c r="H2046" s="14" t="s">
        <v>5371</v>
      </c>
      <c r="O2046" s="21"/>
    </row>
    <row r="2047" spans="1:15" customFormat="1" ht="15" x14ac:dyDescent="0.25">
      <c r="A2047" s="201" t="s">
        <v>6375</v>
      </c>
      <c r="B2047" s="201" t="s">
        <v>6372</v>
      </c>
      <c r="C2047" s="201" t="s">
        <v>5379</v>
      </c>
      <c r="D2047" s="201"/>
      <c r="E2047" s="201" t="s">
        <v>5192</v>
      </c>
      <c r="F2047" s="14" t="s">
        <v>6376</v>
      </c>
      <c r="G2047" s="21" t="s">
        <v>6016</v>
      </c>
      <c r="H2047" s="14" t="s">
        <v>6376</v>
      </c>
      <c r="O2047" s="21"/>
    </row>
    <row r="2048" spans="1:15" customFormat="1" ht="15" x14ac:dyDescent="0.25">
      <c r="A2048" s="201" t="s">
        <v>6377</v>
      </c>
      <c r="B2048" s="201" t="s">
        <v>6372</v>
      </c>
      <c r="C2048" s="201" t="s">
        <v>5378</v>
      </c>
      <c r="D2048" s="201"/>
      <c r="E2048" s="201" t="s">
        <v>5192</v>
      </c>
      <c r="F2048" s="14" t="s">
        <v>6270</v>
      </c>
      <c r="G2048" s="21" t="s">
        <v>6016</v>
      </c>
      <c r="H2048" s="14" t="s">
        <v>6270</v>
      </c>
      <c r="O2048" s="21"/>
    </row>
    <row r="2049" spans="1:15" customFormat="1" ht="15" x14ac:dyDescent="0.25">
      <c r="A2049" s="201" t="s">
        <v>6378</v>
      </c>
      <c r="B2049" s="201" t="s">
        <v>6372</v>
      </c>
      <c r="C2049" s="201" t="s">
        <v>5220</v>
      </c>
      <c r="D2049" s="201"/>
      <c r="E2049" s="201" t="s">
        <v>5192</v>
      </c>
      <c r="F2049" s="14">
        <v>200</v>
      </c>
      <c r="G2049" s="21" t="s">
        <v>6016</v>
      </c>
      <c r="H2049" s="14">
        <v>200</v>
      </c>
      <c r="O2049" s="21"/>
    </row>
    <row r="2050" spans="1:15" customFormat="1" ht="15" x14ac:dyDescent="0.25">
      <c r="A2050" s="201" t="s">
        <v>6379</v>
      </c>
      <c r="B2050" s="201" t="s">
        <v>6372</v>
      </c>
      <c r="C2050" s="201" t="s">
        <v>5367</v>
      </c>
      <c r="D2050" s="201"/>
      <c r="E2050" s="201" t="s">
        <v>5192</v>
      </c>
      <c r="F2050" s="14" t="s">
        <v>5862</v>
      </c>
      <c r="G2050" s="21" t="s">
        <v>6016</v>
      </c>
      <c r="H2050" s="14" t="s">
        <v>5862</v>
      </c>
      <c r="O2050" s="21"/>
    </row>
    <row r="2051" spans="1:15" ht="15" x14ac:dyDescent="0.25">
      <c r="A2051" s="201" t="s">
        <v>6380</v>
      </c>
      <c r="B2051" s="201" t="s">
        <v>6372</v>
      </c>
      <c r="C2051" s="201" t="s">
        <v>5224</v>
      </c>
      <c r="D2051" s="201"/>
      <c r="E2051" s="201" t="s">
        <v>5192</v>
      </c>
      <c r="F2051" s="14">
        <v>3188</v>
      </c>
      <c r="G2051" s="21" t="s">
        <v>6016</v>
      </c>
      <c r="H2051" s="242">
        <v>3700</v>
      </c>
    </row>
    <row r="2052" spans="1:15" customFormat="1" ht="15" x14ac:dyDescent="0.25">
      <c r="A2052" s="201" t="s">
        <v>6381</v>
      </c>
      <c r="B2052" s="201" t="s">
        <v>6372</v>
      </c>
      <c r="C2052" s="201" t="s">
        <v>5357</v>
      </c>
      <c r="D2052" s="201"/>
      <c r="E2052" s="201" t="s">
        <v>5192</v>
      </c>
      <c r="F2052" s="20">
        <v>0</v>
      </c>
      <c r="G2052" s="21" t="s">
        <v>6016</v>
      </c>
      <c r="H2052" s="20">
        <v>0</v>
      </c>
      <c r="O2052" s="21"/>
    </row>
    <row r="2053" spans="1:15" customFormat="1" ht="15" x14ac:dyDescent="0.25">
      <c r="A2053" s="201" t="s">
        <v>6382</v>
      </c>
      <c r="B2053" s="201" t="s">
        <v>6372</v>
      </c>
      <c r="C2053" s="201" t="s">
        <v>5228</v>
      </c>
      <c r="D2053" s="201"/>
      <c r="E2053" s="201" t="s">
        <v>5192</v>
      </c>
      <c r="F2053" s="203">
        <v>0.91</v>
      </c>
      <c r="G2053" s="171" t="s">
        <v>6491</v>
      </c>
      <c r="H2053" s="203">
        <v>1.25</v>
      </c>
      <c r="O2053" s="21"/>
    </row>
    <row r="2054" spans="1:15" customFormat="1" ht="15" x14ac:dyDescent="0.25">
      <c r="A2054" s="201" t="s">
        <v>6383</v>
      </c>
      <c r="B2054" s="201" t="s">
        <v>6372</v>
      </c>
      <c r="C2054" s="201" t="s">
        <v>5229</v>
      </c>
      <c r="D2054" s="201"/>
      <c r="E2054" s="201" t="s">
        <v>5192</v>
      </c>
      <c r="F2054" s="14">
        <v>50</v>
      </c>
      <c r="G2054" s="21" t="s">
        <v>6016</v>
      </c>
      <c r="H2054" s="14">
        <v>50</v>
      </c>
      <c r="O2054" s="21"/>
    </row>
    <row r="2055" spans="1:15" customFormat="1" ht="15" x14ac:dyDescent="0.25">
      <c r="A2055" s="201" t="s">
        <v>6384</v>
      </c>
      <c r="B2055" s="201" t="s">
        <v>6372</v>
      </c>
      <c r="C2055" s="201" t="s">
        <v>5354</v>
      </c>
      <c r="D2055" s="201"/>
      <c r="E2055" s="201" t="s">
        <v>5192</v>
      </c>
      <c r="F2055" s="20">
        <v>2.1076584869552578E-2</v>
      </c>
      <c r="G2055" s="21" t="s">
        <v>6016</v>
      </c>
      <c r="H2055" s="20">
        <v>2.1076584869552578E-2</v>
      </c>
      <c r="O2055" s="21"/>
    </row>
    <row r="2056" spans="1:15" customFormat="1" ht="15" x14ac:dyDescent="0.25">
      <c r="A2056" s="201" t="s">
        <v>6385</v>
      </c>
      <c r="B2056" s="201" t="s">
        <v>6372</v>
      </c>
      <c r="C2056" s="201" t="s">
        <v>5230</v>
      </c>
      <c r="D2056" s="201"/>
      <c r="E2056" s="201" t="s">
        <v>5192</v>
      </c>
      <c r="F2056" s="203">
        <v>0.89</v>
      </c>
      <c r="G2056" s="171" t="s">
        <v>6492</v>
      </c>
      <c r="H2056" s="203">
        <v>1.1539999999999999</v>
      </c>
      <c r="O2056" s="21"/>
    </row>
    <row r="2057" spans="1:15" customFormat="1" ht="15" x14ac:dyDescent="0.25">
      <c r="A2057" s="201" t="s">
        <v>6386</v>
      </c>
      <c r="B2057" s="201" t="s">
        <v>6372</v>
      </c>
      <c r="C2057" s="201" t="s">
        <v>5356</v>
      </c>
      <c r="D2057" s="201"/>
      <c r="E2057" s="201" t="s">
        <v>5192</v>
      </c>
      <c r="F2057" s="20">
        <v>0.38</v>
      </c>
      <c r="G2057" s="21" t="s">
        <v>6016</v>
      </c>
      <c r="H2057" s="20">
        <v>0.38</v>
      </c>
      <c r="O2057" s="21"/>
    </row>
    <row r="2058" spans="1:15" customFormat="1" ht="15" x14ac:dyDescent="0.25">
      <c r="A2058" s="201" t="s">
        <v>6387</v>
      </c>
      <c r="B2058" s="201" t="s">
        <v>6372</v>
      </c>
      <c r="C2058" s="201" t="s">
        <v>5234</v>
      </c>
      <c r="D2058" s="201"/>
      <c r="E2058" s="201" t="s">
        <v>5192</v>
      </c>
      <c r="F2058" s="14" t="s">
        <v>6011</v>
      </c>
      <c r="G2058" s="21" t="s">
        <v>6016</v>
      </c>
      <c r="H2058" s="14" t="s">
        <v>6011</v>
      </c>
      <c r="O2058" s="21"/>
    </row>
    <row r="2059" spans="1:15" customFormat="1" ht="15" x14ac:dyDescent="0.25">
      <c r="A2059" s="201" t="s">
        <v>6388</v>
      </c>
      <c r="B2059" s="201" t="s">
        <v>6372</v>
      </c>
      <c r="C2059" s="201" t="s">
        <v>1</v>
      </c>
      <c r="D2059" s="201"/>
      <c r="E2059" s="201" t="s">
        <v>5192</v>
      </c>
      <c r="F2059" s="14" t="s">
        <v>5782</v>
      </c>
      <c r="G2059" s="21" t="s">
        <v>6016</v>
      </c>
      <c r="H2059" s="14" t="s">
        <v>5782</v>
      </c>
      <c r="O2059" s="21"/>
    </row>
    <row r="2060" spans="1:15" customFormat="1" ht="15" x14ac:dyDescent="0.25">
      <c r="A2060" s="201" t="s">
        <v>6389</v>
      </c>
      <c r="B2060" s="201" t="s">
        <v>6372</v>
      </c>
      <c r="C2060" s="201" t="s">
        <v>5363</v>
      </c>
      <c r="D2060" s="201"/>
      <c r="E2060" s="201" t="s">
        <v>5192</v>
      </c>
      <c r="F2060" s="166">
        <v>1.9199999999999998E-2</v>
      </c>
      <c r="G2060" s="21" t="s">
        <v>6045</v>
      </c>
      <c r="H2060" s="166">
        <v>1.9199999999999998E-2</v>
      </c>
      <c r="O2060" s="21"/>
    </row>
    <row r="2061" spans="1:15" customFormat="1" ht="15" x14ac:dyDescent="0.25">
      <c r="A2061" s="201" t="s">
        <v>6390</v>
      </c>
      <c r="B2061" s="201" t="s">
        <v>6372</v>
      </c>
      <c r="C2061" s="201" t="s">
        <v>5361</v>
      </c>
      <c r="D2061" s="201"/>
      <c r="E2061" s="201" t="s">
        <v>5192</v>
      </c>
      <c r="F2061" s="14">
        <v>1290.987610619469</v>
      </c>
      <c r="G2061" s="171">
        <v>44796</v>
      </c>
      <c r="H2061" s="14">
        <v>1290.987610619469</v>
      </c>
      <c r="O2061" s="21"/>
    </row>
    <row r="2062" spans="1:15" customFormat="1" ht="15" x14ac:dyDescent="0.25">
      <c r="A2062" s="201" t="s">
        <v>6391</v>
      </c>
      <c r="B2062" s="201" t="s">
        <v>6372</v>
      </c>
      <c r="C2062" s="201" t="s">
        <v>5364</v>
      </c>
      <c r="D2062" s="201"/>
      <c r="E2062" s="201" t="s">
        <v>5192</v>
      </c>
      <c r="F2062" s="14">
        <v>0.04</v>
      </c>
      <c r="G2062" s="21" t="s">
        <v>6016</v>
      </c>
      <c r="H2062" s="14">
        <v>0.04</v>
      </c>
      <c r="O2062" s="21"/>
    </row>
    <row r="2063" spans="1:15" customFormat="1" ht="15" x14ac:dyDescent="0.25">
      <c r="A2063" s="201" t="s">
        <v>6392</v>
      </c>
      <c r="B2063" s="201" t="s">
        <v>6372</v>
      </c>
      <c r="C2063" s="201" t="s">
        <v>5365</v>
      </c>
      <c r="D2063" s="201"/>
      <c r="E2063" s="201" t="s">
        <v>5192</v>
      </c>
      <c r="F2063" s="14">
        <v>0.06</v>
      </c>
      <c r="G2063" s="21" t="s">
        <v>6016</v>
      </c>
      <c r="H2063" s="14">
        <v>0.06</v>
      </c>
      <c r="O2063" s="21"/>
    </row>
    <row r="2064" spans="1:15" customFormat="1" ht="15" x14ac:dyDescent="0.25">
      <c r="A2064" s="201" t="s">
        <v>6393</v>
      </c>
      <c r="B2064" s="201" t="s">
        <v>6372</v>
      </c>
      <c r="C2064" s="201" t="s">
        <v>5362</v>
      </c>
      <c r="D2064" s="201"/>
      <c r="E2064" s="201" t="s">
        <v>5192</v>
      </c>
      <c r="F2064" s="14">
        <v>1329.5858407079647</v>
      </c>
      <c r="G2064" s="171">
        <v>44796</v>
      </c>
      <c r="H2064" s="14">
        <v>1329.5858407079647</v>
      </c>
      <c r="O2064" s="21"/>
    </row>
    <row r="2065" spans="1:15" customFormat="1" ht="15" x14ac:dyDescent="0.25">
      <c r="A2065" s="201" t="s">
        <v>6394</v>
      </c>
      <c r="B2065" s="201" t="s">
        <v>6372</v>
      </c>
      <c r="C2065" s="201" t="s">
        <v>5245</v>
      </c>
      <c r="D2065" s="201"/>
      <c r="E2065" s="201" t="s">
        <v>5192</v>
      </c>
      <c r="F2065" s="14">
        <v>66.982300884955748</v>
      </c>
      <c r="G2065" s="171">
        <v>44796</v>
      </c>
      <c r="H2065" s="14">
        <v>66.982300884955748</v>
      </c>
      <c r="O2065" s="21"/>
    </row>
    <row r="2066" spans="1:15" customFormat="1" ht="15" x14ac:dyDescent="0.25">
      <c r="A2066" s="201" t="s">
        <v>6395</v>
      </c>
      <c r="B2066" s="201" t="s">
        <v>6372</v>
      </c>
      <c r="C2066" s="201" t="s">
        <v>5246</v>
      </c>
      <c r="D2066" s="201"/>
      <c r="E2066" s="201" t="s">
        <v>5192</v>
      </c>
      <c r="F2066" s="14">
        <v>7.2115384615384617</v>
      </c>
      <c r="G2066" s="171">
        <v>44796</v>
      </c>
      <c r="H2066" s="14">
        <v>7.2115384615384617</v>
      </c>
      <c r="O2066" s="21"/>
    </row>
    <row r="2067" spans="1:15" customFormat="1" ht="45.75" customHeight="1" x14ac:dyDescent="0.25">
      <c r="A2067" s="201" t="s">
        <v>6396</v>
      </c>
      <c r="B2067" s="201" t="s">
        <v>6372</v>
      </c>
      <c r="C2067" s="201" t="s">
        <v>5355</v>
      </c>
      <c r="D2067" s="201"/>
      <c r="E2067" s="201" t="s">
        <v>5192</v>
      </c>
      <c r="F2067" s="20">
        <v>0.6</v>
      </c>
      <c r="G2067" s="21" t="s">
        <v>6016</v>
      </c>
      <c r="H2067" s="20">
        <v>0.6</v>
      </c>
      <c r="O2067" s="21"/>
    </row>
    <row r="2068" spans="1:15" ht="27" customHeight="1" x14ac:dyDescent="0.2"/>
  </sheetData>
  <autoFilter ref="A16:H2067" xr:uid="{34C58CC1-9600-4665-9866-9AE5DA579779}"/>
  <sortState ref="A17:H1799">
    <sortCondition ref="B17:B1799"/>
    <sortCondition ref="C17:C1799"/>
    <sortCondition ref="D17:D1799"/>
  </sortState>
  <conditionalFormatting sqref="A1926:A2067">
    <cfRule type="containsText" dxfId="7" priority="10" operator="containsText" text="261">
      <formula>NOT(ISERROR(SEARCH("261",A1926)))</formula>
    </cfRule>
  </conditionalFormatting>
  <conditionalFormatting sqref="B1:B1603 B1628:B2050 B2052:B1048576">
    <cfRule type="containsText" dxfId="6" priority="9" operator="containsText" text="am263p">
      <formula>NOT(ISERROR(SEARCH("am263p",B1)))</formula>
    </cfRule>
  </conditionalFormatting>
  <conditionalFormatting sqref="B1604:B1627">
    <cfRule type="containsText" dxfId="5" priority="8" operator="containsText" text="am263p">
      <formula>NOT(ISERROR(SEARCH("am263p",B1604)))</formula>
    </cfRule>
  </conditionalFormatting>
  <conditionalFormatting sqref="B2051">
    <cfRule type="containsText" dxfId="4" priority="7" operator="containsText" text="261">
      <formula>NOT(ISERROR(SEARCH("261",B2051)))</formula>
    </cfRule>
  </conditionalFormatting>
  <conditionalFormatting sqref="C2051">
    <cfRule type="containsText" dxfId="3" priority="6" operator="containsText" text="261">
      <formula>NOT(ISERROR(SEARCH("261",C2051)))</formula>
    </cfRule>
  </conditionalFormatting>
  <conditionalFormatting sqref="E2051">
    <cfRule type="containsText" dxfId="2" priority="5" operator="containsText" text="261">
      <formula>NOT(ISERROR(SEARCH("261",E2051)))</formula>
    </cfRule>
  </conditionalFormatting>
  <conditionalFormatting sqref="D2052">
    <cfRule type="containsText" dxfId="1" priority="4" operator="containsText" text="261">
      <formula>NOT(ISERROR(SEARCH("261",D2052)))</formula>
    </cfRule>
  </conditionalFormatting>
  <conditionalFormatting sqref="D2051">
    <cfRule type="containsText" dxfId="0" priority="3" operator="containsText" text="261">
      <formula>NOT(ISERROR(SEARCH("261",D2051)))</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ABFA-C64D-4D02-A246-03A4B9799CB2}">
  <sheetPr>
    <tabColor theme="8" tint="-0.249977111117893"/>
  </sheetPr>
  <dimension ref="A1:AD202"/>
  <sheetViews>
    <sheetView zoomScaleNormal="100" workbookViewId="0">
      <selection activeCell="K1" sqref="K1:L1048576"/>
    </sheetView>
  </sheetViews>
  <sheetFormatPr defaultColWidth="8.5703125" defaultRowHeight="12" outlineLevelRow="1" outlineLevelCol="1" x14ac:dyDescent="0.2"/>
  <cols>
    <col min="1" max="1" width="24.5703125" style="62" customWidth="1" outlineLevel="1"/>
    <col min="2" max="2" width="29" style="62" customWidth="1"/>
    <col min="3" max="3" width="15.7109375" style="62" customWidth="1" outlineLevel="1" collapsed="1"/>
    <col min="4" max="4" width="23.85546875" style="62" hidden="1" customWidth="1" outlineLevel="1"/>
    <col min="5" max="5" width="8.42578125" style="62" hidden="1" customWidth="1" outlineLevel="1"/>
    <col min="6" max="6" width="23.85546875" style="62" hidden="1" customWidth="1" outlineLevel="1"/>
    <col min="7" max="7" width="10" style="62" hidden="1" customWidth="1" outlineLevel="1"/>
    <col min="8" max="8" width="12.42578125" style="62" hidden="1" customWidth="1" outlineLevel="1"/>
    <col min="9" max="9" width="13.42578125" style="62" customWidth="1" outlineLevel="1"/>
    <col min="10" max="10" width="8.85546875" style="62" customWidth="1" outlineLevel="1"/>
    <col min="11" max="11" width="10.5703125" style="62" customWidth="1"/>
    <col min="12" max="12" width="10.5703125" style="62" customWidth="1" outlineLevel="1"/>
    <col min="13" max="13" width="10.5703125" style="62" customWidth="1"/>
    <col min="14" max="14" width="10.5703125" style="62" customWidth="1" outlineLevel="1"/>
    <col min="15" max="15" width="10.5703125" style="62" customWidth="1"/>
    <col min="16" max="16" width="10.5703125" style="62" customWidth="1" outlineLevel="1"/>
    <col min="17" max="17" width="10.5703125" style="62" customWidth="1"/>
    <col min="18" max="18" width="10.5703125" style="62" customWidth="1" outlineLevel="1"/>
    <col min="19" max="19" width="10.5703125" style="62" customWidth="1"/>
    <col min="20" max="20" width="10.5703125" style="62" customWidth="1" outlineLevel="1"/>
    <col min="21" max="21" width="10.5703125" style="62" customWidth="1"/>
    <col min="22" max="22" width="10.5703125" style="62" hidden="1" customWidth="1" outlineLevel="1"/>
    <col min="23" max="23" width="10.5703125" style="62" customWidth="1" collapsed="1"/>
    <col min="24" max="24" width="10.5703125" style="62" hidden="1" customWidth="1" outlineLevel="1"/>
    <col min="25" max="25" width="10.5703125" style="62" customWidth="1" collapsed="1"/>
    <col min="26" max="26" width="10.5703125" style="99" hidden="1" customWidth="1" outlineLevel="1"/>
    <col min="27" max="27" width="10.5703125" style="99" customWidth="1" collapsed="1"/>
    <col min="28" max="28" width="10.5703125" style="99" hidden="1" customWidth="1" outlineLevel="1"/>
    <col min="29" max="29" width="10.5703125" style="62" customWidth="1" collapsed="1"/>
    <col min="30" max="31" width="10.5703125" style="62" customWidth="1"/>
    <col min="32" max="16384" width="8.5703125" style="62"/>
  </cols>
  <sheetData>
    <row r="1" spans="1:28" ht="72" x14ac:dyDescent="0.2">
      <c r="A1" s="60" t="s">
        <v>5427</v>
      </c>
      <c r="B1" s="60" t="s">
        <v>3</v>
      </c>
      <c r="C1" s="181" t="s">
        <v>50</v>
      </c>
      <c r="D1" s="61" t="str">
        <f>C1&amp;" UC Mode or Frequency"</f>
        <v>100% UC Mode or Frequency</v>
      </c>
      <c r="E1" s="5" t="s">
        <v>39</v>
      </c>
      <c r="F1" s="61" t="str">
        <f>E1&amp;" UC Mode or Frequency"</f>
        <v>Idle UC Mode or Frequency</v>
      </c>
      <c r="G1" s="5" t="s">
        <v>52</v>
      </c>
      <c r="H1" s="61" t="str">
        <f>G1&amp;" UC Mode or Frequency"</f>
        <v>Burn In UC Mode or Frequency</v>
      </c>
      <c r="I1" s="5" t="s">
        <v>4706</v>
      </c>
      <c r="J1" s="61" t="str">
        <f>I1&amp;" UC Mode or Frequency"</f>
        <v>Scan Partition 0 UC Mode or Frequency</v>
      </c>
      <c r="K1" s="182" t="s">
        <v>82</v>
      </c>
      <c r="L1" s="61" t="str">
        <f>K1&amp;" UC Mode or Frequency"</f>
        <v>UC 1.1 UC Mode or Frequency</v>
      </c>
      <c r="M1" s="183" t="s">
        <v>83</v>
      </c>
      <c r="N1" s="61" t="str">
        <f>M1&amp;" UC Mode or Frequency"</f>
        <v>UC 1.2 UC Mode or Frequency</v>
      </c>
      <c r="O1" s="183" t="s">
        <v>6257</v>
      </c>
      <c r="P1" s="61" t="str">
        <f>O1&amp;" UC Mode or Frequency"</f>
        <v>UC 1.3 UC Mode or Frequency</v>
      </c>
      <c r="Q1" s="183" t="s">
        <v>6258</v>
      </c>
      <c r="R1" s="61" t="str">
        <f>Q1&amp;" UC Mode or Frequency"</f>
        <v>UC 1.4 UC Mode or Frequency</v>
      </c>
      <c r="S1" s="183" t="s">
        <v>84</v>
      </c>
      <c r="T1" s="61" t="str">
        <f>S1&amp;" UC Mode or Frequency"</f>
        <v>UC 2.1 UC Mode or Frequency</v>
      </c>
      <c r="U1" s="5" t="s">
        <v>4703</v>
      </c>
      <c r="V1" s="61" t="str">
        <f>U1&amp;" UC Mode or Frequency"</f>
        <v>Tesla Monitoring UC UC Mode or Frequency</v>
      </c>
      <c r="W1" s="5" t="s">
        <v>4704</v>
      </c>
      <c r="X1" s="61" t="str">
        <f>W1&amp;" UC Mode or Frequency"</f>
        <v>Tesla Low Power w/CPSW active UC Mode or Frequency</v>
      </c>
      <c r="Y1" s="5" t="s">
        <v>4705</v>
      </c>
      <c r="Z1" s="61" t="str">
        <f>Y1&amp;" UC Mode or Frequency"</f>
        <v>Tesla Lowest Power Mode UC Mode or Frequency</v>
      </c>
      <c r="AA1" s="5" t="s">
        <v>49</v>
      </c>
      <c r="AB1" s="61" t="str">
        <f>AA1&amp;" UC Mode or Frequency"</f>
        <v>TBD7 UC Mode or Frequency</v>
      </c>
    </row>
    <row r="2" spans="1:28" ht="15" hidden="1" outlineLevel="1" x14ac:dyDescent="0.2">
      <c r="A2" s="63" t="s">
        <v>4799</v>
      </c>
      <c r="B2" s="64" t="s">
        <v>43</v>
      </c>
      <c r="C2" s="184" t="s">
        <v>5998</v>
      </c>
      <c r="D2" s="65"/>
      <c r="E2" s="65" t="s">
        <v>39</v>
      </c>
      <c r="F2" s="65"/>
      <c r="G2" s="65" t="s">
        <v>52</v>
      </c>
      <c r="H2" s="65"/>
      <c r="I2" s="65" t="s">
        <v>4695</v>
      </c>
      <c r="J2" s="65"/>
      <c r="K2" s="185" t="s">
        <v>85</v>
      </c>
      <c r="L2" s="65"/>
      <c r="M2" s="186" t="s">
        <v>86</v>
      </c>
      <c r="N2" s="65"/>
      <c r="O2" s="186" t="s">
        <v>87</v>
      </c>
      <c r="P2" s="65"/>
      <c r="Q2" s="186" t="s">
        <v>88</v>
      </c>
      <c r="R2" s="65"/>
      <c r="S2" s="186" t="s">
        <v>89</v>
      </c>
      <c r="T2" s="65"/>
      <c r="U2" s="65" t="str">
        <f t="shared" ref="U2:AA2" si="0">U3&amp;" preliminary"</f>
        <v>TBD preliminary</v>
      </c>
      <c r="V2" s="65"/>
      <c r="W2" s="65" t="str">
        <f t="shared" si="0"/>
        <v>TBD preliminary</v>
      </c>
      <c r="X2" s="65"/>
      <c r="Y2" s="65" t="str">
        <f t="shared" si="0"/>
        <v>TBD preliminary</v>
      </c>
      <c r="Z2" s="65"/>
      <c r="AA2" s="65" t="str">
        <f t="shared" si="0"/>
        <v>TBD preliminary</v>
      </c>
      <c r="AB2" s="65"/>
    </row>
    <row r="3" spans="1:28" ht="15" hidden="1" outlineLevel="1" x14ac:dyDescent="0.2">
      <c r="A3" s="63" t="s">
        <v>5434</v>
      </c>
      <c r="B3" s="64" t="s">
        <v>56</v>
      </c>
      <c r="C3" s="186" t="s">
        <v>40</v>
      </c>
      <c r="D3" s="65"/>
      <c r="E3" s="65" t="s">
        <v>40</v>
      </c>
      <c r="F3" s="65"/>
      <c r="G3" s="65" t="s">
        <v>57</v>
      </c>
      <c r="H3" s="65"/>
      <c r="I3" s="65" t="s">
        <v>57</v>
      </c>
      <c r="J3" s="65"/>
      <c r="K3" s="185" t="s">
        <v>90</v>
      </c>
      <c r="L3" s="65"/>
      <c r="M3" s="186" t="s">
        <v>91</v>
      </c>
      <c r="N3" s="65"/>
      <c r="O3" s="186" t="s">
        <v>92</v>
      </c>
      <c r="P3" s="65"/>
      <c r="Q3" s="186" t="s">
        <v>93</v>
      </c>
      <c r="R3" s="65"/>
      <c r="S3" s="186" t="s">
        <v>92</v>
      </c>
      <c r="T3" s="65"/>
      <c r="U3" s="65" t="s">
        <v>57</v>
      </c>
      <c r="V3" s="65"/>
      <c r="W3" s="65" t="s">
        <v>57</v>
      </c>
      <c r="X3" s="65"/>
      <c r="Y3" s="65" t="s">
        <v>57</v>
      </c>
      <c r="Z3" s="65"/>
      <c r="AA3" s="65" t="s">
        <v>57</v>
      </c>
      <c r="AB3" s="65"/>
    </row>
    <row r="4" spans="1:28" ht="15" hidden="1" outlineLevel="1" x14ac:dyDescent="0.2">
      <c r="A4" s="63" t="s">
        <v>4800</v>
      </c>
      <c r="B4" s="64" t="s">
        <v>53</v>
      </c>
      <c r="C4" s="187" t="s">
        <v>54</v>
      </c>
      <c r="D4" s="66"/>
      <c r="E4" s="66" t="s">
        <v>54</v>
      </c>
      <c r="F4" s="66"/>
      <c r="G4" s="66" t="s">
        <v>54</v>
      </c>
      <c r="H4" s="66"/>
      <c r="I4" s="66" t="s">
        <v>54</v>
      </c>
      <c r="J4" s="66"/>
      <c r="K4" s="188" t="s">
        <v>6041</v>
      </c>
      <c r="L4" s="66"/>
      <c r="M4" s="187" t="s">
        <v>94</v>
      </c>
      <c r="N4" s="66"/>
      <c r="O4" s="187" t="s">
        <v>94</v>
      </c>
      <c r="P4" s="66"/>
      <c r="Q4" s="187" t="s">
        <v>94</v>
      </c>
      <c r="R4" s="66"/>
      <c r="S4" s="187" t="s">
        <v>94</v>
      </c>
      <c r="T4" s="66"/>
      <c r="U4" s="66" t="s">
        <v>57</v>
      </c>
      <c r="V4" s="66"/>
      <c r="W4" s="66" t="s">
        <v>57</v>
      </c>
      <c r="X4" s="66"/>
      <c r="Y4" s="66" t="s">
        <v>57</v>
      </c>
      <c r="Z4" s="66"/>
      <c r="AA4" s="66" t="s">
        <v>57</v>
      </c>
      <c r="AB4" s="66"/>
    </row>
    <row r="5" spans="1:28" ht="15" hidden="1" outlineLevel="1" x14ac:dyDescent="0.2">
      <c r="A5" s="63" t="s">
        <v>4801</v>
      </c>
      <c r="B5" s="64" t="s">
        <v>55</v>
      </c>
      <c r="C5" s="187">
        <v>44159</v>
      </c>
      <c r="D5" s="66"/>
      <c r="E5" s="66">
        <v>44292</v>
      </c>
      <c r="F5" s="66"/>
      <c r="G5" s="66">
        <v>44131</v>
      </c>
      <c r="H5" s="66"/>
      <c r="I5" s="66">
        <v>44254</v>
      </c>
      <c r="J5" s="66"/>
      <c r="K5" s="188">
        <v>44662</v>
      </c>
      <c r="L5" s="66"/>
      <c r="M5" s="187">
        <v>44141</v>
      </c>
      <c r="N5" s="66"/>
      <c r="O5" s="187">
        <v>44141</v>
      </c>
      <c r="P5" s="66"/>
      <c r="Q5" s="187">
        <v>44250</v>
      </c>
      <c r="R5" s="66"/>
      <c r="S5" s="187">
        <v>44141</v>
      </c>
      <c r="T5" s="66"/>
      <c r="U5" s="66">
        <v>44287</v>
      </c>
      <c r="V5" s="66"/>
      <c r="W5" s="66">
        <v>44294</v>
      </c>
      <c r="X5" s="66"/>
      <c r="Y5" s="66">
        <v>44294</v>
      </c>
      <c r="Z5" s="66"/>
      <c r="AA5" s="66">
        <v>44141</v>
      </c>
      <c r="AB5" s="66"/>
    </row>
    <row r="6" spans="1:28" ht="15" hidden="1" outlineLevel="1" x14ac:dyDescent="0.2">
      <c r="A6" s="63" t="s">
        <v>4802</v>
      </c>
      <c r="B6" s="64" t="s">
        <v>6</v>
      </c>
      <c r="C6" s="189">
        <v>150</v>
      </c>
      <c r="D6" s="67"/>
      <c r="E6" s="67">
        <v>150</v>
      </c>
      <c r="F6" s="67"/>
      <c r="G6" s="67">
        <v>150</v>
      </c>
      <c r="H6" s="67"/>
      <c r="I6" s="67">
        <v>150</v>
      </c>
      <c r="J6" s="67"/>
      <c r="K6" s="190">
        <v>150</v>
      </c>
      <c r="L6" s="67"/>
      <c r="M6" s="189">
        <v>150</v>
      </c>
      <c r="N6" s="67"/>
      <c r="O6" s="189">
        <v>105</v>
      </c>
      <c r="P6" s="67"/>
      <c r="Q6" s="189">
        <v>105</v>
      </c>
      <c r="R6" s="67"/>
      <c r="S6" s="189">
        <v>105</v>
      </c>
      <c r="T6" s="67"/>
      <c r="U6" s="67">
        <v>25</v>
      </c>
      <c r="V6" s="67"/>
      <c r="W6" s="67">
        <v>150</v>
      </c>
      <c r="X6" s="67"/>
      <c r="Y6" s="67">
        <v>150</v>
      </c>
      <c r="Z6" s="67"/>
      <c r="AA6" s="67">
        <v>105</v>
      </c>
      <c r="AB6" s="67"/>
    </row>
    <row r="7" spans="1:28" ht="15" hidden="1" outlineLevel="1" x14ac:dyDescent="0.2">
      <c r="A7" s="63" t="s">
        <v>5435</v>
      </c>
      <c r="B7" s="64" t="s">
        <v>51</v>
      </c>
      <c r="C7" s="191">
        <v>1.1999999999999993</v>
      </c>
      <c r="D7" s="68"/>
      <c r="E7" s="68">
        <v>1.1999999999999993</v>
      </c>
      <c r="F7" s="68"/>
      <c r="G7" s="68">
        <v>1.1999999999999993</v>
      </c>
      <c r="H7" s="68"/>
      <c r="I7" s="68">
        <v>1.1999999999999993</v>
      </c>
      <c r="J7" s="68"/>
      <c r="K7" s="192">
        <v>1.1999999999999993</v>
      </c>
      <c r="L7" s="68"/>
      <c r="M7" s="191">
        <v>1.1999999999999993</v>
      </c>
      <c r="N7" s="68"/>
      <c r="O7" s="191">
        <v>1.1999999999999993</v>
      </c>
      <c r="P7" s="68"/>
      <c r="Q7" s="191">
        <v>1.1999999999999993</v>
      </c>
      <c r="R7" s="68"/>
      <c r="S7" s="191">
        <v>1.1999999999999993</v>
      </c>
      <c r="T7" s="68"/>
      <c r="U7" s="68">
        <v>1.1999999999999993</v>
      </c>
      <c r="V7" s="68"/>
      <c r="W7" s="68">
        <v>1.1999999999999993</v>
      </c>
      <c r="X7" s="68"/>
      <c r="Y7" s="68">
        <v>1.1999999999999993</v>
      </c>
      <c r="Z7" s="68"/>
      <c r="AA7" s="68">
        <v>1.1999999999999993</v>
      </c>
      <c r="AB7" s="68"/>
    </row>
    <row r="8" spans="1:28" ht="15" hidden="1" outlineLevel="1" x14ac:dyDescent="0.2">
      <c r="A8" s="63" t="s">
        <v>5437</v>
      </c>
      <c r="B8" s="64" t="s">
        <v>5436</v>
      </c>
      <c r="C8" s="191">
        <v>1.1999999999999993</v>
      </c>
      <c r="D8" s="68"/>
      <c r="E8" s="68">
        <v>1.1999999999999993</v>
      </c>
      <c r="F8" s="68"/>
      <c r="G8" s="68">
        <v>1.1999999999999993</v>
      </c>
      <c r="H8" s="68"/>
      <c r="I8" s="68">
        <v>1.1999999999999993</v>
      </c>
      <c r="J8" s="68"/>
      <c r="K8" s="192">
        <v>1.1999999999999993</v>
      </c>
      <c r="L8" s="68"/>
      <c r="M8" s="191">
        <v>1.1999999999999993</v>
      </c>
      <c r="N8" s="68"/>
      <c r="O8" s="191">
        <v>1.1999999999999993</v>
      </c>
      <c r="P8" s="68"/>
      <c r="Q8" s="191">
        <v>1.1999999999999993</v>
      </c>
      <c r="R8" s="68"/>
      <c r="S8" s="191">
        <v>1.1999999999999993</v>
      </c>
      <c r="T8" s="68"/>
      <c r="U8" s="68">
        <v>1.1999999999999993</v>
      </c>
      <c r="V8" s="68"/>
      <c r="W8" s="68">
        <v>1.1999999999999993</v>
      </c>
      <c r="X8" s="68"/>
      <c r="Y8" s="68">
        <v>1.1999999999999993</v>
      </c>
      <c r="Z8" s="68"/>
      <c r="AA8" s="68">
        <v>1.1999999999999993</v>
      </c>
      <c r="AB8" s="68"/>
    </row>
    <row r="9" spans="1:28" ht="15" hidden="1" outlineLevel="1" x14ac:dyDescent="0.2">
      <c r="A9" s="63" t="s">
        <v>4803</v>
      </c>
      <c r="B9" s="69" t="s">
        <v>4804</v>
      </c>
      <c r="C9" s="189" t="s">
        <v>79</v>
      </c>
      <c r="D9" s="70"/>
      <c r="E9" s="70" t="s">
        <v>79</v>
      </c>
      <c r="F9" s="70"/>
      <c r="G9" s="70" t="s">
        <v>79</v>
      </c>
      <c r="H9" s="70"/>
      <c r="I9" s="70" t="s">
        <v>79</v>
      </c>
      <c r="J9" s="70"/>
      <c r="K9" s="190" t="s">
        <v>79</v>
      </c>
      <c r="L9" s="70"/>
      <c r="M9" s="189" t="s">
        <v>79</v>
      </c>
      <c r="N9" s="70"/>
      <c r="O9" s="189" t="s">
        <v>79</v>
      </c>
      <c r="P9" s="70"/>
      <c r="Q9" s="189" t="s">
        <v>79</v>
      </c>
      <c r="R9" s="70"/>
      <c r="S9" s="189" t="s">
        <v>79</v>
      </c>
      <c r="T9" s="70"/>
      <c r="U9" s="70" t="s">
        <v>79</v>
      </c>
      <c r="V9" s="70"/>
      <c r="W9" s="70" t="s">
        <v>79</v>
      </c>
      <c r="X9" s="70"/>
      <c r="Y9" s="70" t="s">
        <v>79</v>
      </c>
      <c r="Z9" s="70"/>
      <c r="AA9" s="70" t="s">
        <v>79</v>
      </c>
      <c r="AB9" s="70"/>
    </row>
    <row r="10" spans="1:28" ht="15" hidden="1" outlineLevel="1" x14ac:dyDescent="0.2">
      <c r="A10" s="141" t="s">
        <v>6187</v>
      </c>
      <c r="B10" s="141" t="s">
        <v>6189</v>
      </c>
      <c r="C10" s="193">
        <v>0.65</v>
      </c>
      <c r="D10" s="71"/>
      <c r="E10" s="71">
        <v>0.65</v>
      </c>
      <c r="F10" s="71"/>
      <c r="G10" s="71">
        <v>0.65</v>
      </c>
      <c r="H10" s="71"/>
      <c r="I10" s="71">
        <v>0.65</v>
      </c>
      <c r="J10" s="71"/>
      <c r="K10" s="194">
        <v>0.65</v>
      </c>
      <c r="L10" s="71"/>
      <c r="M10" s="193">
        <v>0.65</v>
      </c>
      <c r="N10" s="71"/>
      <c r="O10" s="193">
        <v>0.65</v>
      </c>
      <c r="P10" s="71"/>
      <c r="Q10" s="193">
        <v>0.65</v>
      </c>
      <c r="R10" s="71"/>
      <c r="S10" s="193">
        <v>0.65</v>
      </c>
      <c r="T10" s="71"/>
      <c r="U10" s="71">
        <v>0.65</v>
      </c>
      <c r="V10" s="71"/>
      <c r="W10" s="71">
        <v>0.65</v>
      </c>
      <c r="X10" s="71"/>
      <c r="Y10" s="71">
        <v>0.65</v>
      </c>
      <c r="Z10" s="71"/>
      <c r="AA10" s="71">
        <v>0.65</v>
      </c>
      <c r="AB10" s="71"/>
    </row>
    <row r="11" spans="1:28" ht="15" hidden="1" outlineLevel="1" x14ac:dyDescent="0.2">
      <c r="A11" s="63" t="s">
        <v>6188</v>
      </c>
      <c r="B11" s="69" t="s">
        <v>4805</v>
      </c>
      <c r="C11" s="193">
        <v>3.8</v>
      </c>
      <c r="D11" s="71"/>
      <c r="E11" s="71">
        <v>3.8</v>
      </c>
      <c r="F11" s="71"/>
      <c r="G11" s="71">
        <v>3.8</v>
      </c>
      <c r="H11" s="71"/>
      <c r="I11" s="71">
        <v>3.8</v>
      </c>
      <c r="J11" s="71"/>
      <c r="K11" s="194">
        <v>3.8</v>
      </c>
      <c r="L11" s="71"/>
      <c r="M11" s="193">
        <v>3.8</v>
      </c>
      <c r="N11" s="71"/>
      <c r="O11" s="193">
        <v>3.8</v>
      </c>
      <c r="P11" s="71"/>
      <c r="Q11" s="193">
        <v>3.8</v>
      </c>
      <c r="R11" s="71"/>
      <c r="S11" s="193">
        <v>3.8</v>
      </c>
      <c r="T11" s="71"/>
      <c r="U11" s="71">
        <v>3.8</v>
      </c>
      <c r="V11" s="71"/>
      <c r="W11" s="71">
        <v>3.8</v>
      </c>
      <c r="X11" s="71"/>
      <c r="Y11" s="71">
        <v>3.8</v>
      </c>
      <c r="Z11" s="71"/>
      <c r="AA11" s="71">
        <v>3.8</v>
      </c>
      <c r="AB11" s="71"/>
    </row>
    <row r="12" spans="1:28" ht="15" collapsed="1" x14ac:dyDescent="0.2">
      <c r="A12" s="72" t="s">
        <v>4722</v>
      </c>
      <c r="B12" s="72"/>
      <c r="C12" s="187"/>
      <c r="D12" s="73"/>
      <c r="E12" s="73"/>
      <c r="F12" s="73"/>
      <c r="G12" s="73"/>
      <c r="H12" s="73"/>
      <c r="I12" s="73"/>
      <c r="J12" s="73"/>
      <c r="K12" s="73"/>
      <c r="L12" s="73"/>
      <c r="M12" s="73"/>
      <c r="N12" s="73"/>
      <c r="O12" s="73"/>
      <c r="P12" s="73"/>
      <c r="Q12" s="73"/>
      <c r="R12" s="73"/>
      <c r="S12" s="73"/>
      <c r="T12" s="73"/>
      <c r="U12" s="73"/>
      <c r="V12" s="73"/>
      <c r="W12" s="73"/>
      <c r="X12" s="73"/>
      <c r="Y12" s="73"/>
      <c r="Z12" s="73"/>
      <c r="AA12" s="73"/>
      <c r="AB12" s="73"/>
    </row>
    <row r="13" spans="1:28" ht="15" x14ac:dyDescent="0.2">
      <c r="A13" s="74" t="s">
        <v>6259</v>
      </c>
      <c r="B13" s="75" t="s">
        <v>6260</v>
      </c>
      <c r="C13" s="195">
        <v>1</v>
      </c>
      <c r="D13" s="77">
        <v>400</v>
      </c>
      <c r="E13" s="76">
        <v>0.01</v>
      </c>
      <c r="F13" s="77">
        <v>400</v>
      </c>
      <c r="G13" s="76">
        <v>0.5</v>
      </c>
      <c r="H13" s="77">
        <v>5</v>
      </c>
      <c r="I13" s="76">
        <v>1</v>
      </c>
      <c r="J13" s="77">
        <v>50</v>
      </c>
      <c r="K13" s="196">
        <v>0.7</v>
      </c>
      <c r="L13" s="77">
        <v>500</v>
      </c>
      <c r="M13" s="195">
        <v>0.7</v>
      </c>
      <c r="N13" s="77">
        <v>400</v>
      </c>
      <c r="O13" s="195">
        <v>0.5</v>
      </c>
      <c r="P13" s="77">
        <v>200</v>
      </c>
      <c r="Q13" s="195">
        <v>0.7</v>
      </c>
      <c r="R13" s="77">
        <v>200</v>
      </c>
      <c r="S13" s="195">
        <v>0.7</v>
      </c>
      <c r="T13" s="77">
        <v>400</v>
      </c>
      <c r="U13" s="76">
        <v>0.1</v>
      </c>
      <c r="V13" s="77">
        <v>200</v>
      </c>
      <c r="W13" s="76">
        <v>0.01</v>
      </c>
      <c r="X13" s="77">
        <v>400</v>
      </c>
      <c r="Y13" s="76">
        <v>0.01</v>
      </c>
      <c r="Z13" s="77">
        <v>400</v>
      </c>
      <c r="AA13" s="76">
        <v>0</v>
      </c>
      <c r="AB13" s="77">
        <v>400</v>
      </c>
    </row>
    <row r="14" spans="1:28" ht="15" x14ac:dyDescent="0.2">
      <c r="A14" s="78" t="s">
        <v>6261</v>
      </c>
      <c r="B14" s="75" t="s">
        <v>6260</v>
      </c>
      <c r="C14" s="195">
        <v>0</v>
      </c>
      <c r="D14" s="77">
        <v>400</v>
      </c>
      <c r="E14" s="76">
        <v>0.01</v>
      </c>
      <c r="F14" s="77">
        <v>400</v>
      </c>
      <c r="G14" s="76">
        <v>0.5</v>
      </c>
      <c r="H14" s="77">
        <v>5</v>
      </c>
      <c r="I14" s="76">
        <v>0</v>
      </c>
      <c r="J14" s="77">
        <v>0</v>
      </c>
      <c r="K14" s="196">
        <v>0</v>
      </c>
      <c r="L14" s="77">
        <v>250</v>
      </c>
      <c r="M14" s="195">
        <v>0</v>
      </c>
      <c r="N14" s="77">
        <v>0</v>
      </c>
      <c r="O14" s="195">
        <v>0</v>
      </c>
      <c r="P14" s="77">
        <v>0</v>
      </c>
      <c r="Q14" s="195">
        <v>0</v>
      </c>
      <c r="R14" s="77">
        <v>0</v>
      </c>
      <c r="S14" s="195"/>
      <c r="T14" s="77">
        <v>0</v>
      </c>
      <c r="U14" s="76">
        <v>0</v>
      </c>
      <c r="V14" s="77">
        <v>200</v>
      </c>
      <c r="W14" s="76">
        <v>0</v>
      </c>
      <c r="X14" s="77">
        <v>400</v>
      </c>
      <c r="Y14" s="76">
        <v>0</v>
      </c>
      <c r="Z14" s="77">
        <v>400</v>
      </c>
      <c r="AA14" s="76">
        <v>0</v>
      </c>
      <c r="AB14" s="77">
        <v>400</v>
      </c>
    </row>
    <row r="15" spans="1:28" ht="15" x14ac:dyDescent="0.2">
      <c r="A15" s="78" t="s">
        <v>6397</v>
      </c>
      <c r="B15" s="79" t="s">
        <v>6272</v>
      </c>
      <c r="C15" s="195">
        <v>1</v>
      </c>
      <c r="D15" s="77">
        <v>400</v>
      </c>
      <c r="E15" s="76">
        <v>0.01</v>
      </c>
      <c r="F15" s="77">
        <v>400</v>
      </c>
      <c r="G15" s="76">
        <v>0.5</v>
      </c>
      <c r="H15" s="77">
        <v>5</v>
      </c>
      <c r="I15" s="76">
        <v>1</v>
      </c>
      <c r="J15" s="77">
        <v>50</v>
      </c>
      <c r="K15" s="196">
        <v>0.01</v>
      </c>
      <c r="L15" s="77">
        <v>250</v>
      </c>
      <c r="M15" s="195">
        <v>0.01</v>
      </c>
      <c r="N15" s="77">
        <v>200</v>
      </c>
      <c r="O15" s="195">
        <v>0.01</v>
      </c>
      <c r="P15" s="77">
        <v>200</v>
      </c>
      <c r="Q15" s="195">
        <v>0.01</v>
      </c>
      <c r="R15" s="77">
        <v>200</v>
      </c>
      <c r="S15" s="195">
        <v>0.01</v>
      </c>
      <c r="T15" s="77">
        <v>200</v>
      </c>
      <c r="Z15" s="62"/>
      <c r="AA15" s="62"/>
      <c r="AB15" s="62"/>
    </row>
    <row r="16" spans="1:28" ht="15" x14ac:dyDescent="0.2">
      <c r="A16" s="74" t="s">
        <v>6262</v>
      </c>
      <c r="B16" s="75" t="s">
        <v>6263</v>
      </c>
      <c r="C16" s="195">
        <v>1</v>
      </c>
      <c r="D16" s="77">
        <v>200</v>
      </c>
      <c r="E16" s="80">
        <v>0.01</v>
      </c>
      <c r="F16" s="77">
        <v>200</v>
      </c>
      <c r="G16" s="80">
        <v>0.5</v>
      </c>
      <c r="H16" s="77">
        <v>5</v>
      </c>
      <c r="I16" s="80">
        <v>1</v>
      </c>
      <c r="J16" s="77">
        <v>50</v>
      </c>
      <c r="K16" s="197">
        <v>0.05</v>
      </c>
      <c r="L16" s="77">
        <v>250</v>
      </c>
      <c r="M16" s="195">
        <v>0.05</v>
      </c>
      <c r="N16" s="77">
        <v>200</v>
      </c>
      <c r="O16" s="195">
        <v>0.05</v>
      </c>
      <c r="P16" s="77">
        <v>200</v>
      </c>
      <c r="Q16" s="195">
        <v>0.05</v>
      </c>
      <c r="R16" s="77">
        <v>200</v>
      </c>
      <c r="S16" s="195">
        <v>0.05</v>
      </c>
      <c r="T16" s="77">
        <v>200</v>
      </c>
      <c r="U16" s="80">
        <v>0.01</v>
      </c>
      <c r="V16" s="77">
        <v>200</v>
      </c>
      <c r="W16" s="80">
        <v>0</v>
      </c>
      <c r="X16" s="77">
        <v>200</v>
      </c>
      <c r="Y16" s="80">
        <v>0</v>
      </c>
      <c r="Z16" s="77">
        <v>200</v>
      </c>
      <c r="AA16" s="80">
        <v>0</v>
      </c>
      <c r="AB16" s="77">
        <v>200</v>
      </c>
    </row>
    <row r="17" spans="1:30" ht="15" x14ac:dyDescent="0.2">
      <c r="A17" s="74" t="s">
        <v>5426</v>
      </c>
      <c r="B17" s="75" t="s">
        <v>7</v>
      </c>
      <c r="C17" s="195">
        <v>1</v>
      </c>
      <c r="D17" s="77">
        <v>200</v>
      </c>
      <c r="E17" s="80">
        <v>0.01</v>
      </c>
      <c r="F17" s="77">
        <v>200</v>
      </c>
      <c r="G17" s="80">
        <v>0.5</v>
      </c>
      <c r="H17" s="77">
        <v>5</v>
      </c>
      <c r="I17" s="80">
        <v>1</v>
      </c>
      <c r="J17" s="77">
        <v>50</v>
      </c>
      <c r="K17" s="197">
        <v>0.3</v>
      </c>
      <c r="L17" s="77">
        <v>250</v>
      </c>
      <c r="M17" s="195">
        <v>0.1</v>
      </c>
      <c r="N17" s="77">
        <v>200</v>
      </c>
      <c r="O17" s="195">
        <v>0.5</v>
      </c>
      <c r="P17" s="77">
        <v>200</v>
      </c>
      <c r="Q17" s="195">
        <v>0.5</v>
      </c>
      <c r="R17" s="77">
        <v>200</v>
      </c>
      <c r="S17" s="195">
        <v>0.25</v>
      </c>
      <c r="T17" s="77">
        <v>200</v>
      </c>
      <c r="U17" s="80">
        <v>0</v>
      </c>
      <c r="V17" s="77">
        <v>200</v>
      </c>
      <c r="W17" s="80">
        <v>0</v>
      </c>
      <c r="X17" s="77">
        <v>200</v>
      </c>
      <c r="Y17" s="80">
        <v>0</v>
      </c>
      <c r="Z17" s="77">
        <v>200</v>
      </c>
      <c r="AA17" s="80">
        <v>0</v>
      </c>
      <c r="AB17" s="77">
        <v>200</v>
      </c>
    </row>
    <row r="18" spans="1:30" ht="15" x14ac:dyDescent="0.2">
      <c r="A18" s="74" t="s">
        <v>5923</v>
      </c>
      <c r="B18" s="75" t="s">
        <v>7</v>
      </c>
      <c r="C18" s="195">
        <v>1</v>
      </c>
      <c r="D18" s="77">
        <v>200</v>
      </c>
      <c r="E18" s="80">
        <v>0.01</v>
      </c>
      <c r="F18" s="77">
        <v>200</v>
      </c>
      <c r="G18" s="80">
        <v>0.5</v>
      </c>
      <c r="H18" s="77">
        <v>5</v>
      </c>
      <c r="I18" s="80">
        <v>1</v>
      </c>
      <c r="J18" s="77">
        <v>50</v>
      </c>
      <c r="K18" s="197">
        <v>0.3</v>
      </c>
      <c r="L18" s="77">
        <v>250</v>
      </c>
      <c r="M18" s="195">
        <v>0.01</v>
      </c>
      <c r="N18" s="77">
        <v>200</v>
      </c>
      <c r="O18" s="195">
        <v>0.5</v>
      </c>
      <c r="P18" s="77">
        <v>100</v>
      </c>
      <c r="Q18" s="195">
        <v>0.01</v>
      </c>
      <c r="R18" s="77">
        <v>200</v>
      </c>
      <c r="S18" s="195">
        <v>0.25</v>
      </c>
      <c r="T18" s="77">
        <v>200</v>
      </c>
      <c r="U18" s="80">
        <v>0</v>
      </c>
      <c r="V18" s="77">
        <v>200</v>
      </c>
      <c r="W18" s="80">
        <v>0</v>
      </c>
      <c r="X18" s="77">
        <v>200</v>
      </c>
      <c r="Y18" s="80">
        <v>0</v>
      </c>
      <c r="Z18" s="77">
        <v>200</v>
      </c>
      <c r="AA18" s="80">
        <v>0</v>
      </c>
      <c r="AB18" s="77">
        <v>200</v>
      </c>
    </row>
    <row r="19" spans="1:30" ht="15" x14ac:dyDescent="0.2">
      <c r="A19" s="74" t="s">
        <v>6264</v>
      </c>
      <c r="B19" s="75" t="s">
        <v>4676</v>
      </c>
      <c r="C19" s="195">
        <v>0</v>
      </c>
      <c r="D19" s="77">
        <v>200</v>
      </c>
      <c r="E19" s="80">
        <v>0.01</v>
      </c>
      <c r="F19" s="77">
        <v>200</v>
      </c>
      <c r="G19" s="80">
        <v>0.5</v>
      </c>
      <c r="H19" s="77">
        <v>5</v>
      </c>
      <c r="I19" s="80">
        <v>0</v>
      </c>
      <c r="J19" s="77">
        <v>0</v>
      </c>
      <c r="K19" s="197">
        <v>0.05</v>
      </c>
      <c r="L19" s="77">
        <v>250</v>
      </c>
      <c r="M19" s="195">
        <v>0</v>
      </c>
      <c r="N19" s="77">
        <v>0</v>
      </c>
      <c r="O19" s="195">
        <v>0</v>
      </c>
      <c r="P19" s="77">
        <v>0</v>
      </c>
      <c r="Q19" s="189">
        <v>0</v>
      </c>
      <c r="R19" s="77">
        <v>0</v>
      </c>
      <c r="S19" s="195">
        <v>0</v>
      </c>
      <c r="T19" s="77">
        <v>0</v>
      </c>
      <c r="U19" s="77">
        <v>0</v>
      </c>
      <c r="V19" s="77">
        <v>0</v>
      </c>
      <c r="W19" s="77">
        <v>0</v>
      </c>
      <c r="X19" s="77">
        <v>0</v>
      </c>
      <c r="Y19" s="77">
        <v>0</v>
      </c>
      <c r="Z19" s="77">
        <v>0</v>
      </c>
      <c r="AA19" s="77">
        <v>0</v>
      </c>
      <c r="AB19" s="77">
        <v>0</v>
      </c>
    </row>
    <row r="20" spans="1:30" ht="15" x14ac:dyDescent="0.2">
      <c r="A20" s="74" t="s">
        <v>6398</v>
      </c>
      <c r="B20" s="75" t="s">
        <v>4676</v>
      </c>
      <c r="C20" s="195">
        <v>1</v>
      </c>
      <c r="D20" s="77">
        <v>200</v>
      </c>
      <c r="E20" s="80">
        <v>0.01</v>
      </c>
      <c r="F20" s="77">
        <v>200</v>
      </c>
      <c r="G20" s="80">
        <v>0.5</v>
      </c>
      <c r="H20" s="77">
        <v>5</v>
      </c>
      <c r="I20" s="80">
        <v>1</v>
      </c>
      <c r="J20" s="77">
        <v>50</v>
      </c>
      <c r="K20" s="197">
        <v>0</v>
      </c>
      <c r="L20" s="77">
        <v>250</v>
      </c>
      <c r="M20" s="195">
        <v>0.05</v>
      </c>
      <c r="N20" s="77">
        <v>200</v>
      </c>
      <c r="O20" s="195">
        <v>0.5</v>
      </c>
      <c r="P20" s="77">
        <v>200</v>
      </c>
      <c r="Q20" s="195">
        <v>0.1</v>
      </c>
      <c r="R20" s="77">
        <v>200</v>
      </c>
      <c r="S20" s="195">
        <v>0.5</v>
      </c>
      <c r="T20" s="77">
        <v>200</v>
      </c>
      <c r="U20" s="80">
        <v>0.05</v>
      </c>
      <c r="V20" s="77">
        <v>200</v>
      </c>
      <c r="W20" s="80">
        <v>0.1</v>
      </c>
      <c r="X20" s="77">
        <v>200</v>
      </c>
      <c r="Y20" s="80">
        <v>0</v>
      </c>
      <c r="Z20" s="77">
        <v>200</v>
      </c>
      <c r="AA20" s="80">
        <v>0</v>
      </c>
      <c r="AB20" s="77">
        <v>200</v>
      </c>
    </row>
    <row r="21" spans="1:30" ht="15" x14ac:dyDescent="0.2">
      <c r="A21" s="72" t="s">
        <v>4723</v>
      </c>
      <c r="B21" s="72"/>
      <c r="C21" s="187"/>
      <c r="D21" s="73"/>
      <c r="E21" s="73"/>
      <c r="F21" s="73"/>
      <c r="G21" s="73"/>
      <c r="H21" s="73"/>
      <c r="I21" s="73"/>
      <c r="J21" s="73"/>
      <c r="K21" s="73"/>
      <c r="L21" s="73"/>
      <c r="M21" s="73"/>
      <c r="N21" s="73"/>
      <c r="O21" s="73"/>
      <c r="P21" s="73"/>
      <c r="Q21" s="73"/>
      <c r="R21" s="73"/>
      <c r="S21" s="73"/>
      <c r="T21" s="73"/>
      <c r="U21" s="73"/>
      <c r="V21" s="73"/>
      <c r="W21" s="73"/>
      <c r="X21" s="73"/>
      <c r="Y21" s="73"/>
      <c r="Z21" s="73"/>
      <c r="AA21" s="73"/>
      <c r="AB21" s="73"/>
    </row>
    <row r="22" spans="1:30" ht="15" x14ac:dyDescent="0.2">
      <c r="A22" s="74" t="s">
        <v>6265</v>
      </c>
      <c r="B22" s="75" t="s">
        <v>6266</v>
      </c>
      <c r="C22" s="195">
        <f>SUMPRODUCT(C24:C44,$B24:$B44)</f>
        <v>0.8878102662865317</v>
      </c>
      <c r="D22" s="77">
        <v>200</v>
      </c>
      <c r="E22" s="80">
        <f>SUMPRODUCT(E24:E44,$B24:$B44)</f>
        <v>8.8781026628653188E-3</v>
      </c>
      <c r="F22" s="77">
        <v>200</v>
      </c>
      <c r="G22" s="80">
        <f>SUMPRODUCT(G24:G44,$B24:$B44)</f>
        <v>0.44390513314326585</v>
      </c>
      <c r="H22" s="77">
        <v>5</v>
      </c>
      <c r="I22" s="84">
        <v>1E-3</v>
      </c>
      <c r="J22" s="77">
        <v>50</v>
      </c>
      <c r="K22" s="197">
        <f>SUMPRODUCT(K24:K44,$B24:$B44)</f>
        <v>0.23384991397270791</v>
      </c>
      <c r="L22" s="77">
        <v>250</v>
      </c>
      <c r="M22" s="195">
        <f>SUMPRODUCT(M24:M44,$B24:$B44)</f>
        <v>0.29285091354361992</v>
      </c>
      <c r="N22" s="77">
        <v>200</v>
      </c>
      <c r="O22" s="195">
        <f>SUMPRODUCT(O23:O43,$B23:$B43)</f>
        <v>0.18000658497607067</v>
      </c>
      <c r="P22" s="77">
        <v>200</v>
      </c>
      <c r="Q22" s="195">
        <f>SUMPRODUCT(Q24:Q44,$B24:$B44)</f>
        <v>0.1897835436202725</v>
      </c>
      <c r="R22" s="77">
        <v>200</v>
      </c>
      <c r="S22" s="195">
        <f>SUMPRODUCT(S23:S43,$B23:$B43)</f>
        <v>0.27213694650427228</v>
      </c>
      <c r="T22" s="77">
        <v>200</v>
      </c>
      <c r="U22" s="80">
        <f>SUMPRODUCT(U24:U44,$B24:$B44)</f>
        <v>4.8558839950539464E-3</v>
      </c>
      <c r="V22" s="77">
        <v>200</v>
      </c>
      <c r="W22" s="80">
        <f>SUMPRODUCT(W24:W44,$B24:$B44)</f>
        <v>4.5576531171082398E-3</v>
      </c>
      <c r="X22" s="77">
        <v>200</v>
      </c>
      <c r="Y22" s="80">
        <f>SUMPRODUCT(Y24:Y44,$B24:$B44)</f>
        <v>4.5576531171082398E-3</v>
      </c>
      <c r="Z22" s="77">
        <v>200</v>
      </c>
      <c r="AA22" s="81">
        <v>0</v>
      </c>
      <c r="AB22" s="80">
        <v>2</v>
      </c>
    </row>
    <row r="23" spans="1:30" ht="15" outlineLevel="1" x14ac:dyDescent="0.2">
      <c r="A23" s="82" t="s">
        <v>4725</v>
      </c>
      <c r="B23" s="83">
        <v>1.2999999999999999E-2</v>
      </c>
      <c r="C23" s="195">
        <v>1</v>
      </c>
      <c r="D23" s="85"/>
      <c r="E23" s="84">
        <v>0.01</v>
      </c>
      <c r="F23" s="85"/>
      <c r="G23" s="84">
        <v>0.5</v>
      </c>
      <c r="H23" s="85"/>
      <c r="I23" s="84">
        <v>1E-3</v>
      </c>
      <c r="J23" s="85"/>
      <c r="K23" s="197">
        <v>0</v>
      </c>
      <c r="L23" s="85"/>
      <c r="M23" s="195">
        <v>0</v>
      </c>
      <c r="N23" s="85"/>
      <c r="O23" s="195">
        <v>0</v>
      </c>
      <c r="P23" s="85"/>
      <c r="Q23" s="195"/>
      <c r="R23" s="85"/>
      <c r="S23" s="195">
        <v>0</v>
      </c>
      <c r="T23" s="85"/>
      <c r="U23" s="84">
        <v>0</v>
      </c>
      <c r="V23" s="85"/>
      <c r="W23" s="84">
        <v>0</v>
      </c>
      <c r="X23" s="85"/>
      <c r="Y23" s="84">
        <v>0</v>
      </c>
      <c r="Z23" s="85"/>
      <c r="AA23" s="84">
        <v>0</v>
      </c>
      <c r="AB23" s="85"/>
      <c r="AC23" s="84">
        <v>0</v>
      </c>
      <c r="AD23" s="85"/>
    </row>
    <row r="24" spans="1:30" ht="15" outlineLevel="1" x14ac:dyDescent="0.2">
      <c r="A24" s="82" t="s">
        <v>6042</v>
      </c>
      <c r="B24" s="84">
        <v>9.9181531384128441E-2</v>
      </c>
      <c r="C24" s="195">
        <v>1</v>
      </c>
      <c r="D24" s="85"/>
      <c r="E24" s="84">
        <v>0.01</v>
      </c>
      <c r="F24" s="85"/>
      <c r="G24" s="84">
        <v>0.5</v>
      </c>
      <c r="H24" s="85"/>
      <c r="I24" s="84">
        <v>1E-3</v>
      </c>
      <c r="J24" s="85"/>
      <c r="K24" s="197">
        <v>0.4</v>
      </c>
      <c r="L24" s="85"/>
      <c r="M24" s="195">
        <v>0.4</v>
      </c>
      <c r="N24" s="85"/>
      <c r="O24" s="195">
        <v>0.4</v>
      </c>
      <c r="P24" s="85"/>
      <c r="Q24" s="195">
        <v>0.4</v>
      </c>
      <c r="R24" s="85"/>
      <c r="S24" s="195">
        <v>0.4</v>
      </c>
      <c r="T24" s="85"/>
      <c r="U24" s="84">
        <v>0.01</v>
      </c>
      <c r="V24" s="85"/>
      <c r="W24" s="84">
        <v>0.01</v>
      </c>
      <c r="X24" s="85"/>
      <c r="Y24" s="84">
        <v>0.01</v>
      </c>
      <c r="Z24" s="85"/>
      <c r="AA24" s="84">
        <v>0.01</v>
      </c>
      <c r="AB24" s="85"/>
    </row>
    <row r="25" spans="1:30" ht="15" outlineLevel="1" x14ac:dyDescent="0.2">
      <c r="A25" s="82" t="s">
        <v>6222</v>
      </c>
      <c r="B25" s="84">
        <v>4.0132606685631123E-2</v>
      </c>
      <c r="C25" s="195">
        <v>1</v>
      </c>
      <c r="D25" s="85"/>
      <c r="E25" s="84">
        <v>0.01</v>
      </c>
      <c r="F25" s="85"/>
      <c r="G25" s="84">
        <v>0.5</v>
      </c>
      <c r="H25" s="85"/>
      <c r="I25" s="84">
        <v>1E-3</v>
      </c>
      <c r="J25" s="85"/>
      <c r="K25" s="197">
        <v>0.25</v>
      </c>
      <c r="L25" s="85"/>
      <c r="M25" s="195">
        <f>25%*4/6</f>
        <v>0.16666666666666666</v>
      </c>
      <c r="N25" s="85"/>
      <c r="O25" s="195">
        <v>0</v>
      </c>
      <c r="P25" s="85"/>
      <c r="Q25" s="195">
        <f>25%*1/2</f>
        <v>0.125</v>
      </c>
      <c r="R25" s="85"/>
      <c r="S25" s="195">
        <v>0</v>
      </c>
      <c r="T25" s="85"/>
      <c r="U25" s="84">
        <v>0</v>
      </c>
      <c r="V25" s="85"/>
      <c r="W25" s="84">
        <v>0</v>
      </c>
      <c r="X25" s="85"/>
      <c r="Y25" s="84">
        <v>0</v>
      </c>
      <c r="Z25" s="85"/>
      <c r="AA25" s="84">
        <v>0</v>
      </c>
      <c r="AB25" s="85"/>
    </row>
    <row r="26" spans="1:30" ht="15" outlineLevel="1" x14ac:dyDescent="0.2">
      <c r="A26" s="82" t="s">
        <v>5307</v>
      </c>
      <c r="B26" s="84">
        <v>5.129178387288282E-3</v>
      </c>
      <c r="C26" s="195">
        <v>1</v>
      </c>
      <c r="D26" s="85"/>
      <c r="E26" s="84">
        <v>0.01</v>
      </c>
      <c r="F26" s="85"/>
      <c r="G26" s="84">
        <v>0.5</v>
      </c>
      <c r="H26" s="85"/>
      <c r="I26" s="84">
        <v>1E-3</v>
      </c>
      <c r="J26" s="85"/>
      <c r="K26" s="197">
        <v>0.05</v>
      </c>
      <c r="L26" s="85"/>
      <c r="M26" s="195">
        <v>0.05</v>
      </c>
      <c r="N26" s="85"/>
      <c r="O26" s="195">
        <v>0.2</v>
      </c>
      <c r="P26" s="85"/>
      <c r="Q26" s="195">
        <v>0.05</v>
      </c>
      <c r="R26" s="85"/>
      <c r="S26" s="195">
        <v>0.2</v>
      </c>
      <c r="T26" s="85"/>
      <c r="U26" s="84">
        <v>0.05</v>
      </c>
      <c r="V26" s="85"/>
      <c r="W26" s="84">
        <v>0</v>
      </c>
      <c r="X26" s="85"/>
      <c r="Y26" s="84">
        <v>0</v>
      </c>
      <c r="Z26" s="85"/>
      <c r="AA26" s="84">
        <v>0</v>
      </c>
      <c r="AB26" s="85"/>
    </row>
    <row r="27" spans="1:30" ht="15" outlineLevel="1" x14ac:dyDescent="0.2">
      <c r="A27" s="82" t="s">
        <v>6229</v>
      </c>
      <c r="B27" s="84">
        <v>9.2826574625094298E-3</v>
      </c>
      <c r="C27" s="195">
        <v>1</v>
      </c>
      <c r="D27" s="85"/>
      <c r="E27" s="84">
        <v>0.01</v>
      </c>
      <c r="F27" s="85"/>
      <c r="G27" s="84">
        <v>0.5</v>
      </c>
      <c r="H27" s="85"/>
      <c r="I27" s="84">
        <v>1E-3</v>
      </c>
      <c r="J27" s="85"/>
      <c r="K27" s="197">
        <v>0.1</v>
      </c>
      <c r="L27" s="85"/>
      <c r="M27" s="195">
        <f>AVERAGE(M13:M14)/10</f>
        <v>3.4999999999999996E-2</v>
      </c>
      <c r="N27" s="85"/>
      <c r="O27" s="195">
        <f>AVERAGE(O17:O18)/10</f>
        <v>0.05</v>
      </c>
      <c r="P27" s="85"/>
      <c r="Q27" s="195">
        <f>AVERAGE(Q13:Q14)/10</f>
        <v>3.4999999999999996E-2</v>
      </c>
      <c r="R27" s="85"/>
      <c r="S27" s="195">
        <f>AVERAGE(S17:S18)/10</f>
        <v>2.5000000000000001E-2</v>
      </c>
      <c r="T27" s="85"/>
      <c r="U27" s="84">
        <f>AVERAGE(U13:U14)/10</f>
        <v>5.0000000000000001E-3</v>
      </c>
      <c r="V27" s="85"/>
      <c r="W27" s="84">
        <f>AVERAGE(W13:W14)/10</f>
        <v>5.0000000000000001E-4</v>
      </c>
      <c r="X27" s="85"/>
      <c r="Y27" s="84">
        <f>AVERAGE(Y13:Y14)/10</f>
        <v>5.0000000000000001E-4</v>
      </c>
      <c r="Z27" s="85"/>
      <c r="AA27" s="84">
        <f>AVERAGE(AA13:AA14)/10</f>
        <v>0</v>
      </c>
      <c r="AB27" s="85"/>
    </row>
    <row r="28" spans="1:30" ht="15" outlineLevel="1" x14ac:dyDescent="0.2">
      <c r="A28" s="82" t="s">
        <v>6226</v>
      </c>
      <c r="B28" s="84">
        <v>0</v>
      </c>
      <c r="C28" s="195">
        <v>1</v>
      </c>
      <c r="D28" s="85"/>
      <c r="E28" s="84"/>
      <c r="F28" s="85"/>
      <c r="G28" s="84"/>
      <c r="H28" s="85"/>
      <c r="I28" s="84">
        <v>1E-3</v>
      </c>
      <c r="J28" s="85"/>
      <c r="K28" s="197">
        <f>K14</f>
        <v>0</v>
      </c>
      <c r="L28" s="85"/>
      <c r="M28" s="195">
        <f>M14</f>
        <v>0</v>
      </c>
      <c r="N28" s="85"/>
      <c r="O28" s="195">
        <f>O18</f>
        <v>0.5</v>
      </c>
      <c r="P28" s="85"/>
      <c r="Q28" s="195">
        <v>0</v>
      </c>
      <c r="R28" s="85"/>
      <c r="S28" s="195">
        <f>S18</f>
        <v>0.25</v>
      </c>
      <c r="T28" s="85"/>
      <c r="U28" s="84">
        <v>0.1</v>
      </c>
      <c r="V28" s="85"/>
      <c r="W28" s="84">
        <v>0.01</v>
      </c>
      <c r="X28" s="85"/>
      <c r="Y28" s="84">
        <v>0.01</v>
      </c>
      <c r="Z28" s="85"/>
      <c r="AA28" s="84">
        <f>AA14</f>
        <v>0</v>
      </c>
      <c r="AB28" s="85"/>
    </row>
    <row r="29" spans="1:30" ht="15" outlineLevel="1" x14ac:dyDescent="0.2">
      <c r="A29" s="82" t="s">
        <v>5323</v>
      </c>
      <c r="B29" s="84">
        <v>0.01</v>
      </c>
      <c r="C29" s="195">
        <v>1</v>
      </c>
      <c r="D29" s="85"/>
      <c r="E29" s="84">
        <v>0.01</v>
      </c>
      <c r="F29" s="85"/>
      <c r="G29" s="84">
        <v>0.5</v>
      </c>
      <c r="H29" s="85"/>
      <c r="I29" s="84">
        <v>1E-3</v>
      </c>
      <c r="J29" s="85"/>
      <c r="K29" s="197">
        <v>0.05</v>
      </c>
      <c r="L29" s="85"/>
      <c r="M29" s="195">
        <v>0</v>
      </c>
      <c r="N29" s="85"/>
      <c r="O29" s="195">
        <v>0</v>
      </c>
      <c r="P29" s="85"/>
      <c r="Q29" s="195">
        <v>0</v>
      </c>
      <c r="R29" s="85"/>
      <c r="S29" s="195">
        <v>0</v>
      </c>
      <c r="T29" s="85"/>
      <c r="U29" s="84">
        <v>0</v>
      </c>
      <c r="V29" s="85"/>
      <c r="W29" s="84">
        <v>0</v>
      </c>
      <c r="X29" s="85"/>
      <c r="Y29" s="84">
        <v>0</v>
      </c>
      <c r="Z29" s="85"/>
      <c r="AA29" s="84">
        <v>0</v>
      </c>
      <c r="AB29" s="85"/>
    </row>
    <row r="30" spans="1:30" ht="15" outlineLevel="1" x14ac:dyDescent="0.2">
      <c r="A30" s="82" t="s">
        <v>6227</v>
      </c>
      <c r="B30" s="84">
        <v>0</v>
      </c>
      <c r="C30" s="195">
        <v>1</v>
      </c>
      <c r="D30" s="85"/>
      <c r="E30" s="84"/>
      <c r="F30" s="85"/>
      <c r="G30" s="84"/>
      <c r="H30" s="85"/>
      <c r="I30" s="84">
        <v>1E-3</v>
      </c>
      <c r="J30" s="85"/>
      <c r="K30" s="197">
        <v>0.05</v>
      </c>
      <c r="L30" s="85"/>
      <c r="M30" s="195">
        <f>AVERAGE(M13:M14)/2</f>
        <v>0.17499999999999999</v>
      </c>
      <c r="N30" s="85"/>
      <c r="O30" s="195">
        <f>AVERAGE(O17:O18)/2</f>
        <v>0.25</v>
      </c>
      <c r="P30" s="85"/>
      <c r="Q30" s="195">
        <v>0</v>
      </c>
      <c r="R30" s="85"/>
      <c r="S30" s="195">
        <f>AVERAGE(S17:S18)/2</f>
        <v>0.125</v>
      </c>
      <c r="T30" s="85"/>
      <c r="U30" s="84">
        <f>AVERAGE(U13:U14)/2</f>
        <v>2.5000000000000001E-2</v>
      </c>
      <c r="V30" s="85"/>
      <c r="W30" s="84">
        <f>AVERAGE(W13:W14)/2</f>
        <v>2.5000000000000001E-3</v>
      </c>
      <c r="X30" s="85"/>
      <c r="Y30" s="84">
        <f>AVERAGE(Y13:Y14)/2</f>
        <v>2.5000000000000001E-3</v>
      </c>
      <c r="Z30" s="85"/>
      <c r="AA30" s="84">
        <f>AVERAGE(AA13:AA14)/2</f>
        <v>0</v>
      </c>
      <c r="AB30" s="85"/>
    </row>
    <row r="31" spans="1:30" ht="15" outlineLevel="1" x14ac:dyDescent="0.2">
      <c r="A31" s="82" t="s">
        <v>6005</v>
      </c>
      <c r="B31" s="84">
        <v>1.0902718267887284E-2</v>
      </c>
      <c r="C31" s="195">
        <v>1</v>
      </c>
      <c r="D31" s="85"/>
      <c r="E31" s="84">
        <v>0.01</v>
      </c>
      <c r="F31" s="85"/>
      <c r="G31" s="84">
        <v>0.5</v>
      </c>
      <c r="H31" s="85"/>
      <c r="I31" s="84">
        <v>1E-3</v>
      </c>
      <c r="J31" s="85"/>
      <c r="K31" s="197">
        <v>0.01</v>
      </c>
      <c r="L31" s="85"/>
      <c r="M31" s="195">
        <v>0.01</v>
      </c>
      <c r="N31" s="85"/>
      <c r="O31" s="195">
        <v>0</v>
      </c>
      <c r="P31" s="85"/>
      <c r="Q31" s="195">
        <v>0</v>
      </c>
      <c r="R31" s="85"/>
      <c r="S31" s="195">
        <v>0</v>
      </c>
      <c r="T31" s="85"/>
      <c r="U31" s="84">
        <v>0</v>
      </c>
      <c r="V31" s="85"/>
      <c r="W31" s="84">
        <v>0</v>
      </c>
      <c r="X31" s="85"/>
      <c r="Y31" s="84">
        <v>0</v>
      </c>
      <c r="Z31" s="85"/>
      <c r="AA31" s="84">
        <v>0</v>
      </c>
      <c r="AB31" s="85"/>
    </row>
    <row r="32" spans="1:30" ht="15" outlineLevel="1" x14ac:dyDescent="0.2">
      <c r="A32" s="82" t="s">
        <v>6228</v>
      </c>
      <c r="B32" s="84">
        <v>0</v>
      </c>
      <c r="C32" s="195">
        <v>1</v>
      </c>
      <c r="D32" s="85"/>
      <c r="E32" s="84">
        <v>0.01</v>
      </c>
      <c r="F32" s="85"/>
      <c r="G32" s="84">
        <v>0.5</v>
      </c>
      <c r="H32" s="85"/>
      <c r="I32" s="84">
        <v>1E-3</v>
      </c>
      <c r="J32" s="85"/>
      <c r="K32" s="197">
        <v>0</v>
      </c>
      <c r="L32" s="85"/>
      <c r="M32" s="195">
        <v>0.01</v>
      </c>
      <c r="N32" s="85"/>
      <c r="O32" s="195">
        <v>0</v>
      </c>
      <c r="P32" s="85"/>
      <c r="Q32" s="195">
        <v>0</v>
      </c>
      <c r="R32" s="85"/>
      <c r="S32" s="195">
        <v>0</v>
      </c>
      <c r="T32" s="85"/>
      <c r="U32" s="84">
        <v>0</v>
      </c>
      <c r="V32" s="85"/>
      <c r="W32" s="84">
        <v>0</v>
      </c>
      <c r="X32" s="85"/>
      <c r="Y32" s="84">
        <v>0</v>
      </c>
      <c r="Z32" s="85"/>
      <c r="AA32" s="84">
        <v>0</v>
      </c>
      <c r="AB32" s="85"/>
    </row>
    <row r="33" spans="1:28" ht="15" outlineLevel="1" x14ac:dyDescent="0.2">
      <c r="A33" s="82" t="s">
        <v>5343</v>
      </c>
      <c r="B33" s="84">
        <v>1.1084320279719541E-2</v>
      </c>
      <c r="C33" s="195">
        <v>1</v>
      </c>
      <c r="D33" s="85"/>
      <c r="E33" s="84">
        <v>0.01</v>
      </c>
      <c r="F33" s="85"/>
      <c r="G33" s="84">
        <v>0.5</v>
      </c>
      <c r="H33" s="85"/>
      <c r="I33" s="84">
        <v>1E-3</v>
      </c>
      <c r="J33" s="85"/>
      <c r="K33" s="197">
        <v>0.05</v>
      </c>
      <c r="L33" s="85"/>
      <c r="M33" s="195">
        <v>0</v>
      </c>
      <c r="N33" s="85"/>
      <c r="O33" s="195">
        <v>0</v>
      </c>
      <c r="P33" s="85"/>
      <c r="Q33" s="195">
        <v>0.1</v>
      </c>
      <c r="R33" s="85"/>
      <c r="S33" s="195">
        <v>0</v>
      </c>
      <c r="T33" s="85"/>
      <c r="U33" s="84">
        <v>0</v>
      </c>
      <c r="V33" s="85"/>
      <c r="W33" s="84">
        <v>0</v>
      </c>
      <c r="X33" s="85"/>
      <c r="Y33" s="84">
        <v>0</v>
      </c>
      <c r="Z33" s="85"/>
      <c r="AA33" s="84">
        <v>0</v>
      </c>
      <c r="AB33" s="85"/>
    </row>
    <row r="34" spans="1:28" ht="15" outlineLevel="1" x14ac:dyDescent="0.2">
      <c r="A34" s="82" t="s">
        <v>6007</v>
      </c>
      <c r="B34" s="84">
        <v>1.8309069157526739E-2</v>
      </c>
      <c r="C34" s="195">
        <v>1</v>
      </c>
      <c r="D34" s="85"/>
      <c r="E34" s="84">
        <v>0.01</v>
      </c>
      <c r="F34" s="85"/>
      <c r="G34" s="84">
        <v>0.5</v>
      </c>
      <c r="H34" s="85"/>
      <c r="I34" s="84">
        <v>1E-3</v>
      </c>
      <c r="J34" s="85"/>
      <c r="K34" s="197">
        <v>0</v>
      </c>
      <c r="L34" s="85"/>
      <c r="M34" s="195">
        <v>0.01</v>
      </c>
      <c r="N34" s="85"/>
      <c r="O34" s="195">
        <v>0</v>
      </c>
      <c r="P34" s="85"/>
      <c r="Q34" s="195">
        <v>0.01</v>
      </c>
      <c r="R34" s="85"/>
      <c r="S34" s="195">
        <v>0</v>
      </c>
      <c r="T34" s="85"/>
      <c r="U34" s="84">
        <v>0</v>
      </c>
      <c r="V34" s="85"/>
      <c r="W34" s="84">
        <v>0</v>
      </c>
      <c r="X34" s="85"/>
      <c r="Y34" s="84">
        <v>0</v>
      </c>
      <c r="Z34" s="85"/>
      <c r="AA34" s="84">
        <v>0</v>
      </c>
      <c r="AB34" s="85"/>
    </row>
    <row r="35" spans="1:28" ht="15" outlineLevel="1" x14ac:dyDescent="0.2">
      <c r="A35" s="82" t="s">
        <v>5345</v>
      </c>
      <c r="B35" s="84">
        <v>2.3230170717098514E-2</v>
      </c>
      <c r="C35" s="195">
        <v>1</v>
      </c>
      <c r="D35" s="85"/>
      <c r="E35" s="84">
        <v>0.01</v>
      </c>
      <c r="F35" s="85"/>
      <c r="G35" s="84">
        <v>0.5</v>
      </c>
      <c r="H35" s="85"/>
      <c r="I35" s="84">
        <v>1E-3</v>
      </c>
      <c r="J35" s="85"/>
      <c r="K35" s="197">
        <v>0.05</v>
      </c>
      <c r="L35" s="85"/>
      <c r="M35" s="195">
        <v>0.19</v>
      </c>
      <c r="N35" s="85"/>
      <c r="O35" s="195">
        <v>0.2</v>
      </c>
      <c r="P35" s="85"/>
      <c r="Q35" s="195">
        <v>0.25</v>
      </c>
      <c r="R35" s="85"/>
      <c r="S35" s="195">
        <v>0.2</v>
      </c>
      <c r="T35" s="85"/>
      <c r="U35" s="84">
        <v>0</v>
      </c>
      <c r="V35" s="85"/>
      <c r="W35" s="84">
        <v>0</v>
      </c>
      <c r="X35" s="85"/>
      <c r="Y35" s="84">
        <v>0</v>
      </c>
      <c r="Z35" s="85"/>
      <c r="AA35" s="84">
        <v>0</v>
      </c>
      <c r="AB35" s="85"/>
    </row>
    <row r="36" spans="1:28" ht="15" outlineLevel="1" x14ac:dyDescent="0.2">
      <c r="A36" s="82" t="s">
        <v>5347</v>
      </c>
      <c r="B36" s="84">
        <v>2.4584784699163517E-2</v>
      </c>
      <c r="C36" s="195">
        <v>1</v>
      </c>
      <c r="D36" s="85"/>
      <c r="E36" s="84">
        <v>0.01</v>
      </c>
      <c r="F36" s="85"/>
      <c r="G36" s="84">
        <v>0.5</v>
      </c>
      <c r="H36" s="85"/>
      <c r="I36" s="84">
        <v>1E-3</v>
      </c>
      <c r="J36" s="85"/>
      <c r="K36" s="197">
        <v>0.05</v>
      </c>
      <c r="L36" s="85"/>
      <c r="M36" s="195">
        <v>0.26</v>
      </c>
      <c r="N36" s="85"/>
      <c r="O36" s="195">
        <v>0.2</v>
      </c>
      <c r="P36" s="85"/>
      <c r="Q36" s="195">
        <v>0.5</v>
      </c>
      <c r="R36" s="85"/>
      <c r="S36" s="195">
        <v>0.2</v>
      </c>
      <c r="T36" s="85"/>
      <c r="U36" s="84">
        <v>0</v>
      </c>
      <c r="V36" s="85"/>
      <c r="W36" s="84">
        <v>0</v>
      </c>
      <c r="X36" s="85"/>
      <c r="Y36" s="84">
        <v>0</v>
      </c>
      <c r="Z36" s="85"/>
      <c r="AA36" s="84">
        <v>0</v>
      </c>
      <c r="AB36" s="85"/>
    </row>
    <row r="37" spans="1:28" ht="15" outlineLevel="1" x14ac:dyDescent="0.2">
      <c r="A37" s="82" t="s">
        <v>6221</v>
      </c>
      <c r="B37" s="84">
        <v>0.2946287217918715</v>
      </c>
      <c r="C37" s="195">
        <v>1</v>
      </c>
      <c r="D37" s="85"/>
      <c r="E37" s="84">
        <v>0.01</v>
      </c>
      <c r="F37" s="85"/>
      <c r="G37" s="84">
        <v>0.5</v>
      </c>
      <c r="H37" s="85"/>
      <c r="I37" s="84">
        <v>1E-3</v>
      </c>
      <c r="J37" s="85"/>
      <c r="K37" s="197">
        <v>0.4</v>
      </c>
      <c r="L37" s="85"/>
      <c r="M37" s="195">
        <v>0.4</v>
      </c>
      <c r="N37" s="85"/>
      <c r="O37" s="195">
        <v>0.4</v>
      </c>
      <c r="P37" s="85"/>
      <c r="Q37" s="195">
        <v>0.4</v>
      </c>
      <c r="R37" s="85"/>
      <c r="S37" s="195">
        <v>0.4</v>
      </c>
      <c r="T37" s="85"/>
      <c r="U37" s="84">
        <v>0.01</v>
      </c>
      <c r="V37" s="85"/>
      <c r="W37" s="84">
        <v>0.01</v>
      </c>
      <c r="X37" s="85"/>
      <c r="Y37" s="84">
        <v>0.01</v>
      </c>
      <c r="Z37" s="85"/>
      <c r="AA37" s="84">
        <v>0</v>
      </c>
      <c r="AB37" s="85"/>
    </row>
    <row r="38" spans="1:28" ht="15" outlineLevel="1" x14ac:dyDescent="0.2">
      <c r="A38" s="82" t="s">
        <v>5449</v>
      </c>
      <c r="B38" s="84">
        <v>1.2896957034989789E-2</v>
      </c>
      <c r="C38" s="195">
        <v>1</v>
      </c>
      <c r="D38" s="85"/>
      <c r="E38" s="84">
        <v>0.01</v>
      </c>
      <c r="F38" s="85"/>
      <c r="G38" s="84">
        <v>0.5</v>
      </c>
      <c r="H38" s="85"/>
      <c r="I38" s="84">
        <v>1E-3</v>
      </c>
      <c r="J38" s="85"/>
      <c r="K38" s="197">
        <v>0</v>
      </c>
      <c r="L38" s="85"/>
      <c r="M38" s="195">
        <v>0</v>
      </c>
      <c r="N38" s="85"/>
      <c r="O38" s="195">
        <v>0</v>
      </c>
      <c r="P38" s="85"/>
      <c r="Q38" s="195">
        <v>0</v>
      </c>
      <c r="R38" s="85"/>
      <c r="S38" s="195">
        <v>0</v>
      </c>
      <c r="T38" s="85"/>
      <c r="U38" s="84">
        <v>0</v>
      </c>
      <c r="V38" s="85"/>
      <c r="W38" s="84">
        <v>0</v>
      </c>
      <c r="X38" s="85"/>
      <c r="Y38" s="84">
        <v>0</v>
      </c>
      <c r="Z38" s="85"/>
      <c r="AA38" s="84">
        <v>0</v>
      </c>
      <c r="AB38" s="85"/>
    </row>
    <row r="39" spans="1:28" ht="15" outlineLevel="1" x14ac:dyDescent="0.2">
      <c r="A39" s="82" t="s">
        <v>6219</v>
      </c>
      <c r="B39" s="84">
        <v>2.9899149348517586E-2</v>
      </c>
      <c r="C39" s="195">
        <v>1</v>
      </c>
      <c r="D39" s="85"/>
      <c r="E39" s="84">
        <v>0.01</v>
      </c>
      <c r="F39" s="85"/>
      <c r="G39" s="84">
        <v>0.5</v>
      </c>
      <c r="H39" s="85"/>
      <c r="I39" s="84">
        <v>1E-3</v>
      </c>
      <c r="J39" s="85"/>
      <c r="K39" s="197">
        <v>0</v>
      </c>
      <c r="L39" s="85"/>
      <c r="M39" s="195">
        <v>0</v>
      </c>
      <c r="N39" s="85"/>
      <c r="O39" s="195">
        <v>0</v>
      </c>
      <c r="P39" s="85"/>
      <c r="Q39" s="195">
        <v>0</v>
      </c>
      <c r="R39" s="85"/>
      <c r="S39" s="195">
        <v>0</v>
      </c>
      <c r="T39" s="85"/>
      <c r="U39" s="84">
        <v>0</v>
      </c>
      <c r="V39" s="85"/>
      <c r="W39" s="84">
        <v>0</v>
      </c>
      <c r="X39" s="85"/>
      <c r="Y39" s="84">
        <v>0</v>
      </c>
      <c r="Z39" s="85"/>
      <c r="AA39" s="84">
        <v>0</v>
      </c>
      <c r="AB39" s="85"/>
    </row>
    <row r="40" spans="1:28" ht="15" outlineLevel="1" x14ac:dyDescent="0.2">
      <c r="A40" s="82" t="s">
        <v>99</v>
      </c>
      <c r="B40" s="84">
        <v>0.18472485592952878</v>
      </c>
      <c r="C40" s="195">
        <v>1</v>
      </c>
      <c r="D40" s="85"/>
      <c r="E40" s="84">
        <v>0.01</v>
      </c>
      <c r="F40" s="85"/>
      <c r="G40" s="84">
        <v>0.5</v>
      </c>
      <c r="H40" s="85"/>
      <c r="I40" s="84">
        <v>1E-3</v>
      </c>
      <c r="J40" s="85"/>
      <c r="K40" s="197">
        <v>0.25</v>
      </c>
      <c r="L40" s="85"/>
      <c r="M40" s="195">
        <v>0.5</v>
      </c>
      <c r="N40" s="85"/>
      <c r="O40" s="195">
        <v>0</v>
      </c>
      <c r="P40" s="85"/>
      <c r="Q40" s="195">
        <v>0</v>
      </c>
      <c r="R40" s="85"/>
      <c r="S40" s="195">
        <v>0.5</v>
      </c>
      <c r="T40" s="85"/>
      <c r="U40" s="84">
        <v>0</v>
      </c>
      <c r="V40" s="85"/>
      <c r="W40" s="84">
        <v>0</v>
      </c>
      <c r="X40" s="85"/>
      <c r="Y40" s="84">
        <v>0</v>
      </c>
      <c r="Z40" s="85"/>
      <c r="AA40" s="84">
        <v>0</v>
      </c>
      <c r="AB40" s="85"/>
    </row>
    <row r="41" spans="1:28" ht="15" outlineLevel="1" x14ac:dyDescent="0.2">
      <c r="A41" s="82" t="s">
        <v>6220</v>
      </c>
      <c r="B41" s="84">
        <v>3.3761144084216134E-2</v>
      </c>
      <c r="C41" s="195">
        <v>1</v>
      </c>
      <c r="D41" s="85"/>
      <c r="E41" s="84">
        <v>0.01</v>
      </c>
      <c r="F41" s="85"/>
      <c r="G41" s="84">
        <v>0.5</v>
      </c>
      <c r="H41" s="85"/>
      <c r="I41" s="84">
        <v>1E-3</v>
      </c>
      <c r="J41" s="85"/>
      <c r="K41" s="197">
        <v>0.25</v>
      </c>
      <c r="L41" s="85"/>
      <c r="M41" s="195">
        <v>0.4</v>
      </c>
      <c r="N41" s="85"/>
      <c r="O41" s="195">
        <v>0.01</v>
      </c>
      <c r="P41" s="85"/>
      <c r="Q41" s="195">
        <v>0.01</v>
      </c>
      <c r="R41" s="85"/>
      <c r="S41" s="195">
        <v>0.01</v>
      </c>
      <c r="T41" s="85"/>
      <c r="U41" s="84">
        <v>0.01</v>
      </c>
      <c r="V41" s="85"/>
      <c r="W41" s="84">
        <v>0.01</v>
      </c>
      <c r="X41" s="85"/>
      <c r="Y41" s="84">
        <v>0.01</v>
      </c>
      <c r="Z41" s="85"/>
      <c r="AA41" s="84">
        <v>0</v>
      </c>
      <c r="AB41" s="85"/>
    </row>
    <row r="42" spans="1:28" ht="15" outlineLevel="1" x14ac:dyDescent="0.2">
      <c r="A42" s="82" t="s">
        <v>6225</v>
      </c>
      <c r="B42" s="84">
        <v>2.7729781577482449E-2</v>
      </c>
      <c r="C42" s="195">
        <v>1</v>
      </c>
      <c r="D42" s="85"/>
      <c r="E42" s="84">
        <v>0.01</v>
      </c>
      <c r="F42" s="85"/>
      <c r="G42" s="84">
        <v>0.5</v>
      </c>
      <c r="H42" s="85"/>
      <c r="I42" s="84">
        <v>1E-3</v>
      </c>
      <c r="J42" s="85"/>
      <c r="K42" s="197">
        <v>0.25</v>
      </c>
      <c r="L42" s="85"/>
      <c r="M42" s="195">
        <v>0.4</v>
      </c>
      <c r="N42" s="85"/>
      <c r="O42" s="195">
        <v>0.4</v>
      </c>
      <c r="P42" s="85"/>
      <c r="Q42" s="195">
        <v>0.25</v>
      </c>
      <c r="R42" s="85"/>
      <c r="S42" s="195">
        <v>0.4</v>
      </c>
      <c r="T42" s="85"/>
      <c r="U42" s="84">
        <v>0.01</v>
      </c>
      <c r="V42" s="85"/>
      <c r="W42" s="84">
        <v>0.01</v>
      </c>
      <c r="X42" s="85"/>
      <c r="Y42" s="84">
        <v>0.01</v>
      </c>
      <c r="Z42" s="85"/>
      <c r="AA42" s="84">
        <v>0</v>
      </c>
      <c r="AB42" s="85"/>
    </row>
    <row r="43" spans="1:28" ht="15" outlineLevel="1" x14ac:dyDescent="0.2">
      <c r="A43" s="82" t="s">
        <v>6223</v>
      </c>
      <c r="B43" s="84">
        <v>9.8052639842589034E-3</v>
      </c>
      <c r="C43" s="195">
        <v>1</v>
      </c>
      <c r="D43" s="85"/>
      <c r="E43" s="84">
        <v>0.01</v>
      </c>
      <c r="F43" s="85"/>
      <c r="G43" s="84">
        <v>0.5</v>
      </c>
      <c r="H43" s="85"/>
      <c r="I43" s="84">
        <v>1E-3</v>
      </c>
      <c r="J43" s="85"/>
      <c r="K43" s="197">
        <v>0</v>
      </c>
      <c r="L43" s="85"/>
      <c r="M43" s="195">
        <v>0</v>
      </c>
      <c r="N43" s="85"/>
      <c r="O43" s="195">
        <v>0</v>
      </c>
      <c r="P43" s="85"/>
      <c r="Q43" s="195">
        <v>0</v>
      </c>
      <c r="R43" s="85"/>
      <c r="S43" s="195">
        <v>0</v>
      </c>
      <c r="T43" s="85"/>
      <c r="U43" s="84">
        <v>0</v>
      </c>
      <c r="V43" s="85"/>
      <c r="W43" s="84">
        <v>0</v>
      </c>
      <c r="X43" s="85"/>
      <c r="Y43" s="84">
        <v>0</v>
      </c>
      <c r="Z43" s="85"/>
      <c r="AA43" s="84">
        <v>0</v>
      </c>
      <c r="AB43" s="85"/>
    </row>
    <row r="44" spans="1:28" ht="15" outlineLevel="1" x14ac:dyDescent="0.2">
      <c r="A44" s="82" t="s">
        <v>6224</v>
      </c>
      <c r="B44" s="84">
        <v>4.2527355494713752E-2</v>
      </c>
      <c r="C44" s="195">
        <v>1</v>
      </c>
      <c r="D44" s="85"/>
      <c r="E44" s="84">
        <v>0.01</v>
      </c>
      <c r="F44" s="85"/>
      <c r="G44" s="84">
        <v>0.5</v>
      </c>
      <c r="H44" s="85"/>
      <c r="I44" s="84">
        <v>1E-3</v>
      </c>
      <c r="J44" s="85"/>
      <c r="K44" s="197">
        <v>0</v>
      </c>
      <c r="L44" s="85"/>
      <c r="M44" s="195">
        <v>0</v>
      </c>
      <c r="N44" s="85"/>
      <c r="O44" s="195">
        <v>0</v>
      </c>
      <c r="P44" s="85"/>
      <c r="Q44" s="195">
        <v>0</v>
      </c>
      <c r="R44" s="85"/>
      <c r="S44" s="195">
        <v>0</v>
      </c>
      <c r="T44" s="85"/>
      <c r="U44" s="84">
        <v>0</v>
      </c>
      <c r="V44" s="85"/>
      <c r="W44" s="84">
        <v>0</v>
      </c>
      <c r="X44" s="85"/>
      <c r="Y44" s="84">
        <v>0</v>
      </c>
      <c r="Z44" s="85"/>
      <c r="AA44" s="84">
        <v>0</v>
      </c>
      <c r="AB44" s="85"/>
    </row>
    <row r="45" spans="1:28" ht="15" x14ac:dyDescent="0.2">
      <c r="A45" s="86" t="s">
        <v>58</v>
      </c>
      <c r="C45" s="193"/>
      <c r="D45" s="88"/>
      <c r="E45" s="87"/>
      <c r="F45" s="88"/>
      <c r="G45" s="87"/>
      <c r="H45" s="88"/>
      <c r="I45" s="87"/>
      <c r="J45" s="88"/>
      <c r="K45" s="88"/>
      <c r="L45" s="88"/>
      <c r="M45" s="88"/>
      <c r="N45" s="88"/>
      <c r="O45" s="88"/>
      <c r="P45" s="88"/>
      <c r="Q45" s="88"/>
      <c r="R45" s="88"/>
      <c r="S45" s="88"/>
      <c r="T45" s="88"/>
      <c r="U45" s="87"/>
      <c r="V45" s="88"/>
      <c r="W45" s="87"/>
      <c r="X45" s="88"/>
      <c r="Y45" s="87"/>
      <c r="Z45" s="88"/>
      <c r="AA45" s="87"/>
      <c r="AB45" s="88"/>
    </row>
    <row r="46" spans="1:28" ht="15" outlineLevel="1" x14ac:dyDescent="0.25">
      <c r="A46" s="89" t="s">
        <v>5558</v>
      </c>
      <c r="B46" s="90"/>
      <c r="C46" s="198">
        <v>1</v>
      </c>
      <c r="D46" s="103">
        <v>1000</v>
      </c>
      <c r="E46" s="105">
        <v>1</v>
      </c>
      <c r="F46" s="103">
        <v>1000</v>
      </c>
      <c r="G46" s="105">
        <v>1</v>
      </c>
      <c r="H46" s="103">
        <v>1000</v>
      </c>
      <c r="I46" s="105">
        <v>1</v>
      </c>
      <c r="J46" s="103">
        <v>1000</v>
      </c>
      <c r="K46" s="194">
        <v>1</v>
      </c>
      <c r="L46" s="103">
        <v>1000</v>
      </c>
      <c r="M46" s="193">
        <v>1</v>
      </c>
      <c r="N46" s="103">
        <v>1000</v>
      </c>
      <c r="O46" s="193">
        <v>1</v>
      </c>
      <c r="P46" s="103">
        <v>1000</v>
      </c>
      <c r="Q46" s="193">
        <v>1</v>
      </c>
      <c r="R46" s="103">
        <v>1000</v>
      </c>
      <c r="S46" s="193">
        <v>1</v>
      </c>
      <c r="T46" s="103">
        <v>1000</v>
      </c>
      <c r="U46" s="105">
        <v>1</v>
      </c>
      <c r="V46" s="103">
        <v>1000</v>
      </c>
      <c r="W46" s="105">
        <v>1</v>
      </c>
      <c r="X46" s="103">
        <v>1000</v>
      </c>
      <c r="Y46" s="105">
        <v>1</v>
      </c>
      <c r="Z46" s="103">
        <v>1000</v>
      </c>
      <c r="AA46" s="105">
        <v>1</v>
      </c>
      <c r="AB46" s="103">
        <v>1000</v>
      </c>
    </row>
    <row r="47" spans="1:28" ht="15" outlineLevel="1" x14ac:dyDescent="0.25">
      <c r="A47" s="89" t="s">
        <v>5559</v>
      </c>
      <c r="B47" s="90"/>
      <c r="C47" s="198">
        <v>1</v>
      </c>
      <c r="D47" s="103">
        <v>1000</v>
      </c>
      <c r="E47" s="105">
        <v>1</v>
      </c>
      <c r="F47" s="103">
        <v>1000</v>
      </c>
      <c r="G47" s="105">
        <v>1</v>
      </c>
      <c r="H47" s="103">
        <v>1000</v>
      </c>
      <c r="I47" s="105">
        <v>1</v>
      </c>
      <c r="J47" s="103">
        <v>1000</v>
      </c>
      <c r="K47" s="194">
        <v>1</v>
      </c>
      <c r="L47" s="103">
        <v>1000</v>
      </c>
      <c r="M47" s="193">
        <v>1</v>
      </c>
      <c r="N47" s="103">
        <v>1000</v>
      </c>
      <c r="O47" s="193">
        <v>1</v>
      </c>
      <c r="P47" s="103">
        <v>1000</v>
      </c>
      <c r="Q47" s="193">
        <v>1</v>
      </c>
      <c r="R47" s="103">
        <v>1000</v>
      </c>
      <c r="S47" s="193">
        <v>1</v>
      </c>
      <c r="T47" s="103">
        <v>1000</v>
      </c>
      <c r="U47" s="105">
        <v>1</v>
      </c>
      <c r="V47" s="103">
        <v>1000</v>
      </c>
      <c r="W47" s="105">
        <v>1</v>
      </c>
      <c r="X47" s="103">
        <v>1000</v>
      </c>
      <c r="Y47" s="105">
        <v>1</v>
      </c>
      <c r="Z47" s="103">
        <v>1000</v>
      </c>
      <c r="AA47" s="105">
        <v>1</v>
      </c>
      <c r="AB47" s="103">
        <v>1000</v>
      </c>
    </row>
    <row r="48" spans="1:28" ht="15" outlineLevel="1" x14ac:dyDescent="0.25">
      <c r="A48" s="89" t="s">
        <v>6494</v>
      </c>
      <c r="B48" s="90"/>
      <c r="C48" s="198">
        <v>1</v>
      </c>
      <c r="D48" s="103">
        <v>1000</v>
      </c>
      <c r="E48" s="105">
        <v>1</v>
      </c>
      <c r="F48" s="103">
        <v>1000</v>
      </c>
      <c r="G48" s="105">
        <v>1</v>
      </c>
      <c r="H48" s="103">
        <v>1000</v>
      </c>
      <c r="I48" s="105">
        <v>1</v>
      </c>
      <c r="J48" s="103">
        <v>1000</v>
      </c>
      <c r="K48" s="194">
        <v>1</v>
      </c>
      <c r="L48" s="103">
        <v>1000</v>
      </c>
      <c r="M48" s="193">
        <v>1</v>
      </c>
      <c r="N48" s="103">
        <v>1000</v>
      </c>
      <c r="O48" s="193">
        <v>1</v>
      </c>
      <c r="P48" s="103">
        <v>1000</v>
      </c>
      <c r="Q48" s="193">
        <v>1</v>
      </c>
      <c r="R48" s="103">
        <v>1000</v>
      </c>
      <c r="S48" s="193">
        <v>1</v>
      </c>
      <c r="T48" s="103">
        <v>1000</v>
      </c>
      <c r="U48" s="105">
        <v>1</v>
      </c>
      <c r="V48" s="103">
        <v>1000</v>
      </c>
      <c r="W48" s="105">
        <v>1</v>
      </c>
      <c r="X48" s="103">
        <v>1000</v>
      </c>
      <c r="Y48" s="105">
        <v>1</v>
      </c>
      <c r="Z48" s="103">
        <v>1000</v>
      </c>
      <c r="AA48" s="105">
        <v>1</v>
      </c>
      <c r="AB48" s="103">
        <v>1000</v>
      </c>
    </row>
    <row r="49" spans="1:29" ht="15" outlineLevel="1" x14ac:dyDescent="0.25">
      <c r="A49" s="89" t="s">
        <v>5943</v>
      </c>
      <c r="B49" s="90"/>
      <c r="C49" s="198">
        <v>1</v>
      </c>
      <c r="D49" s="103" t="s">
        <v>4872</v>
      </c>
      <c r="E49" s="104">
        <v>1</v>
      </c>
      <c r="F49" s="103" t="s">
        <v>4872</v>
      </c>
      <c r="G49" s="104">
        <v>1</v>
      </c>
      <c r="H49" s="103" t="s">
        <v>4872</v>
      </c>
      <c r="I49" s="104">
        <v>1</v>
      </c>
      <c r="J49" s="103" t="s">
        <v>4872</v>
      </c>
      <c r="K49" s="194">
        <v>1</v>
      </c>
      <c r="L49" s="103" t="s">
        <v>4872</v>
      </c>
      <c r="M49" s="193">
        <v>1</v>
      </c>
      <c r="N49" s="103" t="s">
        <v>4872</v>
      </c>
      <c r="O49" s="193">
        <v>1</v>
      </c>
      <c r="P49" s="103" t="s">
        <v>4872</v>
      </c>
      <c r="Q49" s="193">
        <v>1</v>
      </c>
      <c r="R49" s="103" t="s">
        <v>4872</v>
      </c>
      <c r="S49" s="193">
        <v>1</v>
      </c>
      <c r="T49" s="103" t="s">
        <v>4872</v>
      </c>
      <c r="U49" s="105">
        <v>1</v>
      </c>
      <c r="V49" s="103" t="s">
        <v>4872</v>
      </c>
      <c r="W49" s="105">
        <v>1</v>
      </c>
      <c r="X49" s="103" t="s">
        <v>4872</v>
      </c>
      <c r="Y49" s="105">
        <v>1</v>
      </c>
      <c r="Z49" s="103" t="s">
        <v>4872</v>
      </c>
      <c r="AA49" s="105">
        <v>1</v>
      </c>
      <c r="AB49" s="103" t="s">
        <v>4872</v>
      </c>
      <c r="AC49" s="22"/>
    </row>
    <row r="50" spans="1:29" ht="15" outlineLevel="1" x14ac:dyDescent="0.25">
      <c r="A50" s="89" t="s">
        <v>5560</v>
      </c>
      <c r="B50" s="90"/>
      <c r="C50" s="198">
        <v>1</v>
      </c>
      <c r="D50" s="103" t="s">
        <v>5159</v>
      </c>
      <c r="E50" s="105">
        <v>1</v>
      </c>
      <c r="F50" s="103" t="s">
        <v>5159</v>
      </c>
      <c r="G50" s="105">
        <v>1</v>
      </c>
      <c r="H50" s="103" t="s">
        <v>5159</v>
      </c>
      <c r="I50" s="105">
        <v>1</v>
      </c>
      <c r="J50" s="103" t="s">
        <v>5159</v>
      </c>
      <c r="K50" s="194">
        <v>1</v>
      </c>
      <c r="L50" s="103" t="s">
        <v>4872</v>
      </c>
      <c r="M50" s="193">
        <v>1</v>
      </c>
      <c r="N50" s="103" t="s">
        <v>4798</v>
      </c>
      <c r="O50" s="193" t="s">
        <v>6267</v>
      </c>
      <c r="P50" s="103" t="s">
        <v>5159</v>
      </c>
      <c r="Q50" s="193" t="s">
        <v>6267</v>
      </c>
      <c r="R50" s="103" t="s">
        <v>5159</v>
      </c>
      <c r="S50" s="193" t="s">
        <v>6267</v>
      </c>
      <c r="T50" s="103" t="s">
        <v>5159</v>
      </c>
      <c r="U50" s="105">
        <v>1</v>
      </c>
      <c r="V50" s="103" t="s">
        <v>5159</v>
      </c>
      <c r="W50" s="105">
        <v>1</v>
      </c>
      <c r="X50" s="103" t="s">
        <v>5159</v>
      </c>
      <c r="Y50" s="105">
        <v>1</v>
      </c>
      <c r="Z50" s="103" t="s">
        <v>5159</v>
      </c>
      <c r="AA50" s="105">
        <v>1</v>
      </c>
      <c r="AB50" s="103" t="s">
        <v>4798</v>
      </c>
    </row>
    <row r="51" spans="1:29" ht="15" outlineLevel="1" x14ac:dyDescent="0.25">
      <c r="A51" s="89" t="s">
        <v>5561</v>
      </c>
      <c r="B51" s="90"/>
      <c r="C51" s="198">
        <v>1</v>
      </c>
      <c r="D51" s="103" t="s">
        <v>5159</v>
      </c>
      <c r="E51" s="105">
        <v>1</v>
      </c>
      <c r="F51" s="103" t="s">
        <v>5159</v>
      </c>
      <c r="G51" s="105">
        <v>1</v>
      </c>
      <c r="H51" s="103" t="s">
        <v>5159</v>
      </c>
      <c r="I51" s="105">
        <v>1</v>
      </c>
      <c r="J51" s="103" t="s">
        <v>5159</v>
      </c>
      <c r="K51" s="194">
        <v>1</v>
      </c>
      <c r="L51" s="103" t="s">
        <v>4872</v>
      </c>
      <c r="M51" s="193">
        <v>1</v>
      </c>
      <c r="N51" s="103" t="s">
        <v>5159</v>
      </c>
      <c r="O51" s="193" t="s">
        <v>6267</v>
      </c>
      <c r="P51" s="103" t="s">
        <v>5159</v>
      </c>
      <c r="Q51" s="193" t="s">
        <v>6267</v>
      </c>
      <c r="R51" s="103" t="s">
        <v>5159</v>
      </c>
      <c r="S51" s="193" t="s">
        <v>6267</v>
      </c>
      <c r="T51" s="103" t="s">
        <v>5159</v>
      </c>
      <c r="U51" s="105">
        <v>1</v>
      </c>
      <c r="V51" s="103" t="s">
        <v>5159</v>
      </c>
      <c r="W51" s="105">
        <v>1</v>
      </c>
      <c r="X51" s="103" t="s">
        <v>5159</v>
      </c>
      <c r="Y51" s="105">
        <v>1</v>
      </c>
      <c r="Z51" s="103" t="s">
        <v>5159</v>
      </c>
      <c r="AA51" s="105">
        <v>1</v>
      </c>
      <c r="AB51" s="103" t="s">
        <v>4798</v>
      </c>
    </row>
    <row r="52" spans="1:29" ht="15" outlineLevel="1" x14ac:dyDescent="0.25">
      <c r="A52" s="89" t="s">
        <v>5562</v>
      </c>
      <c r="B52" s="90"/>
      <c r="C52" s="198">
        <v>1</v>
      </c>
      <c r="D52" s="103" t="s">
        <v>5159</v>
      </c>
      <c r="E52" s="105">
        <v>1</v>
      </c>
      <c r="F52" s="103" t="s">
        <v>5159</v>
      </c>
      <c r="G52" s="105">
        <v>1</v>
      </c>
      <c r="H52" s="103" t="s">
        <v>5159</v>
      </c>
      <c r="I52" s="105">
        <v>1</v>
      </c>
      <c r="J52" s="103" t="s">
        <v>5159</v>
      </c>
      <c r="K52" s="194">
        <v>1</v>
      </c>
      <c r="L52" s="103" t="s">
        <v>4872</v>
      </c>
      <c r="M52" s="193">
        <v>1</v>
      </c>
      <c r="N52" s="103" t="s">
        <v>5159</v>
      </c>
      <c r="O52" s="193" t="s">
        <v>6267</v>
      </c>
      <c r="P52" s="103" t="s">
        <v>5159</v>
      </c>
      <c r="Q52" s="193" t="s">
        <v>6267</v>
      </c>
      <c r="R52" s="103" t="s">
        <v>5159</v>
      </c>
      <c r="S52" s="193" t="s">
        <v>6267</v>
      </c>
      <c r="T52" s="103" t="s">
        <v>5159</v>
      </c>
      <c r="U52" s="105">
        <v>1</v>
      </c>
      <c r="V52" s="103" t="s">
        <v>5159</v>
      </c>
      <c r="W52" s="105">
        <v>1</v>
      </c>
      <c r="X52" s="103" t="s">
        <v>5159</v>
      </c>
      <c r="Y52" s="105">
        <v>1</v>
      </c>
      <c r="Z52" s="103" t="s">
        <v>5159</v>
      </c>
      <c r="AA52" s="105">
        <v>1</v>
      </c>
      <c r="AB52" s="103" t="s">
        <v>4798</v>
      </c>
    </row>
    <row r="53" spans="1:29" ht="15" outlineLevel="1" x14ac:dyDescent="0.25">
      <c r="A53" s="89" t="s">
        <v>5563</v>
      </c>
      <c r="B53" s="90"/>
      <c r="C53" s="198">
        <v>1</v>
      </c>
      <c r="D53" s="103" t="s">
        <v>5159</v>
      </c>
      <c r="E53" s="105">
        <v>1</v>
      </c>
      <c r="F53" s="103" t="s">
        <v>5159</v>
      </c>
      <c r="G53" s="105">
        <v>1</v>
      </c>
      <c r="H53" s="103" t="s">
        <v>5159</v>
      </c>
      <c r="I53" s="105">
        <v>1</v>
      </c>
      <c r="J53" s="103" t="s">
        <v>5159</v>
      </c>
      <c r="K53" s="194">
        <v>1</v>
      </c>
      <c r="L53" s="103" t="s">
        <v>4872</v>
      </c>
      <c r="M53" s="193">
        <v>1</v>
      </c>
      <c r="N53" s="103" t="s">
        <v>5159</v>
      </c>
      <c r="O53" s="193" t="s">
        <v>6267</v>
      </c>
      <c r="P53" s="103" t="s">
        <v>5159</v>
      </c>
      <c r="Q53" s="193" t="s">
        <v>6267</v>
      </c>
      <c r="R53" s="103" t="s">
        <v>5159</v>
      </c>
      <c r="S53" s="193" t="s">
        <v>6267</v>
      </c>
      <c r="T53" s="103" t="s">
        <v>5159</v>
      </c>
      <c r="U53" s="105">
        <v>1</v>
      </c>
      <c r="V53" s="103" t="s">
        <v>5159</v>
      </c>
      <c r="W53" s="105">
        <v>1</v>
      </c>
      <c r="X53" s="103" t="s">
        <v>5159</v>
      </c>
      <c r="Y53" s="105">
        <v>1</v>
      </c>
      <c r="Z53" s="103" t="s">
        <v>5159</v>
      </c>
      <c r="AA53" s="105">
        <v>1</v>
      </c>
      <c r="AB53" s="103" t="s">
        <v>4798</v>
      </c>
    </row>
    <row r="54" spans="1:29" ht="15" outlineLevel="1" x14ac:dyDescent="0.25">
      <c r="A54" s="89" t="s">
        <v>5564</v>
      </c>
      <c r="B54" s="90"/>
      <c r="C54" s="198">
        <v>1</v>
      </c>
      <c r="D54" s="103" t="s">
        <v>5159</v>
      </c>
      <c r="E54" s="105">
        <v>1</v>
      </c>
      <c r="F54" s="103" t="s">
        <v>5159</v>
      </c>
      <c r="G54" s="105">
        <v>1</v>
      </c>
      <c r="H54" s="103" t="s">
        <v>5159</v>
      </c>
      <c r="I54" s="105">
        <v>1</v>
      </c>
      <c r="J54" s="103" t="s">
        <v>5159</v>
      </c>
      <c r="K54" s="194">
        <v>1</v>
      </c>
      <c r="L54" s="103" t="s">
        <v>4872</v>
      </c>
      <c r="M54" s="193">
        <v>1</v>
      </c>
      <c r="N54" s="103" t="s">
        <v>5159</v>
      </c>
      <c r="O54" s="193" t="s">
        <v>6267</v>
      </c>
      <c r="P54" s="103" t="s">
        <v>5159</v>
      </c>
      <c r="Q54" s="193" t="s">
        <v>6267</v>
      </c>
      <c r="R54" s="103" t="s">
        <v>5159</v>
      </c>
      <c r="S54" s="193" t="s">
        <v>6267</v>
      </c>
      <c r="T54" s="103" t="s">
        <v>5159</v>
      </c>
      <c r="U54" s="105">
        <v>1</v>
      </c>
      <c r="V54" s="103" t="s">
        <v>5159</v>
      </c>
      <c r="W54" s="105">
        <v>1</v>
      </c>
      <c r="X54" s="103" t="s">
        <v>5159</v>
      </c>
      <c r="Y54" s="105">
        <v>1</v>
      </c>
      <c r="Z54" s="103" t="s">
        <v>5159</v>
      </c>
      <c r="AA54" s="105">
        <v>1</v>
      </c>
      <c r="AB54" s="103" t="s">
        <v>4798</v>
      </c>
    </row>
    <row r="55" spans="1:29" ht="15" outlineLevel="1" x14ac:dyDescent="0.25">
      <c r="A55" s="89" t="s">
        <v>5565</v>
      </c>
      <c r="B55" s="90"/>
      <c r="C55" s="198">
        <v>1</v>
      </c>
      <c r="D55" s="103" t="s">
        <v>5159</v>
      </c>
      <c r="E55" s="105">
        <v>1</v>
      </c>
      <c r="F55" s="103" t="s">
        <v>5159</v>
      </c>
      <c r="G55" s="105">
        <v>1</v>
      </c>
      <c r="H55" s="103" t="s">
        <v>5159</v>
      </c>
      <c r="I55" s="105">
        <v>1</v>
      </c>
      <c r="J55" s="103" t="s">
        <v>5159</v>
      </c>
      <c r="K55" s="194">
        <v>1</v>
      </c>
      <c r="L55" s="103" t="s">
        <v>4872</v>
      </c>
      <c r="M55" s="193">
        <v>1</v>
      </c>
      <c r="N55" s="103" t="s">
        <v>5159</v>
      </c>
      <c r="O55" s="193" t="s">
        <v>6267</v>
      </c>
      <c r="P55" s="103" t="s">
        <v>5159</v>
      </c>
      <c r="Q55" s="193" t="s">
        <v>6267</v>
      </c>
      <c r="R55" s="103" t="s">
        <v>5159</v>
      </c>
      <c r="S55" s="193" t="s">
        <v>6267</v>
      </c>
      <c r="T55" s="103" t="s">
        <v>5159</v>
      </c>
      <c r="U55" s="105">
        <v>1</v>
      </c>
      <c r="V55" s="103" t="s">
        <v>5159</v>
      </c>
      <c r="W55" s="105">
        <v>1</v>
      </c>
      <c r="X55" s="103" t="s">
        <v>5159</v>
      </c>
      <c r="Y55" s="105">
        <v>1</v>
      </c>
      <c r="Z55" s="103" t="s">
        <v>5159</v>
      </c>
      <c r="AA55" s="105">
        <v>1</v>
      </c>
      <c r="AB55" s="103" t="s">
        <v>4798</v>
      </c>
    </row>
    <row r="56" spans="1:29" ht="15" outlineLevel="1" x14ac:dyDescent="0.25">
      <c r="A56" s="89" t="s">
        <v>5566</v>
      </c>
      <c r="B56" s="90"/>
      <c r="C56" s="198">
        <v>1</v>
      </c>
      <c r="D56" s="103" t="s">
        <v>5159</v>
      </c>
      <c r="E56" s="105">
        <v>1</v>
      </c>
      <c r="F56" s="103" t="s">
        <v>5159</v>
      </c>
      <c r="G56" s="105">
        <v>1</v>
      </c>
      <c r="H56" s="103" t="s">
        <v>5159</v>
      </c>
      <c r="I56" s="105">
        <v>1</v>
      </c>
      <c r="J56" s="103" t="s">
        <v>5159</v>
      </c>
      <c r="K56" s="194">
        <v>1</v>
      </c>
      <c r="L56" s="103" t="s">
        <v>4872</v>
      </c>
      <c r="M56" s="193">
        <v>1</v>
      </c>
      <c r="N56" s="103" t="s">
        <v>5159</v>
      </c>
      <c r="O56" s="193" t="s">
        <v>6267</v>
      </c>
      <c r="P56" s="103" t="s">
        <v>5159</v>
      </c>
      <c r="Q56" s="193" t="s">
        <v>6267</v>
      </c>
      <c r="R56" s="103" t="s">
        <v>5159</v>
      </c>
      <c r="S56" s="193" t="s">
        <v>6267</v>
      </c>
      <c r="T56" s="103" t="s">
        <v>5159</v>
      </c>
      <c r="U56" s="105">
        <v>1</v>
      </c>
      <c r="V56" s="103" t="s">
        <v>5159</v>
      </c>
      <c r="W56" s="105">
        <v>1</v>
      </c>
      <c r="X56" s="103" t="s">
        <v>5159</v>
      </c>
      <c r="Y56" s="105">
        <v>1</v>
      </c>
      <c r="Z56" s="103" t="s">
        <v>5159</v>
      </c>
      <c r="AA56" s="105">
        <v>1</v>
      </c>
      <c r="AB56" s="103" t="s">
        <v>4798</v>
      </c>
    </row>
    <row r="57" spans="1:29" ht="15" outlineLevel="1" x14ac:dyDescent="0.25">
      <c r="A57" s="89" t="s">
        <v>5567</v>
      </c>
      <c r="B57" s="90"/>
      <c r="C57" s="198">
        <v>1</v>
      </c>
      <c r="D57" s="103" t="s">
        <v>5159</v>
      </c>
      <c r="E57" s="105">
        <v>1</v>
      </c>
      <c r="F57" s="103" t="s">
        <v>5159</v>
      </c>
      <c r="G57" s="105">
        <v>1</v>
      </c>
      <c r="H57" s="103" t="s">
        <v>5159</v>
      </c>
      <c r="I57" s="105">
        <v>1</v>
      </c>
      <c r="J57" s="103" t="s">
        <v>5159</v>
      </c>
      <c r="K57" s="194">
        <v>1</v>
      </c>
      <c r="L57" s="103" t="s">
        <v>4872</v>
      </c>
      <c r="M57" s="193">
        <v>1</v>
      </c>
      <c r="N57" s="103" t="s">
        <v>5159</v>
      </c>
      <c r="O57" s="193" t="s">
        <v>6267</v>
      </c>
      <c r="P57" s="103" t="s">
        <v>5159</v>
      </c>
      <c r="Q57" s="193" t="s">
        <v>6267</v>
      </c>
      <c r="R57" s="103" t="s">
        <v>5159</v>
      </c>
      <c r="S57" s="193" t="s">
        <v>6267</v>
      </c>
      <c r="T57" s="103" t="s">
        <v>5159</v>
      </c>
      <c r="U57" s="105">
        <v>1</v>
      </c>
      <c r="V57" s="103" t="s">
        <v>5159</v>
      </c>
      <c r="W57" s="105">
        <v>1</v>
      </c>
      <c r="X57" s="103" t="s">
        <v>5159</v>
      </c>
      <c r="Y57" s="105">
        <v>1</v>
      </c>
      <c r="Z57" s="103" t="s">
        <v>5159</v>
      </c>
      <c r="AA57" s="105">
        <v>1</v>
      </c>
      <c r="AB57" s="103" t="s">
        <v>4798</v>
      </c>
    </row>
    <row r="58" spans="1:29" ht="15" outlineLevel="1" x14ac:dyDescent="0.25">
      <c r="A58" s="89" t="s">
        <v>5568</v>
      </c>
      <c r="B58" s="90"/>
      <c r="C58" s="198">
        <v>1</v>
      </c>
      <c r="D58" s="103" t="s">
        <v>5159</v>
      </c>
      <c r="E58" s="105">
        <v>1</v>
      </c>
      <c r="F58" s="103" t="s">
        <v>5159</v>
      </c>
      <c r="G58" s="105">
        <v>1</v>
      </c>
      <c r="H58" s="103" t="s">
        <v>5159</v>
      </c>
      <c r="I58" s="105">
        <v>1</v>
      </c>
      <c r="J58" s="103" t="s">
        <v>5159</v>
      </c>
      <c r="K58" s="194">
        <v>1</v>
      </c>
      <c r="L58" s="103" t="s">
        <v>4872</v>
      </c>
      <c r="M58" s="193">
        <v>1</v>
      </c>
      <c r="N58" s="103" t="s">
        <v>5159</v>
      </c>
      <c r="O58" s="193" t="s">
        <v>6268</v>
      </c>
      <c r="P58" s="103" t="s">
        <v>5159</v>
      </c>
      <c r="Q58" s="193" t="s">
        <v>6268</v>
      </c>
      <c r="R58" s="103" t="s">
        <v>5159</v>
      </c>
      <c r="S58" s="193" t="s">
        <v>6268</v>
      </c>
      <c r="T58" s="103" t="s">
        <v>5159</v>
      </c>
      <c r="U58" s="105">
        <v>1</v>
      </c>
      <c r="V58" s="103" t="s">
        <v>5159</v>
      </c>
      <c r="W58" s="105">
        <v>1</v>
      </c>
      <c r="X58" s="103" t="s">
        <v>5159</v>
      </c>
      <c r="Y58" s="105">
        <v>1</v>
      </c>
      <c r="Z58" s="103" t="s">
        <v>5159</v>
      </c>
      <c r="AA58" s="105">
        <v>1</v>
      </c>
      <c r="AB58" s="103" t="s">
        <v>4798</v>
      </c>
    </row>
    <row r="59" spans="1:29" ht="15" outlineLevel="1" x14ac:dyDescent="0.25">
      <c r="A59" s="89" t="s">
        <v>5569</v>
      </c>
      <c r="B59" s="90"/>
      <c r="C59" s="198">
        <v>0</v>
      </c>
      <c r="D59" s="103" t="s">
        <v>5159</v>
      </c>
      <c r="E59" s="105">
        <v>1</v>
      </c>
      <c r="F59" s="103" t="s">
        <v>5159</v>
      </c>
      <c r="G59" s="105">
        <v>1</v>
      </c>
      <c r="H59" s="103" t="s">
        <v>5159</v>
      </c>
      <c r="I59" s="105" t="s">
        <v>6268</v>
      </c>
      <c r="J59" s="103" t="s">
        <v>4798</v>
      </c>
      <c r="K59" s="194">
        <v>1</v>
      </c>
      <c r="L59" s="103" t="s">
        <v>4872</v>
      </c>
      <c r="M59" s="193" t="s">
        <v>6268</v>
      </c>
      <c r="N59" s="103" t="s">
        <v>4798</v>
      </c>
      <c r="O59" s="193" t="s">
        <v>6268</v>
      </c>
      <c r="P59" s="103" t="s">
        <v>5159</v>
      </c>
      <c r="Q59" s="193" t="s">
        <v>6268</v>
      </c>
      <c r="R59" s="103" t="s">
        <v>4798</v>
      </c>
      <c r="S59" s="193" t="s">
        <v>6268</v>
      </c>
      <c r="T59" s="103" t="s">
        <v>5159</v>
      </c>
      <c r="U59" s="105">
        <v>1</v>
      </c>
      <c r="V59" s="103" t="s">
        <v>5159</v>
      </c>
      <c r="W59" s="105">
        <v>1</v>
      </c>
      <c r="X59" s="103" t="s">
        <v>5159</v>
      </c>
      <c r="Y59" s="105">
        <v>1</v>
      </c>
      <c r="Z59" s="103" t="s">
        <v>5159</v>
      </c>
      <c r="AA59" s="105">
        <v>1</v>
      </c>
      <c r="AB59" s="103" t="s">
        <v>4798</v>
      </c>
    </row>
    <row r="60" spans="1:29" ht="15" outlineLevel="1" x14ac:dyDescent="0.25">
      <c r="A60" s="89" t="s">
        <v>5570</v>
      </c>
      <c r="B60" s="90"/>
      <c r="C60" s="198">
        <v>0</v>
      </c>
      <c r="D60" s="103" t="s">
        <v>5159</v>
      </c>
      <c r="E60" s="105">
        <v>1</v>
      </c>
      <c r="F60" s="103" t="s">
        <v>5159</v>
      </c>
      <c r="G60" s="105">
        <v>1</v>
      </c>
      <c r="H60" s="103" t="s">
        <v>5159</v>
      </c>
      <c r="I60" s="105" t="s">
        <v>6268</v>
      </c>
      <c r="J60" s="103" t="s">
        <v>4798</v>
      </c>
      <c r="K60" s="194">
        <v>1</v>
      </c>
      <c r="L60" s="103" t="s">
        <v>4872</v>
      </c>
      <c r="M60" s="193" t="s">
        <v>6268</v>
      </c>
      <c r="N60" s="103" t="s">
        <v>4798</v>
      </c>
      <c r="O60" s="193" t="s">
        <v>6268</v>
      </c>
      <c r="P60" s="103" t="s">
        <v>5159</v>
      </c>
      <c r="Q60" s="193" t="s">
        <v>6268</v>
      </c>
      <c r="R60" s="103" t="s">
        <v>4798</v>
      </c>
      <c r="S60" s="193" t="s">
        <v>6268</v>
      </c>
      <c r="T60" s="103" t="s">
        <v>5159</v>
      </c>
      <c r="U60" s="105">
        <v>1</v>
      </c>
      <c r="V60" s="103" t="s">
        <v>5159</v>
      </c>
      <c r="W60" s="105">
        <v>1</v>
      </c>
      <c r="X60" s="103" t="s">
        <v>5159</v>
      </c>
      <c r="Y60" s="105">
        <v>1</v>
      </c>
      <c r="Z60" s="103" t="s">
        <v>5159</v>
      </c>
      <c r="AA60" s="105">
        <v>1</v>
      </c>
      <c r="AB60" s="103" t="s">
        <v>4798</v>
      </c>
    </row>
    <row r="61" spans="1:29" ht="15" outlineLevel="1" x14ac:dyDescent="0.25">
      <c r="A61" s="89" t="s">
        <v>5571</v>
      </c>
      <c r="B61" s="90"/>
      <c r="C61" s="198">
        <v>0</v>
      </c>
      <c r="D61" s="103" t="s">
        <v>5159</v>
      </c>
      <c r="E61" s="105">
        <v>1</v>
      </c>
      <c r="F61" s="103" t="s">
        <v>5159</v>
      </c>
      <c r="G61" s="105">
        <v>1</v>
      </c>
      <c r="H61" s="103" t="s">
        <v>5159</v>
      </c>
      <c r="I61" s="105" t="s">
        <v>6268</v>
      </c>
      <c r="J61" s="103" t="s">
        <v>4798</v>
      </c>
      <c r="K61" s="194">
        <v>1</v>
      </c>
      <c r="L61" s="103" t="s">
        <v>4872</v>
      </c>
      <c r="M61" s="193" t="s">
        <v>6268</v>
      </c>
      <c r="N61" s="103" t="s">
        <v>4798</v>
      </c>
      <c r="O61" s="193" t="s">
        <v>6268</v>
      </c>
      <c r="P61" s="103" t="s">
        <v>5159</v>
      </c>
      <c r="Q61" s="193" t="s">
        <v>6268</v>
      </c>
      <c r="R61" s="103" t="s">
        <v>4798</v>
      </c>
      <c r="S61" s="193" t="s">
        <v>6268</v>
      </c>
      <c r="T61" s="103" t="s">
        <v>5159</v>
      </c>
      <c r="U61" s="105">
        <v>1</v>
      </c>
      <c r="V61" s="103" t="s">
        <v>5159</v>
      </c>
      <c r="W61" s="105">
        <v>1</v>
      </c>
      <c r="X61" s="103" t="s">
        <v>5159</v>
      </c>
      <c r="Y61" s="105">
        <v>1</v>
      </c>
      <c r="Z61" s="103" t="s">
        <v>5159</v>
      </c>
      <c r="AA61" s="105">
        <v>1</v>
      </c>
      <c r="AB61" s="103" t="s">
        <v>4798</v>
      </c>
    </row>
    <row r="62" spans="1:29" ht="15" outlineLevel="1" x14ac:dyDescent="0.25">
      <c r="A62" s="89" t="s">
        <v>5572</v>
      </c>
      <c r="B62" s="90"/>
      <c r="C62" s="198">
        <v>0</v>
      </c>
      <c r="D62" s="103" t="s">
        <v>5159</v>
      </c>
      <c r="E62" s="105">
        <v>1</v>
      </c>
      <c r="F62" s="103" t="s">
        <v>5159</v>
      </c>
      <c r="G62" s="105">
        <v>1</v>
      </c>
      <c r="H62" s="103" t="s">
        <v>5159</v>
      </c>
      <c r="I62" s="105" t="s">
        <v>6268</v>
      </c>
      <c r="J62" s="103" t="s">
        <v>4798</v>
      </c>
      <c r="K62" s="194">
        <v>1</v>
      </c>
      <c r="L62" s="103" t="s">
        <v>4872</v>
      </c>
      <c r="M62" s="193" t="s">
        <v>6268</v>
      </c>
      <c r="N62" s="103" t="s">
        <v>4798</v>
      </c>
      <c r="O62" s="193" t="s">
        <v>6268</v>
      </c>
      <c r="P62" s="103" t="s">
        <v>5159</v>
      </c>
      <c r="Q62" s="193" t="s">
        <v>6268</v>
      </c>
      <c r="R62" s="103" t="s">
        <v>4798</v>
      </c>
      <c r="S62" s="193" t="s">
        <v>6268</v>
      </c>
      <c r="T62" s="103" t="s">
        <v>5159</v>
      </c>
      <c r="U62" s="105">
        <v>1</v>
      </c>
      <c r="V62" s="103" t="s">
        <v>5159</v>
      </c>
      <c r="W62" s="105">
        <v>1</v>
      </c>
      <c r="X62" s="103" t="s">
        <v>5159</v>
      </c>
      <c r="Y62" s="105">
        <v>1</v>
      </c>
      <c r="Z62" s="103" t="s">
        <v>5159</v>
      </c>
      <c r="AA62" s="105">
        <v>1</v>
      </c>
      <c r="AB62" s="103" t="s">
        <v>4798</v>
      </c>
    </row>
    <row r="63" spans="1:29" ht="15" outlineLevel="1" x14ac:dyDescent="0.25">
      <c r="A63" s="89" t="s">
        <v>5573</v>
      </c>
      <c r="B63" s="90"/>
      <c r="C63" s="198">
        <v>0</v>
      </c>
      <c r="D63" s="103" t="s">
        <v>5159</v>
      </c>
      <c r="E63" s="105">
        <v>1</v>
      </c>
      <c r="F63" s="103" t="s">
        <v>5159</v>
      </c>
      <c r="G63" s="105">
        <v>1</v>
      </c>
      <c r="H63" s="103" t="s">
        <v>5159</v>
      </c>
      <c r="I63" s="105" t="s">
        <v>6268</v>
      </c>
      <c r="J63" s="103" t="s">
        <v>4798</v>
      </c>
      <c r="K63" s="194">
        <v>1</v>
      </c>
      <c r="L63" s="103" t="s">
        <v>4872</v>
      </c>
      <c r="M63" s="193" t="s">
        <v>6268</v>
      </c>
      <c r="N63" s="103" t="s">
        <v>4798</v>
      </c>
      <c r="O63" s="193" t="s">
        <v>6268</v>
      </c>
      <c r="P63" s="103" t="s">
        <v>5159</v>
      </c>
      <c r="Q63" s="193" t="s">
        <v>6268</v>
      </c>
      <c r="R63" s="103" t="s">
        <v>4798</v>
      </c>
      <c r="S63" s="193" t="s">
        <v>6268</v>
      </c>
      <c r="T63" s="103" t="s">
        <v>5159</v>
      </c>
      <c r="U63" s="105">
        <v>1</v>
      </c>
      <c r="V63" s="103" t="s">
        <v>5159</v>
      </c>
      <c r="W63" s="105">
        <v>1</v>
      </c>
      <c r="X63" s="103" t="s">
        <v>5159</v>
      </c>
      <c r="Y63" s="105">
        <v>1</v>
      </c>
      <c r="Z63" s="103" t="s">
        <v>5159</v>
      </c>
      <c r="AA63" s="105">
        <v>1</v>
      </c>
      <c r="AB63" s="103" t="s">
        <v>4798</v>
      </c>
    </row>
    <row r="64" spans="1:29" ht="15" outlineLevel="1" x14ac:dyDescent="0.25">
      <c r="A64" s="89" t="s">
        <v>5574</v>
      </c>
      <c r="B64" s="90"/>
      <c r="C64" s="198">
        <v>0</v>
      </c>
      <c r="D64" s="103" t="s">
        <v>5159</v>
      </c>
      <c r="E64" s="105">
        <v>1</v>
      </c>
      <c r="F64" s="103" t="s">
        <v>5159</v>
      </c>
      <c r="G64" s="105">
        <v>1</v>
      </c>
      <c r="H64" s="103" t="s">
        <v>5159</v>
      </c>
      <c r="I64" s="105" t="s">
        <v>6268</v>
      </c>
      <c r="J64" s="103" t="s">
        <v>4798</v>
      </c>
      <c r="K64" s="194">
        <v>1</v>
      </c>
      <c r="L64" s="103" t="s">
        <v>4872</v>
      </c>
      <c r="M64" s="193" t="s">
        <v>6268</v>
      </c>
      <c r="N64" s="103" t="s">
        <v>4798</v>
      </c>
      <c r="O64" s="193" t="s">
        <v>6268</v>
      </c>
      <c r="P64" s="103" t="s">
        <v>5159</v>
      </c>
      <c r="Q64" s="193" t="s">
        <v>6268</v>
      </c>
      <c r="R64" s="103" t="s">
        <v>4798</v>
      </c>
      <c r="S64" s="193" t="s">
        <v>6268</v>
      </c>
      <c r="T64" s="103" t="s">
        <v>5159</v>
      </c>
      <c r="U64" s="105">
        <v>1</v>
      </c>
      <c r="V64" s="103" t="s">
        <v>5159</v>
      </c>
      <c r="W64" s="105">
        <v>1</v>
      </c>
      <c r="X64" s="103" t="s">
        <v>5159</v>
      </c>
      <c r="Y64" s="105">
        <v>1</v>
      </c>
      <c r="Z64" s="103" t="s">
        <v>5159</v>
      </c>
      <c r="AA64" s="105">
        <v>1</v>
      </c>
      <c r="AB64" s="103" t="s">
        <v>4798</v>
      </c>
    </row>
    <row r="65" spans="1:28" ht="15" outlineLevel="1" x14ac:dyDescent="0.25">
      <c r="A65" s="89" t="s">
        <v>5575</v>
      </c>
      <c r="B65" s="90"/>
      <c r="C65" s="198">
        <v>0</v>
      </c>
      <c r="D65" s="103" t="s">
        <v>5159</v>
      </c>
      <c r="E65" s="105">
        <v>1</v>
      </c>
      <c r="F65" s="103" t="s">
        <v>5159</v>
      </c>
      <c r="G65" s="105">
        <v>1</v>
      </c>
      <c r="H65" s="103" t="s">
        <v>5159</v>
      </c>
      <c r="I65" s="105" t="s">
        <v>6268</v>
      </c>
      <c r="J65" s="103" t="s">
        <v>4798</v>
      </c>
      <c r="K65" s="194">
        <v>1</v>
      </c>
      <c r="L65" s="103" t="s">
        <v>4872</v>
      </c>
      <c r="M65" s="193" t="s">
        <v>6268</v>
      </c>
      <c r="N65" s="103" t="s">
        <v>4798</v>
      </c>
      <c r="O65" s="193" t="s">
        <v>6268</v>
      </c>
      <c r="P65" s="103" t="s">
        <v>5159</v>
      </c>
      <c r="Q65" s="193" t="s">
        <v>6268</v>
      </c>
      <c r="R65" s="103" t="s">
        <v>4798</v>
      </c>
      <c r="S65" s="193" t="s">
        <v>6268</v>
      </c>
      <c r="T65" s="103" t="s">
        <v>5159</v>
      </c>
      <c r="U65" s="105">
        <v>1</v>
      </c>
      <c r="V65" s="103" t="s">
        <v>5159</v>
      </c>
      <c r="W65" s="105">
        <v>1</v>
      </c>
      <c r="X65" s="103" t="s">
        <v>5159</v>
      </c>
      <c r="Y65" s="105">
        <v>1</v>
      </c>
      <c r="Z65" s="103" t="s">
        <v>5159</v>
      </c>
      <c r="AA65" s="105">
        <v>1</v>
      </c>
      <c r="AB65" s="103" t="s">
        <v>4798</v>
      </c>
    </row>
    <row r="66" spans="1:28" ht="15" outlineLevel="1" x14ac:dyDescent="0.25">
      <c r="A66" s="89" t="s">
        <v>5576</v>
      </c>
      <c r="B66" s="90"/>
      <c r="C66" s="198">
        <v>0</v>
      </c>
      <c r="D66" s="103" t="s">
        <v>5159</v>
      </c>
      <c r="E66" s="105">
        <v>1</v>
      </c>
      <c r="F66" s="103" t="s">
        <v>5159</v>
      </c>
      <c r="G66" s="105">
        <v>1</v>
      </c>
      <c r="H66" s="103" t="s">
        <v>5159</v>
      </c>
      <c r="I66" s="105" t="s">
        <v>6268</v>
      </c>
      <c r="J66" s="103" t="s">
        <v>4798</v>
      </c>
      <c r="K66" s="194">
        <v>1</v>
      </c>
      <c r="L66" s="103" t="s">
        <v>4872</v>
      </c>
      <c r="M66" s="193" t="s">
        <v>6268</v>
      </c>
      <c r="N66" s="103" t="s">
        <v>4798</v>
      </c>
      <c r="O66" s="193" t="s">
        <v>6268</v>
      </c>
      <c r="P66" s="103" t="s">
        <v>5159</v>
      </c>
      <c r="Q66" s="193" t="s">
        <v>6268</v>
      </c>
      <c r="R66" s="103" t="s">
        <v>4798</v>
      </c>
      <c r="S66" s="193" t="s">
        <v>6268</v>
      </c>
      <c r="T66" s="103" t="s">
        <v>5159</v>
      </c>
      <c r="U66" s="105">
        <v>1</v>
      </c>
      <c r="V66" s="103" t="s">
        <v>5159</v>
      </c>
      <c r="W66" s="105">
        <v>1</v>
      </c>
      <c r="X66" s="103" t="s">
        <v>5159</v>
      </c>
      <c r="Y66" s="105">
        <v>1</v>
      </c>
      <c r="Z66" s="103" t="s">
        <v>5159</v>
      </c>
      <c r="AA66" s="105">
        <v>1</v>
      </c>
      <c r="AB66" s="103" t="s">
        <v>4798</v>
      </c>
    </row>
    <row r="67" spans="1:28" ht="15" outlineLevel="1" x14ac:dyDescent="0.25">
      <c r="A67" s="89" t="s">
        <v>5577</v>
      </c>
      <c r="B67" s="90"/>
      <c r="C67" s="198">
        <v>0</v>
      </c>
      <c r="D67" s="103" t="s">
        <v>5159</v>
      </c>
      <c r="E67" s="105">
        <v>1</v>
      </c>
      <c r="F67" s="103" t="s">
        <v>5159</v>
      </c>
      <c r="G67" s="105">
        <v>1</v>
      </c>
      <c r="H67" s="103" t="s">
        <v>5159</v>
      </c>
      <c r="I67" s="105" t="s">
        <v>6268</v>
      </c>
      <c r="J67" s="103" t="s">
        <v>4798</v>
      </c>
      <c r="K67" s="194">
        <v>1</v>
      </c>
      <c r="L67" s="103" t="s">
        <v>4872</v>
      </c>
      <c r="M67" s="193" t="s">
        <v>6268</v>
      </c>
      <c r="N67" s="103" t="s">
        <v>4798</v>
      </c>
      <c r="O67" s="193" t="s">
        <v>6268</v>
      </c>
      <c r="P67" s="103" t="s">
        <v>5159</v>
      </c>
      <c r="Q67" s="193" t="s">
        <v>6268</v>
      </c>
      <c r="R67" s="103" t="s">
        <v>4798</v>
      </c>
      <c r="S67" s="193" t="s">
        <v>6268</v>
      </c>
      <c r="T67" s="103" t="s">
        <v>5159</v>
      </c>
      <c r="U67" s="105">
        <v>1</v>
      </c>
      <c r="V67" s="103" t="s">
        <v>5159</v>
      </c>
      <c r="W67" s="105">
        <v>1</v>
      </c>
      <c r="X67" s="103" t="s">
        <v>5159</v>
      </c>
      <c r="Y67" s="105">
        <v>1</v>
      </c>
      <c r="Z67" s="103" t="s">
        <v>5159</v>
      </c>
      <c r="AA67" s="105">
        <v>1</v>
      </c>
      <c r="AB67" s="103" t="s">
        <v>4798</v>
      </c>
    </row>
    <row r="68" spans="1:28" ht="15" outlineLevel="1" x14ac:dyDescent="0.25">
      <c r="A68" s="89" t="s">
        <v>5578</v>
      </c>
      <c r="B68" s="90"/>
      <c r="C68" s="198">
        <v>0</v>
      </c>
      <c r="D68" s="103" t="s">
        <v>5159</v>
      </c>
      <c r="E68" s="105">
        <v>1</v>
      </c>
      <c r="F68" s="103" t="s">
        <v>5159</v>
      </c>
      <c r="G68" s="105">
        <v>1</v>
      </c>
      <c r="H68" s="103" t="s">
        <v>5159</v>
      </c>
      <c r="I68" s="105" t="s">
        <v>6268</v>
      </c>
      <c r="J68" s="103" t="s">
        <v>4798</v>
      </c>
      <c r="K68" s="194">
        <v>1</v>
      </c>
      <c r="L68" s="103" t="s">
        <v>4872</v>
      </c>
      <c r="M68" s="193" t="s">
        <v>6268</v>
      </c>
      <c r="N68" s="103" t="s">
        <v>4798</v>
      </c>
      <c r="O68" s="193" t="s">
        <v>6268</v>
      </c>
      <c r="P68" s="103" t="s">
        <v>5159</v>
      </c>
      <c r="Q68" s="193" t="s">
        <v>6268</v>
      </c>
      <c r="R68" s="103" t="s">
        <v>4798</v>
      </c>
      <c r="S68" s="193" t="s">
        <v>6268</v>
      </c>
      <c r="T68" s="103" t="s">
        <v>5159</v>
      </c>
      <c r="U68" s="105">
        <v>1</v>
      </c>
      <c r="V68" s="103" t="s">
        <v>5159</v>
      </c>
      <c r="W68" s="105">
        <v>1</v>
      </c>
      <c r="X68" s="103" t="s">
        <v>5159</v>
      </c>
      <c r="Y68" s="105">
        <v>1</v>
      </c>
      <c r="Z68" s="103" t="s">
        <v>5159</v>
      </c>
      <c r="AA68" s="105">
        <v>1</v>
      </c>
      <c r="AB68" s="103" t="s">
        <v>4798</v>
      </c>
    </row>
    <row r="69" spans="1:28" ht="15" outlineLevel="1" x14ac:dyDescent="0.25">
      <c r="A69" s="89" t="s">
        <v>5579</v>
      </c>
      <c r="B69" s="90"/>
      <c r="C69" s="198">
        <v>0</v>
      </c>
      <c r="D69" s="103" t="s">
        <v>5159</v>
      </c>
      <c r="E69" s="105">
        <v>1</v>
      </c>
      <c r="F69" s="103" t="s">
        <v>5159</v>
      </c>
      <c r="G69" s="105">
        <v>1</v>
      </c>
      <c r="H69" s="103" t="s">
        <v>5159</v>
      </c>
      <c r="I69" s="105" t="s">
        <v>6268</v>
      </c>
      <c r="J69" s="103" t="s">
        <v>4798</v>
      </c>
      <c r="K69" s="194">
        <v>1</v>
      </c>
      <c r="L69" s="103" t="s">
        <v>4872</v>
      </c>
      <c r="M69" s="193" t="s">
        <v>6268</v>
      </c>
      <c r="N69" s="103" t="s">
        <v>4798</v>
      </c>
      <c r="O69" s="193" t="s">
        <v>6268</v>
      </c>
      <c r="P69" s="103" t="s">
        <v>5159</v>
      </c>
      <c r="Q69" s="193" t="s">
        <v>6268</v>
      </c>
      <c r="R69" s="103" t="s">
        <v>4798</v>
      </c>
      <c r="S69" s="193" t="s">
        <v>6268</v>
      </c>
      <c r="T69" s="103" t="s">
        <v>5159</v>
      </c>
      <c r="U69" s="105">
        <v>1</v>
      </c>
      <c r="V69" s="103" t="s">
        <v>5159</v>
      </c>
      <c r="W69" s="105">
        <v>1</v>
      </c>
      <c r="X69" s="103" t="s">
        <v>5159</v>
      </c>
      <c r="Y69" s="105">
        <v>1</v>
      </c>
      <c r="Z69" s="103" t="s">
        <v>5159</v>
      </c>
      <c r="AA69" s="105">
        <v>1</v>
      </c>
      <c r="AB69" s="103" t="s">
        <v>4798</v>
      </c>
    </row>
    <row r="70" spans="1:28" ht="15" outlineLevel="1" x14ac:dyDescent="0.25">
      <c r="A70" s="89" t="s">
        <v>5592</v>
      </c>
      <c r="B70" s="90"/>
      <c r="C70" s="198">
        <v>1</v>
      </c>
      <c r="D70" s="103" t="s">
        <v>5159</v>
      </c>
      <c r="E70" s="105">
        <v>1</v>
      </c>
      <c r="F70" s="103" t="s">
        <v>5159</v>
      </c>
      <c r="G70" s="105">
        <v>1</v>
      </c>
      <c r="H70" s="103" t="s">
        <v>5159</v>
      </c>
      <c r="I70" s="105">
        <v>1</v>
      </c>
      <c r="J70" s="103" t="s">
        <v>5159</v>
      </c>
      <c r="K70" s="194">
        <v>1</v>
      </c>
      <c r="L70" s="103" t="s">
        <v>4872</v>
      </c>
      <c r="M70" s="193">
        <v>1</v>
      </c>
      <c r="N70" s="103" t="s">
        <v>5159</v>
      </c>
      <c r="O70" s="193">
        <v>1</v>
      </c>
      <c r="P70" s="103" t="s">
        <v>5159</v>
      </c>
      <c r="Q70" s="193">
        <v>1</v>
      </c>
      <c r="R70" s="103" t="s">
        <v>5159</v>
      </c>
      <c r="S70" s="193">
        <v>1</v>
      </c>
      <c r="T70" s="103" t="s">
        <v>5159</v>
      </c>
      <c r="U70" s="105">
        <v>1</v>
      </c>
      <c r="V70" s="103" t="s">
        <v>5159</v>
      </c>
      <c r="W70" s="105">
        <v>1</v>
      </c>
      <c r="X70" s="103" t="s">
        <v>5159</v>
      </c>
      <c r="Y70" s="105">
        <v>1</v>
      </c>
      <c r="Z70" s="103" t="s">
        <v>5159</v>
      </c>
      <c r="AA70" s="105">
        <v>1</v>
      </c>
      <c r="AB70" s="103" t="s">
        <v>4798</v>
      </c>
    </row>
    <row r="71" spans="1:28" ht="15" outlineLevel="1" x14ac:dyDescent="0.25">
      <c r="A71" s="89" t="s">
        <v>5580</v>
      </c>
      <c r="B71" s="90"/>
      <c r="C71" s="198">
        <v>1</v>
      </c>
      <c r="D71" s="103" t="s">
        <v>5159</v>
      </c>
      <c r="E71" s="105">
        <v>1</v>
      </c>
      <c r="F71" s="103" t="s">
        <v>5159</v>
      </c>
      <c r="G71" s="105">
        <v>1</v>
      </c>
      <c r="H71" s="103" t="s">
        <v>5159</v>
      </c>
      <c r="I71" s="105">
        <v>1</v>
      </c>
      <c r="J71" s="103" t="s">
        <v>5159</v>
      </c>
      <c r="K71" s="194">
        <v>1</v>
      </c>
      <c r="L71" s="103" t="s">
        <v>4872</v>
      </c>
      <c r="M71" s="193">
        <v>1</v>
      </c>
      <c r="N71" s="103" t="s">
        <v>5159</v>
      </c>
      <c r="O71" s="193">
        <v>1</v>
      </c>
      <c r="P71" s="103" t="s">
        <v>5159</v>
      </c>
      <c r="Q71" s="193">
        <v>1</v>
      </c>
      <c r="R71" s="103" t="s">
        <v>5159</v>
      </c>
      <c r="S71" s="193">
        <v>1</v>
      </c>
      <c r="T71" s="103" t="s">
        <v>5159</v>
      </c>
      <c r="U71" s="105">
        <v>1</v>
      </c>
      <c r="V71" s="103" t="s">
        <v>5159</v>
      </c>
      <c r="W71" s="105">
        <v>1</v>
      </c>
      <c r="X71" s="103" t="s">
        <v>5159</v>
      </c>
      <c r="Y71" s="105">
        <v>1</v>
      </c>
      <c r="Z71" s="103" t="s">
        <v>5159</v>
      </c>
      <c r="AA71" s="105">
        <v>1</v>
      </c>
      <c r="AB71" s="103" t="s">
        <v>4798</v>
      </c>
    </row>
    <row r="72" spans="1:28" ht="15" outlineLevel="1" x14ac:dyDescent="0.25">
      <c r="A72" s="89" t="s">
        <v>5581</v>
      </c>
      <c r="B72" s="90"/>
      <c r="C72" s="198">
        <v>1</v>
      </c>
      <c r="D72" s="103" t="s">
        <v>5159</v>
      </c>
      <c r="E72" s="105">
        <v>1</v>
      </c>
      <c r="F72" s="103" t="s">
        <v>5159</v>
      </c>
      <c r="G72" s="105">
        <v>1</v>
      </c>
      <c r="H72" s="103" t="s">
        <v>5159</v>
      </c>
      <c r="I72" s="105">
        <v>1</v>
      </c>
      <c r="J72" s="103" t="s">
        <v>5159</v>
      </c>
      <c r="K72" s="194">
        <v>1</v>
      </c>
      <c r="L72" s="103" t="s">
        <v>4872</v>
      </c>
      <c r="M72" s="193">
        <v>1</v>
      </c>
      <c r="N72" s="103" t="s">
        <v>5159</v>
      </c>
      <c r="O72" s="193">
        <v>1</v>
      </c>
      <c r="P72" s="103" t="s">
        <v>5159</v>
      </c>
      <c r="Q72" s="193">
        <v>1</v>
      </c>
      <c r="R72" s="103" t="s">
        <v>5159</v>
      </c>
      <c r="S72" s="193">
        <v>1</v>
      </c>
      <c r="T72" s="103" t="s">
        <v>5159</v>
      </c>
      <c r="U72" s="105">
        <v>1</v>
      </c>
      <c r="V72" s="103" t="s">
        <v>5159</v>
      </c>
      <c r="W72" s="105">
        <v>1</v>
      </c>
      <c r="X72" s="103" t="s">
        <v>5159</v>
      </c>
      <c r="Y72" s="105">
        <v>1</v>
      </c>
      <c r="Z72" s="103" t="s">
        <v>5159</v>
      </c>
      <c r="AA72" s="105">
        <v>1</v>
      </c>
      <c r="AB72" s="103" t="s">
        <v>4798</v>
      </c>
    </row>
    <row r="73" spans="1:28" ht="15" outlineLevel="1" x14ac:dyDescent="0.25">
      <c r="A73" s="89" t="s">
        <v>5582</v>
      </c>
      <c r="B73" s="90"/>
      <c r="C73" s="198">
        <v>1</v>
      </c>
      <c r="D73" s="103" t="s">
        <v>5159</v>
      </c>
      <c r="E73" s="105">
        <v>1</v>
      </c>
      <c r="F73" s="103" t="s">
        <v>5159</v>
      </c>
      <c r="G73" s="105">
        <v>1</v>
      </c>
      <c r="H73" s="103" t="s">
        <v>5159</v>
      </c>
      <c r="I73" s="105">
        <v>1</v>
      </c>
      <c r="J73" s="103" t="s">
        <v>5159</v>
      </c>
      <c r="K73" s="194">
        <v>1</v>
      </c>
      <c r="L73" s="103" t="s">
        <v>4872</v>
      </c>
      <c r="M73" s="193">
        <v>1</v>
      </c>
      <c r="N73" s="103" t="s">
        <v>5159</v>
      </c>
      <c r="O73" s="193">
        <v>1</v>
      </c>
      <c r="P73" s="103" t="s">
        <v>5159</v>
      </c>
      <c r="Q73" s="193">
        <v>1</v>
      </c>
      <c r="R73" s="103" t="s">
        <v>5159</v>
      </c>
      <c r="S73" s="193">
        <v>1</v>
      </c>
      <c r="T73" s="103" t="s">
        <v>5159</v>
      </c>
      <c r="U73" s="105">
        <v>1</v>
      </c>
      <c r="V73" s="103" t="s">
        <v>5159</v>
      </c>
      <c r="W73" s="105">
        <v>1</v>
      </c>
      <c r="X73" s="103" t="s">
        <v>5159</v>
      </c>
      <c r="Y73" s="105">
        <v>1</v>
      </c>
      <c r="Z73" s="103" t="s">
        <v>5159</v>
      </c>
      <c r="AA73" s="105">
        <v>1</v>
      </c>
      <c r="AB73" s="103" t="s">
        <v>4798</v>
      </c>
    </row>
    <row r="74" spans="1:28" ht="15" outlineLevel="1" x14ac:dyDescent="0.25">
      <c r="A74" s="89" t="s">
        <v>5583</v>
      </c>
      <c r="B74" s="90"/>
      <c r="C74" s="198">
        <v>0</v>
      </c>
      <c r="D74" s="103" t="s">
        <v>5159</v>
      </c>
      <c r="E74" s="105">
        <v>1</v>
      </c>
      <c r="F74" s="103" t="s">
        <v>5159</v>
      </c>
      <c r="G74" s="105">
        <v>1</v>
      </c>
      <c r="H74" s="103" t="s">
        <v>5159</v>
      </c>
      <c r="I74" s="105" t="s">
        <v>6268</v>
      </c>
      <c r="J74" s="103" t="s">
        <v>4798</v>
      </c>
      <c r="K74" s="194">
        <v>1</v>
      </c>
      <c r="L74" s="103" t="s">
        <v>4872</v>
      </c>
      <c r="M74" s="193" t="s">
        <v>6268</v>
      </c>
      <c r="N74" s="103" t="s">
        <v>4798</v>
      </c>
      <c r="O74" s="193" t="s">
        <v>6268</v>
      </c>
      <c r="P74" s="103" t="s">
        <v>5159</v>
      </c>
      <c r="Q74" s="193" t="s">
        <v>6268</v>
      </c>
      <c r="R74" s="103" t="s">
        <v>4798</v>
      </c>
      <c r="S74" s="193" t="s">
        <v>6268</v>
      </c>
      <c r="T74" s="103" t="s">
        <v>5159</v>
      </c>
      <c r="U74" s="105">
        <v>1</v>
      </c>
      <c r="V74" s="103" t="s">
        <v>5159</v>
      </c>
      <c r="W74" s="105">
        <v>1</v>
      </c>
      <c r="X74" s="103" t="s">
        <v>5159</v>
      </c>
      <c r="Y74" s="105">
        <v>1</v>
      </c>
      <c r="Z74" s="103" t="s">
        <v>5159</v>
      </c>
      <c r="AA74" s="105">
        <v>1</v>
      </c>
      <c r="AB74" s="103" t="s">
        <v>4798</v>
      </c>
    </row>
    <row r="75" spans="1:28" ht="15" outlineLevel="1" x14ac:dyDescent="0.25">
      <c r="A75" s="89" t="s">
        <v>5584</v>
      </c>
      <c r="B75" s="90"/>
      <c r="C75" s="198">
        <v>0</v>
      </c>
      <c r="D75" s="103" t="s">
        <v>5159</v>
      </c>
      <c r="E75" s="105">
        <v>1</v>
      </c>
      <c r="F75" s="103" t="s">
        <v>5159</v>
      </c>
      <c r="G75" s="105">
        <v>1</v>
      </c>
      <c r="H75" s="103" t="s">
        <v>5159</v>
      </c>
      <c r="I75" s="105" t="s">
        <v>6268</v>
      </c>
      <c r="J75" s="103" t="s">
        <v>4798</v>
      </c>
      <c r="K75" s="194">
        <v>1</v>
      </c>
      <c r="L75" s="103" t="s">
        <v>4872</v>
      </c>
      <c r="M75" s="193" t="s">
        <v>6268</v>
      </c>
      <c r="N75" s="103" t="s">
        <v>4798</v>
      </c>
      <c r="O75" s="193" t="s">
        <v>6268</v>
      </c>
      <c r="P75" s="103" t="s">
        <v>5159</v>
      </c>
      <c r="Q75" s="193" t="s">
        <v>6268</v>
      </c>
      <c r="R75" s="103" t="s">
        <v>4798</v>
      </c>
      <c r="S75" s="193" t="s">
        <v>6268</v>
      </c>
      <c r="T75" s="103" t="s">
        <v>5159</v>
      </c>
      <c r="U75" s="105">
        <v>1</v>
      </c>
      <c r="V75" s="103" t="s">
        <v>5159</v>
      </c>
      <c r="W75" s="105">
        <v>1</v>
      </c>
      <c r="X75" s="103" t="s">
        <v>5159</v>
      </c>
      <c r="Y75" s="105">
        <v>1</v>
      </c>
      <c r="Z75" s="103" t="s">
        <v>5159</v>
      </c>
      <c r="AA75" s="105">
        <v>1</v>
      </c>
      <c r="AB75" s="103" t="s">
        <v>4798</v>
      </c>
    </row>
    <row r="76" spans="1:28" ht="15" outlineLevel="1" x14ac:dyDescent="0.25">
      <c r="A76" s="89" t="s">
        <v>6206</v>
      </c>
      <c r="B76" s="90"/>
      <c r="C76" s="198">
        <v>0</v>
      </c>
      <c r="D76" s="103" t="s">
        <v>5159</v>
      </c>
      <c r="E76" s="105">
        <v>1</v>
      </c>
      <c r="F76" s="103" t="s">
        <v>5159</v>
      </c>
      <c r="G76" s="105">
        <v>1</v>
      </c>
      <c r="H76" s="103" t="s">
        <v>5159</v>
      </c>
      <c r="I76" s="105" t="s">
        <v>6268</v>
      </c>
      <c r="J76" s="103" t="s">
        <v>4798</v>
      </c>
      <c r="K76" s="194">
        <v>1</v>
      </c>
      <c r="L76" s="103" t="s">
        <v>4872</v>
      </c>
      <c r="M76" s="193">
        <v>1</v>
      </c>
      <c r="N76" s="103" t="s">
        <v>5159</v>
      </c>
      <c r="O76" s="193">
        <v>1</v>
      </c>
      <c r="P76" s="103" t="s">
        <v>5159</v>
      </c>
      <c r="Q76" s="193">
        <v>1</v>
      </c>
      <c r="R76" s="103" t="s">
        <v>5159</v>
      </c>
      <c r="S76" s="193">
        <v>1</v>
      </c>
      <c r="T76" s="103" t="s">
        <v>5159</v>
      </c>
      <c r="U76" s="105">
        <v>1</v>
      </c>
      <c r="V76" s="103" t="s">
        <v>5159</v>
      </c>
      <c r="W76" s="105">
        <v>1</v>
      </c>
      <c r="X76" s="103" t="s">
        <v>5159</v>
      </c>
      <c r="Y76" s="105">
        <v>1</v>
      </c>
      <c r="Z76" s="103" t="s">
        <v>5159</v>
      </c>
      <c r="AA76" s="105">
        <v>1</v>
      </c>
      <c r="AB76" s="103" t="s">
        <v>4798</v>
      </c>
    </row>
    <row r="77" spans="1:28" ht="15" outlineLevel="1" x14ac:dyDescent="0.25">
      <c r="A77" s="89" t="s">
        <v>6207</v>
      </c>
      <c r="B77" s="90"/>
      <c r="C77" s="198">
        <v>0</v>
      </c>
      <c r="D77" s="103" t="s">
        <v>5159</v>
      </c>
      <c r="E77" s="105">
        <v>1</v>
      </c>
      <c r="F77" s="103" t="s">
        <v>5159</v>
      </c>
      <c r="G77" s="105">
        <v>1</v>
      </c>
      <c r="H77" s="103" t="s">
        <v>5159</v>
      </c>
      <c r="I77" s="105" t="s">
        <v>6268</v>
      </c>
      <c r="J77" s="103" t="s">
        <v>4798</v>
      </c>
      <c r="K77" s="194">
        <v>1</v>
      </c>
      <c r="L77" s="103" t="s">
        <v>4872</v>
      </c>
      <c r="M77" s="193" t="s">
        <v>6268</v>
      </c>
      <c r="N77" s="103" t="s">
        <v>4798</v>
      </c>
      <c r="O77" s="193" t="s">
        <v>6268</v>
      </c>
      <c r="P77" s="103" t="s">
        <v>5159</v>
      </c>
      <c r="Q77" s="193" t="s">
        <v>6268</v>
      </c>
      <c r="R77" s="103" t="s">
        <v>4798</v>
      </c>
      <c r="S77" s="193" t="s">
        <v>6268</v>
      </c>
      <c r="T77" s="103" t="s">
        <v>5159</v>
      </c>
      <c r="U77" s="105">
        <v>1</v>
      </c>
      <c r="V77" s="103" t="s">
        <v>5159</v>
      </c>
      <c r="W77" s="105">
        <v>1</v>
      </c>
      <c r="X77" s="103" t="s">
        <v>5159</v>
      </c>
      <c r="Y77" s="105">
        <v>1</v>
      </c>
      <c r="Z77" s="103" t="s">
        <v>5159</v>
      </c>
      <c r="AA77" s="105">
        <v>1</v>
      </c>
      <c r="AB77" s="103" t="s">
        <v>4798</v>
      </c>
    </row>
    <row r="78" spans="1:28" ht="15" outlineLevel="1" x14ac:dyDescent="0.25">
      <c r="A78" s="89" t="s">
        <v>6208</v>
      </c>
      <c r="B78" s="90"/>
      <c r="C78" s="198">
        <v>0</v>
      </c>
      <c r="D78" s="103" t="s">
        <v>5159</v>
      </c>
      <c r="E78" s="105">
        <v>1</v>
      </c>
      <c r="F78" s="103" t="s">
        <v>5159</v>
      </c>
      <c r="G78" s="105">
        <v>1</v>
      </c>
      <c r="H78" s="103" t="s">
        <v>5159</v>
      </c>
      <c r="I78" s="105" t="s">
        <v>6268</v>
      </c>
      <c r="J78" s="103" t="s">
        <v>4798</v>
      </c>
      <c r="K78" s="194">
        <v>1</v>
      </c>
      <c r="L78" s="103" t="s">
        <v>4872</v>
      </c>
      <c r="M78" s="193" t="s">
        <v>6268</v>
      </c>
      <c r="N78" s="103" t="s">
        <v>4798</v>
      </c>
      <c r="O78" s="193" t="s">
        <v>6268</v>
      </c>
      <c r="P78" s="103" t="s">
        <v>5159</v>
      </c>
      <c r="Q78" s="193" t="s">
        <v>6268</v>
      </c>
      <c r="R78" s="103" t="s">
        <v>4798</v>
      </c>
      <c r="S78" s="193" t="s">
        <v>6268</v>
      </c>
      <c r="T78" s="103" t="s">
        <v>5159</v>
      </c>
      <c r="U78" s="105">
        <v>1</v>
      </c>
      <c r="V78" s="103" t="s">
        <v>5159</v>
      </c>
      <c r="W78" s="105">
        <v>1</v>
      </c>
      <c r="X78" s="103" t="s">
        <v>5159</v>
      </c>
      <c r="Y78" s="105">
        <v>1</v>
      </c>
      <c r="Z78" s="103" t="s">
        <v>5159</v>
      </c>
      <c r="AA78" s="105">
        <v>1</v>
      </c>
      <c r="AB78" s="103" t="s">
        <v>4798</v>
      </c>
    </row>
    <row r="79" spans="1:28" ht="15" outlineLevel="1" x14ac:dyDescent="0.25">
      <c r="A79" s="89" t="s">
        <v>6209</v>
      </c>
      <c r="B79" s="90"/>
      <c r="C79" s="198">
        <v>0</v>
      </c>
      <c r="D79" s="103" t="s">
        <v>5159</v>
      </c>
      <c r="E79" s="105">
        <v>1</v>
      </c>
      <c r="F79" s="103" t="s">
        <v>5159</v>
      </c>
      <c r="G79" s="105">
        <v>1</v>
      </c>
      <c r="H79" s="103" t="s">
        <v>5159</v>
      </c>
      <c r="I79" s="105" t="s">
        <v>6268</v>
      </c>
      <c r="J79" s="103" t="s">
        <v>4798</v>
      </c>
      <c r="K79" s="194">
        <v>1</v>
      </c>
      <c r="L79" s="103" t="s">
        <v>4872</v>
      </c>
      <c r="M79" s="193" t="s">
        <v>6268</v>
      </c>
      <c r="N79" s="103" t="s">
        <v>4798</v>
      </c>
      <c r="O79" s="193" t="s">
        <v>6268</v>
      </c>
      <c r="P79" s="103" t="s">
        <v>5159</v>
      </c>
      <c r="Q79" s="193" t="s">
        <v>6268</v>
      </c>
      <c r="R79" s="103" t="s">
        <v>4798</v>
      </c>
      <c r="S79" s="193" t="s">
        <v>6268</v>
      </c>
      <c r="T79" s="103" t="s">
        <v>5159</v>
      </c>
      <c r="U79" s="105">
        <v>1</v>
      </c>
      <c r="V79" s="103" t="s">
        <v>5159</v>
      </c>
      <c r="W79" s="105">
        <v>1</v>
      </c>
      <c r="X79" s="103" t="s">
        <v>5159</v>
      </c>
      <c r="Y79" s="105">
        <v>1</v>
      </c>
      <c r="Z79" s="103" t="s">
        <v>5159</v>
      </c>
      <c r="AA79" s="105">
        <v>1</v>
      </c>
      <c r="AB79" s="103" t="s">
        <v>4798</v>
      </c>
    </row>
    <row r="80" spans="1:28" ht="15" x14ac:dyDescent="0.2">
      <c r="A80" s="100" t="s">
        <v>41</v>
      </c>
      <c r="B80" s="101"/>
      <c r="C80" s="186"/>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row>
    <row r="81" spans="1:28" s="94" customFormat="1" ht="15" x14ac:dyDescent="0.2">
      <c r="A81" s="91" t="s">
        <v>5486</v>
      </c>
      <c r="B81" s="91"/>
      <c r="C81" s="195">
        <v>1</v>
      </c>
      <c r="D81" s="93" t="s">
        <v>4875</v>
      </c>
      <c r="E81" s="92">
        <v>0</v>
      </c>
      <c r="F81" s="93" t="s">
        <v>4875</v>
      </c>
      <c r="G81" s="92">
        <v>0</v>
      </c>
      <c r="H81" s="93" t="s">
        <v>4875</v>
      </c>
      <c r="I81" s="92">
        <v>0</v>
      </c>
      <c r="J81" s="93" t="s">
        <v>4875</v>
      </c>
      <c r="K81" s="197">
        <v>0</v>
      </c>
      <c r="L81" s="93" t="s">
        <v>4874</v>
      </c>
      <c r="M81" s="195">
        <v>0</v>
      </c>
      <c r="N81" s="93" t="s">
        <v>4874</v>
      </c>
      <c r="O81" s="195">
        <v>0.5</v>
      </c>
      <c r="P81" s="93" t="s">
        <v>4888</v>
      </c>
      <c r="Q81" s="195">
        <v>0.5</v>
      </c>
      <c r="R81" s="93" t="s">
        <v>4888</v>
      </c>
      <c r="S81" s="195">
        <v>0.5</v>
      </c>
      <c r="T81" s="93" t="s">
        <v>4888</v>
      </c>
      <c r="U81" s="92">
        <v>0</v>
      </c>
      <c r="V81" s="93" t="s">
        <v>96</v>
      </c>
      <c r="W81" s="92">
        <v>0</v>
      </c>
      <c r="X81" s="93" t="s">
        <v>96</v>
      </c>
      <c r="Y81" s="92">
        <v>0</v>
      </c>
      <c r="Z81" s="93" t="s">
        <v>96</v>
      </c>
      <c r="AA81" s="92">
        <v>0</v>
      </c>
      <c r="AB81" s="93" t="s">
        <v>96</v>
      </c>
    </row>
    <row r="82" spans="1:28" s="94" customFormat="1" ht="15" x14ac:dyDescent="0.2">
      <c r="A82" s="91" t="s">
        <v>5941</v>
      </c>
      <c r="B82" s="91"/>
      <c r="C82" s="195">
        <v>1</v>
      </c>
      <c r="D82" s="93" t="s">
        <v>4875</v>
      </c>
      <c r="E82" s="92">
        <v>0</v>
      </c>
      <c r="F82" s="93" t="s">
        <v>4875</v>
      </c>
      <c r="G82" s="92">
        <v>0</v>
      </c>
      <c r="H82" s="93" t="s">
        <v>4875</v>
      </c>
      <c r="I82" s="92">
        <v>0</v>
      </c>
      <c r="J82" s="93" t="s">
        <v>4875</v>
      </c>
      <c r="K82" s="197">
        <v>0</v>
      </c>
      <c r="L82" s="93" t="s">
        <v>4874</v>
      </c>
      <c r="M82" s="195">
        <v>0</v>
      </c>
      <c r="N82" s="93" t="s">
        <v>4874</v>
      </c>
      <c r="O82" s="195">
        <v>0.5</v>
      </c>
      <c r="P82" s="93" t="s">
        <v>4888</v>
      </c>
      <c r="Q82" s="195">
        <v>0.5</v>
      </c>
      <c r="R82" s="93" t="s">
        <v>4888</v>
      </c>
      <c r="S82" s="195">
        <v>0.5</v>
      </c>
      <c r="T82" s="93" t="s">
        <v>4888</v>
      </c>
      <c r="U82" s="92">
        <v>0</v>
      </c>
      <c r="V82" s="93" t="s">
        <v>96</v>
      </c>
      <c r="W82" s="92">
        <v>0</v>
      </c>
      <c r="X82" s="93" t="s">
        <v>96</v>
      </c>
      <c r="Y82" s="92">
        <v>0</v>
      </c>
      <c r="Z82" s="93" t="s">
        <v>96</v>
      </c>
      <c r="AA82" s="92">
        <v>0</v>
      </c>
      <c r="AB82" s="93" t="s">
        <v>96</v>
      </c>
    </row>
    <row r="83" spans="1:28" ht="15" x14ac:dyDescent="0.25">
      <c r="A83" s="95"/>
      <c r="B83" s="95"/>
      <c r="C83" s="199"/>
      <c r="D83" s="97"/>
      <c r="E83" s="97"/>
      <c r="F83" s="98"/>
      <c r="G83" s="97"/>
      <c r="H83" s="98"/>
      <c r="I83" s="97"/>
      <c r="J83" s="98"/>
      <c r="K83" s="98"/>
      <c r="L83" s="98"/>
      <c r="M83" s="98"/>
      <c r="N83" s="98"/>
      <c r="O83" s="98"/>
      <c r="P83" s="98"/>
      <c r="Q83" s="98"/>
      <c r="R83" s="98"/>
      <c r="S83" s="98"/>
      <c r="T83" s="98"/>
      <c r="U83" s="97"/>
      <c r="V83" s="98"/>
      <c r="W83" s="97"/>
      <c r="X83" s="98"/>
      <c r="Y83" s="97"/>
      <c r="Z83" s="98"/>
      <c r="AA83" s="97"/>
      <c r="AB83" s="98"/>
    </row>
    <row r="84" spans="1:28" s="94" customFormat="1" ht="15" x14ac:dyDescent="0.2">
      <c r="A84" s="91" t="s">
        <v>5938</v>
      </c>
      <c r="B84" s="91" t="s">
        <v>95</v>
      </c>
      <c r="C84" s="195">
        <v>1</v>
      </c>
      <c r="D84" s="93" t="s">
        <v>4896</v>
      </c>
      <c r="E84" s="92">
        <v>0</v>
      </c>
      <c r="F84" s="93" t="s">
        <v>4874</v>
      </c>
      <c r="G84" s="92">
        <v>0</v>
      </c>
      <c r="H84" s="93" t="s">
        <v>4874</v>
      </c>
      <c r="I84" s="92">
        <v>0</v>
      </c>
      <c r="J84" s="93" t="s">
        <v>4892</v>
      </c>
      <c r="K84" s="197">
        <v>0</v>
      </c>
      <c r="L84" s="93" t="s">
        <v>4874</v>
      </c>
      <c r="M84" s="195">
        <v>0.25</v>
      </c>
      <c r="N84" s="93" t="s">
        <v>4897</v>
      </c>
      <c r="O84" s="195">
        <v>0.5</v>
      </c>
      <c r="P84" s="93" t="s">
        <v>4874</v>
      </c>
      <c r="Q84" s="195">
        <v>0.5</v>
      </c>
      <c r="R84" s="93" t="s">
        <v>102</v>
      </c>
      <c r="S84" s="195">
        <v>0.5</v>
      </c>
      <c r="T84" s="93" t="s">
        <v>4874</v>
      </c>
      <c r="U84" s="92">
        <v>0.02</v>
      </c>
      <c r="V84" s="93" t="s">
        <v>4686</v>
      </c>
      <c r="W84" s="92">
        <v>0</v>
      </c>
      <c r="X84" s="93" t="s">
        <v>4874</v>
      </c>
      <c r="Y84" s="92">
        <v>0.1</v>
      </c>
      <c r="Z84" s="93" t="s">
        <v>4686</v>
      </c>
      <c r="AA84" s="92">
        <v>0</v>
      </c>
      <c r="AB84" s="93" t="s">
        <v>4874</v>
      </c>
    </row>
    <row r="85" spans="1:28" s="94" customFormat="1" ht="15" x14ac:dyDescent="0.2">
      <c r="A85" s="91" t="s">
        <v>5939</v>
      </c>
      <c r="B85" s="91" t="s">
        <v>95</v>
      </c>
      <c r="C85" s="195">
        <v>1</v>
      </c>
      <c r="D85" s="93" t="s">
        <v>4896</v>
      </c>
      <c r="E85" s="92">
        <v>0</v>
      </c>
      <c r="F85" s="93" t="s">
        <v>4874</v>
      </c>
      <c r="G85" s="92">
        <v>0</v>
      </c>
      <c r="H85" s="93" t="s">
        <v>4874</v>
      </c>
      <c r="I85" s="92">
        <v>0</v>
      </c>
      <c r="J85" s="93" t="s">
        <v>4894</v>
      </c>
      <c r="K85" s="197">
        <v>0</v>
      </c>
      <c r="L85" s="93" t="s">
        <v>4874</v>
      </c>
      <c r="M85" s="195">
        <v>0</v>
      </c>
      <c r="N85" s="93" t="s">
        <v>4897</v>
      </c>
      <c r="O85" s="195">
        <v>0</v>
      </c>
      <c r="P85" s="93" t="s">
        <v>4874</v>
      </c>
      <c r="Q85" s="195">
        <v>0</v>
      </c>
      <c r="R85" s="93" t="s">
        <v>102</v>
      </c>
      <c r="S85" s="195">
        <v>0</v>
      </c>
      <c r="T85" s="93" t="s">
        <v>4874</v>
      </c>
      <c r="U85" s="92">
        <v>0</v>
      </c>
      <c r="V85" s="93" t="s">
        <v>4874</v>
      </c>
      <c r="W85" s="92">
        <v>0</v>
      </c>
      <c r="X85" s="93" t="s">
        <v>4874</v>
      </c>
      <c r="Y85" s="92">
        <v>0.1</v>
      </c>
      <c r="Z85" s="93" t="s">
        <v>4686</v>
      </c>
      <c r="AA85" s="92">
        <v>0</v>
      </c>
      <c r="AB85" s="93" t="s">
        <v>4874</v>
      </c>
    </row>
    <row r="86" spans="1:28" ht="15" x14ac:dyDescent="0.25">
      <c r="A86" s="95"/>
      <c r="B86" s="95"/>
      <c r="C86" s="199"/>
      <c r="D86" s="97"/>
      <c r="E86" s="97"/>
      <c r="F86" s="98"/>
      <c r="G86" s="97"/>
      <c r="H86" s="98"/>
      <c r="I86" s="97"/>
      <c r="J86" s="98"/>
      <c r="K86" s="98"/>
      <c r="L86" s="98"/>
      <c r="M86" s="98"/>
      <c r="N86" s="98"/>
      <c r="O86" s="98"/>
      <c r="P86" s="98"/>
      <c r="Q86" s="98"/>
      <c r="R86" s="98"/>
      <c r="S86" s="98"/>
      <c r="T86" s="98"/>
      <c r="U86" s="98"/>
      <c r="V86" s="98"/>
      <c r="W86" s="98"/>
      <c r="X86" s="98"/>
      <c r="Y86" s="98"/>
      <c r="Z86" s="98"/>
      <c r="AA86" s="98"/>
      <c r="AB86" s="98"/>
    </row>
    <row r="87" spans="1:28" s="94" customFormat="1" ht="15" x14ac:dyDescent="0.2">
      <c r="A87" s="91" t="s">
        <v>6160</v>
      </c>
      <c r="B87" s="91" t="s">
        <v>6161</v>
      </c>
      <c r="C87" s="195">
        <v>1</v>
      </c>
      <c r="D87" s="93" t="s">
        <v>4860</v>
      </c>
      <c r="E87" s="92">
        <v>0</v>
      </c>
      <c r="F87" s="93" t="s">
        <v>4859</v>
      </c>
      <c r="G87" s="92">
        <v>0</v>
      </c>
      <c r="H87" s="93" t="s">
        <v>4859</v>
      </c>
      <c r="I87" s="92">
        <v>0</v>
      </c>
      <c r="J87" s="93" t="s">
        <v>4849</v>
      </c>
      <c r="K87" s="197">
        <v>0</v>
      </c>
      <c r="L87" s="93" t="s">
        <v>4849</v>
      </c>
      <c r="M87" s="197">
        <v>0</v>
      </c>
      <c r="N87" s="93" t="s">
        <v>4861</v>
      </c>
      <c r="O87" s="197">
        <v>0</v>
      </c>
      <c r="Q87" s="197">
        <v>0</v>
      </c>
      <c r="S87" s="197">
        <v>0</v>
      </c>
    </row>
    <row r="88" spans="1:28" ht="15" x14ac:dyDescent="0.25">
      <c r="A88" s="95"/>
      <c r="B88" s="95"/>
      <c r="C88" s="199"/>
      <c r="D88" s="97"/>
      <c r="E88" s="97"/>
      <c r="F88" s="98"/>
      <c r="G88" s="97"/>
      <c r="H88" s="98"/>
      <c r="I88" s="97"/>
      <c r="J88" s="98"/>
      <c r="K88" s="98"/>
      <c r="L88" s="98"/>
      <c r="M88" s="98"/>
      <c r="N88" s="98"/>
      <c r="O88" s="98"/>
      <c r="P88" s="98"/>
      <c r="Q88" s="98"/>
      <c r="R88" s="98"/>
      <c r="S88" s="98"/>
      <c r="T88" s="98"/>
      <c r="U88" s="97"/>
      <c r="V88" s="98"/>
      <c r="W88" s="97"/>
      <c r="X88" s="98"/>
      <c r="Y88" s="97"/>
      <c r="Z88" s="98"/>
      <c r="AA88" s="97"/>
      <c r="AB88" s="98"/>
    </row>
    <row r="89" spans="1:28" s="94" customFormat="1" ht="15" x14ac:dyDescent="0.2">
      <c r="A89" s="107" t="s">
        <v>5523</v>
      </c>
      <c r="B89" s="91"/>
      <c r="C89" s="195">
        <v>1</v>
      </c>
      <c r="D89" s="93" t="s">
        <v>5520</v>
      </c>
      <c r="E89" s="92">
        <v>0</v>
      </c>
      <c r="F89" s="93" t="s">
        <v>4914</v>
      </c>
      <c r="G89" s="92">
        <v>0</v>
      </c>
      <c r="H89" s="93" t="s">
        <v>4874</v>
      </c>
      <c r="I89" s="92">
        <v>0</v>
      </c>
      <c r="J89" s="93" t="s">
        <v>4914</v>
      </c>
      <c r="K89" s="197">
        <v>0.25</v>
      </c>
      <c r="L89" s="93" t="s">
        <v>5520</v>
      </c>
      <c r="M89" s="195">
        <v>0.25</v>
      </c>
      <c r="N89" s="93" t="s">
        <v>4914</v>
      </c>
      <c r="O89" s="195">
        <v>0.25</v>
      </c>
      <c r="P89" s="93" t="s">
        <v>45</v>
      </c>
      <c r="Q89" s="195">
        <v>0.25</v>
      </c>
      <c r="R89" s="93" t="s">
        <v>4911</v>
      </c>
      <c r="S89" s="195">
        <v>0.25</v>
      </c>
      <c r="T89" s="93" t="s">
        <v>45</v>
      </c>
      <c r="U89" s="92">
        <v>0</v>
      </c>
      <c r="V89" s="93" t="s">
        <v>45</v>
      </c>
      <c r="W89" s="92">
        <v>0</v>
      </c>
      <c r="X89" s="93" t="s">
        <v>45</v>
      </c>
      <c r="Y89" s="92">
        <v>0</v>
      </c>
      <c r="Z89" s="93" t="s">
        <v>45</v>
      </c>
      <c r="AA89" s="92">
        <v>0</v>
      </c>
      <c r="AB89" s="93" t="s">
        <v>45</v>
      </c>
    </row>
    <row r="90" spans="1:28" s="94" customFormat="1" ht="15" x14ac:dyDescent="0.2">
      <c r="A90" s="107" t="s">
        <v>5522</v>
      </c>
      <c r="B90" s="91"/>
      <c r="C90" s="195">
        <v>1</v>
      </c>
      <c r="D90" s="93" t="s">
        <v>5520</v>
      </c>
      <c r="E90" s="92">
        <v>0</v>
      </c>
      <c r="F90" s="93" t="s">
        <v>4914</v>
      </c>
      <c r="G90" s="92">
        <v>0</v>
      </c>
      <c r="H90" s="93" t="s">
        <v>4874</v>
      </c>
      <c r="I90" s="92">
        <v>0</v>
      </c>
      <c r="J90" s="93" t="s">
        <v>5520</v>
      </c>
      <c r="K90" s="197">
        <v>0.25</v>
      </c>
      <c r="L90" s="93" t="s">
        <v>5520</v>
      </c>
      <c r="M90" s="195">
        <v>0.25</v>
      </c>
      <c r="N90" s="93" t="s">
        <v>4798</v>
      </c>
      <c r="O90" s="195">
        <v>0</v>
      </c>
      <c r="P90" s="93" t="s">
        <v>45</v>
      </c>
      <c r="Q90" s="195">
        <v>0</v>
      </c>
      <c r="R90" s="93" t="s">
        <v>45</v>
      </c>
      <c r="S90" s="195">
        <v>0</v>
      </c>
      <c r="T90" s="93" t="s">
        <v>45</v>
      </c>
      <c r="U90" s="92">
        <v>0</v>
      </c>
      <c r="V90" s="93" t="s">
        <v>45</v>
      </c>
      <c r="W90" s="92">
        <v>0</v>
      </c>
      <c r="X90" s="93" t="s">
        <v>45</v>
      </c>
      <c r="Y90" s="92">
        <v>0</v>
      </c>
      <c r="Z90" s="93" t="s">
        <v>45</v>
      </c>
      <c r="AA90" s="92">
        <v>0</v>
      </c>
      <c r="AB90" s="93" t="s">
        <v>45</v>
      </c>
    </row>
    <row r="91" spans="1:28" s="94" customFormat="1" ht="15" x14ac:dyDescent="0.2">
      <c r="A91" s="107" t="s">
        <v>5554</v>
      </c>
      <c r="B91" s="91"/>
      <c r="C91" s="195">
        <v>0</v>
      </c>
      <c r="D91" s="93" t="s">
        <v>5520</v>
      </c>
      <c r="E91" s="92">
        <v>0</v>
      </c>
      <c r="F91" s="93" t="s">
        <v>4914</v>
      </c>
      <c r="G91" s="92">
        <v>0</v>
      </c>
      <c r="H91" s="93" t="s">
        <v>4874</v>
      </c>
      <c r="I91" s="92">
        <v>0</v>
      </c>
      <c r="J91" s="93" t="s">
        <v>4874</v>
      </c>
      <c r="K91" s="197">
        <v>0</v>
      </c>
      <c r="L91" s="93" t="s">
        <v>4874</v>
      </c>
      <c r="M91" s="195">
        <v>0</v>
      </c>
      <c r="N91" s="93" t="s">
        <v>4874</v>
      </c>
      <c r="O91" s="195">
        <v>0</v>
      </c>
      <c r="P91" s="93" t="s">
        <v>4874</v>
      </c>
      <c r="Q91" s="195">
        <v>0</v>
      </c>
      <c r="R91" s="93" t="s">
        <v>4874</v>
      </c>
      <c r="S91" s="195">
        <v>0</v>
      </c>
      <c r="T91" s="93" t="s">
        <v>4874</v>
      </c>
      <c r="U91" s="92">
        <v>0</v>
      </c>
      <c r="V91" s="93" t="s">
        <v>4874</v>
      </c>
      <c r="W91" s="92">
        <v>0</v>
      </c>
      <c r="X91" s="93" t="s">
        <v>4874</v>
      </c>
      <c r="Y91" s="92">
        <v>0</v>
      </c>
      <c r="Z91" s="93" t="s">
        <v>4874</v>
      </c>
      <c r="AA91" s="92">
        <v>0</v>
      </c>
      <c r="AB91" s="93" t="s">
        <v>4874</v>
      </c>
    </row>
    <row r="92" spans="1:28" s="94" customFormat="1" ht="15" x14ac:dyDescent="0.2">
      <c r="A92" s="107" t="s">
        <v>5521</v>
      </c>
      <c r="B92" s="91"/>
      <c r="C92" s="195">
        <v>0</v>
      </c>
      <c r="D92" s="93" t="s">
        <v>5520</v>
      </c>
      <c r="E92" s="92">
        <v>0</v>
      </c>
      <c r="F92" s="93" t="s">
        <v>4914</v>
      </c>
      <c r="G92" s="92">
        <v>0</v>
      </c>
      <c r="H92" s="93" t="s">
        <v>4874</v>
      </c>
      <c r="I92" s="92">
        <v>0</v>
      </c>
      <c r="J92" s="93" t="s">
        <v>4874</v>
      </c>
      <c r="K92" s="197">
        <v>0</v>
      </c>
      <c r="L92" s="93" t="s">
        <v>4874</v>
      </c>
      <c r="M92" s="195">
        <v>0</v>
      </c>
      <c r="N92" s="93" t="s">
        <v>4874</v>
      </c>
      <c r="O92" s="195">
        <v>0</v>
      </c>
      <c r="P92" s="93" t="s">
        <v>4874</v>
      </c>
      <c r="Q92" s="195">
        <v>0</v>
      </c>
      <c r="R92" s="93" t="s">
        <v>4874</v>
      </c>
      <c r="S92" s="195">
        <v>0</v>
      </c>
      <c r="T92" s="93" t="s">
        <v>4874</v>
      </c>
      <c r="U92" s="92">
        <v>0</v>
      </c>
      <c r="V92" s="93" t="s">
        <v>4874</v>
      </c>
      <c r="W92" s="92">
        <v>0</v>
      </c>
      <c r="X92" s="93" t="s">
        <v>4874</v>
      </c>
      <c r="Y92" s="92">
        <v>0</v>
      </c>
      <c r="Z92" s="93" t="s">
        <v>4874</v>
      </c>
      <c r="AA92" s="92">
        <v>0</v>
      </c>
      <c r="AB92" s="93" t="s">
        <v>4874</v>
      </c>
    </row>
    <row r="93" spans="1:28" s="94" customFormat="1" ht="15" x14ac:dyDescent="0.2">
      <c r="A93" s="107" t="s">
        <v>6030</v>
      </c>
      <c r="B93" s="91"/>
      <c r="C93" s="195">
        <v>0</v>
      </c>
      <c r="D93" s="93" t="s">
        <v>5520</v>
      </c>
      <c r="E93" s="92">
        <v>0</v>
      </c>
      <c r="F93" s="93" t="s">
        <v>4914</v>
      </c>
      <c r="G93" s="92">
        <v>0</v>
      </c>
      <c r="H93" s="93" t="s">
        <v>4874</v>
      </c>
      <c r="I93" s="92">
        <v>0</v>
      </c>
      <c r="J93" s="93" t="s">
        <v>4874</v>
      </c>
      <c r="K93" s="197">
        <v>0</v>
      </c>
      <c r="L93" s="93" t="s">
        <v>4874</v>
      </c>
      <c r="M93" s="195">
        <v>0</v>
      </c>
      <c r="N93" s="93" t="s">
        <v>4874</v>
      </c>
      <c r="O93" s="195">
        <v>0</v>
      </c>
      <c r="P93" s="93" t="s">
        <v>4874</v>
      </c>
      <c r="Q93" s="195">
        <v>0</v>
      </c>
      <c r="R93" s="93" t="s">
        <v>4874</v>
      </c>
      <c r="S93" s="195">
        <v>0</v>
      </c>
      <c r="T93" s="93" t="s">
        <v>4874</v>
      </c>
      <c r="U93" s="92">
        <v>0</v>
      </c>
      <c r="V93" s="93" t="s">
        <v>4874</v>
      </c>
      <c r="W93" s="92">
        <v>0</v>
      </c>
      <c r="X93" s="93" t="s">
        <v>4874</v>
      </c>
      <c r="Y93" s="92">
        <v>0</v>
      </c>
      <c r="Z93" s="93" t="s">
        <v>4874</v>
      </c>
      <c r="AA93" s="92">
        <v>0</v>
      </c>
      <c r="AB93" s="93" t="s">
        <v>4874</v>
      </c>
    </row>
    <row r="94" spans="1:28" s="94" customFormat="1" ht="15" x14ac:dyDescent="0.2">
      <c r="A94" s="107" t="s">
        <v>6031</v>
      </c>
      <c r="B94" s="91"/>
      <c r="C94" s="195">
        <v>0</v>
      </c>
      <c r="D94" s="93" t="s">
        <v>5520</v>
      </c>
      <c r="E94" s="92">
        <v>0</v>
      </c>
      <c r="F94" s="93" t="s">
        <v>4914</v>
      </c>
      <c r="G94" s="92">
        <v>0</v>
      </c>
      <c r="H94" s="93" t="s">
        <v>4874</v>
      </c>
      <c r="I94" s="92">
        <v>0</v>
      </c>
      <c r="J94" s="93" t="s">
        <v>4874</v>
      </c>
      <c r="K94" s="197">
        <v>0</v>
      </c>
      <c r="L94" s="93" t="s">
        <v>4874</v>
      </c>
      <c r="M94" s="195">
        <v>0</v>
      </c>
      <c r="N94" s="93" t="s">
        <v>4874</v>
      </c>
      <c r="O94" s="195">
        <v>0</v>
      </c>
      <c r="P94" s="93" t="s">
        <v>4874</v>
      </c>
      <c r="Q94" s="195">
        <v>0</v>
      </c>
      <c r="R94" s="93" t="s">
        <v>4874</v>
      </c>
      <c r="S94" s="195">
        <v>0</v>
      </c>
      <c r="T94" s="93" t="s">
        <v>4874</v>
      </c>
      <c r="U94" s="92">
        <v>0</v>
      </c>
      <c r="V94" s="93" t="s">
        <v>4874</v>
      </c>
      <c r="W94" s="92">
        <v>0</v>
      </c>
      <c r="X94" s="93" t="s">
        <v>4874</v>
      </c>
      <c r="Y94" s="92">
        <v>0</v>
      </c>
      <c r="Z94" s="93" t="s">
        <v>4874</v>
      </c>
      <c r="AA94" s="92">
        <v>0</v>
      </c>
      <c r="AB94" s="93" t="s">
        <v>4874</v>
      </c>
    </row>
    <row r="95" spans="1:28" s="94" customFormat="1" ht="15" x14ac:dyDescent="0.2">
      <c r="A95" s="107" t="s">
        <v>6204</v>
      </c>
      <c r="B95" s="91"/>
      <c r="C95" s="195">
        <v>0</v>
      </c>
      <c r="D95" s="93" t="s">
        <v>5520</v>
      </c>
      <c r="E95" s="92">
        <v>0</v>
      </c>
      <c r="F95" s="93" t="s">
        <v>4914</v>
      </c>
      <c r="G95" s="92">
        <v>0</v>
      </c>
      <c r="H95" s="93" t="s">
        <v>4874</v>
      </c>
      <c r="I95" s="92">
        <v>0</v>
      </c>
      <c r="J95" s="93" t="s">
        <v>4874</v>
      </c>
      <c r="K95" s="197">
        <v>0</v>
      </c>
      <c r="L95" s="93" t="s">
        <v>4874</v>
      </c>
      <c r="M95" s="195">
        <v>0</v>
      </c>
      <c r="N95" s="93" t="s">
        <v>4874</v>
      </c>
      <c r="O95" s="195">
        <v>0</v>
      </c>
      <c r="P95" s="93" t="s">
        <v>4874</v>
      </c>
      <c r="Q95" s="195">
        <v>0</v>
      </c>
      <c r="R95" s="93" t="s">
        <v>4874</v>
      </c>
      <c r="S95" s="195">
        <v>0</v>
      </c>
      <c r="T95" s="93" t="s">
        <v>4874</v>
      </c>
      <c r="U95" s="92">
        <v>0</v>
      </c>
      <c r="V95" s="93" t="s">
        <v>4874</v>
      </c>
      <c r="W95" s="92">
        <v>0</v>
      </c>
      <c r="X95" s="93" t="s">
        <v>4874</v>
      </c>
      <c r="Y95" s="92">
        <v>0</v>
      </c>
      <c r="Z95" s="93" t="s">
        <v>4874</v>
      </c>
      <c r="AA95" s="92">
        <v>0</v>
      </c>
      <c r="AB95" s="93" t="s">
        <v>4874</v>
      </c>
    </row>
    <row r="96" spans="1:28" s="94" customFormat="1" ht="15" x14ac:dyDescent="0.2">
      <c r="A96" s="107" t="s">
        <v>6205</v>
      </c>
      <c r="B96" s="91"/>
      <c r="C96" s="195">
        <v>0</v>
      </c>
      <c r="D96" s="93" t="s">
        <v>5520</v>
      </c>
      <c r="E96" s="92">
        <v>0</v>
      </c>
      <c r="F96" s="93" t="s">
        <v>4914</v>
      </c>
      <c r="G96" s="92">
        <v>0</v>
      </c>
      <c r="H96" s="93" t="s">
        <v>4874</v>
      </c>
      <c r="I96" s="92">
        <v>0</v>
      </c>
      <c r="J96" s="93" t="s">
        <v>4874</v>
      </c>
      <c r="K96" s="197">
        <v>0</v>
      </c>
      <c r="L96" s="93" t="s">
        <v>4874</v>
      </c>
      <c r="M96" s="195">
        <v>0</v>
      </c>
      <c r="N96" s="93" t="s">
        <v>4874</v>
      </c>
      <c r="O96" s="195">
        <v>0</v>
      </c>
      <c r="P96" s="93" t="s">
        <v>4874</v>
      </c>
      <c r="Q96" s="195">
        <v>0</v>
      </c>
      <c r="R96" s="93" t="s">
        <v>4874</v>
      </c>
      <c r="S96" s="195">
        <v>0</v>
      </c>
      <c r="T96" s="93" t="s">
        <v>4874</v>
      </c>
      <c r="U96" s="92">
        <v>0</v>
      </c>
      <c r="V96" s="93" t="s">
        <v>4874</v>
      </c>
      <c r="W96" s="92">
        <v>0</v>
      </c>
      <c r="X96" s="93" t="s">
        <v>4874</v>
      </c>
      <c r="Y96" s="92">
        <v>0</v>
      </c>
      <c r="Z96" s="93" t="s">
        <v>4874</v>
      </c>
      <c r="AA96" s="92">
        <v>0</v>
      </c>
      <c r="AB96" s="93" t="s">
        <v>4874</v>
      </c>
    </row>
    <row r="97" spans="1:28" ht="15" x14ac:dyDescent="0.25">
      <c r="A97" s="95"/>
      <c r="B97" s="95"/>
      <c r="C97" s="199"/>
      <c r="D97" s="97"/>
      <c r="E97" s="97"/>
      <c r="F97" s="98"/>
      <c r="G97" s="97"/>
      <c r="H97" s="98"/>
      <c r="I97" s="97"/>
      <c r="J97" s="98"/>
      <c r="K97" s="98"/>
      <c r="L97" s="98"/>
      <c r="M97" s="98"/>
      <c r="N97" s="98"/>
      <c r="O97" s="98"/>
      <c r="P97" s="98"/>
      <c r="Q97" s="98"/>
      <c r="R97" s="98"/>
      <c r="S97" s="98"/>
      <c r="T97" s="98"/>
      <c r="U97" s="97"/>
      <c r="V97" s="98"/>
      <c r="W97" s="97"/>
      <c r="X97" s="98"/>
      <c r="Y97" s="97"/>
      <c r="Z97" s="98"/>
      <c r="AA97" s="97"/>
      <c r="AB97" s="98"/>
    </row>
    <row r="98" spans="1:28" s="94" customFormat="1" ht="15" x14ac:dyDescent="0.2">
      <c r="A98" s="91" t="s">
        <v>5487</v>
      </c>
      <c r="B98" s="91"/>
      <c r="C98" s="195">
        <v>1</v>
      </c>
      <c r="D98" s="93" t="s">
        <v>101</v>
      </c>
      <c r="E98" s="92">
        <v>0</v>
      </c>
      <c r="F98" s="93" t="s">
        <v>98</v>
      </c>
      <c r="G98" s="92">
        <v>0</v>
      </c>
      <c r="H98" s="93" t="s">
        <v>98</v>
      </c>
      <c r="I98" s="92">
        <v>0</v>
      </c>
      <c r="J98" s="93" t="s">
        <v>98</v>
      </c>
      <c r="K98" s="197">
        <v>0</v>
      </c>
      <c r="L98" s="93" t="s">
        <v>98</v>
      </c>
      <c r="M98" s="195">
        <v>0</v>
      </c>
      <c r="N98" s="93" t="s">
        <v>98</v>
      </c>
      <c r="O98" s="195">
        <v>0.05</v>
      </c>
      <c r="P98" s="93" t="s">
        <v>97</v>
      </c>
      <c r="Q98" s="195">
        <v>0.05</v>
      </c>
      <c r="R98" s="93" t="s">
        <v>98</v>
      </c>
      <c r="S98" s="195">
        <v>0.05</v>
      </c>
      <c r="T98" s="93" t="s">
        <v>97</v>
      </c>
      <c r="U98" s="92">
        <v>0</v>
      </c>
      <c r="V98" s="93" t="s">
        <v>98</v>
      </c>
      <c r="W98" s="92">
        <v>0</v>
      </c>
      <c r="X98" s="93" t="s">
        <v>98</v>
      </c>
      <c r="Y98" s="92">
        <v>0</v>
      </c>
      <c r="Z98" s="93" t="s">
        <v>98</v>
      </c>
      <c r="AA98" s="92">
        <v>0</v>
      </c>
      <c r="AB98" s="93" t="s">
        <v>98</v>
      </c>
    </row>
    <row r="99" spans="1:28" ht="15" x14ac:dyDescent="0.25">
      <c r="A99" s="95"/>
      <c r="B99" s="95"/>
      <c r="C99" s="199"/>
      <c r="D99" s="97"/>
      <c r="E99" s="97"/>
      <c r="F99" s="98"/>
      <c r="G99" s="97"/>
      <c r="H99" s="98"/>
      <c r="I99" s="97"/>
      <c r="J99" s="98"/>
      <c r="K99" s="98"/>
      <c r="L99" s="98"/>
      <c r="M99" s="98"/>
      <c r="N99" s="98"/>
      <c r="O99" s="98"/>
      <c r="P99" s="98"/>
      <c r="Q99" s="98"/>
      <c r="R99" s="98"/>
      <c r="S99" s="98"/>
      <c r="T99" s="98"/>
      <c r="U99" s="97"/>
      <c r="V99" s="98"/>
      <c r="W99" s="97"/>
      <c r="X99" s="98"/>
      <c r="Y99" s="97"/>
      <c r="Z99" s="98"/>
      <c r="AA99" s="97"/>
      <c r="AB99" s="98"/>
    </row>
    <row r="100" spans="1:28" s="94" customFormat="1" ht="15" x14ac:dyDescent="0.2">
      <c r="A100" s="91" t="s">
        <v>6033</v>
      </c>
      <c r="B100" s="91"/>
      <c r="C100" s="195">
        <v>1</v>
      </c>
      <c r="D100" s="93" t="s">
        <v>4918</v>
      </c>
      <c r="E100" s="92">
        <v>0</v>
      </c>
      <c r="F100" s="93" t="s">
        <v>4918</v>
      </c>
      <c r="G100" s="92">
        <v>0</v>
      </c>
      <c r="H100" s="93" t="s">
        <v>4798</v>
      </c>
      <c r="I100" s="92">
        <v>0</v>
      </c>
      <c r="J100" s="93" t="s">
        <v>4798</v>
      </c>
      <c r="K100" s="197">
        <v>0.01</v>
      </c>
      <c r="L100" s="93" t="s">
        <v>6066</v>
      </c>
      <c r="M100" s="195">
        <v>0.01</v>
      </c>
      <c r="N100" s="93" t="s">
        <v>6066</v>
      </c>
      <c r="O100" s="195">
        <v>0.01</v>
      </c>
      <c r="P100" s="93" t="s">
        <v>4798</v>
      </c>
      <c r="Q100" s="195">
        <v>0.01</v>
      </c>
      <c r="R100" s="93" t="s">
        <v>4698</v>
      </c>
      <c r="S100" s="195">
        <v>0.01</v>
      </c>
      <c r="T100" s="93" t="s">
        <v>4798</v>
      </c>
      <c r="U100" s="92">
        <v>0</v>
      </c>
      <c r="V100" s="93" t="s">
        <v>4798</v>
      </c>
      <c r="W100" s="92">
        <v>0</v>
      </c>
      <c r="X100" s="93" t="s">
        <v>4798</v>
      </c>
      <c r="Y100" s="92">
        <v>0</v>
      </c>
      <c r="Z100" s="93" t="s">
        <v>4798</v>
      </c>
      <c r="AA100" s="92">
        <v>0</v>
      </c>
      <c r="AB100" s="93" t="s">
        <v>4798</v>
      </c>
    </row>
    <row r="101" spans="1:28" ht="15" x14ac:dyDescent="0.25">
      <c r="A101" s="95"/>
      <c r="B101" s="95"/>
      <c r="C101" s="199"/>
      <c r="D101" s="97"/>
      <c r="E101" s="97"/>
      <c r="F101" s="98"/>
      <c r="G101" s="97"/>
      <c r="H101" s="98"/>
      <c r="I101" s="97"/>
      <c r="J101" s="98"/>
      <c r="K101" s="98"/>
      <c r="L101" s="98"/>
      <c r="M101" s="98"/>
      <c r="N101" s="98"/>
      <c r="O101" s="98"/>
      <c r="P101" s="98"/>
      <c r="Q101" s="98"/>
      <c r="R101" s="98"/>
      <c r="S101" s="98"/>
      <c r="T101" s="98"/>
      <c r="U101" s="97"/>
      <c r="V101" s="98"/>
      <c r="W101" s="97"/>
      <c r="X101" s="98"/>
      <c r="Y101" s="97"/>
      <c r="Z101" s="98"/>
      <c r="AA101" s="97"/>
      <c r="AB101" s="98"/>
    </row>
    <row r="102" spans="1:28" s="94" customFormat="1" ht="15" x14ac:dyDescent="0.2">
      <c r="A102" s="91" t="s">
        <v>6032</v>
      </c>
      <c r="B102" s="91"/>
      <c r="C102" s="195">
        <v>1</v>
      </c>
      <c r="D102" s="93" t="s">
        <v>4925</v>
      </c>
      <c r="E102" s="92">
        <v>0</v>
      </c>
      <c r="F102" s="93" t="s">
        <v>4798</v>
      </c>
      <c r="G102" s="92">
        <v>0</v>
      </c>
      <c r="H102" s="93" t="s">
        <v>4798</v>
      </c>
      <c r="I102" s="92">
        <v>0</v>
      </c>
      <c r="J102" s="93" t="s">
        <v>4798</v>
      </c>
      <c r="K102" s="197">
        <f>K30</f>
        <v>0.05</v>
      </c>
      <c r="L102" s="93" t="s">
        <v>4919</v>
      </c>
      <c r="M102" s="195">
        <f>M30</f>
        <v>0.17499999999999999</v>
      </c>
      <c r="N102" s="93" t="s">
        <v>4919</v>
      </c>
      <c r="O102" s="195">
        <f>O30</f>
        <v>0.25</v>
      </c>
      <c r="P102" s="93" t="s">
        <v>4919</v>
      </c>
      <c r="Q102" s="195">
        <f>Q30</f>
        <v>0</v>
      </c>
      <c r="R102" s="93" t="s">
        <v>4919</v>
      </c>
      <c r="S102" s="195">
        <f>S30</f>
        <v>0.125</v>
      </c>
      <c r="T102" s="93" t="s">
        <v>4919</v>
      </c>
      <c r="U102" s="92">
        <f>U30</f>
        <v>2.5000000000000001E-2</v>
      </c>
      <c r="V102" s="93" t="s">
        <v>4919</v>
      </c>
      <c r="W102" s="92">
        <f>W30</f>
        <v>2.5000000000000001E-3</v>
      </c>
      <c r="X102" s="93" t="s">
        <v>4919</v>
      </c>
      <c r="Y102" s="92">
        <f>Y30</f>
        <v>2.5000000000000001E-3</v>
      </c>
      <c r="Z102" s="93" t="s">
        <v>4919</v>
      </c>
      <c r="AA102" s="92">
        <f>AA30</f>
        <v>0</v>
      </c>
      <c r="AB102" s="93" t="s">
        <v>4919</v>
      </c>
    </row>
    <row r="103" spans="1:28" ht="15" x14ac:dyDescent="0.25">
      <c r="A103" s="95"/>
      <c r="B103" s="95"/>
      <c r="C103" s="199"/>
      <c r="D103" s="97"/>
      <c r="E103" s="97"/>
      <c r="F103" s="98"/>
      <c r="G103" s="97"/>
      <c r="H103" s="98"/>
      <c r="I103" s="97"/>
      <c r="J103" s="98"/>
      <c r="K103" s="98"/>
      <c r="L103" s="98"/>
      <c r="M103" s="98"/>
      <c r="N103" s="98"/>
      <c r="O103" s="98"/>
      <c r="P103" s="98"/>
      <c r="Q103" s="98"/>
      <c r="R103" s="98"/>
      <c r="S103" s="98"/>
      <c r="T103" s="98"/>
      <c r="U103" s="97"/>
      <c r="V103" s="98"/>
      <c r="W103" s="97"/>
      <c r="X103" s="98"/>
      <c r="Y103" s="97"/>
      <c r="Z103" s="98"/>
      <c r="AA103" s="97"/>
      <c r="AB103" s="98"/>
    </row>
    <row r="104" spans="1:28" s="94" customFormat="1" ht="15" x14ac:dyDescent="0.2">
      <c r="A104" s="91" t="s">
        <v>37</v>
      </c>
      <c r="B104" s="91"/>
      <c r="C104" s="195">
        <v>1</v>
      </c>
      <c r="D104" s="93" t="s">
        <v>5127</v>
      </c>
      <c r="E104" s="92">
        <v>0</v>
      </c>
      <c r="F104" s="93" t="s">
        <v>4798</v>
      </c>
      <c r="G104" s="92">
        <v>0</v>
      </c>
      <c r="H104" s="93" t="s">
        <v>4798</v>
      </c>
      <c r="I104" s="92">
        <v>0</v>
      </c>
      <c r="J104" s="93" t="s">
        <v>4798</v>
      </c>
      <c r="K104" s="197">
        <v>0.5</v>
      </c>
      <c r="L104" s="93" t="s">
        <v>5123</v>
      </c>
      <c r="M104" s="195">
        <v>0.5</v>
      </c>
      <c r="N104" s="93" t="s">
        <v>5123</v>
      </c>
      <c r="O104" s="195">
        <v>0.5</v>
      </c>
      <c r="P104" s="93" t="s">
        <v>5123</v>
      </c>
      <c r="Q104" s="195">
        <v>0.5</v>
      </c>
      <c r="R104" s="93" t="s">
        <v>5123</v>
      </c>
      <c r="S104" s="195">
        <v>0.5</v>
      </c>
      <c r="T104" s="93" t="s">
        <v>5123</v>
      </c>
      <c r="U104" s="92">
        <v>0</v>
      </c>
      <c r="V104" s="93" t="s">
        <v>4798</v>
      </c>
      <c r="W104" s="92">
        <v>0</v>
      </c>
      <c r="X104" s="93" t="s">
        <v>4798</v>
      </c>
      <c r="Y104" s="92">
        <v>0</v>
      </c>
      <c r="Z104" s="93" t="s">
        <v>4798</v>
      </c>
      <c r="AA104" s="92">
        <v>0</v>
      </c>
      <c r="AB104" s="93" t="s">
        <v>4798</v>
      </c>
    </row>
    <row r="105" spans="1:28" ht="15" x14ac:dyDescent="0.25">
      <c r="A105" s="95"/>
      <c r="B105" s="95"/>
      <c r="C105" s="199"/>
      <c r="D105" s="97"/>
      <c r="E105" s="97"/>
      <c r="F105" s="98"/>
      <c r="G105" s="97"/>
      <c r="H105" s="98"/>
      <c r="I105" s="97"/>
      <c r="J105" s="98"/>
      <c r="K105" s="98"/>
      <c r="L105" s="98"/>
      <c r="M105" s="98"/>
      <c r="N105" s="98"/>
      <c r="O105" s="98"/>
      <c r="P105" s="98"/>
      <c r="Q105" s="98"/>
      <c r="R105" s="98"/>
      <c r="S105" s="98"/>
      <c r="T105" s="98"/>
      <c r="U105" s="97"/>
      <c r="V105" s="98"/>
      <c r="W105" s="97"/>
      <c r="X105" s="98"/>
      <c r="Y105" s="97"/>
      <c r="Z105" s="98"/>
      <c r="AA105" s="97"/>
      <c r="AB105" s="98"/>
    </row>
    <row r="106" spans="1:28" s="94" customFormat="1" ht="15" x14ac:dyDescent="0.2">
      <c r="A106" s="91" t="s">
        <v>28</v>
      </c>
      <c r="B106" s="91"/>
      <c r="C106" s="195">
        <v>1</v>
      </c>
      <c r="D106" s="93" t="s">
        <v>5122</v>
      </c>
      <c r="E106" s="92">
        <v>0</v>
      </c>
      <c r="F106" s="93" t="s">
        <v>5122</v>
      </c>
      <c r="G106" s="92">
        <v>0</v>
      </c>
      <c r="H106" s="93" t="s">
        <v>4874</v>
      </c>
      <c r="I106" s="92">
        <v>0</v>
      </c>
      <c r="J106" s="93" t="s">
        <v>4874</v>
      </c>
      <c r="K106" s="197">
        <v>0.1</v>
      </c>
      <c r="L106" s="93" t="s">
        <v>5124</v>
      </c>
      <c r="M106" s="195">
        <v>0</v>
      </c>
      <c r="N106" s="93" t="s">
        <v>5123</v>
      </c>
      <c r="O106" s="195">
        <v>0</v>
      </c>
      <c r="P106" s="93" t="s">
        <v>30</v>
      </c>
      <c r="Q106" s="195">
        <v>0</v>
      </c>
      <c r="R106" s="93" t="s">
        <v>4874</v>
      </c>
      <c r="S106" s="195">
        <v>0</v>
      </c>
      <c r="T106" s="93" t="s">
        <v>30</v>
      </c>
      <c r="U106" s="92">
        <v>0</v>
      </c>
      <c r="V106" s="93" t="s">
        <v>4874</v>
      </c>
      <c r="W106" s="92">
        <v>0</v>
      </c>
      <c r="X106" s="93" t="s">
        <v>4874</v>
      </c>
      <c r="Y106" s="92">
        <v>0</v>
      </c>
      <c r="Z106" s="93" t="s">
        <v>4874</v>
      </c>
      <c r="AA106" s="92">
        <v>0</v>
      </c>
      <c r="AB106" s="93" t="s">
        <v>4874</v>
      </c>
    </row>
    <row r="107" spans="1:28" s="94" customFormat="1" ht="15" x14ac:dyDescent="0.2">
      <c r="A107" s="91" t="s">
        <v>29</v>
      </c>
      <c r="B107" s="91"/>
      <c r="C107" s="195">
        <v>1</v>
      </c>
      <c r="D107" s="93" t="s">
        <v>5122</v>
      </c>
      <c r="E107" s="92">
        <v>0</v>
      </c>
      <c r="F107" s="93" t="s">
        <v>5122</v>
      </c>
      <c r="G107" s="92">
        <v>0</v>
      </c>
      <c r="H107" s="93" t="s">
        <v>4874</v>
      </c>
      <c r="I107" s="92">
        <v>0</v>
      </c>
      <c r="J107" s="93" t="s">
        <v>4874</v>
      </c>
      <c r="K107" s="197">
        <v>0</v>
      </c>
      <c r="L107" s="93" t="s">
        <v>4874</v>
      </c>
      <c r="M107" s="195">
        <v>0</v>
      </c>
      <c r="N107" s="93" t="s">
        <v>5123</v>
      </c>
      <c r="O107" s="195">
        <v>0</v>
      </c>
      <c r="P107" s="93" t="s">
        <v>4874</v>
      </c>
      <c r="Q107" s="195">
        <v>0</v>
      </c>
      <c r="R107" s="93" t="s">
        <v>4874</v>
      </c>
      <c r="S107" s="195">
        <v>0</v>
      </c>
      <c r="T107" s="93" t="s">
        <v>4874</v>
      </c>
      <c r="U107" s="92">
        <v>0</v>
      </c>
      <c r="V107" s="93" t="s">
        <v>4874</v>
      </c>
      <c r="W107" s="92">
        <v>0</v>
      </c>
      <c r="X107" s="93" t="s">
        <v>4874</v>
      </c>
      <c r="Y107" s="92">
        <v>0</v>
      </c>
      <c r="Z107" s="93" t="s">
        <v>4874</v>
      </c>
      <c r="AA107" s="92">
        <v>0</v>
      </c>
      <c r="AB107" s="93" t="s">
        <v>4874</v>
      </c>
    </row>
    <row r="108" spans="1:28" s="94" customFormat="1" ht="15" x14ac:dyDescent="0.2">
      <c r="A108" s="91" t="s">
        <v>31</v>
      </c>
      <c r="B108" s="91"/>
      <c r="C108" s="195">
        <v>0</v>
      </c>
      <c r="D108" s="93" t="s">
        <v>5122</v>
      </c>
      <c r="E108" s="92">
        <v>0</v>
      </c>
      <c r="F108" s="93" t="s">
        <v>5122</v>
      </c>
      <c r="G108" s="92">
        <v>0</v>
      </c>
      <c r="H108" s="93" t="s">
        <v>4874</v>
      </c>
      <c r="I108" s="92">
        <v>0</v>
      </c>
      <c r="J108" s="93" t="s">
        <v>4874</v>
      </c>
      <c r="K108" s="197">
        <v>0</v>
      </c>
      <c r="L108" s="93" t="s">
        <v>4874</v>
      </c>
      <c r="M108" s="195">
        <v>0</v>
      </c>
      <c r="N108" s="93" t="s">
        <v>5123</v>
      </c>
      <c r="O108" s="195">
        <v>0</v>
      </c>
      <c r="P108" s="93" t="s">
        <v>4874</v>
      </c>
      <c r="Q108" s="195">
        <v>0</v>
      </c>
      <c r="R108" s="93" t="s">
        <v>4874</v>
      </c>
      <c r="S108" s="195">
        <v>0</v>
      </c>
      <c r="T108" s="93" t="s">
        <v>4874</v>
      </c>
      <c r="U108" s="92">
        <v>0</v>
      </c>
      <c r="V108" s="93" t="s">
        <v>4874</v>
      </c>
      <c r="W108" s="92">
        <v>0</v>
      </c>
      <c r="X108" s="93" t="s">
        <v>4874</v>
      </c>
      <c r="Y108" s="92">
        <v>0</v>
      </c>
      <c r="Z108" s="93" t="s">
        <v>4874</v>
      </c>
      <c r="AA108" s="92">
        <v>0</v>
      </c>
      <c r="AB108" s="93" t="s">
        <v>4874</v>
      </c>
    </row>
    <row r="109" spans="1:28" s="94" customFormat="1" ht="15" x14ac:dyDescent="0.2">
      <c r="A109" s="91" t="s">
        <v>35</v>
      </c>
      <c r="B109" s="91"/>
      <c r="C109" s="195">
        <v>0</v>
      </c>
      <c r="D109" s="93" t="s">
        <v>5122</v>
      </c>
      <c r="E109" s="92">
        <v>0</v>
      </c>
      <c r="F109" s="93" t="s">
        <v>5122</v>
      </c>
      <c r="G109" s="92">
        <v>0</v>
      </c>
      <c r="H109" s="93" t="s">
        <v>4874</v>
      </c>
      <c r="I109" s="92">
        <v>0</v>
      </c>
      <c r="J109" s="93" t="s">
        <v>4874</v>
      </c>
      <c r="K109" s="197">
        <v>0</v>
      </c>
      <c r="L109" s="93" t="s">
        <v>4874</v>
      </c>
      <c r="M109" s="195">
        <v>0</v>
      </c>
      <c r="N109" s="93" t="s">
        <v>4874</v>
      </c>
      <c r="O109" s="195">
        <v>0</v>
      </c>
      <c r="P109" s="93" t="s">
        <v>4874</v>
      </c>
      <c r="Q109" s="195">
        <v>0</v>
      </c>
      <c r="R109" s="93" t="s">
        <v>4874</v>
      </c>
      <c r="S109" s="195">
        <v>0</v>
      </c>
      <c r="T109" s="93" t="s">
        <v>4874</v>
      </c>
      <c r="U109" s="92">
        <v>0</v>
      </c>
      <c r="V109" s="93" t="s">
        <v>4874</v>
      </c>
      <c r="W109" s="92">
        <v>0</v>
      </c>
      <c r="X109" s="93" t="s">
        <v>4874</v>
      </c>
      <c r="Y109" s="92">
        <v>0</v>
      </c>
      <c r="Z109" s="93" t="s">
        <v>4874</v>
      </c>
      <c r="AA109" s="92">
        <v>0</v>
      </c>
      <c r="AB109" s="93" t="s">
        <v>4874</v>
      </c>
    </row>
    <row r="110" spans="1:28" ht="15" x14ac:dyDescent="0.25">
      <c r="A110" s="95"/>
      <c r="B110" s="95"/>
      <c r="C110" s="199"/>
      <c r="D110" s="97"/>
      <c r="E110" s="97"/>
      <c r="F110" s="98"/>
      <c r="G110" s="97"/>
      <c r="H110" s="98"/>
      <c r="I110" s="97"/>
      <c r="J110" s="98"/>
      <c r="K110" s="98"/>
      <c r="L110" s="98"/>
      <c r="M110" s="98"/>
      <c r="N110" s="98"/>
      <c r="O110" s="98"/>
      <c r="P110" s="98"/>
      <c r="Q110" s="98"/>
      <c r="R110" s="98"/>
      <c r="S110" s="98"/>
      <c r="T110" s="98"/>
      <c r="U110" s="97"/>
      <c r="V110" s="98"/>
      <c r="W110" s="97"/>
      <c r="X110" s="98"/>
      <c r="Y110" s="97"/>
      <c r="Z110" s="98"/>
      <c r="AA110" s="97"/>
      <c r="AB110" s="98"/>
    </row>
    <row r="111" spans="1:28" s="94" customFormat="1" ht="15" x14ac:dyDescent="0.2">
      <c r="A111" s="91" t="s">
        <v>5488</v>
      </c>
      <c r="B111" s="91"/>
      <c r="C111" s="195">
        <v>1</v>
      </c>
      <c r="D111" s="93" t="s">
        <v>5159</v>
      </c>
      <c r="E111" s="92">
        <v>0</v>
      </c>
      <c r="F111" s="93" t="s">
        <v>4874</v>
      </c>
      <c r="G111" s="92">
        <v>0</v>
      </c>
      <c r="H111" s="93" t="s">
        <v>4874</v>
      </c>
      <c r="I111" s="92">
        <v>0</v>
      </c>
      <c r="J111" s="93" t="s">
        <v>5159</v>
      </c>
      <c r="K111" s="197">
        <v>0</v>
      </c>
      <c r="L111" s="93" t="s">
        <v>5159</v>
      </c>
      <c r="M111" s="195">
        <v>0</v>
      </c>
      <c r="N111" s="93" t="s">
        <v>5159</v>
      </c>
      <c r="O111" s="195">
        <v>0</v>
      </c>
      <c r="P111" s="93" t="s">
        <v>5159</v>
      </c>
      <c r="Q111" s="195">
        <v>0</v>
      </c>
      <c r="R111" s="93" t="s">
        <v>5159</v>
      </c>
      <c r="S111" s="195">
        <v>0</v>
      </c>
      <c r="T111" s="93" t="s">
        <v>5159</v>
      </c>
      <c r="U111" s="92">
        <v>0</v>
      </c>
      <c r="V111" s="93" t="s">
        <v>5159</v>
      </c>
      <c r="W111" s="92">
        <v>0</v>
      </c>
      <c r="X111" s="93" t="s">
        <v>5159</v>
      </c>
      <c r="Y111" s="92">
        <v>0</v>
      </c>
      <c r="Z111" s="93" t="s">
        <v>5159</v>
      </c>
      <c r="AA111" s="92">
        <v>0</v>
      </c>
      <c r="AB111" s="93" t="s">
        <v>5159</v>
      </c>
    </row>
    <row r="112" spans="1:28" s="94" customFormat="1" ht="15" x14ac:dyDescent="0.2">
      <c r="A112" s="91" t="s">
        <v>5489</v>
      </c>
      <c r="B112" s="91"/>
      <c r="C112" s="195">
        <v>1</v>
      </c>
      <c r="D112" s="93" t="s">
        <v>5159</v>
      </c>
      <c r="E112" s="92">
        <v>0</v>
      </c>
      <c r="F112" s="93" t="s">
        <v>4874</v>
      </c>
      <c r="G112" s="92">
        <v>0</v>
      </c>
      <c r="H112" s="93" t="s">
        <v>4874</v>
      </c>
      <c r="I112" s="92">
        <v>0</v>
      </c>
      <c r="J112" s="93" t="s">
        <v>5159</v>
      </c>
      <c r="K112" s="197">
        <v>0</v>
      </c>
      <c r="L112" s="93" t="s">
        <v>5159</v>
      </c>
      <c r="M112" s="195">
        <v>0</v>
      </c>
      <c r="N112" s="93" t="s">
        <v>5159</v>
      </c>
      <c r="O112" s="195">
        <v>0</v>
      </c>
      <c r="P112" s="93" t="s">
        <v>5159</v>
      </c>
      <c r="Q112" s="195">
        <v>0</v>
      </c>
      <c r="R112" s="93" t="s">
        <v>5159</v>
      </c>
      <c r="S112" s="195">
        <v>0</v>
      </c>
      <c r="T112" s="93" t="s">
        <v>5159</v>
      </c>
      <c r="U112" s="92">
        <v>0</v>
      </c>
      <c r="V112" s="93" t="s">
        <v>5159</v>
      </c>
      <c r="W112" s="92">
        <v>0</v>
      </c>
      <c r="X112" s="93" t="s">
        <v>5159</v>
      </c>
      <c r="Y112" s="92">
        <v>0</v>
      </c>
      <c r="Z112" s="93" t="s">
        <v>5159</v>
      </c>
      <c r="AA112" s="92">
        <v>0</v>
      </c>
      <c r="AB112" s="93" t="s">
        <v>5159</v>
      </c>
    </row>
    <row r="113" spans="1:28" s="94" customFormat="1" ht="15" x14ac:dyDescent="0.2">
      <c r="A113" s="91" t="s">
        <v>5490</v>
      </c>
      <c r="B113" s="91"/>
      <c r="C113" s="195">
        <v>1</v>
      </c>
      <c r="D113" s="93" t="s">
        <v>5159</v>
      </c>
      <c r="E113" s="92">
        <v>0</v>
      </c>
      <c r="F113" s="93" t="s">
        <v>4874</v>
      </c>
      <c r="G113" s="92">
        <v>0</v>
      </c>
      <c r="H113" s="93" t="s">
        <v>4874</v>
      </c>
      <c r="I113" s="92">
        <v>0</v>
      </c>
      <c r="J113" s="93" t="s">
        <v>5159</v>
      </c>
      <c r="K113" s="197">
        <v>0</v>
      </c>
      <c r="L113" s="93" t="s">
        <v>5159</v>
      </c>
      <c r="M113" s="195">
        <v>0</v>
      </c>
      <c r="N113" s="93" t="s">
        <v>5159</v>
      </c>
      <c r="O113" s="195">
        <v>0</v>
      </c>
      <c r="P113" s="93" t="s">
        <v>5159</v>
      </c>
      <c r="Q113" s="195">
        <v>0</v>
      </c>
      <c r="R113" s="93" t="s">
        <v>5159</v>
      </c>
      <c r="S113" s="195">
        <v>0</v>
      </c>
      <c r="T113" s="93" t="s">
        <v>5159</v>
      </c>
      <c r="U113" s="92">
        <v>0</v>
      </c>
      <c r="V113" s="93" t="s">
        <v>5159</v>
      </c>
      <c r="W113" s="92">
        <v>0</v>
      </c>
      <c r="X113" s="93" t="s">
        <v>5159</v>
      </c>
      <c r="Y113" s="92">
        <v>0</v>
      </c>
      <c r="Z113" s="93" t="s">
        <v>5159</v>
      </c>
      <c r="AA113" s="92">
        <v>0</v>
      </c>
      <c r="AB113" s="93" t="s">
        <v>5159</v>
      </c>
    </row>
    <row r="114" spans="1:28" s="94" customFormat="1" ht="15" x14ac:dyDescent="0.2">
      <c r="A114" s="91" t="s">
        <v>5491</v>
      </c>
      <c r="B114" s="91"/>
      <c r="C114" s="195">
        <v>0</v>
      </c>
      <c r="D114" s="93" t="s">
        <v>5159</v>
      </c>
      <c r="E114" s="92">
        <v>0</v>
      </c>
      <c r="F114" s="93" t="s">
        <v>4874</v>
      </c>
      <c r="G114" s="92">
        <v>0</v>
      </c>
      <c r="H114" s="93" t="s">
        <v>4874</v>
      </c>
      <c r="I114" s="92">
        <v>0</v>
      </c>
      <c r="J114" s="93" t="s">
        <v>4874</v>
      </c>
      <c r="K114" s="197">
        <v>0</v>
      </c>
      <c r="L114" s="93" t="s">
        <v>4874</v>
      </c>
      <c r="M114" s="195">
        <v>0</v>
      </c>
      <c r="N114" s="93" t="s">
        <v>4874</v>
      </c>
      <c r="O114" s="195">
        <v>0</v>
      </c>
      <c r="P114" s="93" t="s">
        <v>4874</v>
      </c>
      <c r="Q114" s="195">
        <v>0</v>
      </c>
      <c r="R114" s="93" t="s">
        <v>4874</v>
      </c>
      <c r="S114" s="195">
        <v>0</v>
      </c>
      <c r="T114" s="93" t="s">
        <v>4874</v>
      </c>
      <c r="U114" s="92">
        <v>0</v>
      </c>
      <c r="V114" s="93" t="s">
        <v>4874</v>
      </c>
      <c r="W114" s="92">
        <v>0</v>
      </c>
      <c r="X114" s="93" t="s">
        <v>4874</v>
      </c>
      <c r="Y114" s="92">
        <v>0</v>
      </c>
      <c r="Z114" s="93" t="s">
        <v>4874</v>
      </c>
      <c r="AA114" s="92">
        <v>0</v>
      </c>
      <c r="AB114" s="93" t="s">
        <v>4874</v>
      </c>
    </row>
    <row r="115" spans="1:28" s="94" customFormat="1" ht="15" x14ac:dyDescent="0.2">
      <c r="A115" s="91" t="s">
        <v>5492</v>
      </c>
      <c r="B115" s="91"/>
      <c r="C115" s="195">
        <v>0</v>
      </c>
      <c r="D115" s="93" t="s">
        <v>5159</v>
      </c>
      <c r="E115" s="92">
        <v>0</v>
      </c>
      <c r="F115" s="93" t="s">
        <v>4874</v>
      </c>
      <c r="G115" s="92">
        <v>0</v>
      </c>
      <c r="H115" s="93" t="s">
        <v>4874</v>
      </c>
      <c r="I115" s="92">
        <v>0</v>
      </c>
      <c r="J115" s="93" t="s">
        <v>4874</v>
      </c>
      <c r="K115" s="197">
        <v>0</v>
      </c>
      <c r="L115" s="93" t="s">
        <v>4874</v>
      </c>
      <c r="M115" s="195">
        <v>0</v>
      </c>
      <c r="N115" s="93" t="s">
        <v>4874</v>
      </c>
      <c r="O115" s="195">
        <v>0</v>
      </c>
      <c r="P115" s="93" t="s">
        <v>4874</v>
      </c>
      <c r="Q115" s="195">
        <v>0</v>
      </c>
      <c r="R115" s="93" t="s">
        <v>4874</v>
      </c>
      <c r="S115" s="195">
        <v>0</v>
      </c>
      <c r="T115" s="93" t="s">
        <v>4874</v>
      </c>
      <c r="U115" s="92">
        <v>0</v>
      </c>
      <c r="V115" s="93" t="s">
        <v>4874</v>
      </c>
      <c r="W115" s="92">
        <v>0</v>
      </c>
      <c r="X115" s="93" t="s">
        <v>4874</v>
      </c>
      <c r="Y115" s="92">
        <v>0</v>
      </c>
      <c r="Z115" s="93" t="s">
        <v>4874</v>
      </c>
      <c r="AA115" s="92">
        <v>0</v>
      </c>
      <c r="AB115" s="93" t="s">
        <v>4874</v>
      </c>
    </row>
    <row r="116" spans="1:28" ht="15" x14ac:dyDescent="0.25">
      <c r="A116" s="95"/>
      <c r="B116" s="95"/>
      <c r="C116" s="199"/>
      <c r="D116" s="97"/>
      <c r="E116" s="97"/>
      <c r="F116" s="98"/>
      <c r="G116" s="97"/>
      <c r="H116" s="98"/>
      <c r="I116" s="97"/>
      <c r="J116" s="98"/>
      <c r="K116" s="98"/>
      <c r="L116" s="98"/>
      <c r="M116" s="98"/>
      <c r="N116" s="98"/>
      <c r="O116" s="98"/>
      <c r="P116" s="98"/>
      <c r="Q116" s="98"/>
      <c r="R116" s="98"/>
      <c r="S116" s="98"/>
      <c r="T116" s="98"/>
      <c r="U116" s="97"/>
      <c r="V116" s="98"/>
      <c r="W116" s="97"/>
      <c r="X116" s="98"/>
      <c r="Y116" s="97"/>
      <c r="Z116" s="98"/>
      <c r="AA116" s="97"/>
      <c r="AB116" s="98"/>
    </row>
    <row r="117" spans="1:28" s="94" customFormat="1" ht="15" x14ac:dyDescent="0.2">
      <c r="A117" s="91" t="s">
        <v>5493</v>
      </c>
      <c r="B117" s="91"/>
      <c r="C117" s="195">
        <v>1</v>
      </c>
      <c r="D117" s="93" t="s">
        <v>5594</v>
      </c>
      <c r="E117" s="92">
        <v>0</v>
      </c>
      <c r="F117" s="93" t="s">
        <v>4874</v>
      </c>
      <c r="G117" s="92">
        <v>0</v>
      </c>
      <c r="H117" s="93" t="s">
        <v>4874</v>
      </c>
      <c r="I117" s="92">
        <v>0</v>
      </c>
      <c r="J117" s="93" t="s">
        <v>4874</v>
      </c>
      <c r="K117" s="197">
        <v>0.25</v>
      </c>
      <c r="L117" s="93" t="s">
        <v>5605</v>
      </c>
      <c r="M117" s="195">
        <v>0.25</v>
      </c>
      <c r="N117" s="93" t="s">
        <v>5600</v>
      </c>
      <c r="O117" s="195">
        <v>0.25</v>
      </c>
      <c r="P117" s="93" t="s">
        <v>5600</v>
      </c>
      <c r="Q117" s="195">
        <v>0.25</v>
      </c>
      <c r="R117" s="93" t="s">
        <v>5600</v>
      </c>
      <c r="S117" s="195">
        <v>0.25</v>
      </c>
      <c r="T117" s="93" t="s">
        <v>5600</v>
      </c>
      <c r="U117" s="92">
        <v>0</v>
      </c>
      <c r="V117" s="93" t="s">
        <v>4874</v>
      </c>
      <c r="W117" s="92">
        <v>0</v>
      </c>
      <c r="X117" s="93" t="s">
        <v>4874</v>
      </c>
      <c r="Y117" s="92">
        <v>0</v>
      </c>
      <c r="Z117" s="93" t="s">
        <v>4874</v>
      </c>
      <c r="AA117" s="92">
        <v>0</v>
      </c>
      <c r="AB117" s="93" t="s">
        <v>4874</v>
      </c>
    </row>
    <row r="118" spans="1:28" s="94" customFormat="1" ht="15" x14ac:dyDescent="0.2">
      <c r="A118" s="91" t="s">
        <v>5494</v>
      </c>
      <c r="B118" s="91"/>
      <c r="C118" s="195">
        <v>1</v>
      </c>
      <c r="D118" s="93" t="s">
        <v>5594</v>
      </c>
      <c r="E118" s="92">
        <v>0</v>
      </c>
      <c r="F118" s="93" t="s">
        <v>4874</v>
      </c>
      <c r="G118" s="92">
        <v>0</v>
      </c>
      <c r="H118" s="93" t="s">
        <v>4874</v>
      </c>
      <c r="I118" s="92">
        <v>0</v>
      </c>
      <c r="J118" s="93" t="s">
        <v>4874</v>
      </c>
      <c r="K118" s="197">
        <v>0.25</v>
      </c>
      <c r="L118" s="93" t="s">
        <v>5605</v>
      </c>
      <c r="M118" s="195">
        <v>0.25</v>
      </c>
      <c r="N118" s="93" t="s">
        <v>5600</v>
      </c>
      <c r="O118" s="195">
        <v>0</v>
      </c>
      <c r="P118" s="93" t="s">
        <v>5600</v>
      </c>
      <c r="Q118" s="195">
        <v>0</v>
      </c>
      <c r="R118" s="93" t="s">
        <v>4874</v>
      </c>
      <c r="S118" s="195">
        <v>0</v>
      </c>
      <c r="T118" s="93" t="s">
        <v>5600</v>
      </c>
      <c r="U118" s="92">
        <v>0</v>
      </c>
      <c r="V118" s="93" t="s">
        <v>4874</v>
      </c>
      <c r="W118" s="92">
        <v>0</v>
      </c>
      <c r="X118" s="93" t="s">
        <v>4874</v>
      </c>
      <c r="Y118" s="92">
        <v>0</v>
      </c>
      <c r="Z118" s="93" t="s">
        <v>4874</v>
      </c>
      <c r="AA118" s="92">
        <v>0</v>
      </c>
      <c r="AB118" s="93" t="s">
        <v>4874</v>
      </c>
    </row>
    <row r="119" spans="1:28" s="94" customFormat="1" ht="15" x14ac:dyDescent="0.2">
      <c r="A119" s="91" t="s">
        <v>5495</v>
      </c>
      <c r="B119" s="91"/>
      <c r="C119" s="195">
        <v>1</v>
      </c>
      <c r="D119" s="93" t="s">
        <v>5594</v>
      </c>
      <c r="E119" s="92">
        <v>0</v>
      </c>
      <c r="F119" s="93" t="s">
        <v>4874</v>
      </c>
      <c r="G119" s="92">
        <v>0</v>
      </c>
      <c r="H119" s="93" t="s">
        <v>4874</v>
      </c>
      <c r="I119" s="92">
        <v>0</v>
      </c>
      <c r="J119" s="93" t="s">
        <v>4874</v>
      </c>
      <c r="K119" s="197">
        <v>0.25</v>
      </c>
      <c r="L119" s="93" t="s">
        <v>5605</v>
      </c>
      <c r="M119" s="195">
        <v>0</v>
      </c>
      <c r="N119" s="93" t="s">
        <v>5600</v>
      </c>
      <c r="O119" s="195">
        <v>0</v>
      </c>
      <c r="P119" s="93" t="s">
        <v>5600</v>
      </c>
      <c r="Q119" s="195">
        <v>0</v>
      </c>
      <c r="R119" s="93" t="s">
        <v>4874</v>
      </c>
      <c r="S119" s="195">
        <v>0</v>
      </c>
      <c r="T119" s="93" t="s">
        <v>5600</v>
      </c>
      <c r="U119" s="92">
        <v>0</v>
      </c>
      <c r="V119" s="93" t="s">
        <v>4874</v>
      </c>
      <c r="W119" s="92">
        <v>0</v>
      </c>
      <c r="X119" s="93" t="s">
        <v>4874</v>
      </c>
      <c r="Y119" s="92">
        <v>0</v>
      </c>
      <c r="Z119" s="93" t="s">
        <v>4874</v>
      </c>
      <c r="AA119" s="92">
        <v>0</v>
      </c>
      <c r="AB119" s="93" t="s">
        <v>4874</v>
      </c>
    </row>
    <row r="120" spans="1:28" s="94" customFormat="1" ht="15" x14ac:dyDescent="0.2">
      <c r="A120" s="91" t="s">
        <v>5496</v>
      </c>
      <c r="B120" s="91"/>
      <c r="C120" s="195">
        <v>1</v>
      </c>
      <c r="D120" s="93" t="s">
        <v>5594</v>
      </c>
      <c r="E120" s="92">
        <v>0</v>
      </c>
      <c r="F120" s="93" t="s">
        <v>4874</v>
      </c>
      <c r="G120" s="92">
        <v>0</v>
      </c>
      <c r="H120" s="93" t="s">
        <v>4874</v>
      </c>
      <c r="I120" s="92">
        <v>0</v>
      </c>
      <c r="J120" s="93" t="s">
        <v>4874</v>
      </c>
      <c r="K120" s="197">
        <v>0.25</v>
      </c>
      <c r="L120" s="93" t="s">
        <v>5605</v>
      </c>
      <c r="M120" s="195">
        <v>0</v>
      </c>
      <c r="N120" s="93" t="s">
        <v>4874</v>
      </c>
      <c r="O120" s="195">
        <v>0</v>
      </c>
      <c r="P120" s="93" t="s">
        <v>4874</v>
      </c>
      <c r="Q120" s="195">
        <v>0</v>
      </c>
      <c r="R120" s="93" t="s">
        <v>4874</v>
      </c>
      <c r="S120" s="195">
        <v>0</v>
      </c>
      <c r="T120" s="93" t="s">
        <v>4874</v>
      </c>
      <c r="U120" s="92">
        <v>0</v>
      </c>
      <c r="V120" s="93" t="s">
        <v>4874</v>
      </c>
      <c r="W120" s="92">
        <v>0</v>
      </c>
      <c r="X120" s="93" t="s">
        <v>4874</v>
      </c>
      <c r="Y120" s="92">
        <v>0</v>
      </c>
      <c r="Z120" s="93" t="s">
        <v>4874</v>
      </c>
      <c r="AA120" s="92">
        <v>0</v>
      </c>
      <c r="AB120" s="93" t="s">
        <v>4874</v>
      </c>
    </row>
    <row r="121" spans="1:28" s="94" customFormat="1" ht="15" x14ac:dyDescent="0.2">
      <c r="A121" s="91" t="s">
        <v>5497</v>
      </c>
      <c r="B121" s="91"/>
      <c r="C121" s="195">
        <v>0</v>
      </c>
      <c r="D121" s="93" t="s">
        <v>5594</v>
      </c>
      <c r="E121" s="92">
        <v>0</v>
      </c>
      <c r="F121" s="93" t="s">
        <v>4874</v>
      </c>
      <c r="G121" s="92">
        <v>0</v>
      </c>
      <c r="H121" s="93" t="s">
        <v>4874</v>
      </c>
      <c r="I121" s="92">
        <v>0</v>
      </c>
      <c r="J121" s="93" t="s">
        <v>4874</v>
      </c>
      <c r="K121" s="197">
        <v>0</v>
      </c>
      <c r="L121" s="93" t="s">
        <v>4874</v>
      </c>
      <c r="M121" s="195">
        <v>0</v>
      </c>
      <c r="N121" s="93" t="s">
        <v>4874</v>
      </c>
      <c r="O121" s="195">
        <v>0</v>
      </c>
      <c r="P121" s="93" t="s">
        <v>4874</v>
      </c>
      <c r="Q121" s="195">
        <v>0</v>
      </c>
      <c r="R121" s="93" t="s">
        <v>4874</v>
      </c>
      <c r="S121" s="195">
        <v>0</v>
      </c>
      <c r="T121" s="93" t="s">
        <v>4874</v>
      </c>
      <c r="U121" s="92">
        <v>0</v>
      </c>
      <c r="V121" s="93" t="s">
        <v>4874</v>
      </c>
      <c r="W121" s="92">
        <v>0</v>
      </c>
      <c r="X121" s="93" t="s">
        <v>4874</v>
      </c>
      <c r="Y121" s="92">
        <v>0</v>
      </c>
      <c r="Z121" s="93" t="s">
        <v>4874</v>
      </c>
      <c r="AA121" s="92">
        <v>0</v>
      </c>
      <c r="AB121" s="93" t="s">
        <v>4874</v>
      </c>
    </row>
    <row r="122" spans="1:28" s="94" customFormat="1" ht="15" x14ac:dyDescent="0.2">
      <c r="A122" s="91" t="s">
        <v>6021</v>
      </c>
      <c r="B122" s="91"/>
      <c r="C122" s="195">
        <v>0</v>
      </c>
      <c r="D122" s="93" t="s">
        <v>5594</v>
      </c>
      <c r="E122" s="92">
        <v>0</v>
      </c>
      <c r="F122" s="93" t="s">
        <v>4874</v>
      </c>
      <c r="G122" s="92">
        <v>0</v>
      </c>
      <c r="H122" s="93" t="s">
        <v>4874</v>
      </c>
      <c r="I122" s="92">
        <v>0</v>
      </c>
      <c r="J122" s="93" t="s">
        <v>4874</v>
      </c>
      <c r="K122" s="197">
        <v>0</v>
      </c>
      <c r="L122" s="93" t="s">
        <v>4874</v>
      </c>
      <c r="M122" s="195">
        <v>0</v>
      </c>
      <c r="N122" s="93" t="s">
        <v>4874</v>
      </c>
      <c r="O122" s="195">
        <v>0</v>
      </c>
      <c r="P122" s="93" t="s">
        <v>4874</v>
      </c>
      <c r="Q122" s="195">
        <v>0</v>
      </c>
      <c r="R122" s="93" t="s">
        <v>4874</v>
      </c>
      <c r="S122" s="195">
        <v>0</v>
      </c>
      <c r="T122" s="93" t="s">
        <v>4874</v>
      </c>
      <c r="U122" s="92">
        <v>0</v>
      </c>
      <c r="V122" s="93" t="s">
        <v>4874</v>
      </c>
      <c r="W122" s="92">
        <v>0</v>
      </c>
      <c r="X122" s="93" t="s">
        <v>4874</v>
      </c>
      <c r="Y122" s="92">
        <v>0</v>
      </c>
      <c r="Z122" s="93" t="s">
        <v>4874</v>
      </c>
      <c r="AA122" s="92">
        <v>0</v>
      </c>
      <c r="AB122" s="93" t="s">
        <v>4874</v>
      </c>
    </row>
    <row r="123" spans="1:28" s="94" customFormat="1" ht="15" x14ac:dyDescent="0.2">
      <c r="A123" s="91" t="s">
        <v>6022</v>
      </c>
      <c r="B123" s="91"/>
      <c r="C123" s="195">
        <v>0</v>
      </c>
      <c r="D123" s="93" t="s">
        <v>5594</v>
      </c>
      <c r="E123" s="92">
        <v>0</v>
      </c>
      <c r="F123" s="93" t="s">
        <v>4874</v>
      </c>
      <c r="G123" s="92">
        <v>0</v>
      </c>
      <c r="H123" s="93" t="s">
        <v>4874</v>
      </c>
      <c r="I123" s="92">
        <v>0</v>
      </c>
      <c r="J123" s="93" t="s">
        <v>4874</v>
      </c>
      <c r="K123" s="197">
        <v>0</v>
      </c>
      <c r="L123" s="93" t="s">
        <v>4874</v>
      </c>
      <c r="M123" s="195">
        <v>0</v>
      </c>
      <c r="N123" s="93" t="s">
        <v>4874</v>
      </c>
      <c r="O123" s="195">
        <v>0</v>
      </c>
      <c r="P123" s="93" t="s">
        <v>4874</v>
      </c>
      <c r="Q123" s="195">
        <v>0</v>
      </c>
      <c r="R123" s="93" t="s">
        <v>4874</v>
      </c>
      <c r="S123" s="195">
        <v>0</v>
      </c>
      <c r="T123" s="93" t="s">
        <v>4874</v>
      </c>
      <c r="U123" s="92">
        <v>0</v>
      </c>
      <c r="V123" s="93" t="s">
        <v>4874</v>
      </c>
      <c r="W123" s="92">
        <v>0</v>
      </c>
      <c r="X123" s="93" t="s">
        <v>4874</v>
      </c>
      <c r="Y123" s="92">
        <v>0</v>
      </c>
      <c r="Z123" s="93" t="s">
        <v>4874</v>
      </c>
      <c r="AA123" s="92">
        <v>0</v>
      </c>
      <c r="AB123" s="93" t="s">
        <v>4874</v>
      </c>
    </row>
    <row r="124" spans="1:28" s="94" customFormat="1" ht="15" x14ac:dyDescent="0.2">
      <c r="A124" s="91" t="s">
        <v>6023</v>
      </c>
      <c r="B124" s="91"/>
      <c r="C124" s="195">
        <v>0</v>
      </c>
      <c r="D124" s="93" t="s">
        <v>5594</v>
      </c>
      <c r="E124" s="92">
        <v>0</v>
      </c>
      <c r="F124" s="93" t="s">
        <v>4874</v>
      </c>
      <c r="G124" s="92">
        <v>0</v>
      </c>
      <c r="H124" s="93" t="s">
        <v>4874</v>
      </c>
      <c r="I124" s="92">
        <v>0</v>
      </c>
      <c r="J124" s="93" t="s">
        <v>4874</v>
      </c>
      <c r="K124" s="197">
        <v>0</v>
      </c>
      <c r="L124" s="93" t="s">
        <v>4874</v>
      </c>
      <c r="M124" s="195">
        <v>0</v>
      </c>
      <c r="N124" s="93" t="s">
        <v>4874</v>
      </c>
      <c r="O124" s="195">
        <v>0</v>
      </c>
      <c r="P124" s="93" t="s">
        <v>4874</v>
      </c>
      <c r="Q124" s="195">
        <v>0</v>
      </c>
      <c r="R124" s="93" t="s">
        <v>4874</v>
      </c>
      <c r="S124" s="195">
        <v>0</v>
      </c>
      <c r="T124" s="93" t="s">
        <v>4874</v>
      </c>
      <c r="U124" s="92">
        <v>0</v>
      </c>
      <c r="V124" s="93" t="s">
        <v>4874</v>
      </c>
      <c r="W124" s="92">
        <v>0</v>
      </c>
      <c r="X124" s="93" t="s">
        <v>4874</v>
      </c>
      <c r="Y124" s="92">
        <v>0</v>
      </c>
      <c r="Z124" s="93" t="s">
        <v>4874</v>
      </c>
      <c r="AA124" s="92">
        <v>0</v>
      </c>
      <c r="AB124" s="93" t="s">
        <v>4874</v>
      </c>
    </row>
    <row r="125" spans="1:28" ht="15" x14ac:dyDescent="0.25">
      <c r="A125" s="95"/>
      <c r="B125" s="95"/>
      <c r="C125" s="199"/>
      <c r="D125" s="97"/>
      <c r="E125" s="97"/>
      <c r="F125" s="98"/>
      <c r="G125" s="97"/>
      <c r="H125" s="98"/>
      <c r="I125" s="97"/>
      <c r="J125" s="98"/>
      <c r="K125" s="98"/>
      <c r="L125" s="98"/>
      <c r="M125" s="98"/>
      <c r="N125" s="98"/>
      <c r="O125" s="98"/>
      <c r="P125" s="98"/>
      <c r="Q125" s="98"/>
      <c r="R125" s="98"/>
      <c r="S125" s="98"/>
      <c r="T125" s="98"/>
      <c r="U125" s="97"/>
      <c r="V125" s="98"/>
      <c r="W125" s="97"/>
      <c r="X125" s="98"/>
      <c r="Y125" s="97"/>
      <c r="Z125" s="98"/>
      <c r="AA125" s="97"/>
      <c r="AB125" s="98"/>
    </row>
    <row r="126" spans="1:28" s="94" customFormat="1" ht="15" x14ac:dyDescent="0.2">
      <c r="A126" s="91" t="s">
        <v>5498</v>
      </c>
      <c r="B126" s="91"/>
      <c r="C126" s="195">
        <v>1</v>
      </c>
      <c r="D126" s="93" t="s">
        <v>5134</v>
      </c>
      <c r="E126" s="92">
        <v>0</v>
      </c>
      <c r="F126" s="93" t="s">
        <v>5593</v>
      </c>
      <c r="G126" s="92">
        <v>0</v>
      </c>
      <c r="H126" s="93" t="s">
        <v>5593</v>
      </c>
      <c r="I126" s="92">
        <v>0</v>
      </c>
      <c r="J126" s="93" t="s">
        <v>5593</v>
      </c>
      <c r="K126" s="197">
        <v>0.5</v>
      </c>
      <c r="L126" s="93" t="s">
        <v>5134</v>
      </c>
      <c r="M126" s="195">
        <v>0.5</v>
      </c>
      <c r="N126" s="93" t="s">
        <v>5144</v>
      </c>
      <c r="O126" s="195">
        <v>0.1</v>
      </c>
      <c r="P126" s="93" t="s">
        <v>5134</v>
      </c>
      <c r="Q126" s="195">
        <v>0.1</v>
      </c>
      <c r="R126" s="93" t="s">
        <v>5134</v>
      </c>
      <c r="S126" s="195">
        <v>0.1</v>
      </c>
      <c r="T126" s="93" t="s">
        <v>5134</v>
      </c>
      <c r="U126" s="92">
        <v>0</v>
      </c>
      <c r="V126" s="93" t="s">
        <v>5593</v>
      </c>
      <c r="W126" s="92">
        <v>0</v>
      </c>
      <c r="X126" s="93" t="s">
        <v>5593</v>
      </c>
      <c r="Y126" s="92">
        <v>0</v>
      </c>
      <c r="Z126" s="93" t="s">
        <v>5593</v>
      </c>
      <c r="AA126" s="92">
        <v>0</v>
      </c>
      <c r="AB126" s="93" t="s">
        <v>5593</v>
      </c>
    </row>
    <row r="127" spans="1:28" s="94" customFormat="1" ht="15" x14ac:dyDescent="0.2">
      <c r="A127" s="91" t="s">
        <v>5499</v>
      </c>
      <c r="B127" s="91"/>
      <c r="C127" s="195">
        <v>1</v>
      </c>
      <c r="D127" s="93" t="s">
        <v>5134</v>
      </c>
      <c r="E127" s="92">
        <v>0</v>
      </c>
      <c r="F127" s="93" t="s">
        <v>5593</v>
      </c>
      <c r="G127" s="92">
        <v>0</v>
      </c>
      <c r="H127" s="93" t="s">
        <v>5593</v>
      </c>
      <c r="I127" s="92">
        <v>0</v>
      </c>
      <c r="J127" s="93" t="s">
        <v>5593</v>
      </c>
      <c r="K127" s="197">
        <v>0.5</v>
      </c>
      <c r="L127" s="93" t="s">
        <v>5134</v>
      </c>
      <c r="M127" s="195">
        <v>0.5</v>
      </c>
      <c r="N127" s="93" t="s">
        <v>5144</v>
      </c>
      <c r="O127" s="195">
        <v>0</v>
      </c>
      <c r="P127" s="93" t="s">
        <v>5134</v>
      </c>
      <c r="Q127" s="195">
        <v>0</v>
      </c>
      <c r="R127" s="93" t="s">
        <v>5593</v>
      </c>
      <c r="S127" s="195">
        <v>0</v>
      </c>
      <c r="T127" s="93" t="s">
        <v>5134</v>
      </c>
      <c r="U127" s="92">
        <v>0</v>
      </c>
      <c r="V127" s="93" t="s">
        <v>5593</v>
      </c>
      <c r="W127" s="92">
        <v>0</v>
      </c>
      <c r="X127" s="93" t="s">
        <v>5593</v>
      </c>
      <c r="Y127" s="92">
        <v>0</v>
      </c>
      <c r="Z127" s="93" t="s">
        <v>5593</v>
      </c>
      <c r="AA127" s="92">
        <v>0</v>
      </c>
      <c r="AB127" s="93" t="s">
        <v>5593</v>
      </c>
    </row>
    <row r="128" spans="1:28" s="94" customFormat="1" ht="15" x14ac:dyDescent="0.2">
      <c r="A128" s="91" t="s">
        <v>5500</v>
      </c>
      <c r="B128" s="91"/>
      <c r="C128" s="195">
        <v>1</v>
      </c>
      <c r="D128" s="93" t="s">
        <v>5134</v>
      </c>
      <c r="E128" s="92">
        <v>0</v>
      </c>
      <c r="F128" s="93" t="s">
        <v>5593</v>
      </c>
      <c r="G128" s="92">
        <v>0</v>
      </c>
      <c r="H128" s="93" t="s">
        <v>5593</v>
      </c>
      <c r="I128" s="92">
        <v>0</v>
      </c>
      <c r="J128" s="93" t="s">
        <v>5593</v>
      </c>
      <c r="K128" s="197">
        <v>0.5</v>
      </c>
      <c r="L128" s="93" t="s">
        <v>5134</v>
      </c>
      <c r="M128" s="195">
        <v>0</v>
      </c>
      <c r="N128" s="93" t="s">
        <v>5144</v>
      </c>
      <c r="O128" s="195">
        <v>0</v>
      </c>
      <c r="P128" s="93" t="s">
        <v>5593</v>
      </c>
      <c r="Q128" s="195">
        <v>0</v>
      </c>
      <c r="R128" s="93" t="s">
        <v>5593</v>
      </c>
      <c r="S128" s="195">
        <v>0</v>
      </c>
      <c r="T128" s="93" t="s">
        <v>5593</v>
      </c>
      <c r="U128" s="92">
        <v>0</v>
      </c>
      <c r="V128" s="93" t="s">
        <v>5593</v>
      </c>
      <c r="W128" s="92">
        <v>0</v>
      </c>
      <c r="X128" s="93" t="s">
        <v>5593</v>
      </c>
      <c r="Y128" s="92">
        <v>0</v>
      </c>
      <c r="Z128" s="93" t="s">
        <v>5593</v>
      </c>
      <c r="AA128" s="92">
        <v>0</v>
      </c>
      <c r="AB128" s="93" t="s">
        <v>5593</v>
      </c>
    </row>
    <row r="129" spans="1:28" s="94" customFormat="1" ht="15" x14ac:dyDescent="0.2">
      <c r="A129" s="91" t="s">
        <v>5501</v>
      </c>
      <c r="B129" s="91"/>
      <c r="C129" s="195">
        <v>1</v>
      </c>
      <c r="D129" s="93" t="s">
        <v>5134</v>
      </c>
      <c r="E129" s="92">
        <v>0</v>
      </c>
      <c r="F129" s="93" t="s">
        <v>5593</v>
      </c>
      <c r="G129" s="92">
        <v>0</v>
      </c>
      <c r="H129" s="93" t="s">
        <v>5593</v>
      </c>
      <c r="I129" s="92">
        <v>0</v>
      </c>
      <c r="J129" s="93" t="s">
        <v>5593</v>
      </c>
      <c r="K129" s="197">
        <v>0.5</v>
      </c>
      <c r="L129" s="93" t="s">
        <v>5134</v>
      </c>
      <c r="M129" s="195">
        <v>0</v>
      </c>
      <c r="N129" s="93" t="s">
        <v>5144</v>
      </c>
      <c r="O129" s="195">
        <v>0</v>
      </c>
      <c r="P129" s="93" t="s">
        <v>5593</v>
      </c>
      <c r="Q129" s="195">
        <v>0</v>
      </c>
      <c r="R129" s="93" t="s">
        <v>5593</v>
      </c>
      <c r="S129" s="195">
        <v>0</v>
      </c>
      <c r="T129" s="93" t="s">
        <v>5593</v>
      </c>
      <c r="U129" s="92">
        <v>0</v>
      </c>
      <c r="V129" s="93" t="s">
        <v>5593</v>
      </c>
      <c r="W129" s="92">
        <v>0</v>
      </c>
      <c r="X129" s="93" t="s">
        <v>5593</v>
      </c>
      <c r="Y129" s="92">
        <v>0</v>
      </c>
      <c r="Z129" s="93" t="s">
        <v>5593</v>
      </c>
      <c r="AA129" s="92">
        <v>0</v>
      </c>
      <c r="AB129" s="93" t="s">
        <v>5593</v>
      </c>
    </row>
    <row r="130" spans="1:28" s="94" customFormat="1" ht="15" x14ac:dyDescent="0.2">
      <c r="A130" s="91" t="s">
        <v>5502</v>
      </c>
      <c r="B130" s="91"/>
      <c r="C130" s="195">
        <v>1</v>
      </c>
      <c r="D130" s="93" t="s">
        <v>5134</v>
      </c>
      <c r="E130" s="92">
        <v>0</v>
      </c>
      <c r="F130" s="93" t="s">
        <v>5593</v>
      </c>
      <c r="G130" s="92">
        <v>0</v>
      </c>
      <c r="H130" s="93" t="s">
        <v>5593</v>
      </c>
      <c r="I130" s="92">
        <v>0</v>
      </c>
      <c r="J130" s="93" t="s">
        <v>5593</v>
      </c>
      <c r="K130" s="197">
        <v>0</v>
      </c>
      <c r="L130" s="93" t="s">
        <v>4874</v>
      </c>
      <c r="M130" s="195">
        <v>0</v>
      </c>
      <c r="N130" s="93" t="s">
        <v>5593</v>
      </c>
      <c r="O130" s="195">
        <v>0</v>
      </c>
      <c r="P130" s="93" t="s">
        <v>5593</v>
      </c>
      <c r="Q130" s="195">
        <v>0</v>
      </c>
      <c r="R130" s="93" t="s">
        <v>5593</v>
      </c>
      <c r="S130" s="195">
        <v>0</v>
      </c>
      <c r="T130" s="93" t="s">
        <v>5593</v>
      </c>
      <c r="U130" s="92">
        <v>0</v>
      </c>
      <c r="V130" s="93" t="s">
        <v>5593</v>
      </c>
      <c r="W130" s="92">
        <v>0</v>
      </c>
      <c r="X130" s="93" t="s">
        <v>5593</v>
      </c>
      <c r="Y130" s="92">
        <v>0</v>
      </c>
      <c r="Z130" s="93" t="s">
        <v>5593</v>
      </c>
      <c r="AA130" s="92">
        <v>0</v>
      </c>
      <c r="AB130" s="93" t="s">
        <v>5593</v>
      </c>
    </row>
    <row r="131" spans="1:28" s="94" customFormat="1" ht="15" x14ac:dyDescent="0.2">
      <c r="A131" s="91" t="s">
        <v>5503</v>
      </c>
      <c r="B131" s="91"/>
      <c r="C131" s="195">
        <v>0</v>
      </c>
      <c r="D131" s="93" t="s">
        <v>5134</v>
      </c>
      <c r="E131" s="92">
        <v>0</v>
      </c>
      <c r="F131" s="93" t="s">
        <v>5593</v>
      </c>
      <c r="G131" s="92">
        <v>0</v>
      </c>
      <c r="H131" s="93" t="s">
        <v>5593</v>
      </c>
      <c r="I131" s="92">
        <v>0</v>
      </c>
      <c r="J131" s="93" t="s">
        <v>5593</v>
      </c>
      <c r="K131" s="197">
        <v>0</v>
      </c>
      <c r="L131" s="93" t="s">
        <v>4874</v>
      </c>
      <c r="M131" s="195">
        <v>0</v>
      </c>
      <c r="N131" s="93" t="s">
        <v>5593</v>
      </c>
      <c r="O131" s="195">
        <v>0</v>
      </c>
      <c r="P131" s="93" t="s">
        <v>5593</v>
      </c>
      <c r="Q131" s="195">
        <v>0</v>
      </c>
      <c r="R131" s="93" t="s">
        <v>5593</v>
      </c>
      <c r="S131" s="195">
        <v>0</v>
      </c>
      <c r="T131" s="93" t="s">
        <v>5593</v>
      </c>
      <c r="U131" s="92">
        <v>0</v>
      </c>
      <c r="V131" s="93" t="s">
        <v>5593</v>
      </c>
      <c r="W131" s="92">
        <v>0</v>
      </c>
      <c r="X131" s="93" t="s">
        <v>5593</v>
      </c>
      <c r="Y131" s="92">
        <v>0</v>
      </c>
      <c r="Z131" s="93" t="s">
        <v>5593</v>
      </c>
      <c r="AA131" s="92">
        <v>0</v>
      </c>
      <c r="AB131" s="93" t="s">
        <v>5593</v>
      </c>
    </row>
    <row r="132" spans="1:28" ht="15" x14ac:dyDescent="0.25">
      <c r="A132" s="95"/>
      <c r="B132" s="95"/>
      <c r="C132" s="199"/>
      <c r="D132" s="97"/>
      <c r="E132" s="97"/>
      <c r="F132" s="98"/>
      <c r="G132" s="97"/>
      <c r="H132" s="98"/>
      <c r="I132" s="97"/>
      <c r="J132" s="98"/>
      <c r="K132" s="98"/>
      <c r="L132" s="98"/>
      <c r="M132" s="98"/>
      <c r="N132" s="98"/>
      <c r="O132" s="98"/>
      <c r="P132" s="98"/>
      <c r="Q132" s="98"/>
      <c r="R132" s="98"/>
      <c r="S132" s="98"/>
      <c r="T132" s="98"/>
      <c r="U132" s="97"/>
      <c r="V132" s="98"/>
      <c r="W132" s="97"/>
      <c r="X132" s="98"/>
      <c r="Y132" s="97"/>
      <c r="Z132" s="98"/>
      <c r="AA132" s="97"/>
      <c r="AB132" s="98"/>
    </row>
    <row r="133" spans="1:28" s="94" customFormat="1" ht="15" x14ac:dyDescent="0.2">
      <c r="A133" s="91" t="s">
        <v>5504</v>
      </c>
      <c r="B133" s="91"/>
      <c r="C133" s="195">
        <v>1</v>
      </c>
      <c r="D133" s="93" t="s">
        <v>5149</v>
      </c>
      <c r="E133" s="92">
        <v>0</v>
      </c>
      <c r="F133" s="93" t="s">
        <v>4874</v>
      </c>
      <c r="G133" s="92">
        <v>0</v>
      </c>
      <c r="H133" s="93" t="s">
        <v>4874</v>
      </c>
      <c r="I133" s="92">
        <v>0.03</v>
      </c>
      <c r="J133" s="93" t="s">
        <v>5151</v>
      </c>
      <c r="K133" s="197">
        <v>0</v>
      </c>
      <c r="L133" s="93" t="s">
        <v>4874</v>
      </c>
      <c r="M133" s="195">
        <v>0</v>
      </c>
      <c r="N133" s="93" t="s">
        <v>4874</v>
      </c>
      <c r="O133" s="195">
        <v>0</v>
      </c>
      <c r="P133" s="93" t="s">
        <v>4874</v>
      </c>
      <c r="Q133" s="195">
        <v>0</v>
      </c>
      <c r="R133" s="93" t="s">
        <v>4874</v>
      </c>
      <c r="S133" s="195">
        <v>0</v>
      </c>
      <c r="T133" s="93" t="s">
        <v>4874</v>
      </c>
      <c r="U133" s="92">
        <v>0</v>
      </c>
      <c r="V133" s="93" t="s">
        <v>4874</v>
      </c>
      <c r="W133" s="92">
        <v>0</v>
      </c>
      <c r="X133" s="93" t="s">
        <v>4874</v>
      </c>
      <c r="Y133" s="92">
        <v>0</v>
      </c>
      <c r="Z133" s="93" t="s">
        <v>4874</v>
      </c>
      <c r="AA133" s="92">
        <v>0</v>
      </c>
      <c r="AB133" s="93" t="s">
        <v>4874</v>
      </c>
    </row>
    <row r="134" spans="1:28" s="94" customFormat="1" ht="15" x14ac:dyDescent="0.2">
      <c r="A134" s="91" t="s">
        <v>5505</v>
      </c>
      <c r="B134" s="91"/>
      <c r="C134" s="195">
        <v>1</v>
      </c>
      <c r="D134" s="93" t="s">
        <v>5149</v>
      </c>
      <c r="E134" s="92">
        <v>0</v>
      </c>
      <c r="F134" s="93" t="s">
        <v>4874</v>
      </c>
      <c r="G134" s="92">
        <v>0</v>
      </c>
      <c r="H134" s="93" t="s">
        <v>4874</v>
      </c>
      <c r="I134" s="92">
        <v>0.03</v>
      </c>
      <c r="J134" s="93" t="s">
        <v>5151</v>
      </c>
      <c r="K134" s="197">
        <v>0</v>
      </c>
      <c r="L134" s="93" t="s">
        <v>4874</v>
      </c>
      <c r="M134" s="195">
        <v>0</v>
      </c>
      <c r="N134" s="93" t="s">
        <v>4874</v>
      </c>
      <c r="O134" s="195">
        <v>0</v>
      </c>
      <c r="P134" s="93" t="s">
        <v>4874</v>
      </c>
      <c r="Q134" s="195">
        <v>0</v>
      </c>
      <c r="R134" s="93" t="s">
        <v>4874</v>
      </c>
      <c r="S134" s="195">
        <v>0</v>
      </c>
      <c r="T134" s="93" t="s">
        <v>4874</v>
      </c>
      <c r="U134" s="92">
        <v>0</v>
      </c>
      <c r="V134" s="93" t="s">
        <v>4874</v>
      </c>
      <c r="W134" s="92">
        <v>0</v>
      </c>
      <c r="X134" s="93" t="s">
        <v>4874</v>
      </c>
      <c r="Y134" s="92">
        <v>0</v>
      </c>
      <c r="Z134" s="93" t="s">
        <v>4874</v>
      </c>
      <c r="AA134" s="92">
        <v>0</v>
      </c>
      <c r="AB134" s="93" t="s">
        <v>4874</v>
      </c>
    </row>
    <row r="135" spans="1:28" s="94" customFormat="1" ht="15" x14ac:dyDescent="0.2">
      <c r="A135" s="91" t="s">
        <v>5506</v>
      </c>
      <c r="B135" s="91"/>
      <c r="C135" s="195">
        <v>1</v>
      </c>
      <c r="D135" s="93" t="s">
        <v>5149</v>
      </c>
      <c r="E135" s="92">
        <v>0</v>
      </c>
      <c r="F135" s="93" t="s">
        <v>4874</v>
      </c>
      <c r="G135" s="92">
        <v>0</v>
      </c>
      <c r="H135" s="93" t="s">
        <v>4874</v>
      </c>
      <c r="I135" s="92">
        <v>0.03</v>
      </c>
      <c r="J135" s="93" t="s">
        <v>5151</v>
      </c>
      <c r="K135" s="197">
        <v>0</v>
      </c>
      <c r="L135" s="93" t="s">
        <v>4874</v>
      </c>
      <c r="M135" s="195">
        <v>0</v>
      </c>
      <c r="N135" s="93" t="s">
        <v>4874</v>
      </c>
      <c r="O135" s="195">
        <v>0</v>
      </c>
      <c r="P135" s="93" t="s">
        <v>4874</v>
      </c>
      <c r="Q135" s="195">
        <v>0</v>
      </c>
      <c r="R135" s="93" t="s">
        <v>4874</v>
      </c>
      <c r="S135" s="195">
        <v>0</v>
      </c>
      <c r="T135" s="93" t="s">
        <v>4874</v>
      </c>
      <c r="U135" s="92">
        <v>0</v>
      </c>
      <c r="V135" s="93" t="s">
        <v>4874</v>
      </c>
      <c r="W135" s="92">
        <v>0</v>
      </c>
      <c r="X135" s="93" t="s">
        <v>4874</v>
      </c>
      <c r="Y135" s="92">
        <v>0</v>
      </c>
      <c r="Z135" s="93" t="s">
        <v>4874</v>
      </c>
      <c r="AA135" s="92">
        <v>0</v>
      </c>
      <c r="AB135" s="93" t="s">
        <v>4874</v>
      </c>
    </row>
    <row r="136" spans="1:28" s="94" customFormat="1" ht="15" x14ac:dyDescent="0.2">
      <c r="A136" s="91" t="s">
        <v>5507</v>
      </c>
      <c r="B136" s="91"/>
      <c r="C136" s="195">
        <v>1</v>
      </c>
      <c r="D136" s="93" t="s">
        <v>5149</v>
      </c>
      <c r="E136" s="92">
        <v>0</v>
      </c>
      <c r="F136" s="93" t="s">
        <v>4874</v>
      </c>
      <c r="G136" s="92">
        <v>0</v>
      </c>
      <c r="H136" s="93" t="s">
        <v>4874</v>
      </c>
      <c r="I136" s="92">
        <v>0</v>
      </c>
      <c r="J136" s="93" t="s">
        <v>4798</v>
      </c>
      <c r="K136" s="197">
        <v>0</v>
      </c>
      <c r="L136" s="93" t="s">
        <v>4874</v>
      </c>
      <c r="M136" s="195">
        <v>0</v>
      </c>
      <c r="N136" s="93" t="s">
        <v>4874</v>
      </c>
      <c r="O136" s="195">
        <v>0</v>
      </c>
      <c r="P136" s="93" t="s">
        <v>4874</v>
      </c>
      <c r="Q136" s="195">
        <v>0</v>
      </c>
      <c r="R136" s="93" t="s">
        <v>4874</v>
      </c>
      <c r="S136" s="195">
        <v>0</v>
      </c>
      <c r="T136" s="93" t="s">
        <v>4874</v>
      </c>
      <c r="U136" s="92">
        <v>0</v>
      </c>
      <c r="V136" s="93" t="s">
        <v>4874</v>
      </c>
      <c r="W136" s="92">
        <v>0</v>
      </c>
      <c r="X136" s="93" t="s">
        <v>4874</v>
      </c>
      <c r="Y136" s="92">
        <v>0</v>
      </c>
      <c r="Z136" s="93" t="s">
        <v>4874</v>
      </c>
      <c r="AA136" s="92">
        <v>0</v>
      </c>
      <c r="AB136" s="93" t="s">
        <v>4874</v>
      </c>
    </row>
    <row r="137" spans="1:28" s="94" customFormat="1" ht="15" x14ac:dyDescent="0.2">
      <c r="A137" s="91" t="s">
        <v>5508</v>
      </c>
      <c r="B137" s="91"/>
      <c r="C137" s="195">
        <v>1</v>
      </c>
      <c r="D137" s="93" t="s">
        <v>5149</v>
      </c>
      <c r="E137" s="92">
        <v>0</v>
      </c>
      <c r="F137" s="93" t="s">
        <v>4874</v>
      </c>
      <c r="G137" s="92">
        <v>0</v>
      </c>
      <c r="H137" s="93" t="s">
        <v>4874</v>
      </c>
      <c r="I137" s="92">
        <v>0</v>
      </c>
      <c r="J137" s="93" t="s">
        <v>4798</v>
      </c>
      <c r="K137" s="197">
        <v>0</v>
      </c>
      <c r="L137" s="93" t="s">
        <v>4874</v>
      </c>
      <c r="M137" s="195">
        <v>0</v>
      </c>
      <c r="N137" s="93" t="s">
        <v>4874</v>
      </c>
      <c r="O137" s="195">
        <v>0</v>
      </c>
      <c r="P137" s="93" t="s">
        <v>4874</v>
      </c>
      <c r="Q137" s="195">
        <v>0</v>
      </c>
      <c r="R137" s="93" t="s">
        <v>4874</v>
      </c>
      <c r="S137" s="195">
        <v>0</v>
      </c>
      <c r="T137" s="93" t="s">
        <v>4874</v>
      </c>
      <c r="U137" s="92">
        <v>0</v>
      </c>
      <c r="V137" s="93" t="s">
        <v>4874</v>
      </c>
      <c r="W137" s="92">
        <v>0</v>
      </c>
      <c r="X137" s="93" t="s">
        <v>4874</v>
      </c>
      <c r="Y137" s="92">
        <v>0</v>
      </c>
      <c r="Z137" s="93" t="s">
        <v>4874</v>
      </c>
      <c r="AA137" s="92">
        <v>0</v>
      </c>
      <c r="AB137" s="93" t="s">
        <v>4874</v>
      </c>
    </row>
    <row r="138" spans="1:28" s="94" customFormat="1" ht="15" x14ac:dyDescent="0.2">
      <c r="A138" s="91" t="s">
        <v>5509</v>
      </c>
      <c r="B138" s="91"/>
      <c r="C138" s="195">
        <v>1</v>
      </c>
      <c r="D138" s="93" t="s">
        <v>5146</v>
      </c>
      <c r="E138" s="92">
        <v>0</v>
      </c>
      <c r="F138" s="93" t="s">
        <v>4874</v>
      </c>
      <c r="G138" s="92">
        <v>0</v>
      </c>
      <c r="H138" s="93" t="s">
        <v>4874</v>
      </c>
      <c r="I138" s="92">
        <v>0</v>
      </c>
      <c r="J138" s="93" t="s">
        <v>4798</v>
      </c>
      <c r="K138" s="197">
        <v>0</v>
      </c>
      <c r="L138" s="93" t="s">
        <v>4874</v>
      </c>
      <c r="M138" s="195">
        <v>0</v>
      </c>
      <c r="N138" s="93" t="s">
        <v>4874</v>
      </c>
      <c r="O138" s="195">
        <v>0</v>
      </c>
      <c r="P138" s="93" t="s">
        <v>4874</v>
      </c>
      <c r="Q138" s="195">
        <v>0</v>
      </c>
      <c r="R138" s="93" t="s">
        <v>4874</v>
      </c>
      <c r="S138" s="195">
        <v>0</v>
      </c>
      <c r="T138" s="93" t="s">
        <v>4874</v>
      </c>
      <c r="U138" s="92">
        <v>0</v>
      </c>
      <c r="V138" s="93" t="s">
        <v>4874</v>
      </c>
      <c r="W138" s="92">
        <v>0</v>
      </c>
      <c r="X138" s="93" t="s">
        <v>4874</v>
      </c>
      <c r="Y138" s="92">
        <v>0</v>
      </c>
      <c r="Z138" s="93" t="s">
        <v>4874</v>
      </c>
      <c r="AA138" s="92">
        <v>0</v>
      </c>
      <c r="AB138" s="93" t="s">
        <v>4874</v>
      </c>
    </row>
    <row r="139" spans="1:28" s="94" customFormat="1" ht="15" x14ac:dyDescent="0.2">
      <c r="A139" s="91" t="s">
        <v>5510</v>
      </c>
      <c r="B139" s="91"/>
      <c r="C139" s="195">
        <v>1</v>
      </c>
      <c r="D139" s="93" t="s">
        <v>5146</v>
      </c>
      <c r="E139" s="92">
        <v>0</v>
      </c>
      <c r="F139" s="93" t="s">
        <v>4874</v>
      </c>
      <c r="G139" s="92">
        <v>0</v>
      </c>
      <c r="H139" s="93" t="s">
        <v>4874</v>
      </c>
      <c r="I139" s="92">
        <v>0</v>
      </c>
      <c r="J139" s="93" t="s">
        <v>4798</v>
      </c>
      <c r="K139" s="197">
        <v>0</v>
      </c>
      <c r="L139" s="93" t="s">
        <v>4874</v>
      </c>
      <c r="M139" s="195">
        <v>0</v>
      </c>
      <c r="N139" s="93" t="s">
        <v>4874</v>
      </c>
      <c r="O139" s="195">
        <v>0</v>
      </c>
      <c r="P139" s="93" t="s">
        <v>4874</v>
      </c>
      <c r="Q139" s="195">
        <v>0</v>
      </c>
      <c r="R139" s="93" t="s">
        <v>4874</v>
      </c>
      <c r="S139" s="195">
        <v>0</v>
      </c>
      <c r="T139" s="93" t="s">
        <v>4874</v>
      </c>
      <c r="U139" s="92">
        <v>0</v>
      </c>
      <c r="V139" s="93" t="s">
        <v>4874</v>
      </c>
      <c r="W139" s="92">
        <v>0</v>
      </c>
      <c r="X139" s="93" t="s">
        <v>4874</v>
      </c>
      <c r="Y139" s="92">
        <v>0</v>
      </c>
      <c r="Z139" s="93" t="s">
        <v>4874</v>
      </c>
      <c r="AA139" s="92">
        <v>0</v>
      </c>
      <c r="AB139" s="93" t="s">
        <v>4874</v>
      </c>
    </row>
    <row r="140" spans="1:28" s="94" customFormat="1" ht="15" x14ac:dyDescent="0.2">
      <c r="A140" s="91" t="s">
        <v>5511</v>
      </c>
      <c r="B140" s="91"/>
      <c r="C140" s="195">
        <v>1</v>
      </c>
      <c r="D140" s="93" t="s">
        <v>5146</v>
      </c>
      <c r="E140" s="92">
        <v>0</v>
      </c>
      <c r="F140" s="93" t="s">
        <v>4874</v>
      </c>
      <c r="G140" s="92">
        <v>0</v>
      </c>
      <c r="H140" s="93" t="s">
        <v>4874</v>
      </c>
      <c r="I140" s="92">
        <v>0</v>
      </c>
      <c r="J140" s="93" t="s">
        <v>4798</v>
      </c>
      <c r="K140" s="197">
        <v>0</v>
      </c>
      <c r="L140" s="93" t="s">
        <v>4874</v>
      </c>
      <c r="M140" s="195">
        <v>0</v>
      </c>
      <c r="N140" s="93" t="s">
        <v>4874</v>
      </c>
      <c r="O140" s="195">
        <v>0</v>
      </c>
      <c r="P140" s="93" t="s">
        <v>4874</v>
      </c>
      <c r="Q140" s="195">
        <v>0</v>
      </c>
      <c r="R140" s="93" t="s">
        <v>4874</v>
      </c>
      <c r="S140" s="195">
        <v>0</v>
      </c>
      <c r="T140" s="93" t="s">
        <v>4874</v>
      </c>
      <c r="U140" s="92">
        <v>0</v>
      </c>
      <c r="V140" s="93" t="s">
        <v>4874</v>
      </c>
      <c r="W140" s="92">
        <v>0</v>
      </c>
      <c r="X140" s="93" t="s">
        <v>4874</v>
      </c>
      <c r="Y140" s="92">
        <v>0</v>
      </c>
      <c r="Z140" s="93" t="s">
        <v>4874</v>
      </c>
      <c r="AA140" s="92">
        <v>0</v>
      </c>
      <c r="AB140" s="93" t="s">
        <v>4874</v>
      </c>
    </row>
    <row r="141" spans="1:28" s="94" customFormat="1" ht="15" x14ac:dyDescent="0.2">
      <c r="A141" s="91" t="s">
        <v>5512</v>
      </c>
      <c r="B141" s="91"/>
      <c r="C141" s="195">
        <v>0</v>
      </c>
      <c r="D141" s="93" t="s">
        <v>5146</v>
      </c>
      <c r="E141" s="92">
        <v>0</v>
      </c>
      <c r="F141" s="93" t="s">
        <v>4874</v>
      </c>
      <c r="G141" s="92">
        <v>0</v>
      </c>
      <c r="H141" s="93" t="s">
        <v>4874</v>
      </c>
      <c r="I141" s="92">
        <v>0</v>
      </c>
      <c r="J141" s="93" t="s">
        <v>4874</v>
      </c>
      <c r="K141" s="197">
        <v>0</v>
      </c>
      <c r="L141" s="93" t="s">
        <v>4874</v>
      </c>
      <c r="M141" s="195">
        <v>0</v>
      </c>
      <c r="N141" s="93" t="s">
        <v>4874</v>
      </c>
      <c r="O141" s="195">
        <v>0</v>
      </c>
      <c r="P141" s="93" t="s">
        <v>4874</v>
      </c>
      <c r="Q141" s="195">
        <v>0</v>
      </c>
      <c r="R141" s="93" t="s">
        <v>4874</v>
      </c>
      <c r="S141" s="195">
        <v>0</v>
      </c>
      <c r="T141" s="93" t="s">
        <v>4874</v>
      </c>
      <c r="U141" s="92">
        <v>0</v>
      </c>
      <c r="V141" s="93" t="s">
        <v>4874</v>
      </c>
      <c r="W141" s="92">
        <v>0</v>
      </c>
      <c r="X141" s="93" t="s">
        <v>4874</v>
      </c>
      <c r="Y141" s="92">
        <v>0</v>
      </c>
      <c r="Z141" s="93" t="s">
        <v>4874</v>
      </c>
      <c r="AA141" s="92">
        <v>0</v>
      </c>
      <c r="AB141" s="93" t="s">
        <v>4874</v>
      </c>
    </row>
    <row r="142" spans="1:28" s="94" customFormat="1" ht="15" x14ac:dyDescent="0.2">
      <c r="A142" s="91" t="s">
        <v>5513</v>
      </c>
      <c r="B142" s="91"/>
      <c r="C142" s="195">
        <v>0</v>
      </c>
      <c r="D142" s="93" t="s">
        <v>5146</v>
      </c>
      <c r="E142" s="92">
        <v>0</v>
      </c>
      <c r="F142" s="93" t="s">
        <v>4874</v>
      </c>
      <c r="G142" s="92">
        <v>0</v>
      </c>
      <c r="H142" s="93" t="s">
        <v>4874</v>
      </c>
      <c r="I142" s="92">
        <v>0</v>
      </c>
      <c r="J142" s="93" t="s">
        <v>4874</v>
      </c>
      <c r="K142" s="197">
        <v>0</v>
      </c>
      <c r="L142" s="93" t="s">
        <v>4874</v>
      </c>
      <c r="M142" s="195">
        <v>0</v>
      </c>
      <c r="N142" s="93" t="s">
        <v>4874</v>
      </c>
      <c r="O142" s="195">
        <v>0</v>
      </c>
      <c r="P142" s="93" t="s">
        <v>4874</v>
      </c>
      <c r="Q142" s="195">
        <v>0</v>
      </c>
      <c r="R142" s="93" t="s">
        <v>4874</v>
      </c>
      <c r="S142" s="195">
        <v>0</v>
      </c>
      <c r="T142" s="93" t="s">
        <v>4874</v>
      </c>
      <c r="U142" s="92">
        <v>0</v>
      </c>
      <c r="V142" s="93" t="s">
        <v>4874</v>
      </c>
      <c r="W142" s="92">
        <v>0</v>
      </c>
      <c r="X142" s="93" t="s">
        <v>4874</v>
      </c>
      <c r="Y142" s="92">
        <v>0</v>
      </c>
      <c r="Z142" s="93" t="s">
        <v>4874</v>
      </c>
      <c r="AA142" s="92">
        <v>0</v>
      </c>
      <c r="AB142" s="93" t="s">
        <v>4874</v>
      </c>
    </row>
    <row r="143" spans="1:28" s="94" customFormat="1" ht="15" x14ac:dyDescent="0.2">
      <c r="A143" s="91" t="s">
        <v>6024</v>
      </c>
      <c r="B143" s="91"/>
      <c r="C143" s="195">
        <v>0</v>
      </c>
      <c r="D143" s="93" t="s">
        <v>5146</v>
      </c>
      <c r="E143" s="92">
        <v>0</v>
      </c>
      <c r="F143" s="93" t="s">
        <v>4874</v>
      </c>
      <c r="G143" s="92">
        <v>0</v>
      </c>
      <c r="H143" s="93" t="s">
        <v>4874</v>
      </c>
      <c r="I143" s="92">
        <v>0</v>
      </c>
      <c r="J143" s="93" t="s">
        <v>4874</v>
      </c>
      <c r="K143" s="197">
        <v>0</v>
      </c>
      <c r="L143" s="93" t="s">
        <v>4874</v>
      </c>
      <c r="M143" s="195">
        <v>0</v>
      </c>
      <c r="N143" s="93" t="s">
        <v>4874</v>
      </c>
      <c r="O143" s="195">
        <v>0</v>
      </c>
      <c r="P143" s="93" t="s">
        <v>4874</v>
      </c>
      <c r="Q143" s="195">
        <v>0</v>
      </c>
      <c r="R143" s="93" t="s">
        <v>4874</v>
      </c>
      <c r="S143" s="195">
        <v>0</v>
      </c>
      <c r="T143" s="93" t="s">
        <v>4874</v>
      </c>
      <c r="U143" s="92">
        <v>0</v>
      </c>
      <c r="V143" s="93" t="s">
        <v>4874</v>
      </c>
      <c r="W143" s="92">
        <v>0</v>
      </c>
      <c r="X143" s="93" t="s">
        <v>4874</v>
      </c>
      <c r="Y143" s="92">
        <v>0</v>
      </c>
      <c r="Z143" s="93" t="s">
        <v>4874</v>
      </c>
      <c r="AA143" s="92">
        <v>0</v>
      </c>
      <c r="AB143" s="93" t="s">
        <v>4874</v>
      </c>
    </row>
    <row r="144" spans="1:28" s="94" customFormat="1" ht="15" x14ac:dyDescent="0.2">
      <c r="A144" s="91" t="s">
        <v>6025</v>
      </c>
      <c r="B144" s="91"/>
      <c r="C144" s="195">
        <v>0</v>
      </c>
      <c r="D144" s="93" t="s">
        <v>5146</v>
      </c>
      <c r="E144" s="92">
        <v>0</v>
      </c>
      <c r="F144" s="93" t="s">
        <v>4874</v>
      </c>
      <c r="G144" s="92">
        <v>0</v>
      </c>
      <c r="H144" s="93" t="s">
        <v>4874</v>
      </c>
      <c r="I144" s="92">
        <v>0</v>
      </c>
      <c r="J144" s="93" t="s">
        <v>4874</v>
      </c>
      <c r="K144" s="197">
        <v>0</v>
      </c>
      <c r="L144" s="93" t="s">
        <v>4874</v>
      </c>
      <c r="M144" s="195">
        <v>0</v>
      </c>
      <c r="N144" s="93" t="s">
        <v>4874</v>
      </c>
      <c r="O144" s="195">
        <v>0</v>
      </c>
      <c r="P144" s="93" t="s">
        <v>4874</v>
      </c>
      <c r="Q144" s="195">
        <v>0</v>
      </c>
      <c r="R144" s="93" t="s">
        <v>4874</v>
      </c>
      <c r="S144" s="195">
        <v>0</v>
      </c>
      <c r="T144" s="93" t="s">
        <v>4874</v>
      </c>
      <c r="U144" s="92">
        <v>0</v>
      </c>
      <c r="V144" s="93" t="s">
        <v>4874</v>
      </c>
      <c r="W144" s="92">
        <v>0</v>
      </c>
      <c r="X144" s="93" t="s">
        <v>4874</v>
      </c>
      <c r="Y144" s="92">
        <v>0</v>
      </c>
      <c r="Z144" s="93" t="s">
        <v>4874</v>
      </c>
      <c r="AA144" s="92">
        <v>0</v>
      </c>
      <c r="AB144" s="93" t="s">
        <v>4874</v>
      </c>
    </row>
    <row r="145" spans="1:28" s="94" customFormat="1" ht="15" x14ac:dyDescent="0.2">
      <c r="A145" s="91" t="s">
        <v>6026</v>
      </c>
      <c r="B145" s="91"/>
      <c r="C145" s="195">
        <v>0</v>
      </c>
      <c r="D145" s="93" t="s">
        <v>5146</v>
      </c>
      <c r="E145" s="92">
        <v>0</v>
      </c>
      <c r="F145" s="93" t="s">
        <v>4874</v>
      </c>
      <c r="G145" s="92">
        <v>0</v>
      </c>
      <c r="H145" s="93" t="s">
        <v>4874</v>
      </c>
      <c r="I145" s="92">
        <v>0</v>
      </c>
      <c r="J145" s="93" t="s">
        <v>4874</v>
      </c>
      <c r="K145" s="197">
        <v>0</v>
      </c>
      <c r="L145" s="93" t="s">
        <v>4874</v>
      </c>
      <c r="M145" s="195">
        <v>0</v>
      </c>
      <c r="N145" s="93" t="s">
        <v>4874</v>
      </c>
      <c r="O145" s="195">
        <v>0</v>
      </c>
      <c r="P145" s="93" t="s">
        <v>4874</v>
      </c>
      <c r="Q145" s="195">
        <v>0</v>
      </c>
      <c r="R145" s="93" t="s">
        <v>4874</v>
      </c>
      <c r="S145" s="195">
        <v>0</v>
      </c>
      <c r="T145" s="93" t="s">
        <v>4874</v>
      </c>
      <c r="U145" s="92">
        <v>0</v>
      </c>
      <c r="V145" s="93" t="s">
        <v>4874</v>
      </c>
      <c r="W145" s="92">
        <v>0</v>
      </c>
      <c r="X145" s="93" t="s">
        <v>4874</v>
      </c>
      <c r="Y145" s="92">
        <v>0</v>
      </c>
      <c r="Z145" s="93" t="s">
        <v>4874</v>
      </c>
      <c r="AA145" s="92">
        <v>0</v>
      </c>
      <c r="AB145" s="93" t="s">
        <v>4874</v>
      </c>
    </row>
    <row r="146" spans="1:28" s="94" customFormat="1" ht="15" x14ac:dyDescent="0.2">
      <c r="A146" s="91" t="s">
        <v>6027</v>
      </c>
      <c r="B146" s="91"/>
      <c r="C146" s="195">
        <v>0</v>
      </c>
      <c r="D146" s="93" t="s">
        <v>5146</v>
      </c>
      <c r="E146" s="92">
        <v>0</v>
      </c>
      <c r="F146" s="93" t="s">
        <v>4874</v>
      </c>
      <c r="G146" s="92">
        <v>0</v>
      </c>
      <c r="H146" s="93" t="s">
        <v>4874</v>
      </c>
      <c r="I146" s="92">
        <v>0</v>
      </c>
      <c r="J146" s="93" t="s">
        <v>4874</v>
      </c>
      <c r="K146" s="197">
        <v>0</v>
      </c>
      <c r="L146" s="93" t="s">
        <v>4874</v>
      </c>
      <c r="M146" s="195">
        <v>0</v>
      </c>
      <c r="N146" s="93" t="s">
        <v>4874</v>
      </c>
      <c r="O146" s="195">
        <v>0</v>
      </c>
      <c r="P146" s="93" t="s">
        <v>4874</v>
      </c>
      <c r="Q146" s="195">
        <v>0</v>
      </c>
      <c r="R146" s="93" t="s">
        <v>4874</v>
      </c>
      <c r="S146" s="195">
        <v>0</v>
      </c>
      <c r="T146" s="93" t="s">
        <v>4874</v>
      </c>
      <c r="U146" s="92">
        <v>0</v>
      </c>
      <c r="V146" s="93" t="s">
        <v>4874</v>
      </c>
      <c r="W146" s="92">
        <v>0</v>
      </c>
      <c r="X146" s="93" t="s">
        <v>4874</v>
      </c>
      <c r="Y146" s="92">
        <v>0</v>
      </c>
      <c r="Z146" s="93" t="s">
        <v>4874</v>
      </c>
      <c r="AA146" s="92">
        <v>0</v>
      </c>
      <c r="AB146" s="93" t="s">
        <v>4874</v>
      </c>
    </row>
    <row r="147" spans="1:28" s="94" customFormat="1" ht="15" x14ac:dyDescent="0.2">
      <c r="A147" s="91" t="s">
        <v>6028</v>
      </c>
      <c r="B147" s="91"/>
      <c r="C147" s="195">
        <v>0</v>
      </c>
      <c r="D147" s="93" t="s">
        <v>5146</v>
      </c>
      <c r="E147" s="92">
        <v>0</v>
      </c>
      <c r="F147" s="93" t="s">
        <v>4874</v>
      </c>
      <c r="G147" s="92">
        <v>0</v>
      </c>
      <c r="H147" s="93" t="s">
        <v>4874</v>
      </c>
      <c r="I147" s="92">
        <v>0</v>
      </c>
      <c r="J147" s="93" t="s">
        <v>4874</v>
      </c>
      <c r="K147" s="197">
        <v>0</v>
      </c>
      <c r="L147" s="93" t="s">
        <v>4874</v>
      </c>
      <c r="M147" s="195">
        <v>0</v>
      </c>
      <c r="N147" s="93" t="s">
        <v>4874</v>
      </c>
      <c r="O147" s="195">
        <v>0</v>
      </c>
      <c r="P147" s="93" t="s">
        <v>4874</v>
      </c>
      <c r="Q147" s="195">
        <v>0</v>
      </c>
      <c r="R147" s="93" t="s">
        <v>4874</v>
      </c>
      <c r="S147" s="195">
        <v>0</v>
      </c>
      <c r="T147" s="93" t="s">
        <v>4874</v>
      </c>
      <c r="U147" s="92">
        <v>0</v>
      </c>
      <c r="V147" s="93" t="s">
        <v>4874</v>
      </c>
      <c r="W147" s="92">
        <v>0</v>
      </c>
      <c r="X147" s="93" t="s">
        <v>4874</v>
      </c>
      <c r="Y147" s="92">
        <v>0</v>
      </c>
      <c r="Z147" s="93" t="s">
        <v>4874</v>
      </c>
      <c r="AA147" s="92">
        <v>0</v>
      </c>
      <c r="AB147" s="93" t="s">
        <v>4874</v>
      </c>
    </row>
    <row r="148" spans="1:28" s="94" customFormat="1" ht="15" x14ac:dyDescent="0.2">
      <c r="A148" s="91" t="s">
        <v>6029</v>
      </c>
      <c r="B148" s="91"/>
      <c r="C148" s="195">
        <v>0</v>
      </c>
      <c r="D148" s="93" t="s">
        <v>5146</v>
      </c>
      <c r="E148" s="92">
        <v>0</v>
      </c>
      <c r="F148" s="93" t="s">
        <v>4874</v>
      </c>
      <c r="G148" s="92">
        <v>0</v>
      </c>
      <c r="H148" s="93" t="s">
        <v>4874</v>
      </c>
      <c r="I148" s="92">
        <v>0</v>
      </c>
      <c r="J148" s="93" t="s">
        <v>4874</v>
      </c>
      <c r="K148" s="197">
        <v>0</v>
      </c>
      <c r="L148" s="93" t="s">
        <v>4874</v>
      </c>
      <c r="M148" s="195">
        <v>0</v>
      </c>
      <c r="N148" s="93" t="s">
        <v>4874</v>
      </c>
      <c r="O148" s="195">
        <v>0</v>
      </c>
      <c r="P148" s="93" t="s">
        <v>4874</v>
      </c>
      <c r="Q148" s="195">
        <v>0</v>
      </c>
      <c r="R148" s="93" t="s">
        <v>4874</v>
      </c>
      <c r="S148" s="195">
        <v>0</v>
      </c>
      <c r="T148" s="93" t="s">
        <v>4874</v>
      </c>
      <c r="U148" s="92">
        <v>0</v>
      </c>
      <c r="V148" s="93" t="s">
        <v>4874</v>
      </c>
      <c r="W148" s="92">
        <v>0</v>
      </c>
      <c r="X148" s="93" t="s">
        <v>4874</v>
      </c>
      <c r="Y148" s="92">
        <v>0</v>
      </c>
      <c r="Z148" s="93" t="s">
        <v>4874</v>
      </c>
      <c r="AA148" s="92">
        <v>0</v>
      </c>
      <c r="AB148" s="93" t="s">
        <v>4874</v>
      </c>
    </row>
    <row r="149" spans="1:28" ht="15" x14ac:dyDescent="0.25">
      <c r="A149" s="95"/>
      <c r="B149" s="95"/>
      <c r="C149" s="199"/>
      <c r="D149" s="97"/>
      <c r="E149" s="97"/>
      <c r="F149" s="98"/>
      <c r="G149" s="97"/>
      <c r="H149" s="98"/>
      <c r="I149" s="97"/>
      <c r="J149" s="98"/>
      <c r="K149" s="98"/>
      <c r="L149" s="98"/>
      <c r="M149" s="98"/>
      <c r="N149" s="98"/>
      <c r="O149" s="98"/>
      <c r="P149" s="98"/>
      <c r="Q149" s="98"/>
      <c r="R149" s="98"/>
      <c r="S149" s="98"/>
      <c r="T149" s="98"/>
      <c r="U149" s="98"/>
      <c r="V149" s="98"/>
      <c r="W149" s="97"/>
      <c r="X149" s="98"/>
      <c r="Y149" s="97"/>
      <c r="Z149" s="98"/>
      <c r="AA149" s="97"/>
      <c r="AB149" s="98"/>
    </row>
    <row r="150" spans="1:28" s="94" customFormat="1" ht="15" x14ac:dyDescent="0.2">
      <c r="A150" s="91" t="s">
        <v>25</v>
      </c>
      <c r="B150" s="91"/>
      <c r="C150" s="195">
        <v>1</v>
      </c>
      <c r="D150" s="93" t="s">
        <v>5159</v>
      </c>
      <c r="E150" s="92">
        <v>0</v>
      </c>
      <c r="F150" s="93" t="s">
        <v>4874</v>
      </c>
      <c r="G150" s="92">
        <v>0</v>
      </c>
      <c r="H150" s="93" t="s">
        <v>4874</v>
      </c>
      <c r="I150" s="92">
        <v>0.03</v>
      </c>
      <c r="J150" s="93" t="s">
        <v>5159</v>
      </c>
      <c r="K150" s="197">
        <v>0.01</v>
      </c>
      <c r="L150" s="93" t="s">
        <v>5159</v>
      </c>
      <c r="M150" s="195">
        <v>0</v>
      </c>
      <c r="N150" s="93" t="s">
        <v>4874</v>
      </c>
      <c r="O150" s="195">
        <v>0</v>
      </c>
      <c r="P150" s="93" t="s">
        <v>4874</v>
      </c>
      <c r="Q150" s="195">
        <v>0</v>
      </c>
      <c r="R150" s="93" t="s">
        <v>4874</v>
      </c>
      <c r="S150" s="195">
        <v>0</v>
      </c>
      <c r="T150" s="93" t="s">
        <v>4874</v>
      </c>
      <c r="U150" s="92">
        <v>0</v>
      </c>
      <c r="V150" s="93" t="s">
        <v>4874</v>
      </c>
      <c r="W150" s="92">
        <v>0</v>
      </c>
      <c r="X150" s="93" t="s">
        <v>4874</v>
      </c>
      <c r="Y150" s="92">
        <v>0</v>
      </c>
      <c r="Z150" s="93" t="s">
        <v>4874</v>
      </c>
      <c r="AA150" s="92">
        <v>0</v>
      </c>
      <c r="AB150" s="93" t="s">
        <v>4874</v>
      </c>
    </row>
    <row r="151" spans="1:28" s="94" customFormat="1" ht="15" x14ac:dyDescent="0.2">
      <c r="A151" s="91" t="s">
        <v>26</v>
      </c>
      <c r="B151" s="91"/>
      <c r="C151" s="195">
        <v>1</v>
      </c>
      <c r="D151" s="93" t="s">
        <v>5159</v>
      </c>
      <c r="E151" s="92">
        <v>0</v>
      </c>
      <c r="F151" s="93" t="s">
        <v>4874</v>
      </c>
      <c r="G151" s="92">
        <v>0</v>
      </c>
      <c r="H151" s="93" t="s">
        <v>4874</v>
      </c>
      <c r="I151" s="92">
        <v>0.03</v>
      </c>
      <c r="J151" s="93" t="s">
        <v>5159</v>
      </c>
      <c r="K151" s="197">
        <v>0.01</v>
      </c>
      <c r="L151" s="93" t="s">
        <v>5159</v>
      </c>
      <c r="M151" s="195">
        <v>0</v>
      </c>
      <c r="N151" s="93" t="s">
        <v>4874</v>
      </c>
      <c r="O151" s="195">
        <v>0</v>
      </c>
      <c r="P151" s="93" t="s">
        <v>4874</v>
      </c>
      <c r="Q151" s="195">
        <v>0</v>
      </c>
      <c r="R151" s="93" t="s">
        <v>4874</v>
      </c>
      <c r="S151" s="195">
        <v>0</v>
      </c>
      <c r="T151" s="93" t="s">
        <v>4874</v>
      </c>
      <c r="U151" s="92">
        <v>0</v>
      </c>
      <c r="V151" s="93" t="s">
        <v>4874</v>
      </c>
      <c r="W151" s="92">
        <v>0</v>
      </c>
      <c r="X151" s="93" t="s">
        <v>4874</v>
      </c>
      <c r="Y151" s="92">
        <v>0</v>
      </c>
      <c r="Z151" s="93" t="s">
        <v>4874</v>
      </c>
      <c r="AA151" s="92">
        <v>0</v>
      </c>
      <c r="AB151" s="93" t="s">
        <v>4874</v>
      </c>
    </row>
    <row r="152" spans="1:28" s="94" customFormat="1" ht="15" x14ac:dyDescent="0.2">
      <c r="A152" s="91" t="s">
        <v>27</v>
      </c>
      <c r="B152" s="91"/>
      <c r="C152" s="195">
        <v>0</v>
      </c>
      <c r="D152" s="93" t="s">
        <v>5159</v>
      </c>
      <c r="E152" s="92">
        <v>0</v>
      </c>
      <c r="F152" s="93" t="s">
        <v>4874</v>
      </c>
      <c r="G152" s="92">
        <v>0</v>
      </c>
      <c r="H152" s="93" t="s">
        <v>4874</v>
      </c>
      <c r="I152" s="92">
        <v>0</v>
      </c>
      <c r="J152" s="93" t="s">
        <v>4874</v>
      </c>
      <c r="K152" s="197">
        <v>0</v>
      </c>
      <c r="L152" s="93" t="s">
        <v>4874</v>
      </c>
      <c r="M152" s="195">
        <v>0</v>
      </c>
      <c r="N152" s="93" t="s">
        <v>4874</v>
      </c>
      <c r="O152" s="195">
        <v>0</v>
      </c>
      <c r="P152" s="93" t="s">
        <v>4874</v>
      </c>
      <c r="Q152" s="195">
        <v>0</v>
      </c>
      <c r="R152" s="93" t="s">
        <v>4874</v>
      </c>
      <c r="S152" s="195">
        <v>0</v>
      </c>
      <c r="T152" s="93" t="s">
        <v>4874</v>
      </c>
      <c r="U152" s="92">
        <v>0</v>
      </c>
      <c r="V152" s="93" t="s">
        <v>4874</v>
      </c>
      <c r="W152" s="92">
        <v>0</v>
      </c>
      <c r="X152" s="93" t="s">
        <v>4874</v>
      </c>
      <c r="Y152" s="92">
        <v>0</v>
      </c>
      <c r="Z152" s="93" t="s">
        <v>4874</v>
      </c>
      <c r="AA152" s="92">
        <v>0</v>
      </c>
      <c r="AB152" s="93" t="s">
        <v>4874</v>
      </c>
    </row>
    <row r="153" spans="1:28" ht="15" x14ac:dyDescent="0.25">
      <c r="A153" s="95"/>
      <c r="B153" s="95"/>
      <c r="C153" s="199"/>
      <c r="D153" s="97"/>
      <c r="E153" s="97"/>
      <c r="F153" s="98"/>
      <c r="G153" s="97"/>
      <c r="H153" s="98"/>
      <c r="I153" s="97"/>
      <c r="J153" s="98"/>
      <c r="K153" s="98"/>
      <c r="L153" s="98"/>
      <c r="M153" s="98"/>
      <c r="N153" s="98"/>
      <c r="O153" s="98"/>
      <c r="P153" s="98"/>
      <c r="Q153" s="98"/>
      <c r="R153" s="98"/>
      <c r="S153" s="98"/>
      <c r="T153" s="98"/>
      <c r="U153" s="98"/>
      <c r="V153" s="98"/>
      <c r="W153" s="97"/>
      <c r="X153" s="98"/>
      <c r="Y153" s="97"/>
      <c r="Z153" s="98"/>
      <c r="AA153" s="97"/>
      <c r="AB153" s="98"/>
    </row>
    <row r="154" spans="1:28" s="94" customFormat="1" ht="15" x14ac:dyDescent="0.2">
      <c r="A154" s="91" t="s">
        <v>5524</v>
      </c>
      <c r="B154" s="91"/>
      <c r="C154" s="195">
        <v>1</v>
      </c>
      <c r="D154" s="93" t="s">
        <v>5159</v>
      </c>
      <c r="E154" s="92">
        <v>0</v>
      </c>
      <c r="F154" s="93" t="s">
        <v>4874</v>
      </c>
      <c r="G154" s="92">
        <v>0</v>
      </c>
      <c r="H154" s="93" t="s">
        <v>4874</v>
      </c>
      <c r="I154" s="92">
        <v>0.1</v>
      </c>
      <c r="J154" s="93" t="s">
        <v>5159</v>
      </c>
      <c r="K154" s="197">
        <v>0.5</v>
      </c>
      <c r="L154" s="93" t="s">
        <v>5159</v>
      </c>
      <c r="M154" s="195">
        <v>0.5</v>
      </c>
      <c r="N154" s="93" t="s">
        <v>99</v>
      </c>
      <c r="O154" s="195">
        <v>0</v>
      </c>
      <c r="P154" s="93" t="s">
        <v>4874</v>
      </c>
      <c r="Q154" s="195">
        <v>0</v>
      </c>
      <c r="R154" s="93" t="s">
        <v>4874</v>
      </c>
      <c r="S154" s="195">
        <v>0</v>
      </c>
      <c r="T154" s="93" t="s">
        <v>4874</v>
      </c>
      <c r="U154" s="92">
        <v>0</v>
      </c>
      <c r="V154" s="93" t="s">
        <v>4874</v>
      </c>
      <c r="W154" s="92">
        <v>0</v>
      </c>
      <c r="X154" s="93" t="s">
        <v>4874</v>
      </c>
      <c r="Y154" s="92">
        <v>0</v>
      </c>
      <c r="Z154" s="93" t="s">
        <v>4874</v>
      </c>
      <c r="AA154" s="92">
        <v>0</v>
      </c>
      <c r="AB154" s="93" t="s">
        <v>4874</v>
      </c>
    </row>
    <row r="155" spans="1:28" s="94" customFormat="1" ht="15" x14ac:dyDescent="0.2">
      <c r="A155" s="91" t="s">
        <v>5525</v>
      </c>
      <c r="B155" s="91"/>
      <c r="C155" s="195">
        <v>1</v>
      </c>
      <c r="D155" s="93" t="s">
        <v>5159</v>
      </c>
      <c r="E155" s="92">
        <v>0</v>
      </c>
      <c r="F155" s="93" t="s">
        <v>4874</v>
      </c>
      <c r="G155" s="92">
        <v>0</v>
      </c>
      <c r="H155" s="93" t="s">
        <v>4874</v>
      </c>
      <c r="I155" s="92">
        <v>0.1</v>
      </c>
      <c r="J155" s="93" t="s">
        <v>5159</v>
      </c>
      <c r="K155" s="197">
        <v>0.5</v>
      </c>
      <c r="L155" s="93" t="s">
        <v>5159</v>
      </c>
      <c r="M155" s="195">
        <v>0.5</v>
      </c>
      <c r="N155" s="93" t="s">
        <v>99</v>
      </c>
      <c r="O155" s="195">
        <v>0</v>
      </c>
      <c r="P155" s="93" t="s">
        <v>99</v>
      </c>
      <c r="Q155" s="195">
        <v>0</v>
      </c>
      <c r="R155" s="93" t="s">
        <v>4874</v>
      </c>
      <c r="S155" s="195">
        <v>0</v>
      </c>
      <c r="T155" s="93" t="s">
        <v>99</v>
      </c>
      <c r="U155" s="92">
        <v>0</v>
      </c>
      <c r="V155" s="93" t="s">
        <v>4874</v>
      </c>
      <c r="W155" s="92">
        <v>0</v>
      </c>
      <c r="X155" s="93" t="s">
        <v>4874</v>
      </c>
      <c r="Y155" s="92">
        <v>0</v>
      </c>
      <c r="Z155" s="93" t="s">
        <v>4874</v>
      </c>
      <c r="AA155" s="92">
        <v>0</v>
      </c>
      <c r="AB155" s="93" t="s">
        <v>4874</v>
      </c>
    </row>
    <row r="156" spans="1:28" s="94" customFormat="1" ht="15" x14ac:dyDescent="0.2">
      <c r="A156" s="91" t="s">
        <v>5526</v>
      </c>
      <c r="B156" s="91"/>
      <c r="C156" s="195">
        <v>1</v>
      </c>
      <c r="D156" s="93" t="s">
        <v>5159</v>
      </c>
      <c r="E156" s="92">
        <v>0</v>
      </c>
      <c r="F156" s="93" t="s">
        <v>4874</v>
      </c>
      <c r="G156" s="92">
        <v>0</v>
      </c>
      <c r="H156" s="93" t="s">
        <v>4874</v>
      </c>
      <c r="I156" s="92">
        <v>0.1</v>
      </c>
      <c r="J156" s="93" t="s">
        <v>5159</v>
      </c>
      <c r="K156" s="197">
        <v>0.5</v>
      </c>
      <c r="L156" s="93" t="s">
        <v>5159</v>
      </c>
      <c r="M156" s="195">
        <v>0.5</v>
      </c>
      <c r="N156" s="93" t="s">
        <v>99</v>
      </c>
      <c r="O156" s="195">
        <v>0</v>
      </c>
      <c r="P156" s="93" t="s">
        <v>99</v>
      </c>
      <c r="Q156" s="195">
        <v>0</v>
      </c>
      <c r="R156" s="93" t="s">
        <v>4874</v>
      </c>
      <c r="S156" s="195">
        <v>0</v>
      </c>
      <c r="T156" s="93" t="s">
        <v>99</v>
      </c>
      <c r="U156" s="92">
        <v>0</v>
      </c>
      <c r="V156" s="93" t="s">
        <v>4874</v>
      </c>
      <c r="W156" s="92">
        <v>0</v>
      </c>
      <c r="X156" s="93" t="s">
        <v>4874</v>
      </c>
      <c r="Y156" s="92">
        <v>0</v>
      </c>
      <c r="Z156" s="93" t="s">
        <v>4874</v>
      </c>
      <c r="AA156" s="92">
        <v>0</v>
      </c>
      <c r="AB156" s="93" t="s">
        <v>4874</v>
      </c>
    </row>
    <row r="157" spans="1:28" s="94" customFormat="1" ht="15" x14ac:dyDescent="0.2">
      <c r="A157" s="91" t="s">
        <v>5527</v>
      </c>
      <c r="B157" s="91"/>
      <c r="C157" s="195">
        <v>1</v>
      </c>
      <c r="D157" s="93" t="s">
        <v>5159</v>
      </c>
      <c r="E157" s="92">
        <v>0</v>
      </c>
      <c r="F157" s="93" t="s">
        <v>4874</v>
      </c>
      <c r="G157" s="92">
        <v>0</v>
      </c>
      <c r="H157" s="93" t="s">
        <v>4874</v>
      </c>
      <c r="I157" s="92">
        <v>0.1</v>
      </c>
      <c r="J157" s="93" t="s">
        <v>5159</v>
      </c>
      <c r="K157" s="197">
        <v>0.5</v>
      </c>
      <c r="L157" s="93" t="s">
        <v>5159</v>
      </c>
      <c r="M157" s="195">
        <v>0.5</v>
      </c>
      <c r="N157" s="93" t="s">
        <v>99</v>
      </c>
      <c r="O157" s="195">
        <v>0</v>
      </c>
      <c r="P157" s="93" t="s">
        <v>99</v>
      </c>
      <c r="Q157" s="195">
        <v>0</v>
      </c>
      <c r="R157" s="93" t="s">
        <v>4874</v>
      </c>
      <c r="S157" s="195">
        <v>0</v>
      </c>
      <c r="T157" s="93" t="s">
        <v>99</v>
      </c>
      <c r="U157" s="92">
        <v>0</v>
      </c>
      <c r="V157" s="93" t="s">
        <v>4874</v>
      </c>
      <c r="W157" s="92">
        <v>0</v>
      </c>
      <c r="X157" s="93" t="s">
        <v>4874</v>
      </c>
      <c r="Y157" s="92">
        <v>0</v>
      </c>
      <c r="Z157" s="93" t="s">
        <v>4874</v>
      </c>
      <c r="AA157" s="92">
        <v>0</v>
      </c>
      <c r="AB157" s="93" t="s">
        <v>4874</v>
      </c>
    </row>
    <row r="158" spans="1:28" s="94" customFormat="1" ht="15" x14ac:dyDescent="0.2">
      <c r="A158" s="91" t="s">
        <v>5528</v>
      </c>
      <c r="B158" s="91"/>
      <c r="C158" s="195">
        <v>1</v>
      </c>
      <c r="D158" s="93" t="s">
        <v>5159</v>
      </c>
      <c r="E158" s="92">
        <v>0</v>
      </c>
      <c r="F158" s="93" t="s">
        <v>4874</v>
      </c>
      <c r="G158" s="92">
        <v>0</v>
      </c>
      <c r="H158" s="93" t="s">
        <v>4874</v>
      </c>
      <c r="I158" s="92">
        <v>0.1</v>
      </c>
      <c r="J158" s="93" t="s">
        <v>5159</v>
      </c>
      <c r="K158" s="197">
        <v>0.5</v>
      </c>
      <c r="L158" s="93" t="s">
        <v>5159</v>
      </c>
      <c r="M158" s="195">
        <v>0.5</v>
      </c>
      <c r="N158" s="93" t="s">
        <v>99</v>
      </c>
      <c r="O158" s="195">
        <v>0</v>
      </c>
      <c r="P158" s="93" t="s">
        <v>99</v>
      </c>
      <c r="Q158" s="195">
        <v>0</v>
      </c>
      <c r="R158" s="93" t="s">
        <v>4874</v>
      </c>
      <c r="S158" s="195">
        <v>0</v>
      </c>
      <c r="T158" s="93" t="s">
        <v>99</v>
      </c>
      <c r="U158" s="92">
        <v>0</v>
      </c>
      <c r="V158" s="93" t="s">
        <v>4874</v>
      </c>
      <c r="W158" s="92">
        <v>0</v>
      </c>
      <c r="X158" s="93" t="s">
        <v>4874</v>
      </c>
      <c r="Y158" s="92">
        <v>0</v>
      </c>
      <c r="Z158" s="93" t="s">
        <v>4874</v>
      </c>
      <c r="AA158" s="92">
        <v>0</v>
      </c>
      <c r="AB158" s="93" t="s">
        <v>4874</v>
      </c>
    </row>
    <row r="159" spans="1:28" s="94" customFormat="1" ht="15" x14ac:dyDescent="0.2">
      <c r="A159" s="91" t="s">
        <v>5529</v>
      </c>
      <c r="B159" s="91"/>
      <c r="C159" s="195">
        <v>1</v>
      </c>
      <c r="D159" s="93" t="s">
        <v>5159</v>
      </c>
      <c r="E159" s="92">
        <v>0</v>
      </c>
      <c r="F159" s="93" t="s">
        <v>4874</v>
      </c>
      <c r="G159" s="92">
        <v>0</v>
      </c>
      <c r="H159" s="93" t="s">
        <v>4874</v>
      </c>
      <c r="I159" s="92">
        <v>0.1</v>
      </c>
      <c r="J159" s="93" t="s">
        <v>5159</v>
      </c>
      <c r="K159" s="197">
        <v>0.5</v>
      </c>
      <c r="L159" s="93" t="s">
        <v>5159</v>
      </c>
      <c r="M159" s="195">
        <v>0.5</v>
      </c>
      <c r="N159" s="93" t="s">
        <v>99</v>
      </c>
      <c r="O159" s="195">
        <v>0</v>
      </c>
      <c r="P159" s="93" t="s">
        <v>99</v>
      </c>
      <c r="Q159" s="195">
        <v>0</v>
      </c>
      <c r="R159" s="93" t="s">
        <v>4874</v>
      </c>
      <c r="S159" s="195">
        <v>0</v>
      </c>
      <c r="T159" s="93" t="s">
        <v>99</v>
      </c>
      <c r="U159" s="92">
        <v>0</v>
      </c>
      <c r="V159" s="93" t="s">
        <v>4874</v>
      </c>
      <c r="W159" s="92">
        <v>0</v>
      </c>
      <c r="X159" s="93" t="s">
        <v>4874</v>
      </c>
      <c r="Y159" s="92">
        <v>0</v>
      </c>
      <c r="Z159" s="93" t="s">
        <v>4874</v>
      </c>
      <c r="AA159" s="92">
        <v>0</v>
      </c>
      <c r="AB159" s="93" t="s">
        <v>4874</v>
      </c>
    </row>
    <row r="160" spans="1:28" s="94" customFormat="1" ht="15" x14ac:dyDescent="0.2">
      <c r="A160" s="91" t="s">
        <v>5550</v>
      </c>
      <c r="B160" s="91"/>
      <c r="C160" s="195">
        <v>1</v>
      </c>
      <c r="D160" s="93" t="s">
        <v>5159</v>
      </c>
      <c r="E160" s="92">
        <v>0</v>
      </c>
      <c r="F160" s="93" t="s">
        <v>4874</v>
      </c>
      <c r="G160" s="92">
        <v>0</v>
      </c>
      <c r="H160" s="93" t="s">
        <v>4874</v>
      </c>
      <c r="I160" s="92">
        <v>0.1</v>
      </c>
      <c r="J160" s="93" t="s">
        <v>5159</v>
      </c>
      <c r="K160" s="197">
        <v>0.5</v>
      </c>
      <c r="L160" s="93" t="s">
        <v>5159</v>
      </c>
      <c r="M160" s="195">
        <v>0.5</v>
      </c>
      <c r="N160" s="93" t="s">
        <v>99</v>
      </c>
      <c r="O160" s="195">
        <v>0</v>
      </c>
      <c r="P160" s="93" t="s">
        <v>99</v>
      </c>
      <c r="Q160" s="195">
        <v>0</v>
      </c>
      <c r="R160" s="93" t="s">
        <v>4874</v>
      </c>
      <c r="S160" s="195">
        <v>0</v>
      </c>
      <c r="T160" s="93" t="s">
        <v>99</v>
      </c>
      <c r="U160" s="92">
        <v>0</v>
      </c>
      <c r="V160" s="93" t="s">
        <v>4874</v>
      </c>
      <c r="W160" s="92">
        <v>0</v>
      </c>
      <c r="X160" s="93" t="s">
        <v>4874</v>
      </c>
      <c r="Y160" s="92">
        <v>0</v>
      </c>
      <c r="Z160" s="93" t="s">
        <v>4874</v>
      </c>
      <c r="AA160" s="92">
        <v>0</v>
      </c>
      <c r="AB160" s="93" t="s">
        <v>4874</v>
      </c>
    </row>
    <row r="161" spans="1:28" s="94" customFormat="1" ht="15" x14ac:dyDescent="0.2">
      <c r="A161" s="91" t="s">
        <v>5551</v>
      </c>
      <c r="B161" s="91"/>
      <c r="C161" s="195">
        <v>1</v>
      </c>
      <c r="D161" s="93" t="s">
        <v>5159</v>
      </c>
      <c r="E161" s="92">
        <v>0</v>
      </c>
      <c r="F161" s="93" t="s">
        <v>4874</v>
      </c>
      <c r="G161" s="92">
        <v>0</v>
      </c>
      <c r="H161" s="93" t="s">
        <v>4874</v>
      </c>
      <c r="I161" s="92">
        <v>0</v>
      </c>
      <c r="J161" s="93" t="s">
        <v>4874</v>
      </c>
      <c r="K161" s="197">
        <v>0.01</v>
      </c>
      <c r="L161" s="93" t="s">
        <v>5159</v>
      </c>
      <c r="M161" s="195">
        <v>0.5</v>
      </c>
      <c r="N161" s="93" t="s">
        <v>99</v>
      </c>
      <c r="O161" s="195">
        <v>0</v>
      </c>
      <c r="P161" s="93" t="s">
        <v>99</v>
      </c>
      <c r="Q161" s="195">
        <v>0</v>
      </c>
      <c r="R161" s="93" t="s">
        <v>4874</v>
      </c>
      <c r="S161" s="195">
        <v>0</v>
      </c>
      <c r="T161" s="93" t="s">
        <v>99</v>
      </c>
      <c r="U161" s="92">
        <v>0</v>
      </c>
      <c r="V161" s="93" t="s">
        <v>4874</v>
      </c>
      <c r="W161" s="92">
        <v>0</v>
      </c>
      <c r="X161" s="93" t="s">
        <v>4874</v>
      </c>
      <c r="Y161" s="92">
        <v>0</v>
      </c>
      <c r="Z161" s="93" t="s">
        <v>4874</v>
      </c>
      <c r="AA161" s="92">
        <v>0</v>
      </c>
      <c r="AB161" s="93" t="s">
        <v>4874</v>
      </c>
    </row>
    <row r="162" spans="1:28" s="94" customFormat="1" ht="15" x14ac:dyDescent="0.2">
      <c r="A162" s="91" t="s">
        <v>5552</v>
      </c>
      <c r="B162" s="91"/>
      <c r="C162" s="195">
        <v>1</v>
      </c>
      <c r="D162" s="93" t="s">
        <v>5159</v>
      </c>
      <c r="E162" s="92">
        <v>0</v>
      </c>
      <c r="F162" s="93" t="s">
        <v>4874</v>
      </c>
      <c r="G162" s="92">
        <v>0</v>
      </c>
      <c r="H162" s="93" t="s">
        <v>4874</v>
      </c>
      <c r="I162" s="92">
        <v>0</v>
      </c>
      <c r="J162" s="93" t="s">
        <v>4874</v>
      </c>
      <c r="K162" s="197">
        <v>0.01</v>
      </c>
      <c r="L162" s="93" t="s">
        <v>5159</v>
      </c>
      <c r="M162" s="195">
        <v>0.5</v>
      </c>
      <c r="N162" s="93" t="s">
        <v>99</v>
      </c>
      <c r="O162" s="195">
        <v>0</v>
      </c>
      <c r="P162" s="93" t="s">
        <v>99</v>
      </c>
      <c r="Q162" s="195">
        <v>0</v>
      </c>
      <c r="R162" s="93" t="s">
        <v>4874</v>
      </c>
      <c r="S162" s="195">
        <v>0</v>
      </c>
      <c r="T162" s="93" t="s">
        <v>99</v>
      </c>
      <c r="U162" s="92">
        <v>0</v>
      </c>
      <c r="V162" s="93" t="s">
        <v>4874</v>
      </c>
      <c r="W162" s="92">
        <v>0</v>
      </c>
      <c r="X162" s="93" t="s">
        <v>4874</v>
      </c>
      <c r="Y162" s="92">
        <v>0</v>
      </c>
      <c r="Z162" s="93" t="s">
        <v>4874</v>
      </c>
      <c r="AA162" s="92">
        <v>0</v>
      </c>
      <c r="AB162" s="93" t="s">
        <v>4874</v>
      </c>
    </row>
    <row r="163" spans="1:28" s="94" customFormat="1" ht="15" x14ac:dyDescent="0.2">
      <c r="A163" s="91" t="s">
        <v>5553</v>
      </c>
      <c r="B163" s="91"/>
      <c r="C163" s="195">
        <v>0</v>
      </c>
      <c r="D163" s="93" t="s">
        <v>5159</v>
      </c>
      <c r="E163" s="92">
        <v>0</v>
      </c>
      <c r="F163" s="93" t="s">
        <v>4874</v>
      </c>
      <c r="G163" s="92">
        <v>0</v>
      </c>
      <c r="H163" s="93" t="s">
        <v>4874</v>
      </c>
      <c r="I163" s="92">
        <v>0</v>
      </c>
      <c r="J163" s="93" t="s">
        <v>4874</v>
      </c>
      <c r="K163" s="197">
        <v>0.01</v>
      </c>
      <c r="L163" s="93" t="s">
        <v>5159</v>
      </c>
      <c r="M163" s="195">
        <v>0.5</v>
      </c>
      <c r="N163" s="93" t="s">
        <v>99</v>
      </c>
      <c r="O163" s="195">
        <v>0</v>
      </c>
      <c r="P163" s="93" t="s">
        <v>99</v>
      </c>
      <c r="Q163" s="195">
        <v>0</v>
      </c>
      <c r="R163" s="93" t="s">
        <v>4874</v>
      </c>
      <c r="S163" s="195">
        <v>0</v>
      </c>
      <c r="T163" s="93" t="s">
        <v>99</v>
      </c>
      <c r="U163" s="92">
        <v>0</v>
      </c>
      <c r="V163" s="93" t="s">
        <v>4874</v>
      </c>
      <c r="W163" s="92">
        <v>0</v>
      </c>
      <c r="X163" s="93" t="s">
        <v>4874</v>
      </c>
      <c r="Y163" s="92">
        <v>0</v>
      </c>
      <c r="Z163" s="93" t="s">
        <v>4874</v>
      </c>
      <c r="AA163" s="92">
        <v>0</v>
      </c>
      <c r="AB163" s="93" t="s">
        <v>4874</v>
      </c>
    </row>
    <row r="164" spans="1:28" s="94" customFormat="1" ht="15" x14ac:dyDescent="0.2">
      <c r="A164" s="91" t="s">
        <v>5530</v>
      </c>
      <c r="B164" s="91"/>
      <c r="C164" s="195">
        <v>0</v>
      </c>
      <c r="D164" s="93" t="s">
        <v>5159</v>
      </c>
      <c r="E164" s="92">
        <v>0</v>
      </c>
      <c r="F164" s="93" t="s">
        <v>4874</v>
      </c>
      <c r="G164" s="92">
        <v>0</v>
      </c>
      <c r="H164" s="93" t="s">
        <v>4874</v>
      </c>
      <c r="I164" s="92">
        <v>0</v>
      </c>
      <c r="J164" s="93" t="s">
        <v>4874</v>
      </c>
      <c r="K164" s="197">
        <v>0</v>
      </c>
      <c r="L164" s="93" t="s">
        <v>4798</v>
      </c>
      <c r="M164" s="195">
        <v>0</v>
      </c>
      <c r="N164" s="93" t="s">
        <v>99</v>
      </c>
      <c r="O164" s="195">
        <v>0</v>
      </c>
      <c r="P164" s="93" t="s">
        <v>99</v>
      </c>
      <c r="Q164" s="195">
        <v>0</v>
      </c>
      <c r="R164" s="93" t="s">
        <v>4874</v>
      </c>
      <c r="S164" s="195">
        <v>0</v>
      </c>
      <c r="T164" s="93" t="s">
        <v>99</v>
      </c>
      <c r="U164" s="92">
        <v>0</v>
      </c>
      <c r="V164" s="93" t="s">
        <v>4874</v>
      </c>
      <c r="W164" s="92">
        <v>0</v>
      </c>
      <c r="X164" s="93" t="s">
        <v>4874</v>
      </c>
      <c r="Y164" s="92">
        <v>0</v>
      </c>
      <c r="Z164" s="93" t="s">
        <v>4874</v>
      </c>
      <c r="AA164" s="92">
        <v>0</v>
      </c>
      <c r="AB164" s="93" t="s">
        <v>4874</v>
      </c>
    </row>
    <row r="165" spans="1:28" s="94" customFormat="1" ht="15" x14ac:dyDescent="0.2">
      <c r="A165" s="91" t="s">
        <v>5531</v>
      </c>
      <c r="B165" s="91"/>
      <c r="C165" s="195">
        <v>0</v>
      </c>
      <c r="D165" s="93" t="s">
        <v>5159</v>
      </c>
      <c r="E165" s="92">
        <v>0</v>
      </c>
      <c r="F165" s="93" t="s">
        <v>4874</v>
      </c>
      <c r="G165" s="92">
        <v>0</v>
      </c>
      <c r="H165" s="93" t="s">
        <v>4874</v>
      </c>
      <c r="I165" s="92">
        <v>0</v>
      </c>
      <c r="J165" s="93" t="s">
        <v>4874</v>
      </c>
      <c r="K165" s="197">
        <v>0</v>
      </c>
      <c r="L165" s="93" t="s">
        <v>4798</v>
      </c>
      <c r="M165" s="195">
        <v>0</v>
      </c>
      <c r="N165" s="93" t="s">
        <v>99</v>
      </c>
      <c r="O165" s="195">
        <v>0</v>
      </c>
      <c r="P165" s="93" t="s">
        <v>99</v>
      </c>
      <c r="Q165" s="195">
        <v>0</v>
      </c>
      <c r="R165" s="93" t="s">
        <v>4874</v>
      </c>
      <c r="S165" s="195">
        <v>0</v>
      </c>
      <c r="T165" s="93" t="s">
        <v>99</v>
      </c>
      <c r="U165" s="92">
        <v>0</v>
      </c>
      <c r="V165" s="93" t="s">
        <v>4874</v>
      </c>
      <c r="W165" s="92">
        <v>0</v>
      </c>
      <c r="X165" s="93" t="s">
        <v>4874</v>
      </c>
      <c r="Y165" s="92">
        <v>0</v>
      </c>
      <c r="Z165" s="93" t="s">
        <v>4874</v>
      </c>
      <c r="AA165" s="92">
        <v>0</v>
      </c>
      <c r="AB165" s="93" t="s">
        <v>4874</v>
      </c>
    </row>
    <row r="166" spans="1:28" s="94" customFormat="1" ht="15" x14ac:dyDescent="0.2">
      <c r="A166" s="91" t="s">
        <v>5532</v>
      </c>
      <c r="B166" s="91"/>
      <c r="C166" s="195">
        <v>0</v>
      </c>
      <c r="D166" s="93" t="s">
        <v>5159</v>
      </c>
      <c r="E166" s="92">
        <v>0</v>
      </c>
      <c r="F166" s="93" t="s">
        <v>4874</v>
      </c>
      <c r="G166" s="92">
        <v>0</v>
      </c>
      <c r="H166" s="93" t="s">
        <v>4874</v>
      </c>
      <c r="I166" s="92">
        <v>0</v>
      </c>
      <c r="J166" s="93" t="s">
        <v>4874</v>
      </c>
      <c r="K166" s="197">
        <v>0</v>
      </c>
      <c r="L166" s="93" t="s">
        <v>4798</v>
      </c>
      <c r="M166" s="195">
        <v>0</v>
      </c>
      <c r="N166" s="93" t="s">
        <v>99</v>
      </c>
      <c r="O166" s="195">
        <v>0</v>
      </c>
      <c r="P166" s="93" t="s">
        <v>99</v>
      </c>
      <c r="Q166" s="195">
        <v>0</v>
      </c>
      <c r="R166" s="93" t="s">
        <v>4874</v>
      </c>
      <c r="S166" s="195">
        <v>0</v>
      </c>
      <c r="T166" s="93" t="s">
        <v>99</v>
      </c>
      <c r="U166" s="92">
        <v>0</v>
      </c>
      <c r="V166" s="93" t="s">
        <v>4874</v>
      </c>
      <c r="W166" s="92">
        <v>0</v>
      </c>
      <c r="X166" s="93" t="s">
        <v>4874</v>
      </c>
      <c r="Y166" s="92">
        <v>0</v>
      </c>
      <c r="Z166" s="93" t="s">
        <v>4874</v>
      </c>
      <c r="AA166" s="92">
        <v>0</v>
      </c>
      <c r="AB166" s="93" t="s">
        <v>4874</v>
      </c>
    </row>
    <row r="167" spans="1:28" s="94" customFormat="1" ht="15" x14ac:dyDescent="0.2">
      <c r="A167" s="91" t="s">
        <v>5533</v>
      </c>
      <c r="B167" s="91"/>
      <c r="C167" s="195">
        <v>0</v>
      </c>
      <c r="D167" s="93" t="s">
        <v>5159</v>
      </c>
      <c r="E167" s="92">
        <v>0</v>
      </c>
      <c r="F167" s="93" t="s">
        <v>4874</v>
      </c>
      <c r="G167" s="92">
        <v>0</v>
      </c>
      <c r="H167" s="93" t="s">
        <v>4874</v>
      </c>
      <c r="I167" s="92">
        <v>0</v>
      </c>
      <c r="J167" s="93" t="s">
        <v>4874</v>
      </c>
      <c r="K167" s="197">
        <v>0</v>
      </c>
      <c r="L167" s="93" t="s">
        <v>4798</v>
      </c>
      <c r="M167" s="195">
        <v>0</v>
      </c>
      <c r="N167" s="93" t="s">
        <v>99</v>
      </c>
      <c r="O167" s="195">
        <v>0</v>
      </c>
      <c r="P167" s="93" t="s">
        <v>99</v>
      </c>
      <c r="Q167" s="195">
        <v>0</v>
      </c>
      <c r="R167" s="93" t="s">
        <v>4874</v>
      </c>
      <c r="S167" s="195">
        <v>0</v>
      </c>
      <c r="T167" s="93" t="s">
        <v>99</v>
      </c>
      <c r="U167" s="92">
        <v>0</v>
      </c>
      <c r="V167" s="93" t="s">
        <v>4874</v>
      </c>
      <c r="W167" s="92">
        <v>0</v>
      </c>
      <c r="X167" s="93" t="s">
        <v>4874</v>
      </c>
      <c r="Y167" s="92">
        <v>0</v>
      </c>
      <c r="Z167" s="93" t="s">
        <v>4874</v>
      </c>
      <c r="AA167" s="92">
        <v>0</v>
      </c>
      <c r="AB167" s="93" t="s">
        <v>4874</v>
      </c>
    </row>
    <row r="168" spans="1:28" s="94" customFormat="1" ht="15" x14ac:dyDescent="0.2">
      <c r="A168" s="91" t="s">
        <v>5534</v>
      </c>
      <c r="B168" s="91"/>
      <c r="C168" s="195">
        <v>0</v>
      </c>
      <c r="D168" s="93" t="s">
        <v>5159</v>
      </c>
      <c r="E168" s="92">
        <v>0</v>
      </c>
      <c r="F168" s="93" t="s">
        <v>4874</v>
      </c>
      <c r="G168" s="92">
        <v>0</v>
      </c>
      <c r="H168" s="93" t="s">
        <v>4874</v>
      </c>
      <c r="I168" s="92">
        <v>0</v>
      </c>
      <c r="J168" s="93" t="s">
        <v>4874</v>
      </c>
      <c r="K168" s="197">
        <v>0</v>
      </c>
      <c r="L168" s="93" t="s">
        <v>4798</v>
      </c>
      <c r="M168" s="195">
        <v>0</v>
      </c>
      <c r="N168" s="93" t="s">
        <v>99</v>
      </c>
      <c r="O168" s="195">
        <v>0</v>
      </c>
      <c r="P168" s="93" t="s">
        <v>99</v>
      </c>
      <c r="Q168" s="195">
        <v>0</v>
      </c>
      <c r="R168" s="93" t="s">
        <v>4874</v>
      </c>
      <c r="S168" s="195">
        <v>0</v>
      </c>
      <c r="T168" s="93" t="s">
        <v>99</v>
      </c>
      <c r="U168" s="92">
        <v>0</v>
      </c>
      <c r="V168" s="93" t="s">
        <v>4874</v>
      </c>
      <c r="W168" s="92">
        <v>0</v>
      </c>
      <c r="X168" s="93" t="s">
        <v>4874</v>
      </c>
      <c r="Y168" s="92">
        <v>0</v>
      </c>
      <c r="Z168" s="93" t="s">
        <v>4874</v>
      </c>
      <c r="AA168" s="92">
        <v>0</v>
      </c>
      <c r="AB168" s="93" t="s">
        <v>4874</v>
      </c>
    </row>
    <row r="169" spans="1:28" s="94" customFormat="1" ht="15" x14ac:dyDescent="0.2">
      <c r="A169" s="91" t="s">
        <v>5535</v>
      </c>
      <c r="B169" s="91"/>
      <c r="C169" s="195">
        <v>0</v>
      </c>
      <c r="D169" s="93" t="s">
        <v>5159</v>
      </c>
      <c r="E169" s="92">
        <v>0</v>
      </c>
      <c r="F169" s="93" t="s">
        <v>4874</v>
      </c>
      <c r="G169" s="92">
        <v>0</v>
      </c>
      <c r="H169" s="93" t="s">
        <v>4874</v>
      </c>
      <c r="I169" s="92">
        <v>0</v>
      </c>
      <c r="J169" s="93" t="s">
        <v>4874</v>
      </c>
      <c r="K169" s="197">
        <v>0</v>
      </c>
      <c r="L169" s="93" t="s">
        <v>4798</v>
      </c>
      <c r="M169" s="195">
        <v>0</v>
      </c>
      <c r="N169" s="93" t="s">
        <v>99</v>
      </c>
      <c r="O169" s="195">
        <v>0</v>
      </c>
      <c r="P169" s="93" t="s">
        <v>99</v>
      </c>
      <c r="Q169" s="195">
        <v>0</v>
      </c>
      <c r="R169" s="93" t="s">
        <v>4874</v>
      </c>
      <c r="S169" s="195">
        <v>0</v>
      </c>
      <c r="T169" s="93" t="s">
        <v>99</v>
      </c>
      <c r="U169" s="92">
        <v>0</v>
      </c>
      <c r="V169" s="93" t="s">
        <v>4874</v>
      </c>
      <c r="W169" s="92">
        <v>0</v>
      </c>
      <c r="X169" s="93" t="s">
        <v>4874</v>
      </c>
      <c r="Y169" s="92">
        <v>0</v>
      </c>
      <c r="Z169" s="93" t="s">
        <v>4874</v>
      </c>
      <c r="AA169" s="92">
        <v>0</v>
      </c>
      <c r="AB169" s="93" t="s">
        <v>4874</v>
      </c>
    </row>
    <row r="170" spans="1:28" s="94" customFormat="1" ht="15" x14ac:dyDescent="0.2">
      <c r="A170" s="91" t="s">
        <v>5536</v>
      </c>
      <c r="B170" s="91"/>
      <c r="C170" s="195">
        <v>0</v>
      </c>
      <c r="D170" s="93" t="s">
        <v>5159</v>
      </c>
      <c r="E170" s="92">
        <v>0</v>
      </c>
      <c r="F170" s="93" t="s">
        <v>4874</v>
      </c>
      <c r="G170" s="92">
        <v>0</v>
      </c>
      <c r="H170" s="93" t="s">
        <v>4874</v>
      </c>
      <c r="I170" s="92">
        <v>0</v>
      </c>
      <c r="J170" s="93" t="s">
        <v>4874</v>
      </c>
      <c r="K170" s="197">
        <v>0</v>
      </c>
      <c r="L170" s="93" t="s">
        <v>4798</v>
      </c>
      <c r="M170" s="195">
        <v>0</v>
      </c>
      <c r="N170" s="93" t="s">
        <v>99</v>
      </c>
      <c r="O170" s="195">
        <v>0</v>
      </c>
      <c r="P170" s="93" t="s">
        <v>99</v>
      </c>
      <c r="Q170" s="195">
        <v>0</v>
      </c>
      <c r="R170" s="93" t="s">
        <v>4874</v>
      </c>
      <c r="S170" s="195">
        <v>0</v>
      </c>
      <c r="T170" s="93" t="s">
        <v>99</v>
      </c>
      <c r="U170" s="92">
        <v>0</v>
      </c>
      <c r="V170" s="93" t="s">
        <v>4874</v>
      </c>
      <c r="W170" s="92">
        <v>0</v>
      </c>
      <c r="X170" s="93" t="s">
        <v>4874</v>
      </c>
      <c r="Y170" s="92">
        <v>0</v>
      </c>
      <c r="Z170" s="93" t="s">
        <v>4874</v>
      </c>
      <c r="AA170" s="92">
        <v>0</v>
      </c>
      <c r="AB170" s="93" t="s">
        <v>4874</v>
      </c>
    </row>
    <row r="171" spans="1:28" s="94" customFormat="1" ht="15" x14ac:dyDescent="0.2">
      <c r="A171" s="91" t="s">
        <v>5537</v>
      </c>
      <c r="B171" s="91"/>
      <c r="C171" s="195">
        <v>0</v>
      </c>
      <c r="D171" s="93" t="s">
        <v>5159</v>
      </c>
      <c r="E171" s="92">
        <v>0</v>
      </c>
      <c r="F171" s="93" t="s">
        <v>4874</v>
      </c>
      <c r="G171" s="92">
        <v>0</v>
      </c>
      <c r="H171" s="93" t="s">
        <v>4874</v>
      </c>
      <c r="I171" s="92">
        <v>0</v>
      </c>
      <c r="J171" s="93" t="s">
        <v>4874</v>
      </c>
      <c r="K171" s="197">
        <v>0</v>
      </c>
      <c r="L171" s="93" t="s">
        <v>4798</v>
      </c>
      <c r="M171" s="195">
        <v>0</v>
      </c>
      <c r="N171" s="93" t="s">
        <v>99</v>
      </c>
      <c r="O171" s="195">
        <v>0</v>
      </c>
      <c r="P171" s="93" t="s">
        <v>99</v>
      </c>
      <c r="Q171" s="195">
        <v>0</v>
      </c>
      <c r="R171" s="93" t="s">
        <v>4874</v>
      </c>
      <c r="S171" s="195">
        <v>0</v>
      </c>
      <c r="T171" s="93" t="s">
        <v>99</v>
      </c>
      <c r="U171" s="92">
        <v>0</v>
      </c>
      <c r="V171" s="93" t="s">
        <v>4874</v>
      </c>
      <c r="W171" s="92">
        <v>0</v>
      </c>
      <c r="X171" s="93" t="s">
        <v>4874</v>
      </c>
      <c r="Y171" s="92">
        <v>0</v>
      </c>
      <c r="Z171" s="93" t="s">
        <v>4874</v>
      </c>
      <c r="AA171" s="92">
        <v>0</v>
      </c>
      <c r="AB171" s="93" t="s">
        <v>4874</v>
      </c>
    </row>
    <row r="172" spans="1:28" s="94" customFormat="1" ht="15" x14ac:dyDescent="0.2">
      <c r="A172" s="91" t="s">
        <v>5538</v>
      </c>
      <c r="B172" s="91"/>
      <c r="C172" s="195">
        <v>0</v>
      </c>
      <c r="D172" s="93" t="s">
        <v>5159</v>
      </c>
      <c r="E172" s="92">
        <v>0</v>
      </c>
      <c r="F172" s="93" t="s">
        <v>4874</v>
      </c>
      <c r="G172" s="92">
        <v>0</v>
      </c>
      <c r="H172" s="93" t="s">
        <v>4874</v>
      </c>
      <c r="I172" s="92">
        <v>0</v>
      </c>
      <c r="J172" s="93" t="s">
        <v>4874</v>
      </c>
      <c r="K172" s="197">
        <v>0</v>
      </c>
      <c r="L172" s="93" t="s">
        <v>4798</v>
      </c>
      <c r="M172" s="195">
        <v>0</v>
      </c>
      <c r="N172" s="93" t="s">
        <v>99</v>
      </c>
      <c r="O172" s="195">
        <v>0</v>
      </c>
      <c r="P172" s="93" t="s">
        <v>99</v>
      </c>
      <c r="Q172" s="195">
        <v>0</v>
      </c>
      <c r="R172" s="93" t="s">
        <v>4874</v>
      </c>
      <c r="S172" s="195">
        <v>0</v>
      </c>
      <c r="T172" s="93" t="s">
        <v>99</v>
      </c>
      <c r="U172" s="92">
        <v>0</v>
      </c>
      <c r="V172" s="93" t="s">
        <v>4874</v>
      </c>
      <c r="W172" s="92">
        <v>0</v>
      </c>
      <c r="X172" s="93" t="s">
        <v>4874</v>
      </c>
      <c r="Y172" s="92">
        <v>0</v>
      </c>
      <c r="Z172" s="93" t="s">
        <v>4874</v>
      </c>
      <c r="AA172" s="92">
        <v>0</v>
      </c>
      <c r="AB172" s="93" t="s">
        <v>4874</v>
      </c>
    </row>
    <row r="173" spans="1:28" s="94" customFormat="1" ht="15" x14ac:dyDescent="0.2">
      <c r="A173" s="91" t="s">
        <v>5539</v>
      </c>
      <c r="B173" s="91"/>
      <c r="C173" s="195">
        <v>0</v>
      </c>
      <c r="D173" s="93" t="s">
        <v>5159</v>
      </c>
      <c r="E173" s="92">
        <v>0</v>
      </c>
      <c r="F173" s="93" t="s">
        <v>4874</v>
      </c>
      <c r="G173" s="92">
        <v>0</v>
      </c>
      <c r="H173" s="93" t="s">
        <v>4874</v>
      </c>
      <c r="I173" s="92">
        <v>0</v>
      </c>
      <c r="J173" s="93" t="s">
        <v>4874</v>
      </c>
      <c r="K173" s="197">
        <v>0</v>
      </c>
      <c r="L173" s="93" t="s">
        <v>4798</v>
      </c>
      <c r="M173" s="195">
        <v>0</v>
      </c>
      <c r="N173" s="93" t="s">
        <v>99</v>
      </c>
      <c r="O173" s="195">
        <v>0</v>
      </c>
      <c r="P173" s="93" t="s">
        <v>99</v>
      </c>
      <c r="Q173" s="195">
        <v>0</v>
      </c>
      <c r="R173" s="93" t="s">
        <v>4874</v>
      </c>
      <c r="S173" s="195">
        <v>0</v>
      </c>
      <c r="T173" s="93" t="s">
        <v>99</v>
      </c>
      <c r="U173" s="92">
        <v>0</v>
      </c>
      <c r="V173" s="93" t="s">
        <v>4874</v>
      </c>
      <c r="W173" s="92">
        <v>0</v>
      </c>
      <c r="X173" s="93" t="s">
        <v>4874</v>
      </c>
      <c r="Y173" s="92">
        <v>0</v>
      </c>
      <c r="Z173" s="93" t="s">
        <v>4874</v>
      </c>
      <c r="AA173" s="92">
        <v>0</v>
      </c>
      <c r="AB173" s="93" t="s">
        <v>4874</v>
      </c>
    </row>
    <row r="174" spans="1:28" s="94" customFormat="1" ht="15" x14ac:dyDescent="0.2">
      <c r="A174" s="91" t="s">
        <v>5540</v>
      </c>
      <c r="B174" s="91"/>
      <c r="C174" s="195">
        <v>0</v>
      </c>
      <c r="D174" s="93" t="s">
        <v>5159</v>
      </c>
      <c r="E174" s="92">
        <v>0</v>
      </c>
      <c r="F174" s="93" t="s">
        <v>4874</v>
      </c>
      <c r="G174" s="92">
        <v>0</v>
      </c>
      <c r="H174" s="93" t="s">
        <v>4874</v>
      </c>
      <c r="I174" s="92">
        <v>0</v>
      </c>
      <c r="J174" s="93" t="s">
        <v>4874</v>
      </c>
      <c r="K174" s="197">
        <v>0</v>
      </c>
      <c r="L174" s="93" t="s">
        <v>4798</v>
      </c>
      <c r="M174" s="195">
        <v>0</v>
      </c>
      <c r="N174" s="93" t="s">
        <v>99</v>
      </c>
      <c r="O174" s="195">
        <v>0</v>
      </c>
      <c r="P174" s="93" t="s">
        <v>99</v>
      </c>
      <c r="Q174" s="195">
        <v>0</v>
      </c>
      <c r="R174" s="93" t="s">
        <v>4874</v>
      </c>
      <c r="S174" s="195">
        <v>0</v>
      </c>
      <c r="T174" s="93" t="s">
        <v>99</v>
      </c>
      <c r="U174" s="92">
        <v>0</v>
      </c>
      <c r="V174" s="93" t="s">
        <v>4874</v>
      </c>
      <c r="W174" s="92">
        <v>0</v>
      </c>
      <c r="X174" s="93" t="s">
        <v>4874</v>
      </c>
      <c r="Y174" s="92">
        <v>0</v>
      </c>
      <c r="Z174" s="93" t="s">
        <v>4874</v>
      </c>
      <c r="AA174" s="92">
        <v>0</v>
      </c>
      <c r="AB174" s="93" t="s">
        <v>4874</v>
      </c>
    </row>
    <row r="175" spans="1:28" s="94" customFormat="1" ht="15" x14ac:dyDescent="0.2">
      <c r="A175" s="91" t="s">
        <v>5541</v>
      </c>
      <c r="B175" s="91"/>
      <c r="C175" s="195">
        <v>0</v>
      </c>
      <c r="D175" s="93" t="s">
        <v>5159</v>
      </c>
      <c r="E175" s="92">
        <v>0</v>
      </c>
      <c r="F175" s="93" t="s">
        <v>4874</v>
      </c>
      <c r="G175" s="92">
        <v>0</v>
      </c>
      <c r="H175" s="93" t="s">
        <v>4874</v>
      </c>
      <c r="I175" s="92">
        <v>0</v>
      </c>
      <c r="J175" s="93" t="s">
        <v>4874</v>
      </c>
      <c r="K175" s="197">
        <v>0</v>
      </c>
      <c r="L175" s="93" t="s">
        <v>4798</v>
      </c>
      <c r="M175" s="195">
        <v>0</v>
      </c>
      <c r="N175" s="93" t="s">
        <v>99</v>
      </c>
      <c r="O175" s="195">
        <v>0</v>
      </c>
      <c r="P175" s="93" t="s">
        <v>99</v>
      </c>
      <c r="Q175" s="195">
        <v>0</v>
      </c>
      <c r="R175" s="93" t="s">
        <v>4874</v>
      </c>
      <c r="S175" s="195">
        <v>0</v>
      </c>
      <c r="T175" s="93" t="s">
        <v>99</v>
      </c>
      <c r="U175" s="92">
        <v>0</v>
      </c>
      <c r="V175" s="93" t="s">
        <v>4874</v>
      </c>
      <c r="W175" s="92">
        <v>0</v>
      </c>
      <c r="X175" s="93" t="s">
        <v>4874</v>
      </c>
      <c r="Y175" s="92">
        <v>0</v>
      </c>
      <c r="Z175" s="93" t="s">
        <v>4874</v>
      </c>
      <c r="AA175" s="92">
        <v>0</v>
      </c>
      <c r="AB175" s="93" t="s">
        <v>4874</v>
      </c>
    </row>
    <row r="176" spans="1:28" s="94" customFormat="1" ht="15" x14ac:dyDescent="0.2">
      <c r="A176" s="91" t="s">
        <v>5542</v>
      </c>
      <c r="B176" s="91"/>
      <c r="C176" s="195">
        <v>0</v>
      </c>
      <c r="D176" s="93" t="s">
        <v>5159</v>
      </c>
      <c r="E176" s="92">
        <v>0</v>
      </c>
      <c r="F176" s="93" t="s">
        <v>4874</v>
      </c>
      <c r="G176" s="92">
        <v>0</v>
      </c>
      <c r="H176" s="93" t="s">
        <v>4874</v>
      </c>
      <c r="I176" s="92">
        <v>0</v>
      </c>
      <c r="J176" s="93" t="s">
        <v>4874</v>
      </c>
      <c r="K176" s="197">
        <v>0</v>
      </c>
      <c r="L176" s="93" t="s">
        <v>4798</v>
      </c>
      <c r="M176" s="195">
        <v>0</v>
      </c>
      <c r="N176" s="93" t="s">
        <v>99</v>
      </c>
      <c r="O176" s="195">
        <v>0</v>
      </c>
      <c r="P176" s="93" t="s">
        <v>99</v>
      </c>
      <c r="Q176" s="195">
        <v>0</v>
      </c>
      <c r="R176" s="93" t="s">
        <v>4874</v>
      </c>
      <c r="S176" s="195">
        <v>0</v>
      </c>
      <c r="T176" s="93" t="s">
        <v>99</v>
      </c>
      <c r="U176" s="92">
        <v>0</v>
      </c>
      <c r="V176" s="93" t="s">
        <v>4874</v>
      </c>
      <c r="W176" s="92">
        <v>0</v>
      </c>
      <c r="X176" s="93" t="s">
        <v>4874</v>
      </c>
      <c r="Y176" s="92">
        <v>0</v>
      </c>
      <c r="Z176" s="93" t="s">
        <v>4874</v>
      </c>
      <c r="AA176" s="92">
        <v>0</v>
      </c>
      <c r="AB176" s="93" t="s">
        <v>4874</v>
      </c>
    </row>
    <row r="177" spans="1:28" s="94" customFormat="1" ht="15" x14ac:dyDescent="0.2">
      <c r="A177" s="91" t="s">
        <v>5543</v>
      </c>
      <c r="B177" s="91"/>
      <c r="C177" s="195">
        <v>0</v>
      </c>
      <c r="D177" s="93" t="s">
        <v>5159</v>
      </c>
      <c r="E177" s="92">
        <v>0</v>
      </c>
      <c r="F177" s="93" t="s">
        <v>4874</v>
      </c>
      <c r="G177" s="92">
        <v>0</v>
      </c>
      <c r="H177" s="93" t="s">
        <v>4874</v>
      </c>
      <c r="I177" s="92">
        <v>0</v>
      </c>
      <c r="J177" s="93" t="s">
        <v>4874</v>
      </c>
      <c r="K177" s="197">
        <v>0</v>
      </c>
      <c r="L177" s="93" t="s">
        <v>4798</v>
      </c>
      <c r="M177" s="195">
        <v>0</v>
      </c>
      <c r="N177" s="93" t="s">
        <v>99</v>
      </c>
      <c r="O177" s="195">
        <v>0</v>
      </c>
      <c r="P177" s="93" t="s">
        <v>99</v>
      </c>
      <c r="Q177" s="195">
        <v>0</v>
      </c>
      <c r="R177" s="93" t="s">
        <v>4874</v>
      </c>
      <c r="S177" s="195">
        <v>0</v>
      </c>
      <c r="T177" s="93" t="s">
        <v>99</v>
      </c>
      <c r="U177" s="92">
        <v>0</v>
      </c>
      <c r="V177" s="93" t="s">
        <v>4874</v>
      </c>
      <c r="W177" s="92">
        <v>0</v>
      </c>
      <c r="X177" s="93" t="s">
        <v>4874</v>
      </c>
      <c r="Y177" s="92">
        <v>0</v>
      </c>
      <c r="Z177" s="93" t="s">
        <v>4874</v>
      </c>
      <c r="AA177" s="92">
        <v>0</v>
      </c>
      <c r="AB177" s="93" t="s">
        <v>4874</v>
      </c>
    </row>
    <row r="178" spans="1:28" s="94" customFormat="1" ht="15" x14ac:dyDescent="0.2">
      <c r="A178" s="91" t="s">
        <v>5544</v>
      </c>
      <c r="B178" s="91"/>
      <c r="C178" s="195">
        <v>0</v>
      </c>
      <c r="D178" s="93" t="s">
        <v>5159</v>
      </c>
      <c r="E178" s="92">
        <v>0</v>
      </c>
      <c r="F178" s="93" t="s">
        <v>4874</v>
      </c>
      <c r="G178" s="92">
        <v>0</v>
      </c>
      <c r="H178" s="93" t="s">
        <v>4874</v>
      </c>
      <c r="I178" s="92">
        <v>0</v>
      </c>
      <c r="J178" s="93" t="s">
        <v>4874</v>
      </c>
      <c r="K178" s="197">
        <v>0</v>
      </c>
      <c r="L178" s="93" t="s">
        <v>4798</v>
      </c>
      <c r="M178" s="195">
        <v>0</v>
      </c>
      <c r="N178" s="93" t="s">
        <v>99</v>
      </c>
      <c r="O178" s="195">
        <v>0</v>
      </c>
      <c r="P178" s="93" t="s">
        <v>99</v>
      </c>
      <c r="Q178" s="195">
        <v>0</v>
      </c>
      <c r="R178" s="93" t="s">
        <v>4874</v>
      </c>
      <c r="S178" s="195">
        <v>0</v>
      </c>
      <c r="T178" s="93" t="s">
        <v>99</v>
      </c>
      <c r="U178" s="92">
        <v>0</v>
      </c>
      <c r="V178" s="93" t="s">
        <v>4874</v>
      </c>
      <c r="W178" s="92">
        <v>0</v>
      </c>
      <c r="X178" s="93" t="s">
        <v>4874</v>
      </c>
      <c r="Y178" s="92">
        <v>0</v>
      </c>
      <c r="Z178" s="93" t="s">
        <v>4874</v>
      </c>
      <c r="AA178" s="92">
        <v>0</v>
      </c>
      <c r="AB178" s="93" t="s">
        <v>4874</v>
      </c>
    </row>
    <row r="179" spans="1:28" s="94" customFormat="1" ht="15" x14ac:dyDescent="0.2">
      <c r="A179" s="91" t="s">
        <v>5545</v>
      </c>
      <c r="B179" s="91"/>
      <c r="C179" s="195">
        <v>0</v>
      </c>
      <c r="D179" s="93" t="s">
        <v>5159</v>
      </c>
      <c r="E179" s="92">
        <v>0</v>
      </c>
      <c r="F179" s="93" t="s">
        <v>4874</v>
      </c>
      <c r="G179" s="92">
        <v>0</v>
      </c>
      <c r="H179" s="93" t="s">
        <v>4874</v>
      </c>
      <c r="I179" s="92">
        <v>0</v>
      </c>
      <c r="J179" s="93" t="s">
        <v>4874</v>
      </c>
      <c r="K179" s="197">
        <v>0</v>
      </c>
      <c r="L179" s="93" t="s">
        <v>4798</v>
      </c>
      <c r="M179" s="195">
        <v>0</v>
      </c>
      <c r="N179" s="93" t="s">
        <v>99</v>
      </c>
      <c r="O179" s="195">
        <v>0</v>
      </c>
      <c r="P179" s="93" t="s">
        <v>99</v>
      </c>
      <c r="Q179" s="195">
        <v>0</v>
      </c>
      <c r="R179" s="93" t="s">
        <v>4874</v>
      </c>
      <c r="S179" s="195">
        <v>0</v>
      </c>
      <c r="T179" s="93" t="s">
        <v>99</v>
      </c>
      <c r="U179" s="92">
        <v>0</v>
      </c>
      <c r="V179" s="93" t="s">
        <v>4874</v>
      </c>
      <c r="W179" s="92">
        <v>0</v>
      </c>
      <c r="X179" s="93" t="s">
        <v>4874</v>
      </c>
      <c r="Y179" s="92">
        <v>0</v>
      </c>
      <c r="Z179" s="93" t="s">
        <v>4874</v>
      </c>
      <c r="AA179" s="92">
        <v>0</v>
      </c>
      <c r="AB179" s="93" t="s">
        <v>4874</v>
      </c>
    </row>
    <row r="180" spans="1:28" s="94" customFormat="1" ht="15" x14ac:dyDescent="0.2">
      <c r="A180" s="91" t="s">
        <v>5546</v>
      </c>
      <c r="B180" s="91"/>
      <c r="C180" s="195">
        <v>0</v>
      </c>
      <c r="D180" s="93" t="s">
        <v>5159</v>
      </c>
      <c r="E180" s="92">
        <v>0</v>
      </c>
      <c r="F180" s="93" t="s">
        <v>4874</v>
      </c>
      <c r="G180" s="92">
        <v>0</v>
      </c>
      <c r="H180" s="93" t="s">
        <v>4874</v>
      </c>
      <c r="I180" s="92">
        <v>0</v>
      </c>
      <c r="J180" s="93" t="s">
        <v>4874</v>
      </c>
      <c r="K180" s="197">
        <v>0</v>
      </c>
      <c r="L180" s="93" t="s">
        <v>4798</v>
      </c>
      <c r="M180" s="195">
        <v>0</v>
      </c>
      <c r="N180" s="93" t="s">
        <v>99</v>
      </c>
      <c r="O180" s="195">
        <v>0</v>
      </c>
      <c r="P180" s="93" t="s">
        <v>99</v>
      </c>
      <c r="Q180" s="195">
        <v>0</v>
      </c>
      <c r="R180" s="93" t="s">
        <v>4874</v>
      </c>
      <c r="S180" s="195">
        <v>0</v>
      </c>
      <c r="T180" s="93" t="s">
        <v>99</v>
      </c>
      <c r="U180" s="92">
        <v>0</v>
      </c>
      <c r="V180" s="93" t="s">
        <v>4874</v>
      </c>
      <c r="W180" s="92">
        <v>0</v>
      </c>
      <c r="X180" s="93" t="s">
        <v>4874</v>
      </c>
      <c r="Y180" s="92">
        <v>0</v>
      </c>
      <c r="Z180" s="93" t="s">
        <v>4874</v>
      </c>
      <c r="AA180" s="92">
        <v>0</v>
      </c>
      <c r="AB180" s="93" t="s">
        <v>4874</v>
      </c>
    </row>
    <row r="181" spans="1:28" s="94" customFormat="1" ht="15" x14ac:dyDescent="0.2">
      <c r="A181" s="91" t="s">
        <v>5547</v>
      </c>
      <c r="B181" s="91"/>
      <c r="C181" s="195">
        <v>0</v>
      </c>
      <c r="D181" s="93" t="s">
        <v>5159</v>
      </c>
      <c r="E181" s="92">
        <v>0</v>
      </c>
      <c r="F181" s="93" t="s">
        <v>4874</v>
      </c>
      <c r="G181" s="92">
        <v>0</v>
      </c>
      <c r="H181" s="93" t="s">
        <v>4874</v>
      </c>
      <c r="I181" s="92">
        <v>0</v>
      </c>
      <c r="J181" s="93" t="s">
        <v>4874</v>
      </c>
      <c r="K181" s="197">
        <v>0</v>
      </c>
      <c r="L181" s="93" t="s">
        <v>4798</v>
      </c>
      <c r="M181" s="195">
        <v>0</v>
      </c>
      <c r="N181" s="93" t="s">
        <v>99</v>
      </c>
      <c r="O181" s="195">
        <v>0</v>
      </c>
      <c r="P181" s="93" t="s">
        <v>99</v>
      </c>
      <c r="Q181" s="195">
        <v>0</v>
      </c>
      <c r="R181" s="93" t="s">
        <v>4874</v>
      </c>
      <c r="S181" s="195">
        <v>0</v>
      </c>
      <c r="T181" s="93" t="s">
        <v>99</v>
      </c>
      <c r="U181" s="92">
        <v>0</v>
      </c>
      <c r="V181" s="93" t="s">
        <v>4874</v>
      </c>
      <c r="W181" s="92">
        <v>0</v>
      </c>
      <c r="X181" s="93" t="s">
        <v>4874</v>
      </c>
      <c r="Y181" s="92">
        <v>0</v>
      </c>
      <c r="Z181" s="93" t="s">
        <v>4874</v>
      </c>
      <c r="AA181" s="92">
        <v>0</v>
      </c>
      <c r="AB181" s="93" t="s">
        <v>4874</v>
      </c>
    </row>
    <row r="182" spans="1:28" s="94" customFormat="1" ht="15" x14ac:dyDescent="0.2">
      <c r="A182" s="91" t="s">
        <v>5548</v>
      </c>
      <c r="B182" s="91"/>
      <c r="C182" s="195">
        <v>0</v>
      </c>
      <c r="D182" s="93" t="s">
        <v>5159</v>
      </c>
      <c r="E182" s="92">
        <v>0</v>
      </c>
      <c r="F182" s="93" t="s">
        <v>4874</v>
      </c>
      <c r="G182" s="92">
        <v>0</v>
      </c>
      <c r="H182" s="93" t="s">
        <v>4874</v>
      </c>
      <c r="I182" s="92">
        <v>0</v>
      </c>
      <c r="J182" s="93" t="s">
        <v>4874</v>
      </c>
      <c r="K182" s="197">
        <v>0</v>
      </c>
      <c r="L182" s="93" t="s">
        <v>4798</v>
      </c>
      <c r="M182" s="195">
        <v>0</v>
      </c>
      <c r="N182" s="93" t="s">
        <v>99</v>
      </c>
      <c r="O182" s="195">
        <v>0</v>
      </c>
      <c r="P182" s="93" t="s">
        <v>99</v>
      </c>
      <c r="Q182" s="195">
        <v>0</v>
      </c>
      <c r="R182" s="93" t="s">
        <v>4874</v>
      </c>
      <c r="S182" s="195">
        <v>0</v>
      </c>
      <c r="T182" s="93" t="s">
        <v>99</v>
      </c>
      <c r="U182" s="92">
        <v>0</v>
      </c>
      <c r="V182" s="93" t="s">
        <v>4874</v>
      </c>
      <c r="W182" s="92">
        <v>0</v>
      </c>
      <c r="X182" s="93" t="s">
        <v>4874</v>
      </c>
      <c r="Y182" s="92">
        <v>0</v>
      </c>
      <c r="Z182" s="93" t="s">
        <v>4874</v>
      </c>
      <c r="AA182" s="92">
        <v>0</v>
      </c>
      <c r="AB182" s="93" t="s">
        <v>4874</v>
      </c>
    </row>
    <row r="183" spans="1:28" s="94" customFormat="1" ht="15" x14ac:dyDescent="0.2">
      <c r="A183" s="91" t="s">
        <v>5549</v>
      </c>
      <c r="B183" s="91"/>
      <c r="C183" s="195">
        <v>0</v>
      </c>
      <c r="D183" s="93" t="s">
        <v>5159</v>
      </c>
      <c r="E183" s="92">
        <v>0</v>
      </c>
      <c r="F183" s="93" t="s">
        <v>4874</v>
      </c>
      <c r="G183" s="92">
        <v>0</v>
      </c>
      <c r="H183" s="93" t="s">
        <v>4874</v>
      </c>
      <c r="I183" s="92">
        <v>0</v>
      </c>
      <c r="J183" s="93" t="s">
        <v>4874</v>
      </c>
      <c r="K183" s="197">
        <v>0</v>
      </c>
      <c r="L183" s="93" t="s">
        <v>4798</v>
      </c>
      <c r="M183" s="195">
        <v>0</v>
      </c>
      <c r="N183" s="93" t="s">
        <v>99</v>
      </c>
      <c r="O183" s="195">
        <v>0</v>
      </c>
      <c r="P183" s="93" t="s">
        <v>99</v>
      </c>
      <c r="Q183" s="195">
        <v>0</v>
      </c>
      <c r="R183" s="93" t="s">
        <v>4874</v>
      </c>
      <c r="S183" s="195">
        <v>0</v>
      </c>
      <c r="T183" s="93" t="s">
        <v>99</v>
      </c>
      <c r="U183" s="92">
        <v>0</v>
      </c>
      <c r="V183" s="93" t="s">
        <v>4874</v>
      </c>
      <c r="W183" s="92">
        <v>0</v>
      </c>
      <c r="X183" s="93" t="s">
        <v>4874</v>
      </c>
      <c r="Y183" s="92">
        <v>0</v>
      </c>
      <c r="Z183" s="93" t="s">
        <v>4874</v>
      </c>
      <c r="AA183" s="92">
        <v>0</v>
      </c>
      <c r="AB183" s="93" t="s">
        <v>4874</v>
      </c>
    </row>
    <row r="184" spans="1:28" ht="15" x14ac:dyDescent="0.25">
      <c r="A184" s="95"/>
      <c r="B184" s="95"/>
      <c r="C184" s="199"/>
      <c r="D184" s="97"/>
      <c r="E184" s="97"/>
      <c r="F184" s="98"/>
      <c r="G184" s="97"/>
      <c r="H184" s="98"/>
      <c r="I184" s="97"/>
      <c r="J184" s="98"/>
      <c r="K184" s="98"/>
      <c r="L184" s="98"/>
      <c r="M184" s="98"/>
      <c r="N184" s="98"/>
      <c r="O184" s="98"/>
      <c r="P184" s="98"/>
      <c r="Q184" s="98"/>
      <c r="R184" s="98"/>
      <c r="S184" s="98"/>
      <c r="T184" s="98"/>
      <c r="U184" s="97"/>
      <c r="V184" s="98"/>
      <c r="W184" s="97"/>
      <c r="X184" s="98"/>
      <c r="Y184" s="97"/>
      <c r="Z184" s="98"/>
      <c r="AA184" s="97"/>
      <c r="AB184" s="98"/>
    </row>
    <row r="185" spans="1:28" s="94" customFormat="1" ht="15" x14ac:dyDescent="0.2">
      <c r="A185" s="91" t="s">
        <v>5514</v>
      </c>
      <c r="B185" s="91"/>
      <c r="C185" s="195">
        <v>1</v>
      </c>
      <c r="D185" s="93" t="s">
        <v>5163</v>
      </c>
      <c r="E185" s="92">
        <v>0</v>
      </c>
      <c r="F185" s="93" t="s">
        <v>4874</v>
      </c>
      <c r="G185" s="92">
        <v>0</v>
      </c>
      <c r="H185" s="93" t="s">
        <v>4874</v>
      </c>
      <c r="I185" s="92">
        <v>0.1</v>
      </c>
      <c r="J185" s="93" t="s">
        <v>5163</v>
      </c>
      <c r="K185" s="197">
        <v>0.5</v>
      </c>
      <c r="L185" s="93" t="s">
        <v>5163</v>
      </c>
      <c r="M185" s="195">
        <v>0.5</v>
      </c>
      <c r="N185" s="93" t="s">
        <v>5163</v>
      </c>
      <c r="O185" s="195">
        <v>0.1</v>
      </c>
      <c r="P185" s="93" t="s">
        <v>5163</v>
      </c>
      <c r="Q185" s="195">
        <v>0.1</v>
      </c>
      <c r="R185" s="93" t="s">
        <v>5163</v>
      </c>
      <c r="S185" s="195">
        <v>0.1</v>
      </c>
      <c r="T185" s="93" t="s">
        <v>5163</v>
      </c>
      <c r="U185" s="92">
        <v>0</v>
      </c>
      <c r="V185" s="93" t="s">
        <v>4874</v>
      </c>
      <c r="W185" s="92">
        <v>0</v>
      </c>
      <c r="X185" s="93" t="s">
        <v>4874</v>
      </c>
      <c r="Y185" s="92">
        <v>0</v>
      </c>
      <c r="Z185" s="93" t="s">
        <v>4874</v>
      </c>
      <c r="AA185" s="92">
        <v>0</v>
      </c>
      <c r="AB185" s="93" t="s">
        <v>4874</v>
      </c>
    </row>
    <row r="186" spans="1:28" s="94" customFormat="1" ht="15" x14ac:dyDescent="0.2">
      <c r="A186" s="91" t="s">
        <v>5515</v>
      </c>
      <c r="B186" s="91"/>
      <c r="C186" s="195">
        <v>1</v>
      </c>
      <c r="D186" s="93" t="s">
        <v>5163</v>
      </c>
      <c r="E186" s="92">
        <v>0</v>
      </c>
      <c r="F186" s="93" t="s">
        <v>4874</v>
      </c>
      <c r="G186" s="92">
        <v>0</v>
      </c>
      <c r="H186" s="93" t="s">
        <v>4874</v>
      </c>
      <c r="I186" s="92">
        <v>0.1</v>
      </c>
      <c r="J186" s="93" t="s">
        <v>5163</v>
      </c>
      <c r="K186" s="197">
        <v>0.5</v>
      </c>
      <c r="L186" s="93" t="s">
        <v>5163</v>
      </c>
      <c r="M186" s="195">
        <v>0</v>
      </c>
      <c r="N186" s="93" t="s">
        <v>5163</v>
      </c>
      <c r="O186" s="195">
        <v>0</v>
      </c>
      <c r="P186" s="93" t="s">
        <v>4874</v>
      </c>
      <c r="Q186" s="195">
        <v>0</v>
      </c>
      <c r="R186" s="93" t="s">
        <v>4874</v>
      </c>
      <c r="S186" s="195">
        <v>0</v>
      </c>
      <c r="T186" s="93" t="s">
        <v>4874</v>
      </c>
      <c r="U186" s="92">
        <v>0</v>
      </c>
      <c r="V186" s="93" t="s">
        <v>4874</v>
      </c>
      <c r="W186" s="92">
        <v>0</v>
      </c>
      <c r="X186" s="93" t="s">
        <v>4874</v>
      </c>
      <c r="Y186" s="92">
        <v>0</v>
      </c>
      <c r="Z186" s="93" t="s">
        <v>4874</v>
      </c>
      <c r="AA186" s="92">
        <v>0</v>
      </c>
      <c r="AB186" s="93" t="s">
        <v>4874</v>
      </c>
    </row>
    <row r="187" spans="1:28" s="94" customFormat="1" ht="15" x14ac:dyDescent="0.2">
      <c r="A187" s="91" t="s">
        <v>5516</v>
      </c>
      <c r="B187" s="91"/>
      <c r="C187" s="195">
        <v>0</v>
      </c>
      <c r="D187" s="93" t="s">
        <v>5163</v>
      </c>
      <c r="E187" s="92">
        <v>0</v>
      </c>
      <c r="F187" s="93" t="s">
        <v>4874</v>
      </c>
      <c r="G187" s="92">
        <v>0</v>
      </c>
      <c r="H187" s="93" t="s">
        <v>4874</v>
      </c>
      <c r="I187" s="92">
        <v>0</v>
      </c>
      <c r="J187" s="93" t="s">
        <v>4874</v>
      </c>
      <c r="K187" s="197">
        <v>0</v>
      </c>
      <c r="L187" s="93" t="s">
        <v>4874</v>
      </c>
      <c r="M187" s="195">
        <v>0</v>
      </c>
      <c r="N187" s="93" t="s">
        <v>4874</v>
      </c>
      <c r="O187" s="195">
        <v>0</v>
      </c>
      <c r="P187" s="93" t="s">
        <v>4874</v>
      </c>
      <c r="Q187" s="195">
        <v>0</v>
      </c>
      <c r="R187" s="93" t="s">
        <v>4874</v>
      </c>
      <c r="S187" s="195">
        <v>0</v>
      </c>
      <c r="T187" s="93" t="s">
        <v>4874</v>
      </c>
      <c r="U187" s="92">
        <v>0</v>
      </c>
      <c r="V187" s="93" t="s">
        <v>4874</v>
      </c>
      <c r="W187" s="92">
        <v>0</v>
      </c>
      <c r="X187" s="93" t="s">
        <v>4874</v>
      </c>
      <c r="Y187" s="92">
        <v>0</v>
      </c>
      <c r="Z187" s="93" t="s">
        <v>4874</v>
      </c>
      <c r="AA187" s="92">
        <v>0</v>
      </c>
      <c r="AB187" s="93" t="s">
        <v>4874</v>
      </c>
    </row>
    <row r="188" spans="1:28" s="94" customFormat="1" ht="15" x14ac:dyDescent="0.2">
      <c r="A188" s="91" t="s">
        <v>5517</v>
      </c>
      <c r="B188" s="91"/>
      <c r="C188" s="195">
        <v>0</v>
      </c>
      <c r="D188" s="93" t="s">
        <v>5163</v>
      </c>
      <c r="E188" s="92">
        <v>0</v>
      </c>
      <c r="F188" s="93" t="s">
        <v>4874</v>
      </c>
      <c r="G188" s="92">
        <v>0</v>
      </c>
      <c r="H188" s="93" t="s">
        <v>4874</v>
      </c>
      <c r="I188" s="92">
        <v>0</v>
      </c>
      <c r="J188" s="93" t="s">
        <v>4874</v>
      </c>
      <c r="K188" s="197">
        <v>0</v>
      </c>
      <c r="L188" s="93" t="s">
        <v>4874</v>
      </c>
      <c r="M188" s="195">
        <v>0</v>
      </c>
      <c r="N188" s="93" t="s">
        <v>4874</v>
      </c>
      <c r="O188" s="195">
        <v>0</v>
      </c>
      <c r="P188" s="93" t="s">
        <v>4874</v>
      </c>
      <c r="Q188" s="195">
        <v>0</v>
      </c>
      <c r="R188" s="93" t="s">
        <v>4874</v>
      </c>
      <c r="S188" s="195">
        <v>0</v>
      </c>
      <c r="T188" s="93" t="s">
        <v>4874</v>
      </c>
      <c r="U188" s="92">
        <v>0</v>
      </c>
      <c r="V188" s="93" t="s">
        <v>4874</v>
      </c>
      <c r="W188" s="92">
        <v>0</v>
      </c>
      <c r="X188" s="93" t="s">
        <v>4874</v>
      </c>
      <c r="Y188" s="92">
        <v>0</v>
      </c>
      <c r="Z188" s="93" t="s">
        <v>4874</v>
      </c>
      <c r="AA188" s="92">
        <v>0</v>
      </c>
      <c r="AB188" s="93" t="s">
        <v>4874</v>
      </c>
    </row>
    <row r="189" spans="1:28" ht="15" x14ac:dyDescent="0.25">
      <c r="A189" s="95"/>
      <c r="B189" s="95"/>
      <c r="C189" s="199"/>
      <c r="D189" s="97"/>
      <c r="E189" s="97"/>
      <c r="F189" s="98"/>
      <c r="G189" s="97"/>
      <c r="H189" s="98"/>
      <c r="I189" s="97"/>
      <c r="J189" s="98"/>
      <c r="K189" s="98"/>
      <c r="L189" s="98"/>
      <c r="M189" s="98"/>
      <c r="N189" s="98"/>
      <c r="O189" s="98"/>
      <c r="P189" s="98"/>
      <c r="Q189" s="98"/>
      <c r="R189" s="98"/>
      <c r="S189" s="98"/>
      <c r="T189" s="98"/>
      <c r="U189" s="97"/>
      <c r="V189" s="98"/>
      <c r="W189" s="97"/>
      <c r="X189" s="98"/>
      <c r="Y189" s="97"/>
      <c r="Z189" s="98"/>
      <c r="AA189" s="97"/>
      <c r="AB189" s="98"/>
    </row>
    <row r="190" spans="1:28" s="94" customFormat="1" ht="15" x14ac:dyDescent="0.2">
      <c r="A190" s="91" t="s">
        <v>5514</v>
      </c>
      <c r="B190" s="91"/>
      <c r="C190" s="195">
        <v>0</v>
      </c>
      <c r="D190" s="93" t="s">
        <v>5163</v>
      </c>
      <c r="E190" s="92">
        <v>0</v>
      </c>
      <c r="F190" s="93" t="s">
        <v>4874</v>
      </c>
      <c r="G190" s="92">
        <v>0</v>
      </c>
      <c r="H190" s="93" t="s">
        <v>4874</v>
      </c>
      <c r="I190" s="92">
        <v>0.1</v>
      </c>
      <c r="J190" s="93" t="s">
        <v>5163</v>
      </c>
      <c r="K190" s="197">
        <v>0</v>
      </c>
      <c r="L190" s="93" t="s">
        <v>4798</v>
      </c>
      <c r="M190" s="195">
        <v>0.5</v>
      </c>
      <c r="N190" s="93" t="s">
        <v>4874</v>
      </c>
      <c r="O190" s="195">
        <v>0</v>
      </c>
      <c r="P190" s="93" t="s">
        <v>5163</v>
      </c>
      <c r="Q190" s="195">
        <v>0</v>
      </c>
      <c r="R190" s="93" t="s">
        <v>5163</v>
      </c>
      <c r="S190" s="195">
        <v>0</v>
      </c>
      <c r="T190" s="93" t="s">
        <v>5163</v>
      </c>
      <c r="U190" s="92">
        <v>0</v>
      </c>
      <c r="V190" s="93" t="s">
        <v>4874</v>
      </c>
      <c r="W190" s="92">
        <v>0</v>
      </c>
      <c r="X190" s="93" t="s">
        <v>4874</v>
      </c>
      <c r="Y190" s="92">
        <v>0</v>
      </c>
      <c r="Z190" s="93" t="s">
        <v>4874</v>
      </c>
      <c r="AA190" s="92">
        <v>0</v>
      </c>
      <c r="AB190" s="93" t="s">
        <v>4874</v>
      </c>
    </row>
    <row r="191" spans="1:28" s="94" customFormat="1" ht="15" x14ac:dyDescent="0.2">
      <c r="A191" s="91" t="s">
        <v>5515</v>
      </c>
      <c r="B191" s="91"/>
      <c r="C191" s="195">
        <v>0</v>
      </c>
      <c r="D191" s="93" t="s">
        <v>5163</v>
      </c>
      <c r="E191" s="92">
        <v>0</v>
      </c>
      <c r="F191" s="93" t="s">
        <v>4874</v>
      </c>
      <c r="G191" s="92">
        <v>0</v>
      </c>
      <c r="H191" s="93" t="s">
        <v>4874</v>
      </c>
      <c r="I191" s="92">
        <v>0.1</v>
      </c>
      <c r="J191" s="93" t="s">
        <v>5163</v>
      </c>
      <c r="K191" s="197">
        <v>0</v>
      </c>
      <c r="L191" s="93" t="s">
        <v>4874</v>
      </c>
      <c r="M191" s="195">
        <v>0</v>
      </c>
      <c r="N191" s="93" t="s">
        <v>4874</v>
      </c>
      <c r="O191" s="195">
        <v>0</v>
      </c>
      <c r="P191" s="93" t="s">
        <v>4874</v>
      </c>
      <c r="Q191" s="195">
        <v>0</v>
      </c>
      <c r="R191" s="93" t="s">
        <v>4874</v>
      </c>
      <c r="S191" s="195">
        <v>0</v>
      </c>
      <c r="T191" s="93" t="s">
        <v>4874</v>
      </c>
      <c r="U191" s="92">
        <v>0</v>
      </c>
      <c r="V191" s="93" t="s">
        <v>4874</v>
      </c>
      <c r="W191" s="92">
        <v>0</v>
      </c>
      <c r="X191" s="93" t="s">
        <v>4874</v>
      </c>
      <c r="Y191" s="92">
        <v>0</v>
      </c>
      <c r="Z191" s="93" t="s">
        <v>4874</v>
      </c>
      <c r="AA191" s="92">
        <v>0</v>
      </c>
      <c r="AB191" s="93" t="s">
        <v>4874</v>
      </c>
    </row>
    <row r="192" spans="1:28" s="94" customFormat="1" ht="15" x14ac:dyDescent="0.2">
      <c r="A192" s="91" t="s">
        <v>5516</v>
      </c>
      <c r="B192" s="91"/>
      <c r="C192" s="195">
        <v>0</v>
      </c>
      <c r="D192" s="93" t="s">
        <v>5163</v>
      </c>
      <c r="E192" s="92">
        <v>0</v>
      </c>
      <c r="F192" s="93" t="s">
        <v>4874</v>
      </c>
      <c r="G192" s="92">
        <v>0</v>
      </c>
      <c r="H192" s="93" t="s">
        <v>4874</v>
      </c>
      <c r="I192" s="92">
        <v>0</v>
      </c>
      <c r="J192" s="93" t="s">
        <v>4874</v>
      </c>
      <c r="K192" s="197">
        <v>0</v>
      </c>
      <c r="L192" s="93" t="s">
        <v>4874</v>
      </c>
      <c r="M192" s="195">
        <v>0</v>
      </c>
      <c r="N192" s="93" t="s">
        <v>4874</v>
      </c>
      <c r="O192" s="195">
        <v>0</v>
      </c>
      <c r="P192" s="93" t="s">
        <v>4874</v>
      </c>
      <c r="Q192" s="195">
        <v>0</v>
      </c>
      <c r="R192" s="93" t="s">
        <v>4874</v>
      </c>
      <c r="S192" s="195">
        <v>0</v>
      </c>
      <c r="T192" s="93" t="s">
        <v>4874</v>
      </c>
      <c r="U192" s="92">
        <v>0</v>
      </c>
      <c r="V192" s="93" t="s">
        <v>4874</v>
      </c>
      <c r="W192" s="92">
        <v>0</v>
      </c>
      <c r="X192" s="93" t="s">
        <v>4874</v>
      </c>
      <c r="Y192" s="92">
        <v>0</v>
      </c>
      <c r="Z192" s="93" t="s">
        <v>4874</v>
      </c>
      <c r="AA192" s="92">
        <v>0</v>
      </c>
      <c r="AB192" s="93" t="s">
        <v>4874</v>
      </c>
    </row>
    <row r="193" spans="1:30" s="94" customFormat="1" ht="15" x14ac:dyDescent="0.2">
      <c r="A193" s="91" t="s">
        <v>5517</v>
      </c>
      <c r="B193" s="91"/>
      <c r="C193" s="195">
        <v>0</v>
      </c>
      <c r="D193" s="93" t="s">
        <v>5163</v>
      </c>
      <c r="E193" s="92">
        <v>0</v>
      </c>
      <c r="F193" s="93" t="s">
        <v>4874</v>
      </c>
      <c r="G193" s="92">
        <v>0</v>
      </c>
      <c r="H193" s="93" t="s">
        <v>4874</v>
      </c>
      <c r="I193" s="92">
        <v>0</v>
      </c>
      <c r="J193" s="93" t="s">
        <v>4874</v>
      </c>
      <c r="K193" s="197">
        <v>0</v>
      </c>
      <c r="L193" s="93" t="s">
        <v>4874</v>
      </c>
      <c r="M193" s="195">
        <v>0</v>
      </c>
      <c r="N193" s="93" t="s">
        <v>4874</v>
      </c>
      <c r="O193" s="195">
        <v>0</v>
      </c>
      <c r="P193" s="93" t="s">
        <v>4874</v>
      </c>
      <c r="Q193" s="195">
        <v>0</v>
      </c>
      <c r="R193" s="93" t="s">
        <v>4874</v>
      </c>
      <c r="S193" s="195">
        <v>0</v>
      </c>
      <c r="T193" s="93" t="s">
        <v>4874</v>
      </c>
      <c r="U193" s="92">
        <v>0</v>
      </c>
      <c r="V193" s="93" t="s">
        <v>4874</v>
      </c>
      <c r="W193" s="92">
        <v>0</v>
      </c>
      <c r="X193" s="93" t="s">
        <v>4874</v>
      </c>
      <c r="Y193" s="92">
        <v>0</v>
      </c>
      <c r="Z193" s="93" t="s">
        <v>4874</v>
      </c>
      <c r="AA193" s="92">
        <v>0</v>
      </c>
      <c r="AB193" s="93" t="s">
        <v>4874</v>
      </c>
    </row>
    <row r="194" spans="1:30" ht="15" x14ac:dyDescent="0.25">
      <c r="A194" s="95"/>
      <c r="B194" s="95"/>
      <c r="C194" s="199"/>
      <c r="D194" s="97"/>
      <c r="E194" s="97"/>
      <c r="F194" s="98"/>
      <c r="G194" s="97"/>
      <c r="H194" s="98"/>
      <c r="I194" s="97"/>
      <c r="J194" s="98"/>
      <c r="K194" s="98"/>
      <c r="L194" s="98"/>
      <c r="M194" s="98"/>
      <c r="N194" s="98"/>
      <c r="O194" s="98"/>
      <c r="P194" s="98"/>
      <c r="Q194" s="98"/>
      <c r="R194" s="98"/>
      <c r="S194" s="98"/>
      <c r="T194" s="98"/>
      <c r="U194" s="97"/>
      <c r="V194" s="98"/>
      <c r="W194" s="97"/>
      <c r="X194" s="98"/>
      <c r="Y194" s="97"/>
      <c r="Z194" s="98"/>
      <c r="AA194" s="97"/>
      <c r="AB194" s="98"/>
    </row>
    <row r="195" spans="1:30" s="94" customFormat="1" ht="15" x14ac:dyDescent="0.2">
      <c r="A195" s="91" t="s">
        <v>5940</v>
      </c>
      <c r="B195" s="91"/>
      <c r="C195" s="195">
        <v>1</v>
      </c>
      <c r="D195" s="93" t="s">
        <v>5159</v>
      </c>
      <c r="E195" s="92">
        <v>0</v>
      </c>
      <c r="F195" s="93" t="s">
        <v>4874</v>
      </c>
      <c r="G195" s="92">
        <v>0</v>
      </c>
      <c r="H195" s="93" t="s">
        <v>4874</v>
      </c>
      <c r="I195" s="92">
        <v>0.1</v>
      </c>
      <c r="J195" s="93" t="s">
        <v>5159</v>
      </c>
      <c r="K195" s="197">
        <v>0.01</v>
      </c>
      <c r="L195" s="93" t="s">
        <v>5159</v>
      </c>
      <c r="M195" s="195">
        <v>0.5</v>
      </c>
      <c r="N195" s="93" t="s">
        <v>5159</v>
      </c>
      <c r="O195" s="195">
        <v>0.1</v>
      </c>
      <c r="P195" s="93" t="s">
        <v>4874</v>
      </c>
      <c r="Q195" s="195">
        <v>0.1</v>
      </c>
      <c r="R195" s="93" t="s">
        <v>5160</v>
      </c>
      <c r="S195" s="195">
        <v>0.1</v>
      </c>
      <c r="T195" s="93" t="s">
        <v>4874</v>
      </c>
      <c r="U195" s="92">
        <v>0</v>
      </c>
      <c r="V195" s="93" t="s">
        <v>4874</v>
      </c>
      <c r="W195" s="92">
        <v>0</v>
      </c>
      <c r="X195" s="93" t="s">
        <v>4874</v>
      </c>
      <c r="Y195" s="92">
        <v>0</v>
      </c>
      <c r="Z195" s="93" t="s">
        <v>4874</v>
      </c>
      <c r="AA195" s="92">
        <v>0</v>
      </c>
      <c r="AB195" s="93" t="s">
        <v>4874</v>
      </c>
    </row>
    <row r="196" spans="1:30" s="94" customFormat="1" ht="15" x14ac:dyDescent="0.2">
      <c r="A196" s="91" t="s">
        <v>6034</v>
      </c>
      <c r="B196" s="91"/>
      <c r="C196" s="195">
        <v>1</v>
      </c>
      <c r="D196" s="93" t="s">
        <v>5159</v>
      </c>
      <c r="E196" s="92">
        <v>0</v>
      </c>
      <c r="F196" s="93" t="s">
        <v>4874</v>
      </c>
      <c r="G196" s="92">
        <v>0</v>
      </c>
      <c r="H196" s="93" t="s">
        <v>4874</v>
      </c>
      <c r="I196" s="92">
        <v>0</v>
      </c>
      <c r="J196" s="93" t="s">
        <v>4874</v>
      </c>
      <c r="K196" s="197">
        <v>0</v>
      </c>
      <c r="L196" s="93" t="s">
        <v>4874</v>
      </c>
      <c r="M196" s="195">
        <v>0</v>
      </c>
      <c r="N196" s="93" t="s">
        <v>4874</v>
      </c>
      <c r="O196" s="195">
        <v>0</v>
      </c>
      <c r="P196" s="93" t="s">
        <v>4874</v>
      </c>
      <c r="Q196" s="195">
        <v>0</v>
      </c>
      <c r="R196" s="93" t="s">
        <v>4874</v>
      </c>
      <c r="S196" s="195">
        <v>0</v>
      </c>
      <c r="T196" s="93" t="s">
        <v>4874</v>
      </c>
      <c r="U196" s="92">
        <v>0</v>
      </c>
      <c r="V196" s="93" t="s">
        <v>4874</v>
      </c>
      <c r="W196" s="92">
        <v>0</v>
      </c>
      <c r="X196" s="93" t="s">
        <v>4874</v>
      </c>
      <c r="Y196" s="92">
        <v>0</v>
      </c>
      <c r="Z196" s="93" t="s">
        <v>4874</v>
      </c>
      <c r="AA196" s="92">
        <v>0</v>
      </c>
      <c r="AB196" s="93" t="s">
        <v>4874</v>
      </c>
    </row>
    <row r="197" spans="1:30" s="94" customFormat="1" ht="15" x14ac:dyDescent="0.2">
      <c r="A197" s="91" t="s">
        <v>6035</v>
      </c>
      <c r="B197" s="91"/>
      <c r="C197" s="195">
        <v>0</v>
      </c>
      <c r="D197" s="93" t="s">
        <v>5159</v>
      </c>
      <c r="E197" s="92">
        <v>0</v>
      </c>
      <c r="F197" s="93" t="s">
        <v>4874</v>
      </c>
      <c r="G197" s="92">
        <v>0</v>
      </c>
      <c r="H197" s="93" t="s">
        <v>4874</v>
      </c>
      <c r="I197" s="92">
        <v>0</v>
      </c>
      <c r="J197" s="93" t="s">
        <v>4874</v>
      </c>
      <c r="K197" s="197">
        <v>0</v>
      </c>
      <c r="L197" s="93" t="s">
        <v>4874</v>
      </c>
      <c r="M197" s="195">
        <v>0</v>
      </c>
      <c r="N197" s="93" t="s">
        <v>4874</v>
      </c>
      <c r="O197" s="195">
        <v>0</v>
      </c>
      <c r="P197" s="93" t="s">
        <v>4874</v>
      </c>
      <c r="Q197" s="195">
        <v>0</v>
      </c>
      <c r="R197" s="93" t="s">
        <v>4874</v>
      </c>
      <c r="S197" s="195">
        <v>0</v>
      </c>
      <c r="T197" s="93" t="s">
        <v>4874</v>
      </c>
      <c r="U197" s="92">
        <v>0</v>
      </c>
      <c r="V197" s="93" t="s">
        <v>4874</v>
      </c>
      <c r="W197" s="92">
        <v>0</v>
      </c>
      <c r="X197" s="93" t="s">
        <v>4874</v>
      </c>
      <c r="Y197" s="92">
        <v>0</v>
      </c>
      <c r="Z197" s="93" t="s">
        <v>4874</v>
      </c>
      <c r="AA197" s="92">
        <v>0</v>
      </c>
      <c r="AB197" s="93" t="s">
        <v>4874</v>
      </c>
    </row>
    <row r="198" spans="1:30" s="94" customFormat="1" ht="15" x14ac:dyDescent="0.2">
      <c r="A198" s="91" t="s">
        <v>6036</v>
      </c>
      <c r="B198" s="91"/>
      <c r="C198" s="195">
        <v>0</v>
      </c>
      <c r="D198" s="93" t="s">
        <v>5159</v>
      </c>
      <c r="E198" s="92">
        <v>0</v>
      </c>
      <c r="F198" s="93" t="s">
        <v>4874</v>
      </c>
      <c r="G198" s="92">
        <v>0</v>
      </c>
      <c r="H198" s="93" t="s">
        <v>4874</v>
      </c>
      <c r="I198" s="92">
        <v>0</v>
      </c>
      <c r="J198" s="93" t="s">
        <v>4874</v>
      </c>
      <c r="K198" s="197">
        <v>0</v>
      </c>
      <c r="L198" s="93" t="s">
        <v>4874</v>
      </c>
      <c r="M198" s="195">
        <v>0</v>
      </c>
      <c r="N198" s="93" t="s">
        <v>4874</v>
      </c>
      <c r="O198" s="195">
        <v>0</v>
      </c>
      <c r="P198" s="93" t="s">
        <v>4874</v>
      </c>
      <c r="Q198" s="195">
        <v>0</v>
      </c>
      <c r="R198" s="93" t="s">
        <v>4874</v>
      </c>
      <c r="S198" s="195">
        <v>0</v>
      </c>
      <c r="T198" s="93" t="s">
        <v>4874</v>
      </c>
      <c r="U198" s="92">
        <v>0</v>
      </c>
      <c r="V198" s="93" t="s">
        <v>4874</v>
      </c>
      <c r="W198" s="92">
        <v>0</v>
      </c>
      <c r="X198" s="93" t="s">
        <v>4874</v>
      </c>
      <c r="Y198" s="92">
        <v>0</v>
      </c>
      <c r="Z198" s="93" t="s">
        <v>4874</v>
      </c>
      <c r="AA198" s="92">
        <v>0</v>
      </c>
      <c r="AB198" s="93" t="s">
        <v>4874</v>
      </c>
    </row>
    <row r="199" spans="1:30" ht="15" x14ac:dyDescent="0.25">
      <c r="A199" s="95"/>
      <c r="B199" s="95"/>
      <c r="C199" s="199"/>
      <c r="D199" s="97"/>
      <c r="E199" s="97"/>
      <c r="F199" s="98"/>
      <c r="G199" s="97"/>
      <c r="H199" s="98"/>
      <c r="I199" s="97"/>
      <c r="J199" s="98"/>
      <c r="K199" s="98"/>
      <c r="L199" s="98"/>
      <c r="M199" s="98"/>
      <c r="N199" s="98"/>
      <c r="O199" s="98"/>
      <c r="P199" s="98"/>
      <c r="Q199" s="98"/>
      <c r="R199" s="98"/>
      <c r="S199" s="98"/>
      <c r="T199" s="98"/>
      <c r="U199" s="97"/>
      <c r="V199" s="98"/>
      <c r="W199" s="97"/>
      <c r="X199" s="98"/>
      <c r="Y199" s="97"/>
      <c r="Z199" s="98"/>
      <c r="AA199" s="97"/>
      <c r="AB199" s="98"/>
    </row>
    <row r="200" spans="1:30" s="94" customFormat="1" ht="15" x14ac:dyDescent="0.2">
      <c r="A200" s="91" t="s">
        <v>6037</v>
      </c>
      <c r="B200" s="91"/>
      <c r="C200" s="195">
        <v>0</v>
      </c>
      <c r="D200" s="93" t="s">
        <v>5159</v>
      </c>
      <c r="E200" s="92">
        <v>0</v>
      </c>
      <c r="F200" s="93" t="s">
        <v>5159</v>
      </c>
      <c r="G200" s="92">
        <v>0</v>
      </c>
      <c r="H200" s="93" t="s">
        <v>5159</v>
      </c>
      <c r="I200" s="92">
        <v>0.1</v>
      </c>
      <c r="J200" s="93" t="s">
        <v>5159</v>
      </c>
      <c r="K200" s="197">
        <v>0.01</v>
      </c>
      <c r="L200" s="93" t="s">
        <v>5159</v>
      </c>
      <c r="M200" s="200" t="s">
        <v>5159</v>
      </c>
      <c r="N200" s="92">
        <v>0</v>
      </c>
      <c r="O200" s="200" t="s">
        <v>5160</v>
      </c>
      <c r="P200" s="92">
        <v>0</v>
      </c>
      <c r="Q200" s="200" t="s">
        <v>5160</v>
      </c>
      <c r="R200" s="92">
        <v>0.05</v>
      </c>
      <c r="S200" s="200" t="s">
        <v>5160</v>
      </c>
      <c r="T200" s="92">
        <v>0</v>
      </c>
      <c r="U200" s="92">
        <v>0</v>
      </c>
      <c r="V200" s="93" t="s">
        <v>5159</v>
      </c>
      <c r="W200" s="92">
        <v>0</v>
      </c>
      <c r="X200" s="93" t="s">
        <v>5159</v>
      </c>
      <c r="Y200" s="92">
        <v>0</v>
      </c>
      <c r="Z200" s="93" t="s">
        <v>5159</v>
      </c>
      <c r="AA200" s="92">
        <v>0</v>
      </c>
      <c r="AB200" s="93" t="s">
        <v>5159</v>
      </c>
    </row>
    <row r="201" spans="1:30" s="94" customFormat="1" ht="15" x14ac:dyDescent="0.2">
      <c r="A201" s="91" t="s">
        <v>6038</v>
      </c>
      <c r="B201" s="91"/>
      <c r="C201" s="195">
        <v>0</v>
      </c>
      <c r="D201" s="93" t="s">
        <v>5159</v>
      </c>
      <c r="E201" s="92">
        <v>0</v>
      </c>
      <c r="F201" s="93" t="s">
        <v>5159</v>
      </c>
      <c r="G201" s="92">
        <v>0</v>
      </c>
      <c r="H201" s="93" t="s">
        <v>5159</v>
      </c>
      <c r="I201" s="92">
        <v>0.1</v>
      </c>
      <c r="J201" s="93" t="s">
        <v>5159</v>
      </c>
      <c r="K201" s="197">
        <v>0.01</v>
      </c>
      <c r="L201" s="93" t="s">
        <v>5159</v>
      </c>
      <c r="M201" s="200" t="s">
        <v>5159</v>
      </c>
      <c r="N201" s="92">
        <v>0</v>
      </c>
      <c r="O201" s="200" t="s">
        <v>5160</v>
      </c>
      <c r="P201" s="92">
        <v>0</v>
      </c>
      <c r="Q201" s="200" t="s">
        <v>5160</v>
      </c>
      <c r="R201" s="92">
        <v>0.05</v>
      </c>
      <c r="S201" s="200" t="s">
        <v>5160</v>
      </c>
      <c r="T201" s="92">
        <v>0</v>
      </c>
      <c r="U201" s="92">
        <v>0</v>
      </c>
      <c r="V201" s="93" t="s">
        <v>5159</v>
      </c>
      <c r="W201" s="92">
        <v>0</v>
      </c>
      <c r="X201" s="93" t="s">
        <v>5159</v>
      </c>
      <c r="Y201" s="92">
        <v>0</v>
      </c>
      <c r="Z201" s="93" t="s">
        <v>5159</v>
      </c>
      <c r="AA201" s="92">
        <v>0</v>
      </c>
      <c r="AB201" s="93" t="s">
        <v>5159</v>
      </c>
    </row>
    <row r="202" spans="1:30" s="94" customFormat="1" x14ac:dyDescent="0.2">
      <c r="A202" s="107" t="s">
        <v>5587</v>
      </c>
      <c r="B202" s="91"/>
      <c r="C202" s="92">
        <v>1</v>
      </c>
      <c r="D202" s="93" t="s">
        <v>4904</v>
      </c>
      <c r="E202" s="92">
        <v>0</v>
      </c>
      <c r="F202" s="93" t="s">
        <v>4874</v>
      </c>
      <c r="G202" s="92">
        <v>0</v>
      </c>
      <c r="H202" s="93" t="s">
        <v>4874</v>
      </c>
      <c r="I202" s="92">
        <v>0</v>
      </c>
      <c r="J202" s="93" t="s">
        <v>4903</v>
      </c>
      <c r="K202" s="92">
        <v>0.1</v>
      </c>
      <c r="L202" s="93" t="s">
        <v>4798</v>
      </c>
      <c r="M202" s="92" t="s">
        <v>5159</v>
      </c>
      <c r="N202" s="93" t="s">
        <v>4903</v>
      </c>
      <c r="O202" s="92" t="s">
        <v>5160</v>
      </c>
      <c r="P202" s="93" t="s">
        <v>4874</v>
      </c>
      <c r="Q202" s="92" t="s">
        <v>5160</v>
      </c>
      <c r="R202" s="93" t="s">
        <v>4903</v>
      </c>
      <c r="S202" s="92" t="s">
        <v>5160</v>
      </c>
      <c r="T202" s="93" t="s">
        <v>4874</v>
      </c>
      <c r="U202" s="92">
        <v>0</v>
      </c>
      <c r="V202" s="93" t="s">
        <v>4874</v>
      </c>
      <c r="W202" s="92">
        <v>0</v>
      </c>
      <c r="X202" s="93" t="s">
        <v>4874</v>
      </c>
      <c r="Y202" s="92">
        <v>0</v>
      </c>
      <c r="Z202" s="93" t="s">
        <v>4874</v>
      </c>
      <c r="AA202" s="92">
        <v>0</v>
      </c>
      <c r="AB202" s="93" t="s">
        <v>4874</v>
      </c>
      <c r="AC202" s="92">
        <v>0</v>
      </c>
      <c r="AD202" s="93" t="s">
        <v>4874</v>
      </c>
    </row>
  </sheetData>
  <dataValidations count="25">
    <dataValidation type="list" allowBlank="1" showInputMessage="1" showErrorMessage="1" sqref="D202 F202 H202 J202 AD202 L202 N202 R202 T202 V202 X202 Z202 AB202 P202" xr:uid="{9DB0E5EE-DFF7-4C5C-8DD1-1BD05D268CBF}">
      <formula1>gpmc_modes</formula1>
    </dataValidation>
    <dataValidation type="list" allowBlank="1" showInputMessage="1" showErrorMessage="1" sqref="D87 F87 H87 J87 L87 N87" xr:uid="{D80CFFCE-D93F-4B0C-98DC-30D8AB86BE53}">
      <formula1>usb2_modes</formula1>
    </dataValidation>
    <dataValidation type="list" allowBlank="1" showInputMessage="1" showErrorMessage="1" sqref="D49 F49 H49 J49 L49:L79 N49 R49 AB49 T49 V49 X49 Z49 P49" xr:uid="{8B53ABFC-6AF8-4F3B-AEDB-63A4F0730223}">
      <formula1>"on,off"</formula1>
    </dataValidation>
    <dataValidation type="list" allowBlank="1" showInputMessage="1" showErrorMessage="1" sqref="D104 F104 H104 J104 AB104 L104 N104 R104 T104 V104 X104 Z104 P104" xr:uid="{013E0C5B-7A11-4D91-93DF-931C06F30429}">
      <formula1>i2c_od_modes</formula1>
    </dataValidation>
    <dataValidation type="list" allowBlank="1" showInputMessage="1" showErrorMessage="1" sqref="H50:H79 D50:D79 R50:R79 J50:J79 F50:F79 T50:T79 V50:V79 X50:X79 Z50:Z79 AB50:AB79 N50:N79 P50:P79" xr:uid="{223E9A14-5A1D-4C9D-90E2-9C75363571E9}">
      <formula1>on_off_modes</formula1>
    </dataValidation>
    <dataValidation type="list" allowBlank="1" showInputMessage="1" showErrorMessage="1" sqref="P46:P48 AB46:AB48 Z46:Z48 X46:X48 V46:V48 T46:T48 D46:D48 R46:R48 N46:N48 L46:L48 J46:J48 H46:H48 F46:F48" xr:uid="{4E5A068C-4CE7-4DE2-82F2-600C66BA4AFB}">
      <formula1>pll_modes</formula1>
    </dataValidation>
    <dataValidation type="list" allowBlank="1" showInputMessage="1" showErrorMessage="1" sqref="E50:E79 I50:I79 O50:O79 S50:S79 Q50:Q79 U50:U79 W50:W79 Y50:Y79 AA50:AA79 G50:G79 M50:M79" xr:uid="{0A817FC2-EA7E-4F22-AA12-38621BF7DD2E}">
      <formula1>"ON,OFF"</formula1>
    </dataValidation>
    <dataValidation type="list" allowBlank="1" showInputMessage="1" showErrorMessage="1" sqref="C6:T6 V6 X6 Z6 AB6" xr:uid="{FC4F88FF-3794-4F27-92A6-D56BD18B0552}">
      <formula1>tj_choices</formula1>
    </dataValidation>
    <dataValidation type="list" allowBlank="1" showInputMessage="1" showErrorMessage="1" sqref="C7:AB8" xr:uid="{381B8256-F3FE-4F77-9392-856C02F20345}">
      <formula1>vdd_choices</formula1>
    </dataValidation>
    <dataValidation type="list" allowBlank="1" showInputMessage="1" showErrorMessage="1" sqref="H102 L100 J100 H100 V100 F100 N100 J102 AB100 T100 R100 X100 Z100 D100 F102 P100" xr:uid="{8C667CDD-62FF-48E2-BD02-1DB79F44CA7B}">
      <formula1>qspi_modes</formula1>
    </dataValidation>
    <dataValidation type="list" allowBlank="1" showInputMessage="1" showErrorMessage="1" sqref="R91:R97 F89:F98 T89:T98 V89:V98 X89:X98 J89:J98 H89:H98 D89:D98 Z89:Z98 AB89:AB98 Q97 N89:N98 L89:L98 K97 M97 S97 P89:P98 O97" xr:uid="{5798DB20-3F5F-4B5D-8194-42D891191C31}">
      <formula1>canfd_modes</formula1>
    </dataValidation>
    <dataValidation type="list" allowBlank="1" showInputMessage="1" showErrorMessage="1" sqref="H106:H109 D106:D109 N106:N109 AB106:AB109 J106:J109 L106:L109 F106:F109 Z106:Z109 T106:T109 V106:V109 X106:X109 P106:P109" xr:uid="{129AAC8F-D787-43EA-8E07-60C2B7EE796D}">
      <formula1>i2c_modes</formula1>
    </dataValidation>
    <dataValidation type="list" allowBlank="1" showInputMessage="1" showErrorMessage="1" sqref="F117:F124 L117:L124 X117:X124 N117:N124 Z117:Z124 D117:D124 J117:J124 H117:H124 AB117:AB124 T117:T124 V117:V124 P117:P124" xr:uid="{B5FA6637-E482-4B68-ACC4-6F3108E66534}">
      <formula1>spi_modes</formula1>
    </dataValidation>
    <dataValidation type="list" allowBlank="1" showInputMessage="1" showErrorMessage="1" sqref="D126:D131 F126:F131 N126:N131 L126:L131 X126:X131 Z126:Z131 J126:J131 H126:H131 AB126:AB131 T126:T131 V126:V131 C80:AB80 P126:P131" xr:uid="{ABD5A99A-724F-41BC-815C-E7A2D2D7F443}">
      <formula1>uart_modes</formula1>
    </dataValidation>
    <dataValidation type="list" allowBlank="1" showInputMessage="1" showErrorMessage="1" sqref="L111:L115 V111:V115 N111:N115 X111:X115 J111:J115 F111:F115 H111:H115 Z111:Z115 R111:R113 AB111:AB115 D111:D115 T111:T113 P111:P113" xr:uid="{02AF5D9F-5B6F-45D6-95E1-2C6E0C3AFFCB}">
      <formula1>lin_modes</formula1>
    </dataValidation>
    <dataValidation type="list" allowBlank="1" showInputMessage="1" showErrorMessage="1" sqref="J133:J148 L133:L148 N133:N148 H133:H148 T133:T148 V133:V148 X133:X148 Z133:Z148 AB133:AB148 D133:D148 F133:F148 P133:P148" xr:uid="{EFF9EC7D-868A-44B7-9C0A-E0AD9ED706FA}">
      <formula1>ecap_modes</formula1>
    </dataValidation>
    <dataValidation type="list" allowBlank="1" showInputMessage="1" showErrorMessage="1" sqref="D150:D152 F150:F152 N150:N152 T150:T152 V150:V152 X150:X152 AB150:AB152 Z150:Z152 L150:L152 J150:J152 H150:H152 P150:P152" xr:uid="{8BA5ECFA-57E2-4E2C-AEE7-0B1254AED504}">
      <formula1>eqep_modes</formula1>
    </dataValidation>
    <dataValidation type="list" allowBlank="1" showInputMessage="1" showErrorMessage="1" sqref="F154:F183 L154:L183 N154:N183 AB154:AB183 J154:J183 H154:H183 T154:T183 V154:V183 X154:X183 Z154:Z183 D154:D183 P154:P183" xr:uid="{85E8213E-8001-40EE-A62A-FF77296995F2}">
      <formula1>epwm_modes</formula1>
    </dataValidation>
    <dataValidation type="list" allowBlank="1" showInputMessage="1" showErrorMessage="1" sqref="Z98 D98 V98 L98 J98 H98 F98 X98 T98 N98 AB98 P98" xr:uid="{9356782B-F525-4724-B541-BABD8C357570}">
      <formula1>sdio_modes</formula1>
    </dataValidation>
    <dataValidation type="list" allowBlank="1" showInputMessage="1" showErrorMessage="1" sqref="F185:F188 L185:L188 J190:J193 AB185:AB188 J185:J188 H185:H188 V185:V188 R185 X185:X188 Z185:Z188 L190:L193 T185:T188 D185:D188 R190 D190:D193 T190:T193 N185:N188 Z190:Z193 X190:X193 V190:V193 H190:H193 F190:F193 AB190:AB193 N190:N193 P185:P188 P190:P193" xr:uid="{BD86F16A-5D75-462C-92BF-A918151929FD}">
      <formula1>gpio_modes</formula1>
    </dataValidation>
    <dataValidation type="list" allowBlank="1" showInputMessage="1" showErrorMessage="1" sqref="Z81:Z82 D81:D82 V81:V82 L81:L82 J81:J82 H81:H82 F81:F82 X81:X82 T81:T82 N81:N82 AB81:AB82 P81:P82" xr:uid="{316DCCC9-DF73-41AC-B19E-F2D492F97699}">
      <formula1>icssm_modes</formula1>
    </dataValidation>
    <dataValidation type="list" allowBlank="1" showInputMessage="1" showErrorMessage="1" sqref="F84:F85 N84:N85 AB84:AB85 T84:T85 V84:V85 X84:X85 Z84:Z85 H84:H85 L84:L85 J84:J85 D84:D85 P84:P85" xr:uid="{8F56C165-A048-42B6-A54A-D5EB174A13E5}">
      <formula1>ethernet_modes</formula1>
    </dataValidation>
    <dataValidation type="list" allowBlank="1" showInputMessage="1" showErrorMessage="1" sqref="D102 L102 N102 AB102 R102 T102 V102 X102 Z102 P102" xr:uid="{8B260F9D-06DA-402B-BF04-625AFE70D6FC}">
      <formula1>ospi_modes</formula1>
    </dataValidation>
    <dataValidation type="list" allowBlank="1" showInputMessage="1" showErrorMessage="1" sqref="D195:D198 F195:F198 H195:H198 J195:J198 AB195:AB198 N195:N198 L200:L201 R195:R198 T195:T198 V195:V198 X195:X198 Z195:Z198 L195:L198 P195:P198" xr:uid="{C8A5CD20-A353-4EBC-BF05-C9D65D320E3D}">
      <formula1>fsi_modes</formula1>
    </dataValidation>
    <dataValidation type="list" allowBlank="1" showInputMessage="1" showErrorMessage="1" sqref="D200:D201 F200:F201 H200:H201 J200:J201 M200:M201 S200:S201 Q200:Q201 AB200:AB201 V200:V201 X200:X201 Z200:Z201 O200:O201" xr:uid="{24DBDC75-F873-41AA-8FE1-EC7B5EDB2FAA}">
      <formula1>sdfm_modes</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249977111117893"/>
  </sheetPr>
  <dimension ref="A1:AH99"/>
  <sheetViews>
    <sheetView workbookViewId="0">
      <selection activeCell="J9" sqref="J9"/>
    </sheetView>
  </sheetViews>
  <sheetFormatPr defaultColWidth="8.5703125" defaultRowHeight="15" outlineLevelRow="1" outlineLevelCol="1" x14ac:dyDescent="0.25"/>
  <cols>
    <col min="1" max="1" width="19.85546875" style="11" bestFit="1" customWidth="1"/>
    <col min="2" max="2" width="27" style="11" customWidth="1"/>
    <col min="3" max="4" width="9.7109375" style="11" customWidth="1" outlineLevel="1" collapsed="1"/>
    <col min="5" max="5" width="9.7109375" style="11" customWidth="1" outlineLevel="1"/>
    <col min="6" max="6" width="9.7109375" style="11" customWidth="1" outlineLevel="1" collapsed="1"/>
    <col min="7" max="7" width="9.7109375" style="11" customWidth="1" outlineLevel="1"/>
    <col min="8" max="8" width="9.7109375" style="11" customWidth="1" outlineLevel="1" collapsed="1"/>
    <col min="9" max="9" width="9.7109375" style="11" customWidth="1" outlineLevel="1"/>
    <col min="10" max="10" width="9.7109375" style="11" customWidth="1" outlineLevel="1" collapsed="1"/>
    <col min="11" max="11" width="9.7109375" style="23" customWidth="1"/>
    <col min="12" max="12" width="9.7109375" style="11" customWidth="1" outlineLevel="1" collapsed="1"/>
    <col min="13" max="13" width="9.7109375" style="11" customWidth="1"/>
    <col min="14" max="14" width="9.7109375" style="11" customWidth="1" outlineLevel="1" collapsed="1"/>
    <col min="15" max="15" width="9.7109375" style="11" customWidth="1"/>
    <col min="16" max="16" width="9.7109375" style="11" customWidth="1" outlineLevel="1" collapsed="1"/>
    <col min="17" max="17" width="9.7109375" style="11" customWidth="1"/>
    <col min="18" max="18" width="9.7109375" style="11" customWidth="1" outlineLevel="1" collapsed="1"/>
    <col min="19" max="19" width="9.7109375" style="11" customWidth="1"/>
    <col min="20" max="20" width="9.7109375" style="11" customWidth="1" outlineLevel="1" collapsed="1"/>
    <col min="21" max="21" width="9.7109375" style="11" customWidth="1"/>
    <col min="22" max="22" width="9.7109375" style="11" customWidth="1" outlineLevel="1" collapsed="1"/>
    <col min="23" max="23" width="9.7109375" style="11" customWidth="1"/>
    <col min="24" max="24" width="9.7109375" style="11" customWidth="1" outlineLevel="1" collapsed="1"/>
    <col min="25" max="25" width="9.7109375" style="11" customWidth="1"/>
    <col min="26" max="26" width="9.7109375" style="11" customWidth="1" outlineLevel="1" collapsed="1"/>
    <col min="27" max="16384" width="8.5703125" style="22"/>
  </cols>
  <sheetData>
    <row r="1" spans="1:26" ht="60" x14ac:dyDescent="0.25">
      <c r="A1" s="112" t="s">
        <v>44</v>
      </c>
      <c r="B1" s="112" t="s">
        <v>42</v>
      </c>
      <c r="C1" s="113" t="s">
        <v>50</v>
      </c>
      <c r="D1" s="114" t="str">
        <f>C1&amp;" UC Mode or Frequency"</f>
        <v>100% UC Mode or Frequency</v>
      </c>
      <c r="E1" s="115" t="s">
        <v>39</v>
      </c>
      <c r="F1" s="114" t="str">
        <f>E1&amp;" UC Mode or Frequency"</f>
        <v>Idle UC Mode or Frequency</v>
      </c>
      <c r="G1" s="115" t="s">
        <v>52</v>
      </c>
      <c r="H1" s="114" t="str">
        <f>G1&amp;" UC Mode or Frequency"</f>
        <v>Burn In UC Mode or Frequency</v>
      </c>
      <c r="I1" s="115" t="s">
        <v>62</v>
      </c>
      <c r="J1" s="114" t="str">
        <f>I1&amp;" UC Mode or Frequency"</f>
        <v>Stuck At Test (Scan) UC Mode or Frequency</v>
      </c>
      <c r="K1" s="115" t="s">
        <v>4685</v>
      </c>
      <c r="L1" s="114" t="str">
        <f>K1&amp;" UC Mode or Frequency"</f>
        <v>Paul Radar UC test UC Mode or Frequency</v>
      </c>
      <c r="M1" s="115" t="s">
        <v>4687</v>
      </c>
      <c r="N1" s="114" t="str">
        <f>M1&amp;" UC Mode or Frequency"</f>
        <v>Conti UC UC Mode or Frequency</v>
      </c>
      <c r="O1" s="115" t="s">
        <v>4691</v>
      </c>
      <c r="P1" s="114" t="str">
        <f>O1&amp;" UC Mode or Frequency"</f>
        <v>Char-TPR12 In Reset UC Mode or Frequency</v>
      </c>
      <c r="Q1" s="115" t="s">
        <v>4692</v>
      </c>
      <c r="R1" s="114" t="str">
        <f>Q1&amp;" UC Mode or Frequency"</f>
        <v>Char-TPR12 Out of Reset UC Mode or Frequency</v>
      </c>
      <c r="S1" s="115" t="s">
        <v>4693</v>
      </c>
      <c r="T1" s="114" t="str">
        <f>S1&amp;" UC Mode or Frequency"</f>
        <v>Char R5F Chrystone UC Mode or Frequency</v>
      </c>
      <c r="U1" s="115" t="s">
        <v>4713</v>
      </c>
      <c r="V1" s="114" t="str">
        <f>U1&amp;" UC Mode or Frequency"</f>
        <v>Harman HID12  UC Mode or Frequency</v>
      </c>
      <c r="W1" s="115" t="s">
        <v>4714</v>
      </c>
      <c r="X1" s="114" t="str">
        <f>W1&amp;" UC Mode or Frequency"</f>
        <v>OOB Demo  UC Mode or Frequency</v>
      </c>
      <c r="Y1" s="115" t="s">
        <v>48</v>
      </c>
      <c r="Z1" s="114" t="str">
        <f>Y1&amp;" UC Mode or Frequency"</f>
        <v>TBD6 UC Mode or Frequency</v>
      </c>
    </row>
    <row r="2" spans="1:26" outlineLevel="1" x14ac:dyDescent="0.25">
      <c r="A2" s="18" t="s">
        <v>4799</v>
      </c>
      <c r="B2" s="15" t="s">
        <v>4838</v>
      </c>
      <c r="C2" s="16" t="s">
        <v>46</v>
      </c>
      <c r="D2" s="16"/>
      <c r="E2" s="16" t="s">
        <v>39</v>
      </c>
      <c r="F2" s="16"/>
      <c r="G2" s="16" t="s">
        <v>52</v>
      </c>
      <c r="H2" s="16"/>
      <c r="I2" s="16" t="s">
        <v>60</v>
      </c>
      <c r="J2" s="16"/>
      <c r="K2" s="16" t="s">
        <v>103</v>
      </c>
      <c r="L2" s="16"/>
      <c r="M2" s="16" t="str">
        <f>M1&amp;" preliminary"</f>
        <v>Conti UC preliminary</v>
      </c>
      <c r="N2" s="16"/>
      <c r="O2" s="16" t="str">
        <f>O1&amp;" preliminary"</f>
        <v>Char-TPR12 In Reset preliminary</v>
      </c>
      <c r="P2" s="16"/>
      <c r="Q2" s="16" t="str">
        <f>Q1&amp;" preliminary"</f>
        <v>Char-TPR12 Out of Reset preliminary</v>
      </c>
      <c r="R2" s="16"/>
      <c r="S2" s="16" t="str">
        <f>S1&amp;" preliminary"</f>
        <v>Char R5F Chrystone preliminary</v>
      </c>
      <c r="T2" s="16"/>
      <c r="U2" s="16" t="s">
        <v>4712</v>
      </c>
      <c r="V2" s="16"/>
      <c r="W2" s="16" t="s">
        <v>4715</v>
      </c>
      <c r="X2" s="16"/>
      <c r="Y2" s="16" t="str">
        <f>Y1&amp;" preliminary"</f>
        <v>TBD6 preliminary</v>
      </c>
      <c r="Z2" s="16"/>
    </row>
    <row r="3" spans="1:26" outlineLevel="1" x14ac:dyDescent="0.25">
      <c r="A3" s="18" t="s">
        <v>5434</v>
      </c>
      <c r="B3" s="15" t="s">
        <v>4839</v>
      </c>
      <c r="C3" s="16" t="s">
        <v>57</v>
      </c>
      <c r="D3" s="16"/>
      <c r="E3" s="16" t="s">
        <v>57</v>
      </c>
      <c r="F3" s="16"/>
      <c r="G3" s="16" t="s">
        <v>57</v>
      </c>
      <c r="H3" s="16"/>
      <c r="I3" s="16" t="s">
        <v>57</v>
      </c>
      <c r="J3" s="16"/>
      <c r="K3" s="16" t="s">
        <v>90</v>
      </c>
      <c r="L3" s="16"/>
      <c r="M3" s="16" t="s">
        <v>4689</v>
      </c>
      <c r="N3" s="16"/>
      <c r="O3" s="16" t="s">
        <v>40</v>
      </c>
      <c r="P3" s="16"/>
      <c r="Q3" s="16" t="s">
        <v>40</v>
      </c>
      <c r="R3" s="16"/>
      <c r="S3" s="16" t="s">
        <v>40</v>
      </c>
      <c r="T3" s="16"/>
      <c r="U3" s="16" t="s">
        <v>57</v>
      </c>
      <c r="V3" s="16"/>
      <c r="W3" s="16" t="s">
        <v>57</v>
      </c>
      <c r="X3" s="16"/>
      <c r="Y3" s="16" t="s">
        <v>57</v>
      </c>
      <c r="Z3" s="16"/>
    </row>
    <row r="4" spans="1:26" outlineLevel="1" x14ac:dyDescent="0.25">
      <c r="A4" s="18" t="s">
        <v>4800</v>
      </c>
      <c r="B4" s="15" t="s">
        <v>4840</v>
      </c>
      <c r="C4" s="17" t="s">
        <v>54</v>
      </c>
      <c r="D4" s="17"/>
      <c r="E4" s="17" t="s">
        <v>54</v>
      </c>
      <c r="F4" s="17"/>
      <c r="G4" s="17" t="s">
        <v>54</v>
      </c>
      <c r="H4" s="17"/>
      <c r="I4" s="17" t="s">
        <v>54</v>
      </c>
      <c r="J4" s="17"/>
      <c r="K4" s="17" t="s">
        <v>94</v>
      </c>
      <c r="L4" s="17"/>
      <c r="M4" s="17" t="s">
        <v>4688</v>
      </c>
      <c r="N4" s="17"/>
      <c r="O4" s="17" t="s">
        <v>4694</v>
      </c>
      <c r="P4" s="17"/>
      <c r="Q4" s="17" t="s">
        <v>4694</v>
      </c>
      <c r="R4" s="17"/>
      <c r="S4" s="17" t="s">
        <v>4694</v>
      </c>
      <c r="T4" s="17"/>
      <c r="U4" s="17" t="s">
        <v>57</v>
      </c>
      <c r="V4" s="17"/>
      <c r="W4" s="17" t="s">
        <v>4716</v>
      </c>
      <c r="X4" s="17"/>
      <c r="Y4" s="17" t="s">
        <v>57</v>
      </c>
      <c r="Z4" s="17"/>
    </row>
    <row r="5" spans="1:26" outlineLevel="1" x14ac:dyDescent="0.25">
      <c r="A5" s="18" t="s">
        <v>4801</v>
      </c>
      <c r="B5" s="15" t="s">
        <v>4841</v>
      </c>
      <c r="C5" s="17">
        <v>44223</v>
      </c>
      <c r="D5" s="17"/>
      <c r="E5" s="17">
        <v>44223</v>
      </c>
      <c r="F5" s="17"/>
      <c r="G5" s="17">
        <v>44501</v>
      </c>
      <c r="H5" s="17"/>
      <c r="I5" s="17">
        <v>44501</v>
      </c>
      <c r="J5" s="17"/>
      <c r="K5" s="17">
        <v>44223</v>
      </c>
      <c r="L5" s="17"/>
      <c r="M5" s="17">
        <v>44252</v>
      </c>
      <c r="N5" s="17"/>
      <c r="O5" s="17">
        <v>44263</v>
      </c>
      <c r="P5" s="17"/>
      <c r="Q5" s="17">
        <v>44263</v>
      </c>
      <c r="R5" s="17"/>
      <c r="S5" s="17">
        <v>44263</v>
      </c>
      <c r="T5" s="17"/>
      <c r="U5" s="17">
        <v>44406</v>
      </c>
      <c r="V5" s="17"/>
      <c r="W5" s="17">
        <v>44426</v>
      </c>
      <c r="X5" s="17"/>
      <c r="Y5" s="17">
        <v>44223</v>
      </c>
      <c r="Z5" s="17"/>
    </row>
    <row r="6" spans="1:26" outlineLevel="1" x14ac:dyDescent="0.25">
      <c r="A6" s="18" t="s">
        <v>4802</v>
      </c>
      <c r="B6" s="15" t="s">
        <v>4842</v>
      </c>
      <c r="C6" s="116">
        <v>140</v>
      </c>
      <c r="D6" s="116"/>
      <c r="E6" s="116">
        <v>140</v>
      </c>
      <c r="F6" s="116"/>
      <c r="G6" s="116">
        <v>140</v>
      </c>
      <c r="H6" s="116"/>
      <c r="I6" s="116">
        <v>140</v>
      </c>
      <c r="J6" s="116"/>
      <c r="K6" s="116">
        <v>140</v>
      </c>
      <c r="L6" s="116"/>
      <c r="M6" s="116">
        <v>140</v>
      </c>
      <c r="N6" s="116"/>
      <c r="O6" s="116">
        <v>140</v>
      </c>
      <c r="P6" s="116"/>
      <c r="Q6" s="116">
        <v>140</v>
      </c>
      <c r="R6" s="116"/>
      <c r="S6" s="116">
        <v>140</v>
      </c>
      <c r="T6" s="116"/>
      <c r="U6" s="116">
        <v>105</v>
      </c>
      <c r="V6" s="116"/>
      <c r="W6" s="116">
        <v>140</v>
      </c>
      <c r="X6" s="116"/>
      <c r="Y6" s="116">
        <v>140</v>
      </c>
      <c r="Z6" s="116"/>
    </row>
    <row r="7" spans="1:26" outlineLevel="1" x14ac:dyDescent="0.25">
      <c r="A7" s="19" t="s">
        <v>5435</v>
      </c>
      <c r="B7" s="15" t="s">
        <v>4844</v>
      </c>
      <c r="C7" s="117">
        <v>1.1999999999999993</v>
      </c>
      <c r="D7" s="117"/>
      <c r="E7" s="117">
        <v>1.2</v>
      </c>
      <c r="F7" s="117"/>
      <c r="G7" s="117">
        <v>1.2</v>
      </c>
      <c r="H7" s="117"/>
      <c r="I7" s="117">
        <v>1.2</v>
      </c>
      <c r="J7" s="117"/>
      <c r="K7" s="117">
        <v>1.2</v>
      </c>
      <c r="L7" s="117"/>
      <c r="M7" s="117">
        <v>1.2</v>
      </c>
      <c r="N7" s="117"/>
      <c r="O7" s="117">
        <v>1.2</v>
      </c>
      <c r="P7" s="117"/>
      <c r="Q7" s="117">
        <v>1.2</v>
      </c>
      <c r="R7" s="117"/>
      <c r="S7" s="117">
        <v>1.2</v>
      </c>
      <c r="T7" s="117"/>
      <c r="U7" s="117">
        <v>1.2</v>
      </c>
      <c r="V7" s="117"/>
      <c r="W7" s="117">
        <v>1.2</v>
      </c>
      <c r="X7" s="117"/>
      <c r="Y7" s="117">
        <v>1.2</v>
      </c>
      <c r="Z7" s="117"/>
    </row>
    <row r="8" spans="1:26" outlineLevel="1" x14ac:dyDescent="0.25">
      <c r="A8" s="18" t="s">
        <v>5437</v>
      </c>
      <c r="B8" s="15" t="s">
        <v>4843</v>
      </c>
      <c r="C8" s="117">
        <v>1.1999999999999993</v>
      </c>
      <c r="D8" s="117"/>
      <c r="E8" s="117">
        <v>1.2</v>
      </c>
      <c r="F8" s="117"/>
      <c r="G8" s="117">
        <v>1.2</v>
      </c>
      <c r="H8" s="117"/>
      <c r="I8" s="117">
        <v>1.2</v>
      </c>
      <c r="J8" s="117"/>
      <c r="K8" s="117">
        <v>1.2</v>
      </c>
      <c r="L8" s="117"/>
      <c r="M8" s="117">
        <v>1.2</v>
      </c>
      <c r="N8" s="117"/>
      <c r="O8" s="117">
        <v>1.2</v>
      </c>
      <c r="P8" s="117"/>
      <c r="Q8" s="117">
        <v>1.2</v>
      </c>
      <c r="R8" s="117"/>
      <c r="S8" s="117">
        <v>1.2</v>
      </c>
      <c r="T8" s="117"/>
      <c r="U8" s="117">
        <v>1.2</v>
      </c>
      <c r="V8" s="117"/>
      <c r="W8" s="117">
        <v>1.2</v>
      </c>
      <c r="X8" s="117"/>
      <c r="Y8" s="117">
        <v>1.2</v>
      </c>
      <c r="Z8" s="117"/>
    </row>
    <row r="9" spans="1:26" outlineLevel="1" x14ac:dyDescent="0.25">
      <c r="A9" s="18" t="s">
        <v>4803</v>
      </c>
      <c r="B9" s="15" t="s">
        <v>4845</v>
      </c>
      <c r="C9" s="117" t="s">
        <v>79</v>
      </c>
      <c r="D9" s="117"/>
      <c r="E9" s="117" t="s">
        <v>79</v>
      </c>
      <c r="F9" s="117"/>
      <c r="G9" s="117" t="s">
        <v>79</v>
      </c>
      <c r="H9" s="117"/>
      <c r="I9" s="117" t="s">
        <v>79</v>
      </c>
      <c r="J9" s="117"/>
      <c r="K9" s="117" t="s">
        <v>79</v>
      </c>
      <c r="L9" s="117"/>
      <c r="M9" s="117" t="s">
        <v>79</v>
      </c>
      <c r="N9" s="117"/>
      <c r="O9" s="117" t="s">
        <v>79</v>
      </c>
      <c r="P9" s="117"/>
      <c r="Q9" s="117" t="s">
        <v>79</v>
      </c>
      <c r="R9" s="117"/>
      <c r="S9" s="117" t="s">
        <v>79</v>
      </c>
      <c r="T9" s="117"/>
      <c r="U9" s="117" t="s">
        <v>79</v>
      </c>
      <c r="V9" s="117"/>
      <c r="W9" s="117" t="s">
        <v>79</v>
      </c>
      <c r="X9" s="117"/>
      <c r="Y9" s="117" t="s">
        <v>79</v>
      </c>
      <c r="Z9" s="117"/>
    </row>
    <row r="10" spans="1:26" outlineLevel="1" x14ac:dyDescent="0.25">
      <c r="A10" s="18" t="s">
        <v>5439</v>
      </c>
      <c r="B10" s="15" t="s">
        <v>4846</v>
      </c>
      <c r="C10" s="41">
        <v>0.65</v>
      </c>
      <c r="D10" s="41"/>
      <c r="E10" s="41">
        <v>0.65</v>
      </c>
      <c r="F10" s="41"/>
      <c r="G10" s="41">
        <v>0.65</v>
      </c>
      <c r="H10" s="41"/>
      <c r="I10" s="41">
        <v>0.65</v>
      </c>
      <c r="J10" s="41"/>
      <c r="K10" s="41">
        <v>0.65</v>
      </c>
      <c r="L10" s="41"/>
      <c r="M10" s="41">
        <v>0.65</v>
      </c>
      <c r="N10" s="41"/>
      <c r="O10" s="41">
        <v>0.65</v>
      </c>
      <c r="P10" s="41"/>
      <c r="Q10" s="41">
        <v>0.65</v>
      </c>
      <c r="R10" s="41"/>
      <c r="S10" s="41">
        <v>0.65</v>
      </c>
      <c r="T10" s="41"/>
      <c r="U10" s="41">
        <v>0.65</v>
      </c>
      <c r="V10" s="41"/>
      <c r="W10" s="41">
        <v>0.65</v>
      </c>
      <c r="X10" s="41"/>
      <c r="Y10" s="41">
        <v>0.65</v>
      </c>
      <c r="Z10" s="41"/>
    </row>
    <row r="11" spans="1:26" x14ac:dyDescent="0.25">
      <c r="A11" s="118" t="s">
        <v>4814</v>
      </c>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row>
    <row r="12" spans="1:26" outlineLevel="1" x14ac:dyDescent="0.25">
      <c r="A12" s="12" t="s">
        <v>5876</v>
      </c>
      <c r="B12" s="24" t="s">
        <v>4818</v>
      </c>
      <c r="C12" s="120">
        <v>1</v>
      </c>
      <c r="D12" s="116">
        <v>400</v>
      </c>
      <c r="E12" s="120">
        <v>5.0000000000000001E-3</v>
      </c>
      <c r="F12" s="116">
        <v>400</v>
      </c>
      <c r="G12" s="121">
        <v>0.5</v>
      </c>
      <c r="H12" s="116">
        <v>400</v>
      </c>
      <c r="I12" s="121">
        <v>0.5</v>
      </c>
      <c r="J12" s="116">
        <v>400</v>
      </c>
      <c r="K12" s="120">
        <f>IFERROR(AVERAGE(#REF!),0)</f>
        <v>0</v>
      </c>
      <c r="L12" s="116">
        <v>400</v>
      </c>
      <c r="M12" s="120">
        <f>IFERROR(AVERAGE(#REF!),0)</f>
        <v>0</v>
      </c>
      <c r="N12" s="116">
        <v>400</v>
      </c>
      <c r="O12" s="120">
        <f>IFERROR(AVERAGE(#REF!),0)</f>
        <v>0</v>
      </c>
      <c r="P12" s="116">
        <v>400</v>
      </c>
      <c r="Q12" s="120">
        <f>IFERROR(AVERAGE(#REF!),0)</f>
        <v>0</v>
      </c>
      <c r="R12" s="116">
        <v>400</v>
      </c>
      <c r="S12" s="120">
        <f>IFERROR(AVERAGE(#REF!),0)</f>
        <v>0</v>
      </c>
      <c r="T12" s="116">
        <v>400</v>
      </c>
      <c r="U12" s="120">
        <f>IFERROR(AVERAGE(#REF!),0)</f>
        <v>0</v>
      </c>
      <c r="V12" s="116">
        <v>400</v>
      </c>
      <c r="W12" s="120">
        <f>IFERROR(AVERAGE(#REF!),0)</f>
        <v>0</v>
      </c>
      <c r="X12" s="116">
        <v>400</v>
      </c>
      <c r="Y12" s="120">
        <f>IFERROR(AVERAGE(#REF!),0)</f>
        <v>0</v>
      </c>
      <c r="Z12" s="116">
        <v>400</v>
      </c>
    </row>
    <row r="13" spans="1:26" outlineLevel="1" x14ac:dyDescent="0.25">
      <c r="A13" s="12" t="s">
        <v>5880</v>
      </c>
      <c r="B13" s="24" t="s">
        <v>4817</v>
      </c>
      <c r="C13" s="120">
        <v>1</v>
      </c>
      <c r="D13" s="116">
        <v>200</v>
      </c>
      <c r="E13" s="120">
        <v>5.0000000000000001E-3</v>
      </c>
      <c r="F13" s="116">
        <v>200</v>
      </c>
      <c r="G13" s="121"/>
      <c r="H13" s="116">
        <v>200</v>
      </c>
      <c r="I13" s="121"/>
      <c r="J13" s="116">
        <v>200</v>
      </c>
      <c r="K13" s="120">
        <v>0.1</v>
      </c>
      <c r="L13" s="116">
        <v>200</v>
      </c>
      <c r="M13" s="120">
        <v>0.1</v>
      </c>
      <c r="N13" s="116">
        <v>200</v>
      </c>
      <c r="O13" s="120">
        <v>0</v>
      </c>
      <c r="P13" s="116">
        <v>200</v>
      </c>
      <c r="Q13" s="120">
        <v>0.01</v>
      </c>
      <c r="R13" s="116">
        <v>200</v>
      </c>
      <c r="S13" s="120">
        <v>0.01</v>
      </c>
      <c r="T13" s="116">
        <v>200</v>
      </c>
      <c r="U13" s="120">
        <v>0.7</v>
      </c>
      <c r="V13" s="116">
        <v>200</v>
      </c>
      <c r="W13" s="120">
        <v>0.1</v>
      </c>
      <c r="X13" s="116">
        <v>200</v>
      </c>
      <c r="Y13" s="120">
        <v>0</v>
      </c>
      <c r="Z13" s="116">
        <v>200</v>
      </c>
    </row>
    <row r="14" spans="1:26" outlineLevel="1" x14ac:dyDescent="0.25">
      <c r="A14" s="12" t="s">
        <v>5884</v>
      </c>
      <c r="B14" s="24" t="s">
        <v>4819</v>
      </c>
      <c r="C14" s="120">
        <v>1</v>
      </c>
      <c r="D14" s="116">
        <v>200</v>
      </c>
      <c r="E14" s="120">
        <v>5.0000000000000001E-3</v>
      </c>
      <c r="F14" s="116">
        <v>200</v>
      </c>
      <c r="G14" s="121"/>
      <c r="H14" s="116">
        <v>200</v>
      </c>
      <c r="I14" s="121"/>
      <c r="J14" s="116">
        <v>200</v>
      </c>
      <c r="K14" s="120">
        <v>0.5</v>
      </c>
      <c r="L14" s="116">
        <v>200</v>
      </c>
      <c r="M14" s="120">
        <v>0.2</v>
      </c>
      <c r="N14" s="116">
        <v>200</v>
      </c>
      <c r="O14" s="120">
        <v>0</v>
      </c>
      <c r="P14" s="116">
        <v>200</v>
      </c>
      <c r="Q14" s="120">
        <v>0.01</v>
      </c>
      <c r="R14" s="116">
        <v>200</v>
      </c>
      <c r="S14" s="120">
        <v>0.01</v>
      </c>
      <c r="T14" s="116">
        <v>200</v>
      </c>
      <c r="U14" s="120">
        <v>0</v>
      </c>
      <c r="V14" s="116">
        <v>200</v>
      </c>
      <c r="W14" s="120">
        <v>0.1</v>
      </c>
      <c r="X14" s="116">
        <v>200</v>
      </c>
      <c r="Y14" s="120">
        <v>0</v>
      </c>
      <c r="Z14" s="116">
        <v>200</v>
      </c>
    </row>
    <row r="15" spans="1:26" outlineLevel="1" x14ac:dyDescent="0.25">
      <c r="A15" s="122" t="s">
        <v>4813</v>
      </c>
      <c r="B15" s="123">
        <v>1.8529349994749551E-2</v>
      </c>
      <c r="C15" s="124">
        <v>1</v>
      </c>
      <c r="D15" s="124"/>
      <c r="E15" s="124">
        <v>5.0000000000000001E-3</v>
      </c>
      <c r="F15" s="124"/>
      <c r="G15" s="124"/>
      <c r="H15" s="124"/>
      <c r="I15" s="124"/>
      <c r="J15" s="124"/>
      <c r="K15" s="124"/>
      <c r="L15" s="124"/>
      <c r="M15" s="124"/>
      <c r="N15" s="124"/>
      <c r="O15" s="124"/>
      <c r="P15" s="124"/>
      <c r="Q15" s="124"/>
      <c r="R15" s="124"/>
      <c r="S15" s="124"/>
      <c r="T15" s="124"/>
      <c r="U15" s="124"/>
      <c r="V15" s="124"/>
      <c r="W15" s="124"/>
      <c r="X15" s="124"/>
      <c r="Y15" s="124"/>
      <c r="Z15" s="124"/>
    </row>
    <row r="16" spans="1:26" outlineLevel="1" x14ac:dyDescent="0.25">
      <c r="A16" s="122" t="s">
        <v>4711</v>
      </c>
      <c r="B16" s="123">
        <v>0.24662010668906875</v>
      </c>
      <c r="C16" s="124">
        <v>1</v>
      </c>
      <c r="D16" s="124"/>
      <c r="E16" s="124">
        <v>5.0000000000000001E-3</v>
      </c>
      <c r="F16" s="124"/>
      <c r="G16" s="124"/>
      <c r="H16" s="124"/>
      <c r="I16" s="124"/>
      <c r="J16" s="124"/>
      <c r="K16" s="124"/>
      <c r="L16" s="124"/>
      <c r="M16" s="124"/>
      <c r="N16" s="124"/>
      <c r="O16" s="124"/>
      <c r="P16" s="124"/>
      <c r="Q16" s="124"/>
      <c r="R16" s="124"/>
      <c r="S16" s="124"/>
      <c r="T16" s="124"/>
      <c r="U16" s="124"/>
      <c r="V16" s="124"/>
      <c r="W16" s="124"/>
      <c r="X16" s="124"/>
      <c r="Y16" s="124"/>
      <c r="Z16" s="124"/>
    </row>
    <row r="17" spans="1:26" outlineLevel="1" x14ac:dyDescent="0.25">
      <c r="A17" s="122" t="s">
        <v>4807</v>
      </c>
      <c r="B17" s="123">
        <v>3.5214743253176507E-2</v>
      </c>
      <c r="C17" s="124">
        <v>1</v>
      </c>
      <c r="D17" s="124"/>
      <c r="E17" s="124">
        <v>5.0000000000000001E-3</v>
      </c>
      <c r="F17" s="124"/>
      <c r="G17" s="124"/>
      <c r="H17" s="124"/>
      <c r="I17" s="124"/>
      <c r="J17" s="124"/>
      <c r="K17" s="124"/>
      <c r="L17" s="124"/>
      <c r="M17" s="124"/>
      <c r="N17" s="124"/>
      <c r="O17" s="124"/>
      <c r="P17" s="124"/>
      <c r="Q17" s="124"/>
      <c r="R17" s="124"/>
      <c r="S17" s="124"/>
      <c r="T17" s="124"/>
      <c r="U17" s="124"/>
      <c r="V17" s="124"/>
      <c r="W17" s="124"/>
      <c r="X17" s="124"/>
      <c r="Y17" s="124"/>
      <c r="Z17" s="124"/>
    </row>
    <row r="18" spans="1:26" outlineLevel="1" x14ac:dyDescent="0.25">
      <c r="A18" s="122" t="s">
        <v>80</v>
      </c>
      <c r="B18" s="123">
        <v>7.0723511498477359E-2</v>
      </c>
      <c r="C18" s="124">
        <v>1</v>
      </c>
      <c r="D18" s="124"/>
      <c r="E18" s="124">
        <v>5.0000000000000001E-3</v>
      </c>
      <c r="F18" s="124"/>
      <c r="G18" s="124"/>
      <c r="H18" s="124"/>
      <c r="I18" s="124"/>
      <c r="J18" s="124"/>
      <c r="K18" s="124"/>
      <c r="L18" s="124"/>
      <c r="M18" s="124"/>
      <c r="N18" s="124"/>
      <c r="O18" s="124"/>
      <c r="P18" s="124"/>
      <c r="Q18" s="124"/>
      <c r="R18" s="124"/>
      <c r="S18" s="124"/>
      <c r="T18" s="124"/>
      <c r="U18" s="124"/>
      <c r="V18" s="124"/>
      <c r="W18" s="124"/>
      <c r="X18" s="124"/>
      <c r="Y18" s="124"/>
      <c r="Z18" s="124"/>
    </row>
    <row r="19" spans="1:26" outlineLevel="1" x14ac:dyDescent="0.25">
      <c r="A19" s="122" t="s">
        <v>4809</v>
      </c>
      <c r="B19" s="123">
        <v>2.846266932689278E-2</v>
      </c>
      <c r="C19" s="124">
        <v>1</v>
      </c>
      <c r="D19" s="124"/>
      <c r="E19" s="124">
        <v>5.0000000000000001E-3</v>
      </c>
      <c r="F19" s="124"/>
      <c r="G19" s="124"/>
      <c r="H19" s="124"/>
      <c r="I19" s="124"/>
      <c r="J19" s="124"/>
      <c r="K19" s="124"/>
      <c r="L19" s="124"/>
      <c r="M19" s="124"/>
      <c r="N19" s="124"/>
      <c r="O19" s="124"/>
      <c r="P19" s="124"/>
      <c r="Q19" s="124"/>
      <c r="R19" s="124"/>
      <c r="S19" s="124"/>
      <c r="T19" s="124"/>
      <c r="U19" s="124"/>
      <c r="V19" s="124"/>
      <c r="W19" s="124"/>
      <c r="X19" s="124"/>
      <c r="Y19" s="124"/>
      <c r="Z19" s="124"/>
    </row>
    <row r="20" spans="1:26" x14ac:dyDescent="0.25">
      <c r="A20" s="118" t="s">
        <v>4816</v>
      </c>
      <c r="B20" s="118"/>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row>
    <row r="21" spans="1:26" outlineLevel="1" x14ac:dyDescent="0.25">
      <c r="A21" s="12" t="s">
        <v>5877</v>
      </c>
      <c r="B21" s="24" t="s">
        <v>5881</v>
      </c>
      <c r="C21" s="120">
        <v>1</v>
      </c>
      <c r="D21" s="116">
        <v>450</v>
      </c>
      <c r="E21" s="120">
        <v>5.0000000000000001E-3</v>
      </c>
      <c r="F21" s="116">
        <v>450</v>
      </c>
      <c r="G21" s="120">
        <v>0.5</v>
      </c>
      <c r="H21" s="116">
        <v>450</v>
      </c>
      <c r="I21" s="120">
        <v>0.5</v>
      </c>
      <c r="J21" s="116">
        <v>450</v>
      </c>
      <c r="K21" s="120">
        <v>0.8</v>
      </c>
      <c r="L21" s="116">
        <v>450</v>
      </c>
      <c r="M21" s="120">
        <v>0.8</v>
      </c>
      <c r="N21" s="116">
        <v>450</v>
      </c>
      <c r="O21" s="120">
        <v>0</v>
      </c>
      <c r="P21" s="116">
        <v>450</v>
      </c>
      <c r="Q21" s="120">
        <v>0.01</v>
      </c>
      <c r="R21" s="116">
        <v>450</v>
      </c>
      <c r="S21" s="120">
        <v>0.01</v>
      </c>
      <c r="T21" s="116">
        <v>450</v>
      </c>
      <c r="U21" s="120">
        <v>1</v>
      </c>
      <c r="V21" s="116">
        <v>450</v>
      </c>
      <c r="W21" s="120">
        <v>0.1</v>
      </c>
      <c r="X21" s="116">
        <v>400</v>
      </c>
      <c r="Y21" s="120">
        <v>0</v>
      </c>
      <c r="Z21" s="116">
        <v>450</v>
      </c>
    </row>
    <row r="22" spans="1:26" outlineLevel="1" x14ac:dyDescent="0.25">
      <c r="A22" s="12" t="s">
        <v>5878</v>
      </c>
      <c r="B22" s="24" t="s">
        <v>4820</v>
      </c>
      <c r="C22" s="120">
        <v>1</v>
      </c>
      <c r="D22" s="116">
        <v>400</v>
      </c>
      <c r="E22" s="120">
        <v>5.0000000000000001E-3</v>
      </c>
      <c r="F22" s="116">
        <v>400</v>
      </c>
      <c r="G22" s="120">
        <v>0.5</v>
      </c>
      <c r="H22" s="116">
        <v>400</v>
      </c>
      <c r="I22" s="120">
        <v>0.5</v>
      </c>
      <c r="J22" s="116">
        <v>400</v>
      </c>
      <c r="K22" s="120">
        <v>0.8</v>
      </c>
      <c r="L22" s="116">
        <v>400</v>
      </c>
      <c r="M22" s="120">
        <v>0.8</v>
      </c>
      <c r="N22" s="116">
        <v>400</v>
      </c>
      <c r="O22" s="120">
        <v>0</v>
      </c>
      <c r="P22" s="116">
        <v>400</v>
      </c>
      <c r="Q22" s="120">
        <v>0.01</v>
      </c>
      <c r="R22" s="116">
        <v>400</v>
      </c>
      <c r="S22" s="120">
        <v>0.01</v>
      </c>
      <c r="T22" s="116">
        <v>400</v>
      </c>
      <c r="U22" s="120">
        <v>0.05</v>
      </c>
      <c r="V22" s="116">
        <v>400</v>
      </c>
      <c r="W22" s="120">
        <v>0.7</v>
      </c>
      <c r="X22" s="116">
        <v>400</v>
      </c>
      <c r="Y22" s="120">
        <v>0</v>
      </c>
      <c r="Z22" s="116">
        <v>400</v>
      </c>
    </row>
    <row r="23" spans="1:26" outlineLevel="1" x14ac:dyDescent="0.25">
      <c r="A23" s="12" t="s">
        <v>5879</v>
      </c>
      <c r="B23" s="24" t="s">
        <v>5882</v>
      </c>
      <c r="C23" s="120">
        <f>AVERAGE(C59,C60)</f>
        <v>1</v>
      </c>
      <c r="D23" s="116">
        <v>200</v>
      </c>
      <c r="E23" s="120">
        <v>5.0000000000000001E-3</v>
      </c>
      <c r="F23" s="116">
        <v>200</v>
      </c>
      <c r="G23" s="120">
        <v>0</v>
      </c>
      <c r="H23" s="116">
        <v>200</v>
      </c>
      <c r="I23" s="120">
        <v>0</v>
      </c>
      <c r="J23" s="116">
        <v>200</v>
      </c>
      <c r="K23" s="120">
        <v>0</v>
      </c>
      <c r="L23" s="116">
        <v>200</v>
      </c>
      <c r="M23" s="120">
        <v>0</v>
      </c>
      <c r="N23" s="116">
        <v>200</v>
      </c>
      <c r="O23" s="120">
        <v>0</v>
      </c>
      <c r="P23" s="116">
        <v>200</v>
      </c>
      <c r="Q23" s="120">
        <v>0</v>
      </c>
      <c r="R23" s="116">
        <v>200</v>
      </c>
      <c r="S23" s="120">
        <v>0</v>
      </c>
      <c r="T23" s="116">
        <v>200</v>
      </c>
      <c r="U23" s="120">
        <v>0.75</v>
      </c>
      <c r="V23" s="116">
        <v>200</v>
      </c>
      <c r="W23" s="120">
        <v>0</v>
      </c>
      <c r="X23" s="116">
        <v>200</v>
      </c>
      <c r="Y23" s="120">
        <v>0</v>
      </c>
      <c r="Z23" s="116">
        <v>200</v>
      </c>
    </row>
    <row r="24" spans="1:26" outlineLevel="1" x14ac:dyDescent="0.25">
      <c r="A24" s="122" t="s">
        <v>4702</v>
      </c>
      <c r="B24" s="123">
        <v>0.10952430956631311</v>
      </c>
      <c r="C24" s="124">
        <f>AVERAGE(C73,C74)</f>
        <v>1</v>
      </c>
      <c r="D24" s="124"/>
      <c r="E24" s="124">
        <v>5.0000000000000001E-3</v>
      </c>
      <c r="F24" s="124"/>
      <c r="G24" s="124"/>
      <c r="H24" s="124"/>
      <c r="I24" s="124"/>
      <c r="J24" s="124"/>
      <c r="K24" s="124">
        <f>AVERAGE(K73,K74)</f>
        <v>0.2</v>
      </c>
      <c r="L24" s="124"/>
      <c r="M24" s="124">
        <f>AVERAGE(M73,M74)</f>
        <v>0</v>
      </c>
      <c r="N24" s="124"/>
      <c r="O24" s="124">
        <f>AVERAGE(O73,O74)</f>
        <v>0</v>
      </c>
      <c r="P24" s="124"/>
      <c r="Q24" s="124">
        <f>AVERAGE(Q73,Q74)</f>
        <v>0</v>
      </c>
      <c r="R24" s="124"/>
      <c r="S24" s="124">
        <f>AVERAGE(S73,S74)</f>
        <v>0</v>
      </c>
      <c r="T24" s="124"/>
      <c r="U24" s="124">
        <v>0.2</v>
      </c>
      <c r="V24" s="124"/>
      <c r="W24" s="124">
        <f>AVERAGE(W73,W74)</f>
        <v>0.2</v>
      </c>
      <c r="X24" s="124"/>
      <c r="Y24" s="124">
        <f>AVERAGE(Y73,Y74)</f>
        <v>0</v>
      </c>
      <c r="Z24" s="124"/>
    </row>
    <row r="25" spans="1:26" outlineLevel="1" x14ac:dyDescent="0.25">
      <c r="A25" s="122" t="s">
        <v>4806</v>
      </c>
      <c r="B25" s="123">
        <v>0.40500000000000003</v>
      </c>
      <c r="C25" s="124">
        <f>AVERAGE(C73,C74)</f>
        <v>1</v>
      </c>
      <c r="D25" s="124"/>
      <c r="E25" s="124">
        <v>5.0000000000000001E-3</v>
      </c>
      <c r="F25" s="124"/>
      <c r="G25" s="124"/>
      <c r="H25" s="124"/>
      <c r="I25" s="124"/>
      <c r="J25" s="124"/>
      <c r="K25" s="124"/>
      <c r="L25" s="124"/>
      <c r="M25" s="124"/>
      <c r="N25" s="124"/>
      <c r="O25" s="124"/>
      <c r="P25" s="124"/>
      <c r="Q25" s="124"/>
      <c r="R25" s="124"/>
      <c r="S25" s="124"/>
      <c r="T25" s="124"/>
      <c r="U25" s="124"/>
      <c r="V25" s="124"/>
      <c r="W25" s="124"/>
      <c r="X25" s="124"/>
      <c r="Y25" s="124"/>
      <c r="Z25" s="124"/>
    </row>
    <row r="26" spans="1:26" outlineLevel="1" x14ac:dyDescent="0.25">
      <c r="A26" s="122" t="s">
        <v>63</v>
      </c>
      <c r="B26" s="123">
        <v>1.907907172109629E-2</v>
      </c>
      <c r="C26" s="124">
        <f>AVERAGE(C73,C74)</f>
        <v>1</v>
      </c>
      <c r="D26" s="124"/>
      <c r="E26" s="124">
        <v>5.0000000000000001E-3</v>
      </c>
      <c r="F26" s="124"/>
      <c r="G26" s="124"/>
      <c r="H26" s="124"/>
      <c r="I26" s="124"/>
      <c r="J26" s="124"/>
      <c r="K26" s="124"/>
      <c r="L26" s="124"/>
      <c r="M26" s="124"/>
      <c r="N26" s="124"/>
      <c r="O26" s="124"/>
      <c r="P26" s="124"/>
      <c r="Q26" s="124"/>
      <c r="R26" s="124"/>
      <c r="S26" s="124"/>
      <c r="T26" s="124"/>
      <c r="U26" s="124"/>
      <c r="V26" s="124"/>
      <c r="W26" s="124"/>
      <c r="X26" s="124"/>
      <c r="Y26" s="124"/>
      <c r="Z26" s="124"/>
    </row>
    <row r="27" spans="1:26" x14ac:dyDescent="0.25">
      <c r="A27" s="118" t="s">
        <v>4815</v>
      </c>
      <c r="B27" s="118"/>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row>
    <row r="28" spans="1:26" outlineLevel="1" x14ac:dyDescent="0.25">
      <c r="A28" s="122" t="s">
        <v>4811</v>
      </c>
      <c r="B28" s="123">
        <v>7.3569253386537841E-3</v>
      </c>
      <c r="C28" s="124">
        <f>AVERAGE(C68,C69)</f>
        <v>1</v>
      </c>
      <c r="D28" s="124"/>
      <c r="E28" s="124">
        <v>5.0000000000000001E-3</v>
      </c>
      <c r="F28" s="124"/>
      <c r="G28" s="124"/>
      <c r="H28" s="124"/>
      <c r="I28" s="124"/>
      <c r="J28" s="124"/>
      <c r="K28" s="124">
        <f>AVERAGE(K68,K69)</f>
        <v>0.25</v>
      </c>
      <c r="L28" s="124"/>
      <c r="M28" s="124">
        <f>AVERAGE(M68,M69)</f>
        <v>0.25</v>
      </c>
      <c r="N28" s="124"/>
      <c r="O28" s="124">
        <f>AVERAGE(O68,O69)</f>
        <v>0</v>
      </c>
      <c r="P28" s="124"/>
      <c r="Q28" s="124">
        <f>AVERAGE(Q68,Q69)</f>
        <v>0</v>
      </c>
      <c r="R28" s="124"/>
      <c r="S28" s="124">
        <f>AVERAGE(S68,S69)</f>
        <v>0</v>
      </c>
      <c r="T28" s="124"/>
      <c r="U28" s="124">
        <v>0.2</v>
      </c>
      <c r="V28" s="124"/>
      <c r="W28" s="124">
        <f>AVERAGE(W68,W69)</f>
        <v>0.25</v>
      </c>
      <c r="X28" s="124"/>
      <c r="Y28" s="124">
        <f>AVERAGE(Y68,Y69)</f>
        <v>0</v>
      </c>
      <c r="Z28" s="124"/>
    </row>
    <row r="29" spans="1:26" outlineLevel="1" x14ac:dyDescent="0.25">
      <c r="A29" s="122" t="s">
        <v>4812</v>
      </c>
      <c r="B29" s="123">
        <v>7.3401239105323939E-3</v>
      </c>
      <c r="C29" s="124">
        <f>AVERAGE(C59,C60)</f>
        <v>1</v>
      </c>
      <c r="D29" s="124"/>
      <c r="E29" s="124">
        <v>5.0000000000000001E-3</v>
      </c>
      <c r="F29" s="124"/>
      <c r="G29" s="124"/>
      <c r="H29" s="124"/>
      <c r="I29" s="124"/>
      <c r="J29" s="124"/>
      <c r="K29" s="124">
        <f>AVERAGE(K59,K60)</f>
        <v>0.25</v>
      </c>
      <c r="L29" s="124"/>
      <c r="M29" s="124">
        <f>AVERAGE(M59,M60)</f>
        <v>0.125</v>
      </c>
      <c r="N29" s="124"/>
      <c r="O29" s="124">
        <f>AVERAGE(O59,O60)</f>
        <v>0</v>
      </c>
      <c r="P29" s="124"/>
      <c r="Q29" s="124">
        <f>AVERAGE(Q59,Q60)</f>
        <v>0</v>
      </c>
      <c r="R29" s="124"/>
      <c r="S29" s="124">
        <f>AVERAGE(S59,S60)</f>
        <v>0</v>
      </c>
      <c r="T29" s="124"/>
      <c r="U29" s="124">
        <v>0.1</v>
      </c>
      <c r="V29" s="124"/>
      <c r="W29" s="124">
        <f>AVERAGE(W59,W60)</f>
        <v>0.25</v>
      </c>
      <c r="X29" s="124"/>
      <c r="Y29" s="124">
        <f>AVERAGE(Y59,Y60)</f>
        <v>0</v>
      </c>
      <c r="Z29" s="124"/>
    </row>
    <row r="30" spans="1:26" outlineLevel="1" x14ac:dyDescent="0.25">
      <c r="A30" s="122" t="s">
        <v>4808</v>
      </c>
      <c r="B30" s="123">
        <v>4.0283652630473579E-2</v>
      </c>
      <c r="C30" s="124">
        <f>AVERAGE(C59,C60)</f>
        <v>1</v>
      </c>
      <c r="D30" s="124"/>
      <c r="E30" s="124">
        <v>5.0000000000000001E-3</v>
      </c>
      <c r="F30" s="124"/>
      <c r="G30" s="124"/>
      <c r="H30" s="124"/>
      <c r="I30" s="124"/>
      <c r="J30" s="124"/>
      <c r="K30" s="124"/>
      <c r="L30" s="124"/>
      <c r="M30" s="124"/>
      <c r="N30" s="124"/>
      <c r="O30" s="124"/>
      <c r="P30" s="124"/>
      <c r="Q30" s="124"/>
      <c r="R30" s="124"/>
      <c r="S30" s="124"/>
      <c r="T30" s="124"/>
      <c r="U30" s="124"/>
      <c r="V30" s="124"/>
      <c r="W30" s="124"/>
      <c r="X30" s="124"/>
      <c r="Y30" s="124"/>
      <c r="Z30" s="124"/>
    </row>
    <row r="31" spans="1:26" outlineLevel="1" x14ac:dyDescent="0.25">
      <c r="A31" s="122" t="s">
        <v>4810</v>
      </c>
      <c r="B31" s="123">
        <v>9.136879134726451E-3</v>
      </c>
      <c r="C31" s="124">
        <f>AVERAGE(C59,C60)</f>
        <v>1</v>
      </c>
      <c r="D31" s="124"/>
      <c r="E31" s="124">
        <v>5.0000000000000001E-3</v>
      </c>
      <c r="F31" s="124"/>
      <c r="G31" s="124"/>
      <c r="H31" s="124"/>
      <c r="I31" s="124"/>
      <c r="J31" s="124"/>
      <c r="K31" s="124"/>
      <c r="L31" s="124"/>
      <c r="M31" s="124"/>
      <c r="N31" s="124"/>
      <c r="O31" s="124"/>
      <c r="P31" s="124"/>
      <c r="Q31" s="124"/>
      <c r="R31" s="124"/>
      <c r="S31" s="124"/>
      <c r="T31" s="124"/>
      <c r="U31" s="124"/>
      <c r="V31" s="124"/>
      <c r="W31" s="124"/>
      <c r="X31" s="124"/>
      <c r="Y31" s="124"/>
      <c r="Z31" s="124"/>
    </row>
    <row r="32" spans="1:26" x14ac:dyDescent="0.25">
      <c r="A32" s="118" t="s">
        <v>5875</v>
      </c>
      <c r="B32" s="118"/>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row>
    <row r="33" spans="1:34" outlineLevel="1" x14ac:dyDescent="0.25">
      <c r="A33" s="125" t="s">
        <v>5885</v>
      </c>
      <c r="B33" s="126" t="s">
        <v>5883</v>
      </c>
      <c r="C33" s="127">
        <f>SUMPRODUCT(C24:C31,$B$24:$B$31)+SUMPRODUCT(C15:C19,$B$15:$B$19)</f>
        <v>0.99727134306416054</v>
      </c>
      <c r="D33" s="128">
        <v>200</v>
      </c>
      <c r="E33" s="127">
        <f>SUMPRODUCT(E24:E31,$B$24:$B$31)+SUMPRODUCT(E15:E19,$B$15:$B$19)</f>
        <v>4.9863567153208034E-3</v>
      </c>
      <c r="F33" s="128">
        <v>200</v>
      </c>
      <c r="G33" s="127">
        <f>SUMPRODUCT(G24:G31,$B$24:$B$31)+SUMPRODUCT(G15:G19,$B$15:$B$19)</f>
        <v>0</v>
      </c>
      <c r="H33" s="128">
        <v>200</v>
      </c>
      <c r="I33" s="127">
        <f>SUMPRODUCT(I24:I31,$B$24:$B$31)+SUMPRODUCT(I15:I19,$B$15:$B$19)</f>
        <v>0</v>
      </c>
      <c r="J33" s="128">
        <v>200</v>
      </c>
      <c r="K33" s="127">
        <f>SUMPRODUCT(K24:K31,$B$24:$B$31)+SUMPRODUCT(K15:K19,$B$15:$B$19)</f>
        <v>2.5579124225559167E-2</v>
      </c>
      <c r="L33" s="128">
        <v>200</v>
      </c>
      <c r="M33" s="127">
        <f>SUMPRODUCT(M24:M31,$B$24:$B$31)+SUMPRODUCT(M15:M19,$B$15:$B$19)</f>
        <v>2.7567468234799952E-3</v>
      </c>
      <c r="N33" s="128">
        <v>200</v>
      </c>
      <c r="O33" s="127">
        <f>SUMPRODUCT(O24:O31,$B$24:$B$31)+SUMPRODUCT(O15:O19,$B$15:$B$19)</f>
        <v>0</v>
      </c>
      <c r="P33" s="128">
        <v>200</v>
      </c>
      <c r="Q33" s="127">
        <f>SUMPRODUCT(Q24:Q31,$B$24:$B$31)+SUMPRODUCT(Q15:Q19,$B$15:$B$19)</f>
        <v>0</v>
      </c>
      <c r="R33" s="128">
        <v>200</v>
      </c>
      <c r="S33" s="127">
        <f>SUMPRODUCT(S24:S31,$B$24:$B$31)+SUMPRODUCT(S15:S19,$B$15:$B$19)</f>
        <v>0</v>
      </c>
      <c r="T33" s="128">
        <v>200</v>
      </c>
      <c r="U33" s="127">
        <f>SUMPRODUCT(U24:U31,$B$24:$B$31)+SUMPRODUCT(U15:U19,$B$15:$B$19)</f>
        <v>2.4110259372046621E-2</v>
      </c>
      <c r="V33" s="128">
        <v>200</v>
      </c>
      <c r="W33" s="127">
        <f>SUMPRODUCT(W24:W31,$B$24:$B$31)+SUMPRODUCT(W15:W19,$B$15:$B$19)</f>
        <v>2.5579124225559167E-2</v>
      </c>
      <c r="X33" s="128">
        <v>200</v>
      </c>
      <c r="Y33" s="127">
        <f>SUMPRODUCT(Y24:Y31,$B$24:$B$31)+SUMPRODUCT(Y15:Y19,$B$15:$B$19)</f>
        <v>0</v>
      </c>
      <c r="Z33" s="128">
        <v>200</v>
      </c>
    </row>
    <row r="34" spans="1:34" outlineLevel="1" x14ac:dyDescent="0.25">
      <c r="A34" s="12"/>
      <c r="B34" s="4"/>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34" x14ac:dyDescent="0.25">
      <c r="A35" s="130" t="s">
        <v>4822</v>
      </c>
      <c r="B35" s="130"/>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34" outlineLevel="1" x14ac:dyDescent="0.25">
      <c r="A36" s="4" t="s">
        <v>5558</v>
      </c>
      <c r="B36" s="4" t="s">
        <v>4824</v>
      </c>
      <c r="C36" s="25">
        <v>1</v>
      </c>
      <c r="D36" s="132">
        <v>1000</v>
      </c>
      <c r="E36" s="25">
        <v>1</v>
      </c>
      <c r="F36" s="132">
        <v>1000</v>
      </c>
      <c r="G36" s="25">
        <v>0</v>
      </c>
      <c r="H36" s="132">
        <v>1000</v>
      </c>
      <c r="I36" s="25">
        <v>0</v>
      </c>
      <c r="J36" s="132">
        <v>1000</v>
      </c>
      <c r="K36" s="25">
        <v>1</v>
      </c>
      <c r="L36" s="132">
        <v>1000</v>
      </c>
      <c r="M36" s="133"/>
      <c r="N36" s="132">
        <v>1000</v>
      </c>
      <c r="O36" s="133"/>
      <c r="P36" s="132">
        <v>1000</v>
      </c>
      <c r="Q36" s="133"/>
      <c r="R36" s="132">
        <v>1000</v>
      </c>
      <c r="S36" s="133"/>
      <c r="T36" s="132">
        <v>1000</v>
      </c>
      <c r="U36" s="133"/>
      <c r="V36" s="132">
        <v>1000</v>
      </c>
      <c r="W36" s="133"/>
      <c r="X36" s="132">
        <v>1000</v>
      </c>
      <c r="Y36" s="133"/>
      <c r="Z36" s="132">
        <v>1000</v>
      </c>
    </row>
    <row r="37" spans="1:34" outlineLevel="1" x14ac:dyDescent="0.25">
      <c r="A37" s="4" t="s">
        <v>5559</v>
      </c>
      <c r="B37" s="4" t="s">
        <v>4825</v>
      </c>
      <c r="C37" s="25">
        <v>1</v>
      </c>
      <c r="D37" s="132">
        <v>1000</v>
      </c>
      <c r="E37" s="25">
        <v>1</v>
      </c>
      <c r="F37" s="132">
        <v>1000</v>
      </c>
      <c r="G37" s="25">
        <v>0</v>
      </c>
      <c r="H37" s="132">
        <v>1000</v>
      </c>
      <c r="I37" s="25">
        <v>0</v>
      </c>
      <c r="J37" s="132">
        <v>1000</v>
      </c>
      <c r="K37" s="25">
        <v>1</v>
      </c>
      <c r="L37" s="132">
        <v>1000</v>
      </c>
      <c r="M37" s="133"/>
      <c r="N37" s="132">
        <v>1000</v>
      </c>
      <c r="O37" s="133"/>
      <c r="P37" s="132">
        <v>1000</v>
      </c>
      <c r="Q37" s="133"/>
      <c r="R37" s="132">
        <v>1000</v>
      </c>
      <c r="S37" s="133"/>
      <c r="T37" s="132">
        <v>1000</v>
      </c>
      <c r="U37" s="133"/>
      <c r="V37" s="132">
        <v>1000</v>
      </c>
      <c r="W37" s="133"/>
      <c r="X37" s="132">
        <v>1000</v>
      </c>
      <c r="Y37" s="133"/>
      <c r="Z37" s="132">
        <v>1000</v>
      </c>
    </row>
    <row r="38" spans="1:34" outlineLevel="1" x14ac:dyDescent="0.25">
      <c r="A38" s="4" t="s">
        <v>5886</v>
      </c>
      <c r="B38" s="4" t="s">
        <v>4823</v>
      </c>
      <c r="C38" s="25">
        <v>1</v>
      </c>
      <c r="D38" s="132">
        <v>1000</v>
      </c>
      <c r="E38" s="25">
        <v>1</v>
      </c>
      <c r="F38" s="132">
        <v>1000</v>
      </c>
      <c r="G38" s="25">
        <v>0</v>
      </c>
      <c r="H38" s="132">
        <v>1000</v>
      </c>
      <c r="I38" s="25">
        <v>0</v>
      </c>
      <c r="J38" s="132">
        <v>1000</v>
      </c>
      <c r="K38" s="25">
        <v>1</v>
      </c>
      <c r="L38" s="132">
        <v>1000</v>
      </c>
      <c r="M38" s="133"/>
      <c r="N38" s="132">
        <v>1000</v>
      </c>
      <c r="O38" s="133"/>
      <c r="P38" s="132">
        <v>1000</v>
      </c>
      <c r="Q38" s="133"/>
      <c r="R38" s="132">
        <v>1000</v>
      </c>
      <c r="S38" s="133"/>
      <c r="T38" s="132">
        <v>1000</v>
      </c>
      <c r="U38" s="133"/>
      <c r="V38" s="132">
        <v>1000</v>
      </c>
      <c r="W38" s="133"/>
      <c r="X38" s="132">
        <v>1000</v>
      </c>
      <c r="Y38" s="133"/>
      <c r="Z38" s="132">
        <v>1000</v>
      </c>
    </row>
    <row r="39" spans="1:34" s="62" customFormat="1" outlineLevel="1" x14ac:dyDescent="0.25">
      <c r="A39" s="89" t="s">
        <v>5943</v>
      </c>
      <c r="B39" s="90"/>
      <c r="C39" s="104">
        <v>1</v>
      </c>
      <c r="D39" s="103" t="s">
        <v>4872</v>
      </c>
      <c r="E39" s="104">
        <v>1</v>
      </c>
      <c r="F39" s="103" t="s">
        <v>4872</v>
      </c>
      <c r="G39" s="104">
        <v>1</v>
      </c>
      <c r="H39" s="103" t="s">
        <v>4872</v>
      </c>
      <c r="I39" s="104">
        <v>1</v>
      </c>
      <c r="J39" s="103" t="s">
        <v>4872</v>
      </c>
      <c r="K39" s="104">
        <v>1</v>
      </c>
      <c r="L39" s="103" t="s">
        <v>4872</v>
      </c>
      <c r="M39" s="104">
        <v>1</v>
      </c>
      <c r="N39" s="103" t="s">
        <v>4872</v>
      </c>
      <c r="O39" s="104">
        <v>1</v>
      </c>
      <c r="P39" s="103" t="s">
        <v>4872</v>
      </c>
      <c r="Q39" s="104">
        <v>1</v>
      </c>
      <c r="R39" s="103" t="s">
        <v>4872</v>
      </c>
      <c r="S39" s="104">
        <v>1</v>
      </c>
      <c r="T39" s="103" t="s">
        <v>4872</v>
      </c>
      <c r="U39" s="104">
        <v>1</v>
      </c>
      <c r="V39" s="103" t="s">
        <v>4872</v>
      </c>
      <c r="W39" s="104">
        <v>1</v>
      </c>
      <c r="X39" s="103" t="s">
        <v>4872</v>
      </c>
      <c r="Y39" s="104">
        <v>1</v>
      </c>
      <c r="Z39" s="103" t="s">
        <v>4872</v>
      </c>
      <c r="AA39" s="22"/>
      <c r="AB39" s="22"/>
      <c r="AC39" s="22"/>
      <c r="AD39" s="22"/>
      <c r="AE39" s="22"/>
      <c r="AF39" s="22"/>
      <c r="AG39" s="22"/>
      <c r="AH39" s="22"/>
    </row>
    <row r="40" spans="1:34" outlineLevel="1" x14ac:dyDescent="0.25">
      <c r="A40" s="4" t="s">
        <v>5580</v>
      </c>
      <c r="B40" s="4" t="s">
        <v>4826</v>
      </c>
      <c r="C40" s="25">
        <v>1</v>
      </c>
      <c r="D40" s="133" t="s">
        <v>5159</v>
      </c>
      <c r="E40" s="25">
        <v>1</v>
      </c>
      <c r="F40" s="133" t="s">
        <v>5159</v>
      </c>
      <c r="G40" s="25">
        <v>0</v>
      </c>
      <c r="H40" s="133" t="s">
        <v>5159</v>
      </c>
      <c r="I40" s="25">
        <v>0</v>
      </c>
      <c r="J40" s="133" t="s">
        <v>5159</v>
      </c>
      <c r="K40" s="25">
        <v>1</v>
      </c>
      <c r="L40" s="133" t="s">
        <v>5159</v>
      </c>
      <c r="M40" s="133"/>
      <c r="N40" s="133" t="s">
        <v>5159</v>
      </c>
      <c r="O40" s="133"/>
      <c r="P40" s="133" t="s">
        <v>5159</v>
      </c>
      <c r="Q40" s="133"/>
      <c r="R40" s="133" t="s">
        <v>5159</v>
      </c>
      <c r="S40" s="133"/>
      <c r="T40" s="133" t="s">
        <v>5159</v>
      </c>
      <c r="U40" s="133"/>
      <c r="V40" s="133" t="s">
        <v>5159</v>
      </c>
      <c r="W40" s="133"/>
      <c r="X40" s="133" t="s">
        <v>5159</v>
      </c>
      <c r="Y40" s="133"/>
      <c r="Z40" s="133" t="s">
        <v>5159</v>
      </c>
    </row>
    <row r="41" spans="1:34" outlineLevel="1" x14ac:dyDescent="0.25">
      <c r="A41" s="4" t="s">
        <v>5887</v>
      </c>
      <c r="B41" s="4" t="s">
        <v>4827</v>
      </c>
      <c r="C41" s="25">
        <v>1</v>
      </c>
      <c r="D41" s="133" t="s">
        <v>5896</v>
      </c>
      <c r="E41" s="25">
        <v>0.01</v>
      </c>
      <c r="F41" s="133" t="s">
        <v>5896</v>
      </c>
      <c r="G41" s="25">
        <v>0</v>
      </c>
      <c r="H41" s="133" t="s">
        <v>4798</v>
      </c>
      <c r="I41" s="25">
        <v>0</v>
      </c>
      <c r="J41" s="133" t="s">
        <v>4798</v>
      </c>
      <c r="K41" s="25">
        <v>0</v>
      </c>
      <c r="L41" s="133" t="s">
        <v>5896</v>
      </c>
      <c r="M41" s="25">
        <v>1</v>
      </c>
      <c r="N41" s="133" t="s">
        <v>5896</v>
      </c>
      <c r="O41" s="25">
        <v>0</v>
      </c>
      <c r="P41" s="133" t="s">
        <v>4798</v>
      </c>
      <c r="Q41" s="25">
        <v>0</v>
      </c>
      <c r="R41" s="133" t="s">
        <v>4798</v>
      </c>
      <c r="S41" s="25">
        <v>0</v>
      </c>
      <c r="T41" s="133" t="s">
        <v>4798</v>
      </c>
      <c r="U41" s="25">
        <v>0</v>
      </c>
      <c r="V41" s="133" t="s">
        <v>4798</v>
      </c>
      <c r="W41" s="25">
        <v>1</v>
      </c>
      <c r="X41" s="133" t="s">
        <v>5896</v>
      </c>
      <c r="Y41" s="25">
        <v>0</v>
      </c>
      <c r="Z41" s="133" t="s">
        <v>4798</v>
      </c>
    </row>
    <row r="42" spans="1:34" outlineLevel="1" x14ac:dyDescent="0.25">
      <c r="A42" s="4" t="s">
        <v>5910</v>
      </c>
      <c r="B42" s="4" t="s">
        <v>4828</v>
      </c>
      <c r="C42" s="25">
        <v>1</v>
      </c>
      <c r="D42" s="133" t="s">
        <v>5892</v>
      </c>
      <c r="E42" s="25">
        <v>0.01</v>
      </c>
      <c r="F42" s="133" t="s">
        <v>5892</v>
      </c>
      <c r="G42" s="25">
        <v>0</v>
      </c>
      <c r="H42" s="133" t="s">
        <v>4798</v>
      </c>
      <c r="I42" s="25">
        <v>0</v>
      </c>
      <c r="J42" s="133" t="s">
        <v>4798</v>
      </c>
      <c r="K42" s="25">
        <v>0</v>
      </c>
      <c r="L42" s="133" t="s">
        <v>5892</v>
      </c>
      <c r="M42" s="25">
        <v>1</v>
      </c>
      <c r="N42" s="133" t="s">
        <v>5892</v>
      </c>
      <c r="O42" s="25">
        <v>0</v>
      </c>
      <c r="P42" s="133" t="s">
        <v>4798</v>
      </c>
      <c r="Q42" s="25">
        <v>0</v>
      </c>
      <c r="R42" s="133" t="s">
        <v>4798</v>
      </c>
      <c r="S42" s="25">
        <v>0</v>
      </c>
      <c r="T42" s="133" t="s">
        <v>4798</v>
      </c>
      <c r="U42" s="25">
        <v>0</v>
      </c>
      <c r="V42" s="133" t="s">
        <v>4798</v>
      </c>
      <c r="W42" s="25">
        <v>1</v>
      </c>
      <c r="X42" s="133" t="s">
        <v>5892</v>
      </c>
      <c r="Y42" s="25">
        <v>0</v>
      </c>
      <c r="Z42" s="133" t="s">
        <v>4798</v>
      </c>
    </row>
    <row r="43" spans="1:34" outlineLevel="1" x14ac:dyDescent="0.25">
      <c r="A43" s="4" t="s">
        <v>5909</v>
      </c>
      <c r="B43" s="4" t="s">
        <v>4828</v>
      </c>
      <c r="C43" s="25">
        <v>1</v>
      </c>
      <c r="D43" s="133" t="s">
        <v>5892</v>
      </c>
      <c r="E43" s="25">
        <v>0.01</v>
      </c>
      <c r="F43" s="133" t="s">
        <v>5892</v>
      </c>
      <c r="G43" s="25">
        <v>0</v>
      </c>
      <c r="H43" s="133" t="s">
        <v>4798</v>
      </c>
      <c r="I43" s="25">
        <v>0</v>
      </c>
      <c r="J43" s="133" t="s">
        <v>4798</v>
      </c>
      <c r="K43" s="25">
        <v>0</v>
      </c>
      <c r="L43" s="133" t="s">
        <v>5892</v>
      </c>
      <c r="M43" s="25">
        <v>1</v>
      </c>
      <c r="N43" s="133" t="s">
        <v>5892</v>
      </c>
      <c r="O43" s="25">
        <v>0</v>
      </c>
      <c r="P43" s="133" t="s">
        <v>4798</v>
      </c>
      <c r="Q43" s="25">
        <v>0</v>
      </c>
      <c r="R43" s="133" t="s">
        <v>4798</v>
      </c>
      <c r="S43" s="25">
        <v>0</v>
      </c>
      <c r="T43" s="133" t="s">
        <v>4798</v>
      </c>
      <c r="U43" s="25">
        <v>0</v>
      </c>
      <c r="V43" s="133" t="s">
        <v>4798</v>
      </c>
      <c r="W43" s="25">
        <v>1</v>
      </c>
      <c r="X43" s="133" t="s">
        <v>5892</v>
      </c>
      <c r="Y43" s="25">
        <v>0</v>
      </c>
      <c r="Z43" s="133" t="s">
        <v>4798</v>
      </c>
    </row>
    <row r="44" spans="1:34" outlineLevel="1" x14ac:dyDescent="0.25">
      <c r="A44" s="4" t="s">
        <v>5911</v>
      </c>
      <c r="B44" s="4" t="s">
        <v>4828</v>
      </c>
      <c r="C44" s="25">
        <v>1</v>
      </c>
      <c r="D44" s="133" t="s">
        <v>5892</v>
      </c>
      <c r="E44" s="25">
        <v>0.01</v>
      </c>
      <c r="F44" s="133" t="s">
        <v>5892</v>
      </c>
      <c r="G44" s="25">
        <v>0</v>
      </c>
      <c r="H44" s="133" t="s">
        <v>4798</v>
      </c>
      <c r="I44" s="25">
        <v>0</v>
      </c>
      <c r="J44" s="133" t="s">
        <v>4798</v>
      </c>
      <c r="K44" s="25">
        <v>0</v>
      </c>
      <c r="L44" s="133" t="s">
        <v>5892</v>
      </c>
      <c r="M44" s="25">
        <v>1</v>
      </c>
      <c r="N44" s="133" t="s">
        <v>5892</v>
      </c>
      <c r="O44" s="25">
        <v>0</v>
      </c>
      <c r="P44" s="133" t="s">
        <v>4798</v>
      </c>
      <c r="Q44" s="25">
        <v>0</v>
      </c>
      <c r="R44" s="133" t="s">
        <v>4798</v>
      </c>
      <c r="S44" s="25">
        <v>0</v>
      </c>
      <c r="T44" s="133" t="s">
        <v>4798</v>
      </c>
      <c r="U44" s="25">
        <v>0</v>
      </c>
      <c r="V44" s="133" t="s">
        <v>4798</v>
      </c>
      <c r="W44" s="25">
        <v>1</v>
      </c>
      <c r="X44" s="133" t="s">
        <v>5892</v>
      </c>
      <c r="Y44" s="25">
        <v>0</v>
      </c>
      <c r="Z44" s="133" t="s">
        <v>4798</v>
      </c>
    </row>
    <row r="45" spans="1:34" outlineLevel="1" x14ac:dyDescent="0.25">
      <c r="A45" s="4" t="s">
        <v>5888</v>
      </c>
      <c r="B45" s="4" t="s">
        <v>4827</v>
      </c>
      <c r="C45" s="25">
        <v>1</v>
      </c>
      <c r="D45" s="133" t="s">
        <v>5896</v>
      </c>
      <c r="E45" s="25">
        <v>0.01</v>
      </c>
      <c r="F45" s="133" t="s">
        <v>5896</v>
      </c>
      <c r="G45" s="25">
        <v>0</v>
      </c>
      <c r="H45" s="133" t="s">
        <v>4798</v>
      </c>
      <c r="I45" s="25">
        <v>0</v>
      </c>
      <c r="J45" s="133" t="s">
        <v>4798</v>
      </c>
      <c r="K45" s="25">
        <v>0</v>
      </c>
      <c r="L45" s="133" t="s">
        <v>5896</v>
      </c>
      <c r="M45" s="25">
        <v>1</v>
      </c>
      <c r="N45" s="133" t="s">
        <v>5896</v>
      </c>
      <c r="O45" s="25">
        <v>0</v>
      </c>
      <c r="P45" s="133" t="s">
        <v>4798</v>
      </c>
      <c r="Q45" s="25">
        <v>0</v>
      </c>
      <c r="R45" s="133" t="s">
        <v>4798</v>
      </c>
      <c r="S45" s="25">
        <v>0</v>
      </c>
      <c r="T45" s="133" t="s">
        <v>4798</v>
      </c>
      <c r="U45" s="25">
        <v>0</v>
      </c>
      <c r="V45" s="133" t="s">
        <v>4798</v>
      </c>
      <c r="W45" s="25">
        <v>1</v>
      </c>
      <c r="X45" s="133" t="s">
        <v>5896</v>
      </c>
      <c r="Y45" s="25">
        <v>0</v>
      </c>
      <c r="Z45" s="133" t="s">
        <v>4798</v>
      </c>
    </row>
    <row r="46" spans="1:34" outlineLevel="1" x14ac:dyDescent="0.25">
      <c r="A46" s="4" t="s">
        <v>5912</v>
      </c>
      <c r="B46" s="4" t="s">
        <v>4828</v>
      </c>
      <c r="C46" s="25">
        <v>1</v>
      </c>
      <c r="D46" s="133" t="s">
        <v>5892</v>
      </c>
      <c r="E46" s="25">
        <v>0.01</v>
      </c>
      <c r="F46" s="133" t="s">
        <v>5892</v>
      </c>
      <c r="G46" s="25">
        <v>0</v>
      </c>
      <c r="H46" s="133" t="s">
        <v>4798</v>
      </c>
      <c r="I46" s="25">
        <v>0</v>
      </c>
      <c r="J46" s="133" t="s">
        <v>4798</v>
      </c>
      <c r="K46" s="25">
        <v>0</v>
      </c>
      <c r="L46" s="133" t="s">
        <v>5892</v>
      </c>
      <c r="M46" s="25">
        <v>1</v>
      </c>
      <c r="N46" s="133" t="s">
        <v>5892</v>
      </c>
      <c r="O46" s="25">
        <v>0</v>
      </c>
      <c r="P46" s="133" t="s">
        <v>4798</v>
      </c>
      <c r="Q46" s="25">
        <v>0</v>
      </c>
      <c r="R46" s="133" t="s">
        <v>4798</v>
      </c>
      <c r="S46" s="25">
        <v>0</v>
      </c>
      <c r="T46" s="133" t="s">
        <v>4798</v>
      </c>
      <c r="U46" s="25">
        <v>0</v>
      </c>
      <c r="V46" s="133" t="s">
        <v>4798</v>
      </c>
      <c r="W46" s="25">
        <v>1</v>
      </c>
      <c r="X46" s="133" t="s">
        <v>5892</v>
      </c>
      <c r="Y46" s="25">
        <v>0</v>
      </c>
      <c r="Z46" s="133" t="s">
        <v>4798</v>
      </c>
    </row>
    <row r="47" spans="1:34" outlineLevel="1" x14ac:dyDescent="0.25">
      <c r="A47" s="4" t="s">
        <v>5913</v>
      </c>
      <c r="B47" s="4" t="s">
        <v>4828</v>
      </c>
      <c r="C47" s="25">
        <v>1</v>
      </c>
      <c r="D47" s="133" t="s">
        <v>5892</v>
      </c>
      <c r="E47" s="25">
        <v>0.01</v>
      </c>
      <c r="F47" s="133" t="s">
        <v>5892</v>
      </c>
      <c r="G47" s="25">
        <v>0</v>
      </c>
      <c r="H47" s="133" t="s">
        <v>4798</v>
      </c>
      <c r="I47" s="25">
        <v>0</v>
      </c>
      <c r="J47" s="133" t="s">
        <v>4798</v>
      </c>
      <c r="K47" s="25">
        <v>0</v>
      </c>
      <c r="L47" s="133" t="s">
        <v>5892</v>
      </c>
      <c r="M47" s="25">
        <v>1</v>
      </c>
      <c r="N47" s="133" t="s">
        <v>5892</v>
      </c>
      <c r="O47" s="25">
        <v>0</v>
      </c>
      <c r="P47" s="133" t="s">
        <v>4798</v>
      </c>
      <c r="Q47" s="25">
        <v>0</v>
      </c>
      <c r="R47" s="133" t="s">
        <v>4798</v>
      </c>
      <c r="S47" s="25">
        <v>0</v>
      </c>
      <c r="T47" s="133" t="s">
        <v>4798</v>
      </c>
      <c r="U47" s="25">
        <v>0</v>
      </c>
      <c r="V47" s="133" t="s">
        <v>4798</v>
      </c>
      <c r="W47" s="25">
        <v>1</v>
      </c>
      <c r="X47" s="133" t="s">
        <v>5892</v>
      </c>
      <c r="Y47" s="25">
        <v>0</v>
      </c>
      <c r="Z47" s="133" t="s">
        <v>4798</v>
      </c>
    </row>
    <row r="48" spans="1:34" outlineLevel="1" x14ac:dyDescent="0.25">
      <c r="A48" s="4" t="s">
        <v>5914</v>
      </c>
      <c r="B48" s="4" t="s">
        <v>4828</v>
      </c>
      <c r="C48" s="25">
        <v>1</v>
      </c>
      <c r="D48" s="133" t="s">
        <v>5892</v>
      </c>
      <c r="E48" s="25">
        <v>0.01</v>
      </c>
      <c r="F48" s="133" t="s">
        <v>5892</v>
      </c>
      <c r="G48" s="25">
        <v>0</v>
      </c>
      <c r="H48" s="133" t="s">
        <v>4798</v>
      </c>
      <c r="I48" s="25">
        <v>0</v>
      </c>
      <c r="J48" s="133" t="s">
        <v>4798</v>
      </c>
      <c r="K48" s="25">
        <v>0</v>
      </c>
      <c r="L48" s="133" t="s">
        <v>5892</v>
      </c>
      <c r="M48" s="25">
        <v>1</v>
      </c>
      <c r="N48" s="133" t="s">
        <v>5892</v>
      </c>
      <c r="O48" s="25">
        <v>0</v>
      </c>
      <c r="P48" s="133" t="s">
        <v>4798</v>
      </c>
      <c r="Q48" s="25">
        <v>0</v>
      </c>
      <c r="R48" s="133" t="s">
        <v>4798</v>
      </c>
      <c r="S48" s="25">
        <v>0</v>
      </c>
      <c r="T48" s="133" t="s">
        <v>4798</v>
      </c>
      <c r="U48" s="25">
        <v>0</v>
      </c>
      <c r="V48" s="133" t="s">
        <v>4798</v>
      </c>
      <c r="W48" s="25">
        <v>1</v>
      </c>
      <c r="X48" s="133" t="s">
        <v>5892</v>
      </c>
      <c r="Y48" s="25">
        <v>0</v>
      </c>
      <c r="Z48" s="133" t="s">
        <v>4798</v>
      </c>
    </row>
    <row r="49" spans="1:26" outlineLevel="1" x14ac:dyDescent="0.25">
      <c r="A49" s="4" t="s">
        <v>5915</v>
      </c>
      <c r="B49" s="4" t="s">
        <v>4829</v>
      </c>
      <c r="C49" s="25">
        <v>1</v>
      </c>
      <c r="D49" s="133" t="s">
        <v>5902</v>
      </c>
      <c r="E49" s="25">
        <v>0.01</v>
      </c>
      <c r="F49" s="133" t="s">
        <v>4798</v>
      </c>
      <c r="G49" s="25">
        <v>0</v>
      </c>
      <c r="H49" s="133" t="s">
        <v>4798</v>
      </c>
      <c r="I49" s="25">
        <v>0</v>
      </c>
      <c r="J49" s="133" t="s">
        <v>4798</v>
      </c>
      <c r="K49" s="25">
        <v>0</v>
      </c>
      <c r="L49" s="133" t="s">
        <v>4798</v>
      </c>
      <c r="M49" s="25">
        <v>0</v>
      </c>
      <c r="N49" s="133" t="s">
        <v>4798</v>
      </c>
      <c r="O49" s="25">
        <v>0</v>
      </c>
      <c r="P49" s="133" t="s">
        <v>4798</v>
      </c>
      <c r="Q49" s="25">
        <v>0</v>
      </c>
      <c r="R49" s="133" t="s">
        <v>4798</v>
      </c>
      <c r="S49" s="25">
        <v>0</v>
      </c>
      <c r="T49" s="133" t="s">
        <v>4798</v>
      </c>
      <c r="U49" s="25">
        <v>0</v>
      </c>
      <c r="V49" s="133" t="s">
        <v>4798</v>
      </c>
      <c r="W49" s="25">
        <v>0</v>
      </c>
      <c r="X49" s="133" t="s">
        <v>4798</v>
      </c>
      <c r="Y49" s="25">
        <v>0</v>
      </c>
      <c r="Z49" s="133" t="s">
        <v>4798</v>
      </c>
    </row>
    <row r="50" spans="1:26" outlineLevel="1" x14ac:dyDescent="0.25">
      <c r="A50" s="4" t="s">
        <v>5916</v>
      </c>
      <c r="B50" s="4" t="s">
        <v>4829</v>
      </c>
      <c r="C50" s="25">
        <v>1</v>
      </c>
      <c r="D50" s="133" t="s">
        <v>5902</v>
      </c>
      <c r="E50" s="25">
        <v>0.01</v>
      </c>
      <c r="F50" s="133" t="s">
        <v>4798</v>
      </c>
      <c r="G50" s="25">
        <v>0</v>
      </c>
      <c r="H50" s="133" t="s">
        <v>4798</v>
      </c>
      <c r="I50" s="25">
        <v>0</v>
      </c>
      <c r="J50" s="133" t="s">
        <v>4798</v>
      </c>
      <c r="K50" s="25">
        <v>0</v>
      </c>
      <c r="L50" s="133" t="s">
        <v>4798</v>
      </c>
      <c r="M50" s="25">
        <v>0</v>
      </c>
      <c r="N50" s="133" t="s">
        <v>4798</v>
      </c>
      <c r="O50" s="25">
        <v>0</v>
      </c>
      <c r="P50" s="133" t="s">
        <v>4798</v>
      </c>
      <c r="Q50" s="25">
        <v>0</v>
      </c>
      <c r="R50" s="133" t="s">
        <v>4798</v>
      </c>
      <c r="S50" s="25">
        <v>0</v>
      </c>
      <c r="T50" s="133" t="s">
        <v>4798</v>
      </c>
      <c r="U50" s="25">
        <v>0</v>
      </c>
      <c r="V50" s="133" t="s">
        <v>4798</v>
      </c>
      <c r="W50" s="25">
        <v>0</v>
      </c>
      <c r="X50" s="133" t="s">
        <v>4798</v>
      </c>
      <c r="Y50" s="25">
        <v>0</v>
      </c>
      <c r="Z50" s="133" t="s">
        <v>4798</v>
      </c>
    </row>
    <row r="51" spans="1:26" outlineLevel="1" x14ac:dyDescent="0.25">
      <c r="A51" s="4" t="s">
        <v>5917</v>
      </c>
      <c r="B51" s="4" t="s">
        <v>4829</v>
      </c>
      <c r="C51" s="25">
        <v>1</v>
      </c>
      <c r="D51" s="133" t="s">
        <v>5902</v>
      </c>
      <c r="E51" s="25">
        <v>0.01</v>
      </c>
      <c r="F51" s="133" t="s">
        <v>4798</v>
      </c>
      <c r="G51" s="25">
        <v>0</v>
      </c>
      <c r="H51" s="133" t="s">
        <v>4798</v>
      </c>
      <c r="I51" s="25">
        <v>0</v>
      </c>
      <c r="J51" s="133" t="s">
        <v>4798</v>
      </c>
      <c r="K51" s="25">
        <v>0</v>
      </c>
      <c r="L51" s="133" t="s">
        <v>4798</v>
      </c>
      <c r="M51" s="25">
        <v>0</v>
      </c>
      <c r="N51" s="133" t="s">
        <v>4798</v>
      </c>
      <c r="O51" s="25">
        <v>0</v>
      </c>
      <c r="P51" s="133" t="s">
        <v>4798</v>
      </c>
      <c r="Q51" s="25">
        <v>0</v>
      </c>
      <c r="R51" s="133" t="s">
        <v>4798</v>
      </c>
      <c r="S51" s="25">
        <v>0</v>
      </c>
      <c r="T51" s="133" t="s">
        <v>4798</v>
      </c>
      <c r="U51" s="25">
        <v>0</v>
      </c>
      <c r="V51" s="133" t="s">
        <v>4798</v>
      </c>
      <c r="W51" s="25">
        <v>0</v>
      </c>
      <c r="X51" s="133" t="s">
        <v>4798</v>
      </c>
      <c r="Y51" s="25">
        <v>0</v>
      </c>
      <c r="Z51" s="133" t="s">
        <v>4798</v>
      </c>
    </row>
    <row r="52" spans="1:26" outlineLevel="1" x14ac:dyDescent="0.25">
      <c r="A52" s="4" t="s">
        <v>5918</v>
      </c>
      <c r="B52" s="4" t="s">
        <v>4829</v>
      </c>
      <c r="C52" s="25">
        <v>1</v>
      </c>
      <c r="D52" s="133" t="s">
        <v>5902</v>
      </c>
      <c r="E52" s="25">
        <v>0.01</v>
      </c>
      <c r="F52" s="133" t="s">
        <v>4798</v>
      </c>
      <c r="G52" s="25">
        <v>0</v>
      </c>
      <c r="H52" s="133" t="s">
        <v>4798</v>
      </c>
      <c r="I52" s="25">
        <v>0</v>
      </c>
      <c r="J52" s="133" t="s">
        <v>4798</v>
      </c>
      <c r="K52" s="25">
        <v>0</v>
      </c>
      <c r="L52" s="133" t="s">
        <v>4798</v>
      </c>
      <c r="M52" s="25">
        <v>0</v>
      </c>
      <c r="N52" s="133" t="s">
        <v>4798</v>
      </c>
      <c r="O52" s="25">
        <v>0</v>
      </c>
      <c r="P52" s="133" t="s">
        <v>4798</v>
      </c>
      <c r="Q52" s="25">
        <v>0</v>
      </c>
      <c r="R52" s="133" t="s">
        <v>4798</v>
      </c>
      <c r="S52" s="25">
        <v>0</v>
      </c>
      <c r="T52" s="133" t="s">
        <v>4798</v>
      </c>
      <c r="U52" s="25">
        <v>0</v>
      </c>
      <c r="V52" s="133" t="s">
        <v>4798</v>
      </c>
      <c r="W52" s="25">
        <v>0</v>
      </c>
      <c r="X52" s="133" t="s">
        <v>4798</v>
      </c>
      <c r="Y52" s="25">
        <v>0</v>
      </c>
      <c r="Z52" s="133" t="s">
        <v>4798</v>
      </c>
    </row>
    <row r="53" spans="1:26" outlineLevel="1" x14ac:dyDescent="0.25">
      <c r="A53" s="4" t="s">
        <v>5919</v>
      </c>
      <c r="B53" s="4" t="s">
        <v>4829</v>
      </c>
      <c r="C53" s="25">
        <v>1</v>
      </c>
      <c r="D53" s="133" t="s">
        <v>5902</v>
      </c>
      <c r="E53" s="25">
        <v>0.01</v>
      </c>
      <c r="F53" s="133" t="s">
        <v>4798</v>
      </c>
      <c r="G53" s="25">
        <v>0</v>
      </c>
      <c r="H53" s="133" t="s">
        <v>4798</v>
      </c>
      <c r="I53" s="25">
        <v>0</v>
      </c>
      <c r="J53" s="133" t="s">
        <v>4798</v>
      </c>
      <c r="K53" s="25">
        <v>0</v>
      </c>
      <c r="L53" s="133" t="s">
        <v>4798</v>
      </c>
      <c r="M53" s="25">
        <v>0</v>
      </c>
      <c r="N53" s="133" t="s">
        <v>4798</v>
      </c>
      <c r="O53" s="25">
        <v>0</v>
      </c>
      <c r="P53" s="133" t="s">
        <v>4798</v>
      </c>
      <c r="Q53" s="25">
        <v>0</v>
      </c>
      <c r="R53" s="133" t="s">
        <v>4798</v>
      </c>
      <c r="S53" s="25">
        <v>0</v>
      </c>
      <c r="T53" s="133" t="s">
        <v>4798</v>
      </c>
      <c r="U53" s="25">
        <v>0</v>
      </c>
      <c r="V53" s="133" t="s">
        <v>4798</v>
      </c>
      <c r="W53" s="25">
        <v>0</v>
      </c>
      <c r="X53" s="133" t="s">
        <v>4798</v>
      </c>
      <c r="Y53" s="25">
        <v>0</v>
      </c>
      <c r="Z53" s="133" t="s">
        <v>4798</v>
      </c>
    </row>
    <row r="54" spans="1:26" outlineLevel="1" x14ac:dyDescent="0.25">
      <c r="A54" s="4" t="s">
        <v>5920</v>
      </c>
      <c r="B54" s="4" t="s">
        <v>4829</v>
      </c>
      <c r="C54" s="25">
        <v>1</v>
      </c>
      <c r="D54" s="133" t="s">
        <v>5902</v>
      </c>
      <c r="E54" s="25">
        <v>0.01</v>
      </c>
      <c r="F54" s="133" t="s">
        <v>4798</v>
      </c>
      <c r="G54" s="25">
        <v>0</v>
      </c>
      <c r="H54" s="133" t="s">
        <v>4798</v>
      </c>
      <c r="I54" s="25">
        <v>0</v>
      </c>
      <c r="J54" s="133" t="s">
        <v>4798</v>
      </c>
      <c r="K54" s="25">
        <v>0</v>
      </c>
      <c r="L54" s="133" t="s">
        <v>4798</v>
      </c>
      <c r="M54" s="25">
        <v>0</v>
      </c>
      <c r="N54" s="133" t="s">
        <v>4798</v>
      </c>
      <c r="O54" s="25">
        <v>0</v>
      </c>
      <c r="P54" s="133" t="s">
        <v>4798</v>
      </c>
      <c r="Q54" s="25">
        <v>0</v>
      </c>
      <c r="R54" s="133" t="s">
        <v>4798</v>
      </c>
      <c r="S54" s="25">
        <v>0</v>
      </c>
      <c r="T54" s="133" t="s">
        <v>4798</v>
      </c>
      <c r="U54" s="25">
        <v>0</v>
      </c>
      <c r="V54" s="133" t="s">
        <v>4798</v>
      </c>
      <c r="W54" s="25">
        <v>0</v>
      </c>
      <c r="X54" s="133" t="s">
        <v>4798</v>
      </c>
      <c r="Y54" s="25">
        <v>0</v>
      </c>
      <c r="Z54" s="133" t="s">
        <v>4798</v>
      </c>
    </row>
    <row r="55" spans="1:26" outlineLevel="1" x14ac:dyDescent="0.25">
      <c r="A55" s="4" t="s">
        <v>5921</v>
      </c>
      <c r="B55" s="4" t="s">
        <v>4829</v>
      </c>
      <c r="C55" s="25">
        <v>1</v>
      </c>
      <c r="D55" s="133" t="s">
        <v>5160</v>
      </c>
      <c r="E55" s="25">
        <v>0.01</v>
      </c>
      <c r="F55" s="133" t="s">
        <v>4798</v>
      </c>
      <c r="G55" s="25">
        <v>0</v>
      </c>
      <c r="H55" s="133" t="s">
        <v>4798</v>
      </c>
      <c r="I55" s="25">
        <v>0</v>
      </c>
      <c r="J55" s="133" t="s">
        <v>4798</v>
      </c>
      <c r="K55" s="25">
        <v>0</v>
      </c>
      <c r="L55" s="133" t="s">
        <v>4798</v>
      </c>
      <c r="M55" s="25">
        <v>0</v>
      </c>
      <c r="N55" s="133" t="s">
        <v>4798</v>
      </c>
      <c r="O55" s="25">
        <v>0</v>
      </c>
      <c r="P55" s="133" t="s">
        <v>4798</v>
      </c>
      <c r="Q55" s="25">
        <v>0</v>
      </c>
      <c r="R55" s="133" t="s">
        <v>4798</v>
      </c>
      <c r="S55" s="25">
        <v>0</v>
      </c>
      <c r="T55" s="133" t="s">
        <v>4798</v>
      </c>
      <c r="U55" s="25">
        <v>0</v>
      </c>
      <c r="V55" s="133" t="s">
        <v>4798</v>
      </c>
      <c r="W55" s="25">
        <v>0</v>
      </c>
      <c r="X55" s="133" t="s">
        <v>4798</v>
      </c>
      <c r="Y55" s="25">
        <v>0</v>
      </c>
      <c r="Z55" s="133" t="s">
        <v>4798</v>
      </c>
    </row>
    <row r="56" spans="1:26" x14ac:dyDescent="0.25">
      <c r="A56" s="134" t="s">
        <v>4821</v>
      </c>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x14ac:dyDescent="0.25">
      <c r="A57" s="4" t="s">
        <v>5557</v>
      </c>
      <c r="B57" s="4" t="s">
        <v>5557</v>
      </c>
      <c r="C57" s="135">
        <v>1</v>
      </c>
      <c r="D57" s="4" t="s">
        <v>4897</v>
      </c>
      <c r="E57" s="135">
        <v>0</v>
      </c>
      <c r="F57" s="4" t="s">
        <v>4874</v>
      </c>
      <c r="G57" s="135">
        <v>0</v>
      </c>
      <c r="H57" s="4" t="s">
        <v>4874</v>
      </c>
      <c r="I57" s="135">
        <v>0</v>
      </c>
      <c r="J57" s="4" t="s">
        <v>4874</v>
      </c>
      <c r="K57" s="135">
        <v>0.5</v>
      </c>
      <c r="L57" s="4" t="s">
        <v>4897</v>
      </c>
      <c r="M57" s="135">
        <v>0.25</v>
      </c>
      <c r="N57" s="4" t="s">
        <v>4897</v>
      </c>
      <c r="O57" s="135">
        <v>0</v>
      </c>
      <c r="P57" s="4" t="s">
        <v>4874</v>
      </c>
      <c r="Q57" s="135">
        <v>0</v>
      </c>
      <c r="R57" s="4" t="s">
        <v>4874</v>
      </c>
      <c r="S57" s="135">
        <v>0</v>
      </c>
      <c r="T57" s="4" t="s">
        <v>4874</v>
      </c>
      <c r="U57" s="135">
        <v>0</v>
      </c>
      <c r="V57" s="4" t="s">
        <v>4874</v>
      </c>
      <c r="W57" s="135">
        <v>0.1</v>
      </c>
      <c r="X57" s="4" t="s">
        <v>4897</v>
      </c>
      <c r="Y57" s="135">
        <v>0</v>
      </c>
      <c r="Z57" s="4" t="s">
        <v>4874</v>
      </c>
    </row>
    <row r="58" spans="1:26" x14ac:dyDescent="0.25">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x14ac:dyDescent="0.25">
      <c r="A59" s="4" t="s">
        <v>5523</v>
      </c>
      <c r="B59" s="4" t="s">
        <v>4830</v>
      </c>
      <c r="C59" s="135">
        <v>1</v>
      </c>
      <c r="D59" s="4" t="s">
        <v>5520</v>
      </c>
      <c r="E59" s="135">
        <v>0</v>
      </c>
      <c r="F59" s="4" t="s">
        <v>4874</v>
      </c>
      <c r="G59" s="135">
        <v>0</v>
      </c>
      <c r="H59" s="4" t="s">
        <v>4874</v>
      </c>
      <c r="I59" s="135">
        <v>0</v>
      </c>
      <c r="J59" s="4" t="s">
        <v>4874</v>
      </c>
      <c r="K59" s="135">
        <v>0.25</v>
      </c>
      <c r="L59" s="136" t="s">
        <v>4911</v>
      </c>
      <c r="M59" s="135">
        <v>0.25</v>
      </c>
      <c r="N59" s="4" t="s">
        <v>5520</v>
      </c>
      <c r="O59" s="135">
        <v>0</v>
      </c>
      <c r="P59" s="4" t="s">
        <v>4874</v>
      </c>
      <c r="Q59" s="135">
        <v>0</v>
      </c>
      <c r="R59" s="4" t="s">
        <v>4874</v>
      </c>
      <c r="S59" s="135">
        <v>0</v>
      </c>
      <c r="T59" s="4" t="s">
        <v>4874</v>
      </c>
      <c r="U59" s="135">
        <v>0</v>
      </c>
      <c r="V59" s="4" t="s">
        <v>4874</v>
      </c>
      <c r="W59" s="135">
        <v>0.25</v>
      </c>
      <c r="X59" s="4" t="s">
        <v>4911</v>
      </c>
      <c r="Y59" s="135">
        <v>0</v>
      </c>
      <c r="Z59" s="4" t="s">
        <v>4874</v>
      </c>
    </row>
    <row r="60" spans="1:26" x14ac:dyDescent="0.25">
      <c r="A60" s="4" t="s">
        <v>5522</v>
      </c>
      <c r="B60" s="4" t="s">
        <v>4830</v>
      </c>
      <c r="C60" s="135">
        <v>1</v>
      </c>
      <c r="D60" s="4" t="s">
        <v>5520</v>
      </c>
      <c r="E60" s="135">
        <v>0</v>
      </c>
      <c r="F60" s="4" t="s">
        <v>4874</v>
      </c>
      <c r="G60" s="135">
        <v>0</v>
      </c>
      <c r="H60" s="4" t="s">
        <v>4874</v>
      </c>
      <c r="I60" s="135">
        <v>0</v>
      </c>
      <c r="J60" s="4" t="s">
        <v>4874</v>
      </c>
      <c r="K60" s="135">
        <v>0.25</v>
      </c>
      <c r="L60" s="136" t="s">
        <v>4911</v>
      </c>
      <c r="M60" s="135">
        <v>0</v>
      </c>
      <c r="N60" s="4" t="s">
        <v>4874</v>
      </c>
      <c r="O60" s="135">
        <v>0</v>
      </c>
      <c r="P60" s="4" t="s">
        <v>4874</v>
      </c>
      <c r="Q60" s="135">
        <v>0</v>
      </c>
      <c r="R60" s="4" t="s">
        <v>4874</v>
      </c>
      <c r="S60" s="135">
        <v>0</v>
      </c>
      <c r="T60" s="4" t="s">
        <v>4874</v>
      </c>
      <c r="U60" s="135">
        <v>0</v>
      </c>
      <c r="V60" s="4" t="s">
        <v>4874</v>
      </c>
      <c r="W60" s="135">
        <v>0.25</v>
      </c>
      <c r="X60" s="4" t="s">
        <v>4911</v>
      </c>
      <c r="Y60" s="135">
        <v>0</v>
      </c>
      <c r="Z60" s="4" t="s">
        <v>4874</v>
      </c>
    </row>
    <row r="61" spans="1:26" x14ac:dyDescent="0.25">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x14ac:dyDescent="0.25">
      <c r="A62" s="4" t="s">
        <v>5555</v>
      </c>
      <c r="B62" s="4" t="s">
        <v>4831</v>
      </c>
      <c r="C62" s="135">
        <v>1</v>
      </c>
      <c r="D62" s="4" t="s">
        <v>4918</v>
      </c>
      <c r="E62" s="135">
        <v>0</v>
      </c>
      <c r="F62" s="4" t="s">
        <v>4918</v>
      </c>
      <c r="G62" s="135">
        <v>0</v>
      </c>
      <c r="H62" s="4" t="s">
        <v>4798</v>
      </c>
      <c r="I62" s="135">
        <v>0</v>
      </c>
      <c r="J62" s="4" t="s">
        <v>4798</v>
      </c>
      <c r="K62" s="135">
        <v>0.01</v>
      </c>
      <c r="L62" s="4" t="s">
        <v>4918</v>
      </c>
      <c r="M62" s="135">
        <v>0</v>
      </c>
      <c r="N62" s="4" t="s">
        <v>4918</v>
      </c>
      <c r="O62" s="135">
        <v>0</v>
      </c>
      <c r="P62" s="4" t="s">
        <v>4798</v>
      </c>
      <c r="Q62" s="135">
        <v>0</v>
      </c>
      <c r="R62" s="4" t="s">
        <v>4798</v>
      </c>
      <c r="S62" s="135">
        <v>0</v>
      </c>
      <c r="T62" s="4" t="s">
        <v>4798</v>
      </c>
      <c r="U62" s="135">
        <v>0.9</v>
      </c>
      <c r="V62" s="4" t="s">
        <v>4918</v>
      </c>
      <c r="W62" s="135">
        <v>0.01</v>
      </c>
      <c r="X62" s="4" t="s">
        <v>4918</v>
      </c>
      <c r="Y62" s="135">
        <v>0</v>
      </c>
      <c r="Z62" s="4" t="s">
        <v>4798</v>
      </c>
    </row>
    <row r="63" spans="1:26" x14ac:dyDescent="0.25">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x14ac:dyDescent="0.25">
      <c r="A64" s="4" t="s">
        <v>4690</v>
      </c>
      <c r="B64" s="4" t="s">
        <v>4836</v>
      </c>
      <c r="C64" s="135">
        <v>1</v>
      </c>
      <c r="D64" s="4" t="s">
        <v>5124</v>
      </c>
      <c r="E64" s="135">
        <v>0</v>
      </c>
      <c r="F64" s="4" t="s">
        <v>5124</v>
      </c>
      <c r="G64" s="135">
        <v>0</v>
      </c>
      <c r="H64" s="4" t="s">
        <v>4874</v>
      </c>
      <c r="I64" s="135">
        <v>0</v>
      </c>
      <c r="J64" s="4" t="s">
        <v>4874</v>
      </c>
      <c r="K64" s="135">
        <v>0.5</v>
      </c>
      <c r="L64" s="4" t="s">
        <v>5124</v>
      </c>
      <c r="M64" s="135">
        <v>0.5</v>
      </c>
      <c r="N64" s="4" t="s">
        <v>5124</v>
      </c>
      <c r="O64" s="135">
        <v>0</v>
      </c>
      <c r="P64" s="4" t="s">
        <v>4874</v>
      </c>
      <c r="Q64" s="135">
        <v>0</v>
      </c>
      <c r="R64" s="4" t="s">
        <v>4874</v>
      </c>
      <c r="S64" s="135">
        <v>0</v>
      </c>
      <c r="T64" s="4" t="s">
        <v>4874</v>
      </c>
      <c r="U64" s="135">
        <v>0</v>
      </c>
      <c r="V64" s="4" t="s">
        <v>4874</v>
      </c>
      <c r="W64" s="135">
        <v>0</v>
      </c>
      <c r="X64" s="4" t="s">
        <v>5124</v>
      </c>
      <c r="Y64" s="135">
        <v>0</v>
      </c>
      <c r="Z64" s="4" t="s">
        <v>4874</v>
      </c>
    </row>
    <row r="65" spans="1:26" x14ac:dyDescent="0.25">
      <c r="A65" s="4" t="s">
        <v>28</v>
      </c>
      <c r="B65" s="4" t="s">
        <v>4836</v>
      </c>
      <c r="C65" s="135">
        <v>1</v>
      </c>
      <c r="D65" s="4" t="s">
        <v>5124</v>
      </c>
      <c r="E65" s="135">
        <v>0</v>
      </c>
      <c r="F65" s="4" t="s">
        <v>5124</v>
      </c>
      <c r="G65" s="135">
        <v>0</v>
      </c>
      <c r="H65" s="4" t="s">
        <v>4874</v>
      </c>
      <c r="I65" s="135">
        <v>0</v>
      </c>
      <c r="J65" s="4" t="s">
        <v>4874</v>
      </c>
      <c r="K65" s="135">
        <v>0.5</v>
      </c>
      <c r="L65" s="4" t="s">
        <v>5124</v>
      </c>
      <c r="M65" s="135">
        <v>0.5</v>
      </c>
      <c r="N65" s="4" t="s">
        <v>5124</v>
      </c>
      <c r="O65" s="135">
        <v>0</v>
      </c>
      <c r="P65" s="4" t="s">
        <v>4874</v>
      </c>
      <c r="Q65" s="135">
        <v>0</v>
      </c>
      <c r="R65" s="4" t="s">
        <v>4874</v>
      </c>
      <c r="S65" s="135">
        <v>0</v>
      </c>
      <c r="T65" s="4" t="s">
        <v>4874</v>
      </c>
      <c r="U65" s="135">
        <v>0</v>
      </c>
      <c r="V65" s="4" t="s">
        <v>4874</v>
      </c>
      <c r="W65" s="135">
        <v>0</v>
      </c>
      <c r="X65" s="4" t="s">
        <v>5124</v>
      </c>
      <c r="Y65" s="135">
        <v>0</v>
      </c>
      <c r="Z65" s="4" t="s">
        <v>4874</v>
      </c>
    </row>
    <row r="66" spans="1:26" x14ac:dyDescent="0.25">
      <c r="A66" s="4" t="s">
        <v>29</v>
      </c>
      <c r="B66" s="4" t="s">
        <v>4836</v>
      </c>
      <c r="C66" s="135">
        <v>1</v>
      </c>
      <c r="D66" s="4" t="s">
        <v>5124</v>
      </c>
      <c r="E66" s="135">
        <v>0</v>
      </c>
      <c r="F66" s="4" t="s">
        <v>5124</v>
      </c>
      <c r="G66" s="135">
        <v>0</v>
      </c>
      <c r="H66" s="4" t="s">
        <v>4874</v>
      </c>
      <c r="I66" s="135">
        <v>0</v>
      </c>
      <c r="J66" s="4" t="s">
        <v>4874</v>
      </c>
      <c r="K66" s="135">
        <v>0</v>
      </c>
      <c r="L66" s="4" t="s">
        <v>5124</v>
      </c>
      <c r="M66" s="135">
        <v>0</v>
      </c>
      <c r="N66" s="4" t="s">
        <v>5124</v>
      </c>
      <c r="O66" s="135">
        <v>0</v>
      </c>
      <c r="P66" s="4" t="s">
        <v>4874</v>
      </c>
      <c r="Q66" s="135">
        <v>0</v>
      </c>
      <c r="R66" s="4" t="s">
        <v>4874</v>
      </c>
      <c r="S66" s="135">
        <v>0</v>
      </c>
      <c r="T66" s="4" t="s">
        <v>4874</v>
      </c>
      <c r="U66" s="135">
        <v>0</v>
      </c>
      <c r="V66" s="4" t="s">
        <v>4874</v>
      </c>
      <c r="W66" s="135">
        <v>0</v>
      </c>
      <c r="X66" s="4" t="s">
        <v>5124</v>
      </c>
      <c r="Y66" s="135">
        <v>0</v>
      </c>
      <c r="Z66" s="4" t="s">
        <v>4874</v>
      </c>
    </row>
    <row r="67" spans="1:26" x14ac:dyDescent="0.25">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x14ac:dyDescent="0.25">
      <c r="A68" s="4" t="s">
        <v>5493</v>
      </c>
      <c r="B68" s="4" t="s">
        <v>4837</v>
      </c>
      <c r="C68" s="135">
        <v>1</v>
      </c>
      <c r="D68" s="4" t="s">
        <v>5594</v>
      </c>
      <c r="E68" s="135">
        <v>0</v>
      </c>
      <c r="F68" s="4" t="s">
        <v>4874</v>
      </c>
      <c r="G68" s="135">
        <v>0</v>
      </c>
      <c r="H68" s="4" t="s">
        <v>4874</v>
      </c>
      <c r="I68" s="135">
        <v>0</v>
      </c>
      <c r="J68" s="4" t="s">
        <v>4874</v>
      </c>
      <c r="K68" s="135">
        <v>0.25</v>
      </c>
      <c r="L68" s="4" t="s">
        <v>5594</v>
      </c>
      <c r="M68" s="135">
        <v>0.25</v>
      </c>
      <c r="N68" s="4" t="s">
        <v>5594</v>
      </c>
      <c r="O68" s="135">
        <v>0</v>
      </c>
      <c r="P68" s="4" t="s">
        <v>4874</v>
      </c>
      <c r="Q68" s="135">
        <v>0</v>
      </c>
      <c r="R68" s="4" t="s">
        <v>4874</v>
      </c>
      <c r="S68" s="135">
        <v>0</v>
      </c>
      <c r="T68" s="4" t="s">
        <v>4874</v>
      </c>
      <c r="U68" s="135">
        <v>0.2</v>
      </c>
      <c r="V68" s="4" t="s">
        <v>5594</v>
      </c>
      <c r="W68" s="135">
        <v>0.25</v>
      </c>
      <c r="X68" s="4" t="s">
        <v>5594</v>
      </c>
      <c r="Y68" s="135">
        <v>0</v>
      </c>
      <c r="Z68" s="4" t="s">
        <v>4874</v>
      </c>
    </row>
    <row r="69" spans="1:26" x14ac:dyDescent="0.25">
      <c r="A69" s="4" t="s">
        <v>5494</v>
      </c>
      <c r="B69" s="4" t="s">
        <v>4837</v>
      </c>
      <c r="C69" s="135">
        <v>1</v>
      </c>
      <c r="D69" s="4" t="s">
        <v>5594</v>
      </c>
      <c r="E69" s="135">
        <v>0</v>
      </c>
      <c r="F69" s="4" t="s">
        <v>4874</v>
      </c>
      <c r="G69" s="135">
        <v>0</v>
      </c>
      <c r="H69" s="4" t="s">
        <v>4874</v>
      </c>
      <c r="I69" s="135">
        <v>0</v>
      </c>
      <c r="J69" s="4" t="s">
        <v>4874</v>
      </c>
      <c r="K69" s="135">
        <v>0.25</v>
      </c>
      <c r="L69" s="136" t="s">
        <v>5594</v>
      </c>
      <c r="M69" s="135">
        <v>0.25</v>
      </c>
      <c r="N69" s="4" t="s">
        <v>5594</v>
      </c>
      <c r="O69" s="135">
        <v>0</v>
      </c>
      <c r="P69" s="4" t="s">
        <v>4874</v>
      </c>
      <c r="Q69" s="135">
        <v>0</v>
      </c>
      <c r="R69" s="4" t="s">
        <v>4874</v>
      </c>
      <c r="S69" s="135">
        <v>0</v>
      </c>
      <c r="T69" s="4" t="s">
        <v>4874</v>
      </c>
      <c r="U69" s="135">
        <v>0.05</v>
      </c>
      <c r="V69" s="4" t="s">
        <v>5594</v>
      </c>
      <c r="W69" s="135">
        <v>0.25</v>
      </c>
      <c r="X69" s="4" t="s">
        <v>5594</v>
      </c>
      <c r="Y69" s="135">
        <v>0</v>
      </c>
      <c r="Z69" s="4" t="s">
        <v>4874</v>
      </c>
    </row>
    <row r="70" spans="1:26" x14ac:dyDescent="0.25">
      <c r="A70" s="4" t="s">
        <v>5495</v>
      </c>
      <c r="B70" s="4" t="s">
        <v>4837</v>
      </c>
      <c r="C70" s="135">
        <v>1</v>
      </c>
      <c r="D70" s="4" t="s">
        <v>5594</v>
      </c>
      <c r="E70" s="135">
        <v>0</v>
      </c>
      <c r="F70" s="4" t="s">
        <v>4874</v>
      </c>
      <c r="G70" s="135">
        <v>0</v>
      </c>
      <c r="H70" s="4" t="s">
        <v>4874</v>
      </c>
      <c r="I70" s="135">
        <v>0</v>
      </c>
      <c r="J70" s="4" t="s">
        <v>4874</v>
      </c>
      <c r="K70" s="135">
        <v>0.25</v>
      </c>
      <c r="L70" s="136" t="s">
        <v>5594</v>
      </c>
      <c r="M70" s="135">
        <v>0.25</v>
      </c>
      <c r="N70" s="4" t="s">
        <v>5594</v>
      </c>
      <c r="O70" s="135">
        <v>0</v>
      </c>
      <c r="P70" s="4" t="s">
        <v>4874</v>
      </c>
      <c r="Q70" s="135">
        <v>0</v>
      </c>
      <c r="R70" s="4" t="s">
        <v>4874</v>
      </c>
      <c r="S70" s="135">
        <v>0</v>
      </c>
      <c r="T70" s="4" t="s">
        <v>4874</v>
      </c>
      <c r="U70" s="135">
        <v>0</v>
      </c>
      <c r="V70" s="4" t="s">
        <v>4874</v>
      </c>
      <c r="W70" s="135">
        <v>0.25</v>
      </c>
      <c r="X70" s="4" t="s">
        <v>5594</v>
      </c>
      <c r="Y70" s="135">
        <v>0</v>
      </c>
      <c r="Z70" s="4" t="s">
        <v>4874</v>
      </c>
    </row>
    <row r="71" spans="1:26" x14ac:dyDescent="0.25">
      <c r="A71" s="4" t="s">
        <v>5496</v>
      </c>
      <c r="B71" s="4" t="s">
        <v>4837</v>
      </c>
      <c r="C71" s="135">
        <v>1</v>
      </c>
      <c r="D71" s="4" t="s">
        <v>5594</v>
      </c>
      <c r="E71" s="135">
        <v>0</v>
      </c>
      <c r="F71" s="4" t="s">
        <v>4874</v>
      </c>
      <c r="G71" s="135">
        <v>0</v>
      </c>
      <c r="H71" s="4" t="s">
        <v>4874</v>
      </c>
      <c r="I71" s="135">
        <v>0</v>
      </c>
      <c r="J71" s="4" t="s">
        <v>4874</v>
      </c>
      <c r="K71" s="135">
        <v>0</v>
      </c>
      <c r="L71" s="136" t="s">
        <v>4874</v>
      </c>
      <c r="M71" s="135">
        <v>0.25</v>
      </c>
      <c r="N71" s="4" t="s">
        <v>5594</v>
      </c>
      <c r="O71" s="135">
        <v>0</v>
      </c>
      <c r="P71" s="4" t="s">
        <v>4874</v>
      </c>
      <c r="Q71" s="135">
        <v>0</v>
      </c>
      <c r="R71" s="4" t="s">
        <v>4874</v>
      </c>
      <c r="S71" s="135">
        <v>0</v>
      </c>
      <c r="T71" s="4" t="s">
        <v>4874</v>
      </c>
      <c r="U71" s="135">
        <v>0</v>
      </c>
      <c r="V71" s="4" t="s">
        <v>4874</v>
      </c>
      <c r="W71" s="135">
        <v>0</v>
      </c>
      <c r="X71" s="4" t="s">
        <v>4874</v>
      </c>
      <c r="Y71" s="135">
        <v>0</v>
      </c>
      <c r="Z71" s="4" t="s">
        <v>4874</v>
      </c>
    </row>
    <row r="72" spans="1:26" x14ac:dyDescent="0.25">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x14ac:dyDescent="0.25">
      <c r="A73" s="4" t="s">
        <v>5498</v>
      </c>
      <c r="B73" s="4" t="s">
        <v>5498</v>
      </c>
      <c r="C73" s="135">
        <v>1</v>
      </c>
      <c r="D73" s="4" t="s">
        <v>5134</v>
      </c>
      <c r="E73" s="135">
        <v>0</v>
      </c>
      <c r="F73" s="4" t="s">
        <v>5134</v>
      </c>
      <c r="G73" s="135">
        <v>0</v>
      </c>
      <c r="H73" s="4" t="s">
        <v>5134</v>
      </c>
      <c r="I73" s="135">
        <v>0</v>
      </c>
      <c r="J73" s="4" t="s">
        <v>5134</v>
      </c>
      <c r="K73" s="135">
        <v>0.2</v>
      </c>
      <c r="L73" s="4" t="s">
        <v>5134</v>
      </c>
      <c r="M73" s="135">
        <v>0</v>
      </c>
      <c r="N73" s="4" t="s">
        <v>5134</v>
      </c>
      <c r="O73" s="135">
        <v>0</v>
      </c>
      <c r="P73" s="4" t="s">
        <v>5593</v>
      </c>
      <c r="Q73" s="135">
        <v>0</v>
      </c>
      <c r="R73" s="4" t="s">
        <v>5593</v>
      </c>
      <c r="S73" s="135">
        <v>0</v>
      </c>
      <c r="T73" s="4" t="s">
        <v>5593</v>
      </c>
      <c r="U73" s="135">
        <v>0</v>
      </c>
      <c r="V73" s="4" t="s">
        <v>5593</v>
      </c>
      <c r="W73" s="135">
        <v>0.2</v>
      </c>
      <c r="X73" s="4" t="s">
        <v>5556</v>
      </c>
      <c r="Y73" s="135">
        <v>0</v>
      </c>
      <c r="Z73" s="4" t="s">
        <v>5593</v>
      </c>
    </row>
    <row r="74" spans="1:26" x14ac:dyDescent="0.25">
      <c r="A74" s="4" t="s">
        <v>5499</v>
      </c>
      <c r="B74" s="4" t="s">
        <v>5499</v>
      </c>
      <c r="C74" s="135">
        <v>1</v>
      </c>
      <c r="D74" s="4" t="s">
        <v>5134</v>
      </c>
      <c r="E74" s="135">
        <v>0</v>
      </c>
      <c r="F74" s="4" t="s">
        <v>5134</v>
      </c>
      <c r="G74" s="135">
        <v>0</v>
      </c>
      <c r="H74" s="4" t="s">
        <v>5134</v>
      </c>
      <c r="I74" s="135">
        <v>0</v>
      </c>
      <c r="J74" s="4" t="s">
        <v>5134</v>
      </c>
      <c r="K74" s="135">
        <v>0.2</v>
      </c>
      <c r="L74" s="4" t="s">
        <v>5134</v>
      </c>
      <c r="M74" s="135">
        <v>0</v>
      </c>
      <c r="N74" s="4" t="s">
        <v>5134</v>
      </c>
      <c r="O74" s="135">
        <v>0</v>
      </c>
      <c r="P74" s="4" t="s">
        <v>5593</v>
      </c>
      <c r="Q74" s="135">
        <v>0</v>
      </c>
      <c r="R74" s="4" t="s">
        <v>5593</v>
      </c>
      <c r="S74" s="135">
        <v>0</v>
      </c>
      <c r="T74" s="4" t="s">
        <v>5593</v>
      </c>
      <c r="U74" s="135">
        <v>0</v>
      </c>
      <c r="V74" s="4" t="s">
        <v>5593</v>
      </c>
      <c r="W74" s="135">
        <v>0.2</v>
      </c>
      <c r="X74" s="4" t="s">
        <v>5556</v>
      </c>
      <c r="Y74" s="135">
        <v>0</v>
      </c>
      <c r="Z74" s="4" t="s">
        <v>5593</v>
      </c>
    </row>
    <row r="75" spans="1:26" x14ac:dyDescent="0.25">
      <c r="A75" s="4" t="s">
        <v>5500</v>
      </c>
      <c r="B75" s="4" t="s">
        <v>5500</v>
      </c>
      <c r="C75" s="135">
        <v>1</v>
      </c>
      <c r="D75" s="4" t="s">
        <v>5134</v>
      </c>
      <c r="E75" s="135">
        <v>0</v>
      </c>
      <c r="F75" s="4" t="s">
        <v>5134</v>
      </c>
      <c r="G75" s="135">
        <v>0</v>
      </c>
      <c r="H75" s="4" t="s">
        <v>5134</v>
      </c>
      <c r="I75" s="135">
        <v>0</v>
      </c>
      <c r="J75" s="4" t="s">
        <v>5134</v>
      </c>
      <c r="K75" s="135">
        <v>0.2</v>
      </c>
      <c r="L75" s="4" t="s">
        <v>5134</v>
      </c>
      <c r="M75" s="135">
        <v>0</v>
      </c>
      <c r="N75" s="4" t="s">
        <v>5134</v>
      </c>
      <c r="O75" s="135">
        <v>0</v>
      </c>
      <c r="P75" s="4" t="s">
        <v>5593</v>
      </c>
      <c r="Q75" s="135">
        <v>0</v>
      </c>
      <c r="R75" s="4" t="s">
        <v>5593</v>
      </c>
      <c r="S75" s="135">
        <v>0</v>
      </c>
      <c r="T75" s="4" t="s">
        <v>5593</v>
      </c>
      <c r="U75" s="135">
        <v>0</v>
      </c>
      <c r="V75" s="4" t="s">
        <v>5593</v>
      </c>
      <c r="W75" s="135">
        <v>0.2</v>
      </c>
      <c r="X75" s="4" t="s">
        <v>5556</v>
      </c>
      <c r="Y75" s="135">
        <v>0</v>
      </c>
      <c r="Z75" s="4" t="s">
        <v>5593</v>
      </c>
    </row>
    <row r="76" spans="1:26" x14ac:dyDescent="0.25">
      <c r="A76" s="4" t="s">
        <v>5501</v>
      </c>
      <c r="B76" s="4" t="s">
        <v>5501</v>
      </c>
      <c r="C76" s="135">
        <v>1</v>
      </c>
      <c r="D76" s="4" t="s">
        <v>5134</v>
      </c>
      <c r="E76" s="135">
        <v>0</v>
      </c>
      <c r="F76" s="4" t="s">
        <v>5134</v>
      </c>
      <c r="G76" s="135">
        <v>0</v>
      </c>
      <c r="H76" s="4" t="s">
        <v>5134</v>
      </c>
      <c r="I76" s="135">
        <v>0</v>
      </c>
      <c r="J76" s="4" t="s">
        <v>5134</v>
      </c>
      <c r="K76" s="135">
        <v>0.5</v>
      </c>
      <c r="L76" s="136" t="s">
        <v>5134</v>
      </c>
      <c r="M76" s="135">
        <v>0</v>
      </c>
      <c r="N76" s="4" t="s">
        <v>5134</v>
      </c>
      <c r="O76" s="135">
        <v>0</v>
      </c>
      <c r="P76" s="4" t="s">
        <v>5593</v>
      </c>
      <c r="Q76" s="135">
        <v>0</v>
      </c>
      <c r="R76" s="4" t="s">
        <v>5593</v>
      </c>
      <c r="S76" s="135">
        <v>0</v>
      </c>
      <c r="T76" s="4" t="s">
        <v>5593</v>
      </c>
      <c r="U76" s="135">
        <v>0</v>
      </c>
      <c r="V76" s="4" t="s">
        <v>5593</v>
      </c>
      <c r="W76" s="135">
        <v>0.5</v>
      </c>
      <c r="X76" s="4" t="s">
        <v>5134</v>
      </c>
      <c r="Y76" s="135">
        <v>0</v>
      </c>
      <c r="Z76" s="4" t="s">
        <v>5593</v>
      </c>
    </row>
    <row r="77" spans="1:26" x14ac:dyDescent="0.25">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x14ac:dyDescent="0.25">
      <c r="A78" s="4" t="s">
        <v>5504</v>
      </c>
      <c r="B78" s="4" t="s">
        <v>4835</v>
      </c>
      <c r="C78" s="135">
        <v>1</v>
      </c>
      <c r="D78" s="4" t="s">
        <v>5146</v>
      </c>
      <c r="E78" s="135">
        <v>0</v>
      </c>
      <c r="F78" s="4" t="s">
        <v>4874</v>
      </c>
      <c r="G78" s="135">
        <v>0</v>
      </c>
      <c r="H78" s="4" t="s">
        <v>4874</v>
      </c>
      <c r="I78" s="135">
        <v>0</v>
      </c>
      <c r="J78" s="4" t="s">
        <v>4874</v>
      </c>
      <c r="K78" s="135">
        <v>0</v>
      </c>
      <c r="L78" s="136" t="s">
        <v>4874</v>
      </c>
      <c r="M78" s="135">
        <v>0</v>
      </c>
      <c r="N78" s="4" t="s">
        <v>4874</v>
      </c>
      <c r="O78" s="135">
        <v>0</v>
      </c>
      <c r="P78" s="4" t="s">
        <v>4874</v>
      </c>
      <c r="Q78" s="135">
        <v>0</v>
      </c>
      <c r="R78" s="4" t="s">
        <v>4874</v>
      </c>
      <c r="S78" s="135">
        <v>0</v>
      </c>
      <c r="T78" s="4" t="s">
        <v>4874</v>
      </c>
      <c r="U78" s="135">
        <v>0</v>
      </c>
      <c r="V78" s="4" t="s">
        <v>4874</v>
      </c>
      <c r="W78" s="135">
        <v>0</v>
      </c>
      <c r="X78" s="4" t="s">
        <v>4874</v>
      </c>
      <c r="Y78" s="135">
        <v>0</v>
      </c>
      <c r="Z78" s="4" t="s">
        <v>4874</v>
      </c>
    </row>
    <row r="79" spans="1:26" x14ac:dyDescent="0.25">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x14ac:dyDescent="0.25">
      <c r="A80" s="4" t="s">
        <v>5515</v>
      </c>
      <c r="B80" s="4" t="s">
        <v>4834</v>
      </c>
      <c r="C80" s="135">
        <v>1</v>
      </c>
      <c r="D80" s="4" t="s">
        <v>5163</v>
      </c>
      <c r="E80" s="135">
        <v>0</v>
      </c>
      <c r="F80" s="4" t="s">
        <v>4874</v>
      </c>
      <c r="G80" s="135">
        <v>0</v>
      </c>
      <c r="H80" s="4" t="s">
        <v>4874</v>
      </c>
      <c r="I80" s="135">
        <v>0</v>
      </c>
      <c r="J80" s="4" t="s">
        <v>4874</v>
      </c>
      <c r="K80" s="135">
        <v>0</v>
      </c>
      <c r="L80" s="136" t="s">
        <v>4874</v>
      </c>
      <c r="M80" s="135">
        <v>0</v>
      </c>
      <c r="N80" s="4" t="s">
        <v>4874</v>
      </c>
      <c r="O80" s="135">
        <v>0</v>
      </c>
      <c r="P80" s="4" t="s">
        <v>4874</v>
      </c>
      <c r="Q80" s="135">
        <v>0</v>
      </c>
      <c r="R80" s="4" t="s">
        <v>4874</v>
      </c>
      <c r="S80" s="135">
        <v>0</v>
      </c>
      <c r="T80" s="4" t="s">
        <v>4874</v>
      </c>
      <c r="U80" s="135">
        <v>0</v>
      </c>
      <c r="V80" s="4" t="s">
        <v>4874</v>
      </c>
      <c r="W80" s="135">
        <v>0</v>
      </c>
      <c r="X80" s="4" t="s">
        <v>4874</v>
      </c>
      <c r="Y80" s="135">
        <v>0</v>
      </c>
      <c r="Z80" s="4" t="s">
        <v>4874</v>
      </c>
    </row>
    <row r="81" spans="1:26" x14ac:dyDescent="0.25">
      <c r="A81" s="4" t="s">
        <v>5516</v>
      </c>
      <c r="B81" s="4" t="s">
        <v>4834</v>
      </c>
      <c r="C81" s="135">
        <v>1</v>
      </c>
      <c r="D81" s="4" t="s">
        <v>5163</v>
      </c>
      <c r="E81" s="135">
        <v>0</v>
      </c>
      <c r="F81" s="4" t="s">
        <v>4874</v>
      </c>
      <c r="G81" s="135">
        <v>0</v>
      </c>
      <c r="H81" s="4" t="s">
        <v>4874</v>
      </c>
      <c r="I81" s="135">
        <v>0</v>
      </c>
      <c r="J81" s="4" t="s">
        <v>4874</v>
      </c>
      <c r="K81" s="135">
        <v>0</v>
      </c>
      <c r="L81" s="136" t="s">
        <v>4874</v>
      </c>
      <c r="M81" s="135">
        <v>0</v>
      </c>
      <c r="N81" s="4" t="s">
        <v>4874</v>
      </c>
      <c r="O81" s="135">
        <v>0</v>
      </c>
      <c r="P81" s="4" t="s">
        <v>4874</v>
      </c>
      <c r="Q81" s="135">
        <v>0</v>
      </c>
      <c r="R81" s="4" t="s">
        <v>4874</v>
      </c>
      <c r="S81" s="135">
        <v>0</v>
      </c>
      <c r="T81" s="4" t="s">
        <v>4874</v>
      </c>
      <c r="U81" s="135">
        <v>0</v>
      </c>
      <c r="V81" s="4" t="s">
        <v>4874</v>
      </c>
      <c r="W81" s="135">
        <v>0</v>
      </c>
      <c r="X81" s="4" t="s">
        <v>4874</v>
      </c>
      <c r="Y81" s="135">
        <v>0</v>
      </c>
      <c r="Z81" s="4" t="s">
        <v>4874</v>
      </c>
    </row>
    <row r="82" spans="1:26" x14ac:dyDescent="0.25">
      <c r="A82" s="4" t="s">
        <v>5517</v>
      </c>
      <c r="B82" s="4" t="s">
        <v>4834</v>
      </c>
      <c r="C82" s="135">
        <v>1</v>
      </c>
      <c r="D82" s="4" t="s">
        <v>5163</v>
      </c>
      <c r="E82" s="135">
        <v>0</v>
      </c>
      <c r="F82" s="4" t="s">
        <v>4874</v>
      </c>
      <c r="G82" s="135">
        <v>0</v>
      </c>
      <c r="H82" s="4" t="s">
        <v>4874</v>
      </c>
      <c r="I82" s="135">
        <v>0</v>
      </c>
      <c r="J82" s="4" t="s">
        <v>4874</v>
      </c>
      <c r="K82" s="135">
        <v>0</v>
      </c>
      <c r="L82" s="136" t="s">
        <v>4874</v>
      </c>
      <c r="M82" s="135">
        <v>0</v>
      </c>
      <c r="N82" s="4" t="s">
        <v>4874</v>
      </c>
      <c r="O82" s="135">
        <v>0</v>
      </c>
      <c r="P82" s="4" t="s">
        <v>4874</v>
      </c>
      <c r="Q82" s="135">
        <v>0</v>
      </c>
      <c r="R82" s="4" t="s">
        <v>4874</v>
      </c>
      <c r="S82" s="135">
        <v>0</v>
      </c>
      <c r="T82" s="4" t="s">
        <v>4874</v>
      </c>
      <c r="U82" s="135">
        <v>0</v>
      </c>
      <c r="V82" s="4" t="s">
        <v>4874</v>
      </c>
      <c r="W82" s="135">
        <v>0</v>
      </c>
      <c r="X82" s="4" t="s">
        <v>4874</v>
      </c>
      <c r="Y82" s="135">
        <v>0</v>
      </c>
      <c r="Z82" s="4" t="s">
        <v>4874</v>
      </c>
    </row>
    <row r="83" spans="1:26" x14ac:dyDescent="0.25">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x14ac:dyDescent="0.25">
      <c r="A84" s="52" t="s">
        <v>5524</v>
      </c>
      <c r="B84" s="52" t="s">
        <v>4832</v>
      </c>
      <c r="C84" s="135">
        <v>1</v>
      </c>
      <c r="D84" s="4" t="s">
        <v>5159</v>
      </c>
      <c r="E84" s="135">
        <v>0</v>
      </c>
      <c r="F84" s="4" t="s">
        <v>4874</v>
      </c>
      <c r="G84" s="135">
        <v>0</v>
      </c>
      <c r="H84" s="4" t="s">
        <v>4874</v>
      </c>
      <c r="I84" s="135">
        <v>0</v>
      </c>
      <c r="J84" s="4" t="s">
        <v>4874</v>
      </c>
      <c r="K84" s="135">
        <v>0</v>
      </c>
      <c r="L84" s="4" t="s">
        <v>4874</v>
      </c>
      <c r="M84" s="135">
        <v>0</v>
      </c>
      <c r="N84" s="4" t="s">
        <v>4874</v>
      </c>
      <c r="O84" s="135">
        <v>0</v>
      </c>
      <c r="P84" s="4" t="s">
        <v>4874</v>
      </c>
      <c r="Q84" s="135">
        <v>0</v>
      </c>
      <c r="R84" s="4" t="s">
        <v>4874</v>
      </c>
      <c r="S84" s="135">
        <v>0</v>
      </c>
      <c r="T84" s="4" t="s">
        <v>4874</v>
      </c>
      <c r="U84" s="135">
        <v>0.4</v>
      </c>
      <c r="V84" s="4" t="s">
        <v>99</v>
      </c>
      <c r="W84" s="135">
        <v>0</v>
      </c>
      <c r="X84" s="4" t="s">
        <v>4874</v>
      </c>
      <c r="Y84" s="135">
        <v>0</v>
      </c>
      <c r="Z84" s="4" t="s">
        <v>4874</v>
      </c>
    </row>
    <row r="85" spans="1:26" x14ac:dyDescent="0.25">
      <c r="A85" s="52" t="s">
        <v>5525</v>
      </c>
      <c r="B85" s="52" t="s">
        <v>4832</v>
      </c>
      <c r="C85" s="135">
        <v>1</v>
      </c>
      <c r="D85" s="4" t="s">
        <v>5159</v>
      </c>
      <c r="E85" s="135">
        <v>0</v>
      </c>
      <c r="F85" s="4" t="s">
        <v>4874</v>
      </c>
      <c r="G85" s="135">
        <v>0</v>
      </c>
      <c r="H85" s="4" t="s">
        <v>4874</v>
      </c>
      <c r="I85" s="135">
        <v>0</v>
      </c>
      <c r="J85" s="4" t="s">
        <v>4874</v>
      </c>
      <c r="K85" s="135">
        <v>0</v>
      </c>
      <c r="L85" s="4" t="s">
        <v>4874</v>
      </c>
      <c r="M85" s="135">
        <v>0</v>
      </c>
      <c r="N85" s="4" t="s">
        <v>4874</v>
      </c>
      <c r="O85" s="135">
        <v>0</v>
      </c>
      <c r="P85" s="4" t="s">
        <v>4874</v>
      </c>
      <c r="Q85" s="135">
        <v>0</v>
      </c>
      <c r="R85" s="4" t="s">
        <v>4874</v>
      </c>
      <c r="S85" s="135">
        <v>0</v>
      </c>
      <c r="T85" s="4" t="s">
        <v>4874</v>
      </c>
      <c r="U85" s="135">
        <v>0</v>
      </c>
      <c r="V85" s="4" t="s">
        <v>4874</v>
      </c>
      <c r="W85" s="135">
        <v>0</v>
      </c>
      <c r="X85" s="4" t="s">
        <v>4874</v>
      </c>
      <c r="Y85" s="135">
        <v>0</v>
      </c>
      <c r="Z85" s="4" t="s">
        <v>4874</v>
      </c>
    </row>
    <row r="86" spans="1:26" x14ac:dyDescent="0.25">
      <c r="A86" s="52" t="s">
        <v>5526</v>
      </c>
      <c r="B86" s="52" t="s">
        <v>4832</v>
      </c>
      <c r="C86" s="135">
        <v>1</v>
      </c>
      <c r="D86" s="4" t="s">
        <v>5159</v>
      </c>
      <c r="E86" s="135">
        <v>0</v>
      </c>
      <c r="F86" s="4" t="s">
        <v>4874</v>
      </c>
      <c r="G86" s="135">
        <v>0</v>
      </c>
      <c r="H86" s="4" t="s">
        <v>4874</v>
      </c>
      <c r="I86" s="135">
        <v>0</v>
      </c>
      <c r="J86" s="4" t="s">
        <v>4874</v>
      </c>
      <c r="K86" s="135">
        <v>0</v>
      </c>
      <c r="L86" s="4" t="s">
        <v>4874</v>
      </c>
      <c r="M86" s="135">
        <v>0</v>
      </c>
      <c r="N86" s="4" t="s">
        <v>4874</v>
      </c>
      <c r="O86" s="135">
        <v>0</v>
      </c>
      <c r="P86" s="4" t="s">
        <v>4874</v>
      </c>
      <c r="Q86" s="135">
        <v>0</v>
      </c>
      <c r="R86" s="4" t="s">
        <v>4874</v>
      </c>
      <c r="S86" s="135">
        <v>0</v>
      </c>
      <c r="T86" s="4" t="s">
        <v>4874</v>
      </c>
      <c r="U86" s="135">
        <v>0</v>
      </c>
      <c r="V86" s="4" t="s">
        <v>4874</v>
      </c>
      <c r="W86" s="135">
        <v>0</v>
      </c>
      <c r="X86" s="4" t="s">
        <v>4874</v>
      </c>
      <c r="Y86" s="135">
        <v>0</v>
      </c>
      <c r="Z86" s="4" t="s">
        <v>4874</v>
      </c>
    </row>
    <row r="87" spans="1:26" x14ac:dyDescent="0.25">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x14ac:dyDescent="0.25">
      <c r="A88" s="4" t="s">
        <v>32</v>
      </c>
      <c r="B88" s="4" t="s">
        <v>4833</v>
      </c>
      <c r="C88" s="135">
        <v>1</v>
      </c>
      <c r="D88" s="4" t="s">
        <v>5627</v>
      </c>
      <c r="E88" s="135">
        <v>0</v>
      </c>
      <c r="F88" s="4" t="s">
        <v>4874</v>
      </c>
      <c r="G88" s="135">
        <v>0</v>
      </c>
      <c r="H88" s="4" t="s">
        <v>4874</v>
      </c>
      <c r="I88" s="135">
        <v>0</v>
      </c>
      <c r="J88" s="4" t="s">
        <v>4874</v>
      </c>
      <c r="K88" s="135">
        <v>0</v>
      </c>
      <c r="L88" s="4" t="s">
        <v>4874</v>
      </c>
      <c r="M88" s="135">
        <v>0</v>
      </c>
      <c r="N88" s="4" t="s">
        <v>4874</v>
      </c>
      <c r="O88" s="135">
        <v>0</v>
      </c>
      <c r="P88" s="4" t="s">
        <v>4874</v>
      </c>
      <c r="Q88" s="135">
        <v>0</v>
      </c>
      <c r="R88" s="4" t="s">
        <v>4874</v>
      </c>
      <c r="S88" s="135">
        <v>0</v>
      </c>
      <c r="T88" s="4" t="s">
        <v>4874</v>
      </c>
      <c r="U88" s="135">
        <v>1</v>
      </c>
      <c r="V88" s="4" t="s">
        <v>5609</v>
      </c>
      <c r="W88" s="135">
        <v>0</v>
      </c>
      <c r="X88" s="4" t="s">
        <v>4874</v>
      </c>
      <c r="Y88" s="135">
        <v>0</v>
      </c>
      <c r="Z88" s="4" t="s">
        <v>4874</v>
      </c>
    </row>
    <row r="89" spans="1:26" x14ac:dyDescent="0.25">
      <c r="A89" s="4" t="s">
        <v>33</v>
      </c>
      <c r="B89" s="4" t="s">
        <v>4833</v>
      </c>
      <c r="C89" s="135">
        <v>1</v>
      </c>
      <c r="D89" s="4" t="s">
        <v>5627</v>
      </c>
      <c r="E89" s="135">
        <v>0</v>
      </c>
      <c r="F89" s="4" t="s">
        <v>4874</v>
      </c>
      <c r="G89" s="135">
        <v>0</v>
      </c>
      <c r="H89" s="4" t="s">
        <v>4874</v>
      </c>
      <c r="I89" s="135">
        <v>0</v>
      </c>
      <c r="J89" s="4" t="s">
        <v>4874</v>
      </c>
      <c r="K89" s="135">
        <v>0</v>
      </c>
      <c r="L89" s="4" t="s">
        <v>4874</v>
      </c>
      <c r="M89" s="135">
        <v>0</v>
      </c>
      <c r="N89" s="4" t="s">
        <v>4874</v>
      </c>
      <c r="O89" s="135">
        <v>0</v>
      </c>
      <c r="P89" s="4" t="s">
        <v>4874</v>
      </c>
      <c r="Q89" s="135">
        <v>0</v>
      </c>
      <c r="R89" s="4" t="s">
        <v>4874</v>
      </c>
      <c r="S89" s="135">
        <v>0</v>
      </c>
      <c r="T89" s="4" t="s">
        <v>4874</v>
      </c>
      <c r="U89" s="135">
        <v>1</v>
      </c>
      <c r="V89" s="4" t="s">
        <v>5614</v>
      </c>
      <c r="W89" s="135">
        <v>0</v>
      </c>
      <c r="X89" s="4" t="s">
        <v>4874</v>
      </c>
      <c r="Y89" s="135">
        <v>0</v>
      </c>
      <c r="Z89" s="4" t="s">
        <v>4874</v>
      </c>
    </row>
    <row r="90" spans="1:26" x14ac:dyDescent="0.25">
      <c r="A90" s="4" t="s">
        <v>34</v>
      </c>
      <c r="B90" s="4" t="s">
        <v>4833</v>
      </c>
      <c r="C90" s="135">
        <v>1</v>
      </c>
      <c r="D90" s="4" t="s">
        <v>5627</v>
      </c>
      <c r="E90" s="135">
        <v>0</v>
      </c>
      <c r="F90" s="4" t="s">
        <v>4874</v>
      </c>
      <c r="G90" s="135">
        <v>0</v>
      </c>
      <c r="H90" s="4" t="s">
        <v>4874</v>
      </c>
      <c r="I90" s="135">
        <v>0</v>
      </c>
      <c r="J90" s="4" t="s">
        <v>4874</v>
      </c>
      <c r="K90" s="135">
        <v>0</v>
      </c>
      <c r="L90" s="4" t="s">
        <v>4874</v>
      </c>
      <c r="M90" s="135">
        <v>0</v>
      </c>
      <c r="N90" s="4" t="s">
        <v>4874</v>
      </c>
      <c r="O90" s="135">
        <v>0</v>
      </c>
      <c r="P90" s="4" t="s">
        <v>4874</v>
      </c>
      <c r="Q90" s="135">
        <v>0</v>
      </c>
      <c r="R90" s="4" t="s">
        <v>4874</v>
      </c>
      <c r="S90" s="135">
        <v>0</v>
      </c>
      <c r="T90" s="4" t="s">
        <v>4874</v>
      </c>
      <c r="U90" s="135">
        <v>0</v>
      </c>
      <c r="V90" s="4" t="s">
        <v>4874</v>
      </c>
      <c r="W90" s="135">
        <v>0</v>
      </c>
      <c r="X90" s="4" t="s">
        <v>4874</v>
      </c>
      <c r="Y90" s="135">
        <v>0</v>
      </c>
      <c r="Z90" s="4" t="s">
        <v>4874</v>
      </c>
    </row>
    <row r="91" spans="1:26" x14ac:dyDescent="0.25">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x14ac:dyDescent="0.25">
      <c r="A92" s="1"/>
      <c r="B92" s="1"/>
      <c r="C92" s="1"/>
      <c r="D92" s="1"/>
      <c r="E92" s="1"/>
      <c r="F92" s="1"/>
      <c r="G92" s="1"/>
      <c r="H92" s="1"/>
      <c r="I92" s="1"/>
      <c r="J92" s="1"/>
      <c r="K92" s="111"/>
      <c r="L92" s="1"/>
      <c r="M92" s="1"/>
      <c r="N92" s="1"/>
      <c r="O92" s="1"/>
      <c r="P92" s="1"/>
      <c r="Q92" s="1"/>
      <c r="R92" s="1"/>
      <c r="S92" s="1"/>
      <c r="T92" s="1"/>
      <c r="U92" s="1"/>
      <c r="V92" s="1"/>
      <c r="W92" s="1"/>
      <c r="X92" s="1"/>
      <c r="Y92" s="1"/>
      <c r="Z92" s="1"/>
    </row>
    <row r="93" spans="1:26" x14ac:dyDescent="0.25">
      <c r="A93" s="1"/>
      <c r="B93" s="1"/>
      <c r="C93" s="1"/>
      <c r="D93" s="1"/>
      <c r="E93" s="1"/>
      <c r="F93" s="1"/>
      <c r="G93" s="1"/>
      <c r="H93" s="1"/>
      <c r="I93" s="1"/>
      <c r="J93" s="1"/>
      <c r="K93" s="111"/>
      <c r="L93" s="1"/>
      <c r="M93" s="1"/>
      <c r="N93" s="1"/>
      <c r="O93" s="1"/>
      <c r="P93" s="1"/>
      <c r="Q93" s="1"/>
      <c r="R93" s="1"/>
      <c r="S93" s="1"/>
      <c r="T93" s="1"/>
      <c r="U93" s="1"/>
      <c r="V93" s="1"/>
      <c r="W93" s="1"/>
      <c r="X93" s="1"/>
      <c r="Y93" s="1"/>
      <c r="Z93" s="1"/>
    </row>
    <row r="94" spans="1:26" x14ac:dyDescent="0.25">
      <c r="A94" s="1"/>
      <c r="B94" s="1"/>
      <c r="C94" s="1"/>
      <c r="D94" s="1"/>
      <c r="E94" s="1"/>
      <c r="F94" s="1"/>
      <c r="G94" s="1"/>
      <c r="H94" s="1"/>
      <c r="I94" s="1"/>
      <c r="J94" s="1"/>
      <c r="K94" s="111"/>
      <c r="L94" s="1"/>
      <c r="M94" s="1"/>
      <c r="N94" s="1"/>
      <c r="O94" s="1"/>
      <c r="P94" s="1"/>
      <c r="Q94" s="1"/>
      <c r="R94" s="1"/>
      <c r="S94" s="1"/>
      <c r="T94" s="1"/>
      <c r="U94" s="1"/>
      <c r="V94" s="1"/>
      <c r="W94" s="1"/>
      <c r="X94" s="1"/>
      <c r="Y94" s="1"/>
      <c r="Z94" s="1"/>
    </row>
    <row r="95" spans="1:26" x14ac:dyDescent="0.25">
      <c r="A95" s="1"/>
      <c r="B95" s="1"/>
      <c r="C95" s="1"/>
      <c r="D95" s="1"/>
      <c r="E95" s="1"/>
      <c r="F95" s="1"/>
      <c r="G95" s="1"/>
      <c r="H95" s="1"/>
      <c r="I95" s="1"/>
      <c r="J95" s="1"/>
      <c r="K95" s="111"/>
      <c r="L95" s="1"/>
      <c r="M95" s="1"/>
      <c r="N95" s="1"/>
      <c r="O95" s="1"/>
      <c r="P95" s="1"/>
      <c r="Q95" s="1"/>
      <c r="R95" s="1"/>
      <c r="S95" s="1"/>
      <c r="T95" s="1"/>
      <c r="U95" s="1"/>
      <c r="V95" s="1"/>
      <c r="W95" s="1"/>
      <c r="X95" s="1"/>
      <c r="Y95" s="1"/>
      <c r="Z95" s="1"/>
    </row>
    <row r="96" spans="1:26" x14ac:dyDescent="0.25">
      <c r="A96" s="1"/>
      <c r="B96" s="1"/>
      <c r="C96" s="1"/>
      <c r="D96" s="1"/>
      <c r="E96" s="1"/>
      <c r="F96" s="1"/>
      <c r="G96" s="1"/>
      <c r="H96" s="1"/>
      <c r="I96" s="1"/>
      <c r="J96" s="1"/>
      <c r="K96" s="111"/>
      <c r="L96" s="1"/>
      <c r="M96" s="1"/>
      <c r="N96" s="1"/>
      <c r="O96" s="1"/>
      <c r="P96" s="1"/>
      <c r="Q96" s="1"/>
      <c r="R96" s="1"/>
      <c r="S96" s="1"/>
      <c r="T96" s="1"/>
      <c r="U96" s="1"/>
      <c r="V96" s="1"/>
      <c r="W96" s="1"/>
      <c r="X96" s="1"/>
      <c r="Y96" s="1"/>
      <c r="Z96" s="1"/>
    </row>
    <row r="97" spans="1:26" x14ac:dyDescent="0.25">
      <c r="A97" s="1"/>
      <c r="B97" s="1"/>
      <c r="C97" s="1"/>
      <c r="D97" s="1"/>
      <c r="E97" s="1"/>
      <c r="F97" s="1"/>
      <c r="G97" s="1"/>
      <c r="H97" s="1"/>
      <c r="I97" s="1"/>
      <c r="J97" s="1"/>
      <c r="K97" s="111"/>
      <c r="L97" s="1"/>
      <c r="M97" s="1"/>
      <c r="N97" s="1"/>
      <c r="O97" s="1"/>
      <c r="P97" s="1"/>
      <c r="Q97" s="1"/>
      <c r="R97" s="1"/>
      <c r="S97" s="1"/>
      <c r="T97" s="1"/>
      <c r="U97" s="1"/>
      <c r="V97" s="1"/>
      <c r="W97" s="1"/>
      <c r="X97" s="1"/>
      <c r="Y97" s="1"/>
      <c r="Z97" s="1"/>
    </row>
    <row r="98" spans="1:26" x14ac:dyDescent="0.25">
      <c r="A98" s="1"/>
      <c r="B98" s="1"/>
      <c r="C98" s="1"/>
      <c r="D98" s="1"/>
      <c r="E98" s="1"/>
      <c r="F98" s="1"/>
      <c r="G98" s="1"/>
      <c r="H98" s="1"/>
      <c r="I98" s="1"/>
      <c r="J98" s="1"/>
      <c r="K98" s="111"/>
      <c r="L98" s="1"/>
      <c r="M98" s="1"/>
      <c r="N98" s="1"/>
      <c r="O98" s="1"/>
      <c r="P98" s="1"/>
      <c r="Q98" s="1"/>
      <c r="R98" s="1"/>
      <c r="S98" s="1"/>
      <c r="T98" s="1"/>
      <c r="U98" s="1"/>
      <c r="V98" s="1"/>
      <c r="W98" s="1"/>
      <c r="X98" s="1"/>
      <c r="Y98" s="1"/>
      <c r="Z98" s="1"/>
    </row>
    <row r="99" spans="1:26" x14ac:dyDescent="0.25">
      <c r="A99" s="1"/>
      <c r="B99" s="1"/>
      <c r="C99" s="1"/>
      <c r="D99" s="1"/>
      <c r="E99" s="1"/>
      <c r="F99" s="1"/>
      <c r="G99" s="1"/>
      <c r="H99" s="1"/>
      <c r="I99" s="1"/>
      <c r="J99" s="1"/>
      <c r="K99" s="111"/>
      <c r="L99" s="1"/>
      <c r="M99" s="1"/>
      <c r="N99" s="1"/>
      <c r="O99" s="1"/>
      <c r="P99" s="1"/>
      <c r="Q99" s="1"/>
      <c r="R99" s="1"/>
      <c r="S99" s="1"/>
      <c r="T99" s="1"/>
      <c r="U99" s="1"/>
      <c r="V99" s="1"/>
      <c r="W99" s="1"/>
      <c r="X99" s="1"/>
      <c r="Y99" s="1"/>
      <c r="Z99" s="1"/>
    </row>
  </sheetData>
  <dataValidations count="19">
    <dataValidation type="list" allowBlank="1" showInputMessage="1" showErrorMessage="1" sqref="D57 L57 V57 X57 T57 F57 P57 H57 Z57 J57 R57" xr:uid="{00000000-0002-0000-0A00-000000000000}">
      <formula1>ethernet_modes</formula1>
    </dataValidation>
    <dataValidation type="list" allowBlank="1" showInputMessage="1" showErrorMessage="1" sqref="D80:D82 T80:T82 F80:F82 H80:H82 J80:J82 L80:L82 V80:V82 N80:N82 P80:P82 X80:X82 R80:R82 Z80:Z82" xr:uid="{00000000-0002-0000-0A00-000005000000}">
      <formula1>gpio_modes</formula1>
    </dataValidation>
    <dataValidation type="list" allowBlank="1" showInputMessage="1" showErrorMessage="1" sqref="V78 D78 N78 X78 T78 F78 P78 H78 Z78 J78 R78 L78" xr:uid="{00000000-0002-0000-0A00-000009000000}">
      <formula1>ecap_modes</formula1>
    </dataValidation>
    <dataValidation type="list" allowBlank="1" showInputMessage="1" showErrorMessage="1" sqref="C64 X62 V62 T62 F62 R62 H62 P62 J62 L62 N62 O64:Z64 Z62 D62" xr:uid="{00000000-0002-0000-0A00-00000B000000}">
      <formula1>qspi_modes</formula1>
    </dataValidation>
    <dataValidation type="list" allowBlank="1" showInputMessage="1" showErrorMessage="1" sqref="C56 D73:D76 E56 G56 F73:F76 I56 H73:H76 K56 J73:J76 M56 L73:L76 O56 N73:N76 Q56 X73:X76 P73:P76 S56 R73:R76 U56 T73:T76 W56 V73:V76 Z73:Z76 Y56" xr:uid="{00000000-0002-0000-0A00-00000C000000}">
      <formula1>uart_modes</formula1>
    </dataValidation>
    <dataValidation type="list" allowBlank="1" showInputMessage="1" showErrorMessage="1" sqref="D68:D71 X68:X71 T68:T71 F68:F71 H68:H71 L68:L71 V68:V71 N68:N71 P68:P71 R68:R71 Z68:Z71 J68:J71" xr:uid="{00000000-0002-0000-0A00-00000D000000}">
      <formula1>spi_modes</formula1>
    </dataValidation>
    <dataValidation type="list" allowBlank="1" showInputMessage="1" showErrorMessage="1" sqref="X64:X66 F64:F66 H64:H66 J64:J66 L64:L66 N64:N66 P64:P66 R64:R66 T64:T66 V64:V66 Z64:Z66 D64:D66" xr:uid="{00000000-0002-0000-0A00-00000E000000}">
      <formula1>i2c_modes</formula1>
    </dataValidation>
    <dataValidation type="list" allowBlank="1" showInputMessage="1" showErrorMessage="1" sqref="D59:D60 X59:X60 R59:R60 F59:F60 H59:H60 J59:J60 T59:T60 L59:L60 Z59:Z60 N59:N60 V59:V60 P59:P60" xr:uid="{00000000-0002-0000-0A00-00000F000000}">
      <formula1>canfd_modes</formula1>
    </dataValidation>
    <dataValidation type="list" allowBlank="1" showInputMessage="1" showErrorMessage="1" sqref="C6:D6 F6 H6 J6 L6 N6 P6 R6 T6 V6 X6 Z6" xr:uid="{8100C42C-5814-4BF8-9FB2-F1714CBE71F2}">
      <formula1>tj_choices</formula1>
    </dataValidation>
    <dataValidation type="list" allowBlank="1" showInputMessage="1" showErrorMessage="1" sqref="C7:D8 F7:F8 H7:H8 J7:J8 L7:L8 N7:N8 P7:P8 R7:R8 T7:T8 V7:V8 X7:X8 Z7:Z8" xr:uid="{EA0CDB33-D122-433E-A42D-78B4CCF175D2}">
      <formula1>vdd_choices</formula1>
    </dataValidation>
    <dataValidation type="list" allowBlank="1" showInputMessage="1" showErrorMessage="1" sqref="N57" xr:uid="{AF4F54FF-C567-4540-BE33-07F0A47CE004}">
      <formula1>Ethernet_10_100M_Port_Modes</formula1>
    </dataValidation>
    <dataValidation type="list" allowBlank="1" showInputMessage="1" showErrorMessage="1" sqref="T49:T55 H49:H55 J49:J55 P49:P55 L49:L55 F49:F55 R49:R55 D49:D54 N49:N55 V49:V55 X49:X55 AB49:AB55 Z49:Z55" xr:uid="{B91D6E30-4D58-46BD-801B-2A5C95F76DE6}">
      <formula1>lvds_tx_aurora_modes</formula1>
    </dataValidation>
    <dataValidation type="list" allowBlank="1" showInputMessage="1" showErrorMessage="1" sqref="D84:D86 T84:T86 F84:F86 H84:H86 J84:J86 L84:L86 V84:V86 N84:N86 P84:P86 X84:X86 R84:R86 Z84:Z86" xr:uid="{70AE6022-AB73-4865-B1EC-D63527F48DFD}">
      <formula1>epwm_modes</formula1>
    </dataValidation>
    <dataValidation type="list" allowBlank="1" showInputMessage="1" showErrorMessage="1" sqref="D88:D90 X88:X90 F88:F90 H88:H90 J88:J90 L88:L90 N88:N90 P88:P90 R88:R90 T88:T90 V88:V90 Z88:Z90" xr:uid="{436468B6-7BC1-4A3E-91E0-1170C12492D5}">
      <formula1>mcasp_modes</formula1>
    </dataValidation>
    <dataValidation type="list" allowBlank="1" showInputMessage="1" showErrorMessage="1" sqref="Z45 Z41 D41 V45 D45 H45 H41 F45 N41 N45 P45 P41 R45 R41 T45 T41 V41 F41 L41 J45 J41 L45 X41 X45" xr:uid="{0456C4F4-D423-4E23-975C-FFED33B9B079}">
      <formula1>camerarx_core_modes</formula1>
    </dataValidation>
    <dataValidation type="list" allowBlank="1" showInputMessage="1" showErrorMessage="1" sqref="Z42:Z44 Z46:Z48 D42:D44 V42:V44 D46:D48 H42:H44 H46:H48 F46:F48 N46:N48 N42:N44 P42:P44 P46:P48 R42:R44 R46:R48 T42:T44 T46:T48 V46:V48 F42:F44 L46:L48 J42:J44 J46:J48 L42:L44 X46:X48 X42:X44" xr:uid="{55549ABA-346F-46AB-88E1-6396215D20EA}">
      <formula1>camerarx_addon_modes</formula1>
    </dataValidation>
    <dataValidation type="list" allowBlank="1" showInputMessage="1" showErrorMessage="1" sqref="V49:V55 AB49:AB55 T49:T55 H49:H55 J49:J55 P40 L49:L55 R40 R49:R55 F49:F55 D49:D55 D40 F40 H40 J40 L40 N40 N49:N55 P49:P55 X49:X55 T40 V40 X40 Z40 Z49:Z55" xr:uid="{D3BF93E2-7DBC-447D-BDF7-97468B12064A}">
      <formula1>on_off_modes</formula1>
    </dataValidation>
    <dataValidation type="list" allowBlank="1" showInputMessage="1" showErrorMessage="1" sqref="D36:D38 F36:F38 H36:H38 J36:J38 L36:L38 N36:N38 P36:P38 R36:R38 T36:T38 V36:V38 Z36:Z38 X36:X38" xr:uid="{E738FD62-2A79-4377-8644-13B1AA1399BB}">
      <formula1>pll_modes</formula1>
    </dataValidation>
    <dataValidation type="list" allowBlank="1" showInputMessage="1" showErrorMessage="1" sqref="D39 F39 H39 J39 L39 N39 P39 R39 T39 V39 X39 Z39" xr:uid="{6FE584A7-6C19-4110-87F8-E33A299E05A8}">
      <formula1>"on,off"</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BF433-63CA-4DC3-9A22-083CA1AE13B1}">
  <sheetPr>
    <tabColor theme="8" tint="-0.249977111117893"/>
  </sheetPr>
  <dimension ref="A1:P77"/>
  <sheetViews>
    <sheetView workbookViewId="0">
      <selection activeCell="B24" sqref="B24"/>
    </sheetView>
  </sheetViews>
  <sheetFormatPr defaultColWidth="8.5703125" defaultRowHeight="12" outlineLevelRow="1" outlineLevelCol="1" x14ac:dyDescent="0.2"/>
  <cols>
    <col min="1" max="1" width="19.5703125" style="62" customWidth="1" outlineLevel="1"/>
    <col min="2" max="2" width="22.85546875" style="62" customWidth="1"/>
    <col min="3" max="3" width="10.7109375" style="99" customWidth="1" outlineLevel="1" collapsed="1"/>
    <col min="4" max="10" width="10.7109375" style="99" customWidth="1" outlineLevel="1"/>
    <col min="11" max="11" width="10.7109375" style="99" customWidth="1"/>
    <col min="12" max="12" width="10.7109375" style="99" customWidth="1" outlineLevel="1"/>
    <col min="13" max="13" width="10.7109375" style="99" customWidth="1"/>
    <col min="14" max="16384" width="8.5703125" style="62"/>
  </cols>
  <sheetData>
    <row r="1" spans="1:13" ht="39" customHeight="1" x14ac:dyDescent="0.2">
      <c r="A1" s="60" t="s">
        <v>5427</v>
      </c>
      <c r="B1" s="60" t="s">
        <v>3</v>
      </c>
      <c r="C1" s="6" t="s">
        <v>50</v>
      </c>
      <c r="D1" s="61" t="str">
        <f>C1&amp;" UC Mode or Frequency"</f>
        <v>100% UC Mode or Frequency</v>
      </c>
      <c r="E1" s="5" t="s">
        <v>39</v>
      </c>
      <c r="F1" s="61" t="str">
        <f>E1&amp;" UC Mode or Frequency"</f>
        <v>Idle UC Mode or Frequency</v>
      </c>
      <c r="G1" s="5" t="s">
        <v>52</v>
      </c>
      <c r="H1" s="61" t="str">
        <f>G1&amp;" UC Mode or Frequency"</f>
        <v>Burn In UC Mode or Frequency</v>
      </c>
      <c r="I1" s="5" t="s">
        <v>4706</v>
      </c>
      <c r="J1" s="61" t="str">
        <f>I1&amp;" UC Mode or Frequency"</f>
        <v>Scan Partition 0 UC Mode or Frequency</v>
      </c>
      <c r="K1" s="5" t="s">
        <v>6163</v>
      </c>
      <c r="L1" s="61" t="str">
        <f>K1&amp;" UC Mode or Frequency"</f>
        <v>Paul Example UC UC Mode or Frequency</v>
      </c>
      <c r="M1" s="5" t="s">
        <v>6162</v>
      </c>
    </row>
    <row r="2" spans="1:13" outlineLevel="1" x14ac:dyDescent="0.2">
      <c r="A2" s="63" t="s">
        <v>4799</v>
      </c>
      <c r="B2" s="64" t="s">
        <v>43</v>
      </c>
      <c r="C2" s="161" t="s">
        <v>5998</v>
      </c>
      <c r="D2" s="65"/>
      <c r="E2" s="65" t="s">
        <v>39</v>
      </c>
      <c r="F2" s="65"/>
      <c r="G2" s="65" t="s">
        <v>52</v>
      </c>
      <c r="H2" s="65"/>
      <c r="I2" s="65" t="s">
        <v>4695</v>
      </c>
      <c r="J2" s="65"/>
      <c r="K2" s="65" t="s">
        <v>85</v>
      </c>
      <c r="L2" s="65"/>
      <c r="M2" s="65" t="s">
        <v>86</v>
      </c>
    </row>
    <row r="3" spans="1:13" outlineLevel="1" x14ac:dyDescent="0.2">
      <c r="A3" s="63" t="s">
        <v>5434</v>
      </c>
      <c r="B3" s="64" t="s">
        <v>56</v>
      </c>
      <c r="C3" s="65" t="s">
        <v>40</v>
      </c>
      <c r="D3" s="65"/>
      <c r="E3" s="65" t="s">
        <v>40</v>
      </c>
      <c r="F3" s="65"/>
      <c r="G3" s="65" t="s">
        <v>57</v>
      </c>
      <c r="H3" s="65"/>
      <c r="I3" s="65" t="s">
        <v>57</v>
      </c>
      <c r="J3" s="65"/>
      <c r="K3" s="65" t="s">
        <v>90</v>
      </c>
      <c r="L3" s="65"/>
      <c r="M3" s="65" t="s">
        <v>91</v>
      </c>
    </row>
    <row r="4" spans="1:13" outlineLevel="1" x14ac:dyDescent="0.2">
      <c r="A4" s="63" t="s">
        <v>4800</v>
      </c>
      <c r="B4" s="64" t="s">
        <v>53</v>
      </c>
      <c r="C4" s="66" t="s">
        <v>54</v>
      </c>
      <c r="D4" s="66"/>
      <c r="E4" s="66" t="s">
        <v>54</v>
      </c>
      <c r="F4" s="66"/>
      <c r="G4" s="66" t="s">
        <v>54</v>
      </c>
      <c r="H4" s="66"/>
      <c r="I4" s="66" t="s">
        <v>54</v>
      </c>
      <c r="J4" s="66"/>
      <c r="K4" s="66" t="s">
        <v>94</v>
      </c>
      <c r="L4" s="66"/>
      <c r="M4" s="66" t="s">
        <v>94</v>
      </c>
    </row>
    <row r="5" spans="1:13" outlineLevel="1" x14ac:dyDescent="0.2">
      <c r="A5" s="63" t="s">
        <v>4801</v>
      </c>
      <c r="B5" s="64" t="s">
        <v>55</v>
      </c>
      <c r="C5" s="66">
        <v>44159</v>
      </c>
      <c r="D5" s="66"/>
      <c r="E5" s="66">
        <v>44292</v>
      </c>
      <c r="F5" s="66"/>
      <c r="G5" s="66">
        <v>44131</v>
      </c>
      <c r="H5" s="66"/>
      <c r="I5" s="66">
        <v>44254</v>
      </c>
      <c r="J5" s="66"/>
      <c r="K5" s="66">
        <v>44141</v>
      </c>
      <c r="L5" s="66"/>
      <c r="M5" s="66">
        <v>44141</v>
      </c>
    </row>
    <row r="6" spans="1:13" outlineLevel="1" x14ac:dyDescent="0.2">
      <c r="A6" s="63" t="s">
        <v>4802</v>
      </c>
      <c r="B6" s="64" t="s">
        <v>6</v>
      </c>
      <c r="C6" s="67">
        <v>150</v>
      </c>
      <c r="D6" s="67"/>
      <c r="E6" s="67">
        <v>150</v>
      </c>
      <c r="F6" s="67"/>
      <c r="G6" s="67">
        <v>150</v>
      </c>
      <c r="H6" s="67"/>
      <c r="I6" s="67">
        <v>150</v>
      </c>
      <c r="J6" s="67"/>
      <c r="K6" s="67">
        <v>150</v>
      </c>
      <c r="L6" s="67"/>
      <c r="M6" s="67">
        <v>150</v>
      </c>
    </row>
    <row r="7" spans="1:13" outlineLevel="1" x14ac:dyDescent="0.2">
      <c r="A7" s="63" t="s">
        <v>5435</v>
      </c>
      <c r="B7" s="64" t="s">
        <v>51</v>
      </c>
      <c r="C7" s="68">
        <v>1.1999999999999993</v>
      </c>
      <c r="D7" s="68"/>
      <c r="E7" s="68">
        <v>1.1999999999999993</v>
      </c>
      <c r="F7" s="68"/>
      <c r="G7" s="68">
        <v>1.1999999999999993</v>
      </c>
      <c r="H7" s="68"/>
      <c r="I7" s="68">
        <v>1.1999999999999993</v>
      </c>
      <c r="J7" s="68"/>
      <c r="K7" s="68">
        <v>1.1999999999999993</v>
      </c>
      <c r="L7" s="68"/>
      <c r="M7" s="68">
        <v>1.1999999999999993</v>
      </c>
    </row>
    <row r="8" spans="1:13" outlineLevel="1" x14ac:dyDescent="0.2">
      <c r="A8" s="63" t="s">
        <v>5437</v>
      </c>
      <c r="B8" s="64" t="s">
        <v>5436</v>
      </c>
      <c r="C8" s="68">
        <v>1.1999999999999993</v>
      </c>
      <c r="D8" s="68"/>
      <c r="E8" s="68">
        <v>1.1999999999999993</v>
      </c>
      <c r="F8" s="68"/>
      <c r="G8" s="68">
        <v>1.1999999999999993</v>
      </c>
      <c r="H8" s="68"/>
      <c r="I8" s="68">
        <v>1.1999999999999993</v>
      </c>
      <c r="J8" s="68"/>
      <c r="K8" s="68">
        <v>1.1999999999999993</v>
      </c>
      <c r="L8" s="68"/>
      <c r="M8" s="68">
        <v>1.1999999999999993</v>
      </c>
    </row>
    <row r="9" spans="1:13" outlineLevel="1" x14ac:dyDescent="0.2">
      <c r="A9" s="63" t="s">
        <v>4803</v>
      </c>
      <c r="B9" s="69" t="s">
        <v>4804</v>
      </c>
      <c r="C9" s="70" t="s">
        <v>79</v>
      </c>
      <c r="D9" s="70"/>
      <c r="E9" s="70" t="s">
        <v>79</v>
      </c>
      <c r="F9" s="70"/>
      <c r="G9" s="70" t="s">
        <v>79</v>
      </c>
      <c r="H9" s="70"/>
      <c r="I9" s="70" t="s">
        <v>79</v>
      </c>
      <c r="J9" s="70"/>
      <c r="K9" s="70" t="s">
        <v>79</v>
      </c>
      <c r="L9" s="70"/>
      <c r="M9" s="70" t="s">
        <v>79</v>
      </c>
    </row>
    <row r="10" spans="1:13" outlineLevel="1" x14ac:dyDescent="0.2">
      <c r="A10" s="63" t="s">
        <v>5439</v>
      </c>
      <c r="B10" s="69" t="s">
        <v>4805</v>
      </c>
      <c r="C10" s="71">
        <v>0.65</v>
      </c>
      <c r="D10" s="71"/>
      <c r="E10" s="71">
        <v>0.65</v>
      </c>
      <c r="F10" s="71"/>
      <c r="G10" s="71">
        <v>0.65</v>
      </c>
      <c r="H10" s="71"/>
      <c r="I10" s="71">
        <v>0.65</v>
      </c>
      <c r="J10" s="71"/>
      <c r="K10" s="71">
        <v>0.65</v>
      </c>
      <c r="L10" s="71"/>
      <c r="M10" s="71">
        <v>0.65</v>
      </c>
    </row>
    <row r="11" spans="1:13" x14ac:dyDescent="0.2">
      <c r="A11" s="72" t="s">
        <v>4722</v>
      </c>
      <c r="B11" s="72"/>
      <c r="C11" s="73"/>
      <c r="D11" s="73"/>
      <c r="E11" s="73"/>
      <c r="F11" s="73"/>
      <c r="G11" s="73"/>
      <c r="H11" s="73"/>
      <c r="I11" s="73"/>
      <c r="J11" s="73"/>
      <c r="K11" s="73"/>
      <c r="L11" s="73"/>
      <c r="M11" s="73"/>
    </row>
    <row r="12" spans="1:13" x14ac:dyDescent="0.2">
      <c r="A12" s="74" t="s">
        <v>6218</v>
      </c>
      <c r="B12" s="75" t="s">
        <v>4678</v>
      </c>
      <c r="C12" s="76">
        <v>1</v>
      </c>
      <c r="D12" s="77">
        <v>400</v>
      </c>
      <c r="E12" s="76">
        <v>0.01</v>
      </c>
      <c r="F12" s="77">
        <v>400</v>
      </c>
      <c r="G12" s="76">
        <v>0.5</v>
      </c>
      <c r="H12" s="77">
        <v>5</v>
      </c>
      <c r="I12" s="76">
        <v>1</v>
      </c>
      <c r="J12" s="77">
        <v>50</v>
      </c>
      <c r="K12" s="76">
        <v>0.7</v>
      </c>
      <c r="L12" s="77">
        <v>400</v>
      </c>
      <c r="M12" s="76">
        <v>0</v>
      </c>
    </row>
    <row r="13" spans="1:13" x14ac:dyDescent="0.2">
      <c r="A13" s="78" t="s">
        <v>6217</v>
      </c>
      <c r="B13" s="79" t="s">
        <v>4678</v>
      </c>
      <c r="C13" s="76">
        <v>1</v>
      </c>
      <c r="D13" s="77">
        <v>400</v>
      </c>
      <c r="E13" s="76">
        <v>0.01</v>
      </c>
      <c r="F13" s="77">
        <v>400</v>
      </c>
      <c r="G13" s="76">
        <v>0.5</v>
      </c>
      <c r="H13" s="77">
        <v>5</v>
      </c>
      <c r="I13" s="76">
        <v>1</v>
      </c>
      <c r="J13" s="77">
        <v>50</v>
      </c>
      <c r="K13" s="76">
        <v>0</v>
      </c>
      <c r="L13" s="77">
        <v>400</v>
      </c>
      <c r="M13" s="76">
        <v>0</v>
      </c>
    </row>
    <row r="14" spans="1:13" x14ac:dyDescent="0.2">
      <c r="A14" s="74" t="s">
        <v>5884</v>
      </c>
      <c r="B14" s="75" t="s">
        <v>4679</v>
      </c>
      <c r="C14" s="80">
        <v>1</v>
      </c>
      <c r="D14" s="77">
        <v>200</v>
      </c>
      <c r="E14" s="80">
        <v>0.01</v>
      </c>
      <c r="F14" s="77">
        <v>200</v>
      </c>
      <c r="G14" s="80">
        <v>0.5</v>
      </c>
      <c r="H14" s="77">
        <v>5</v>
      </c>
      <c r="I14" s="80">
        <v>1</v>
      </c>
      <c r="J14" s="77">
        <v>50</v>
      </c>
      <c r="K14" s="80">
        <v>0.5</v>
      </c>
      <c r="L14" s="77">
        <v>200</v>
      </c>
      <c r="M14" s="80">
        <v>0</v>
      </c>
    </row>
    <row r="15" spans="1:13" x14ac:dyDescent="0.2">
      <c r="A15" s="74" t="s">
        <v>6020</v>
      </c>
      <c r="B15" s="75" t="s">
        <v>4676</v>
      </c>
      <c r="C15" s="80">
        <v>1</v>
      </c>
      <c r="D15" s="77">
        <v>200</v>
      </c>
      <c r="E15" s="80">
        <v>0.01</v>
      </c>
      <c r="F15" s="77">
        <v>200</v>
      </c>
      <c r="G15" s="80">
        <v>0.5</v>
      </c>
      <c r="H15" s="77">
        <v>5</v>
      </c>
      <c r="I15" s="80">
        <v>1</v>
      </c>
      <c r="J15" s="77">
        <v>50</v>
      </c>
      <c r="K15" s="80">
        <v>0.05</v>
      </c>
      <c r="L15" s="77">
        <v>200</v>
      </c>
      <c r="M15" s="80">
        <v>0</v>
      </c>
    </row>
    <row r="16" spans="1:13" x14ac:dyDescent="0.2">
      <c r="A16" s="72" t="s">
        <v>4723</v>
      </c>
      <c r="B16" s="72"/>
      <c r="C16" s="73"/>
      <c r="D16" s="73"/>
      <c r="E16" s="73"/>
      <c r="F16" s="73"/>
      <c r="G16" s="73"/>
      <c r="H16" s="73"/>
      <c r="I16" s="73"/>
      <c r="J16" s="73"/>
      <c r="K16" s="73"/>
      <c r="L16" s="73"/>
      <c r="M16" s="73"/>
    </row>
    <row r="17" spans="1:13" x14ac:dyDescent="0.2">
      <c r="A17" s="74" t="s">
        <v>6054</v>
      </c>
      <c r="B17" s="75" t="s">
        <v>4721</v>
      </c>
      <c r="C17" s="80">
        <f>SUMPRODUCT(C18:C30,$B18:$B30)</f>
        <v>1.0013333333333334</v>
      </c>
      <c r="D17" s="77">
        <v>200</v>
      </c>
      <c r="E17" s="80">
        <f>SUMPRODUCT(E18:E30,$B18:$B30)</f>
        <v>1.0013333333333334E-2</v>
      </c>
      <c r="F17" s="77">
        <v>200</v>
      </c>
      <c r="G17" s="80">
        <f>SUMPRODUCT(G18:G30,$B18:$B30)</f>
        <v>0.5006666666666667</v>
      </c>
      <c r="H17" s="77">
        <v>5</v>
      </c>
      <c r="I17" s="80">
        <f>SUMPRODUCT(I18:I30,$B18:$B30)</f>
        <v>1.0013333333333332E-3</v>
      </c>
      <c r="J17" s="77">
        <v>50</v>
      </c>
      <c r="K17" s="80">
        <f>SUMPRODUCT(K18:K30,$B18:$B30)</f>
        <v>0.28854666666666667</v>
      </c>
      <c r="L17" s="77">
        <v>200</v>
      </c>
      <c r="M17" s="80">
        <f>SUMPRODUCT(M18:M30,$B18:$B30)</f>
        <v>0</v>
      </c>
    </row>
    <row r="18" spans="1:13" outlineLevel="1" x14ac:dyDescent="0.2">
      <c r="A18" s="82" t="s">
        <v>139</v>
      </c>
      <c r="B18" s="83">
        <v>0.04</v>
      </c>
      <c r="C18" s="84">
        <v>1</v>
      </c>
      <c r="D18" s="85"/>
      <c r="E18" s="84">
        <v>0.01</v>
      </c>
      <c r="F18" s="85"/>
      <c r="G18" s="84">
        <v>0.5</v>
      </c>
      <c r="H18" s="85"/>
      <c r="I18" s="84">
        <v>1E-3</v>
      </c>
      <c r="J18" s="85"/>
      <c r="K18" s="84">
        <v>0.5</v>
      </c>
      <c r="L18" s="85"/>
      <c r="M18" s="84">
        <v>0</v>
      </c>
    </row>
    <row r="19" spans="1:13" outlineLevel="1" x14ac:dyDescent="0.2">
      <c r="A19" s="82" t="s">
        <v>68</v>
      </c>
      <c r="B19" s="83">
        <v>4.5333333333333337E-3</v>
      </c>
      <c r="C19" s="84">
        <v>1</v>
      </c>
      <c r="D19" s="85"/>
      <c r="E19" s="84">
        <v>0.01</v>
      </c>
      <c r="F19" s="85"/>
      <c r="G19" s="84">
        <v>0.5</v>
      </c>
      <c r="H19" s="85"/>
      <c r="I19" s="84">
        <v>1E-3</v>
      </c>
      <c r="J19" s="85"/>
      <c r="K19" s="84">
        <v>0.05</v>
      </c>
      <c r="L19" s="85"/>
      <c r="M19" s="84">
        <v>0</v>
      </c>
    </row>
    <row r="20" spans="1:13" outlineLevel="1" x14ac:dyDescent="0.2">
      <c r="A20" s="82" t="s">
        <v>69</v>
      </c>
      <c r="B20" s="83">
        <v>1.6000000000000001E-3</v>
      </c>
      <c r="C20" s="84">
        <v>1</v>
      </c>
      <c r="D20" s="85"/>
      <c r="E20" s="84">
        <v>0.01</v>
      </c>
      <c r="F20" s="85"/>
      <c r="G20" s="84">
        <v>0.5</v>
      </c>
      <c r="H20" s="85"/>
      <c r="I20" s="84">
        <v>1E-3</v>
      </c>
      <c r="J20" s="85"/>
      <c r="K20" s="84">
        <v>0.05</v>
      </c>
      <c r="L20" s="85"/>
      <c r="M20" s="84">
        <v>0</v>
      </c>
    </row>
    <row r="21" spans="1:13" outlineLevel="1" x14ac:dyDescent="0.2">
      <c r="A21" s="82" t="s">
        <v>6164</v>
      </c>
      <c r="B21" s="83">
        <v>0.12</v>
      </c>
      <c r="C21" s="84">
        <v>1</v>
      </c>
      <c r="D21" s="85"/>
      <c r="E21" s="84">
        <v>0.01</v>
      </c>
      <c r="F21" s="85"/>
      <c r="G21" s="84">
        <v>0.5</v>
      </c>
      <c r="H21" s="85"/>
      <c r="I21" s="84">
        <v>1E-3</v>
      </c>
      <c r="J21" s="85"/>
      <c r="K21" s="84">
        <v>0.01</v>
      </c>
      <c r="L21" s="85"/>
      <c r="M21" s="84">
        <v>0</v>
      </c>
    </row>
    <row r="22" spans="1:13" outlineLevel="1" x14ac:dyDescent="0.2">
      <c r="A22" s="82" t="s">
        <v>66</v>
      </c>
      <c r="B22" s="83">
        <v>1.2533333333333332E-2</v>
      </c>
      <c r="C22" s="84">
        <v>1</v>
      </c>
      <c r="D22" s="85"/>
      <c r="E22" s="84">
        <v>0.01</v>
      </c>
      <c r="F22" s="85"/>
      <c r="G22" s="84">
        <v>0.5</v>
      </c>
      <c r="H22" s="85"/>
      <c r="I22" s="84">
        <v>1E-3</v>
      </c>
      <c r="J22" s="85"/>
      <c r="K22" s="84">
        <v>0.2</v>
      </c>
      <c r="L22" s="85"/>
      <c r="M22" s="84">
        <v>0</v>
      </c>
    </row>
    <row r="23" spans="1:13" outlineLevel="1" x14ac:dyDescent="0.2">
      <c r="A23" s="82" t="s">
        <v>67</v>
      </c>
      <c r="B23" s="83">
        <v>2.2666666666666665E-2</v>
      </c>
      <c r="C23" s="84">
        <v>1</v>
      </c>
      <c r="D23" s="85"/>
      <c r="E23" s="84">
        <v>0.01</v>
      </c>
      <c r="F23" s="85"/>
      <c r="G23" s="84">
        <v>0.5</v>
      </c>
      <c r="H23" s="85"/>
      <c r="I23" s="84">
        <v>1E-3</v>
      </c>
      <c r="J23" s="85"/>
      <c r="K23" s="84">
        <v>0.2</v>
      </c>
      <c r="L23" s="85"/>
      <c r="M23" s="84">
        <v>0</v>
      </c>
    </row>
    <row r="24" spans="1:13" outlineLevel="1" x14ac:dyDescent="0.2">
      <c r="A24" s="82" t="s">
        <v>99</v>
      </c>
      <c r="B24" s="83">
        <v>0.06</v>
      </c>
      <c r="C24" s="84">
        <v>1</v>
      </c>
      <c r="D24" s="85"/>
      <c r="E24" s="84">
        <v>0.01</v>
      </c>
      <c r="F24" s="85"/>
      <c r="G24" s="84">
        <v>0.5</v>
      </c>
      <c r="H24" s="85"/>
      <c r="I24" s="84">
        <v>1E-3</v>
      </c>
      <c r="J24" s="85"/>
      <c r="K24" s="84">
        <v>0</v>
      </c>
      <c r="L24" s="85"/>
      <c r="M24" s="84">
        <v>0</v>
      </c>
    </row>
    <row r="25" spans="1:13" outlineLevel="1" x14ac:dyDescent="0.2">
      <c r="A25" s="82" t="s">
        <v>65</v>
      </c>
      <c r="B25" s="83">
        <v>0.23</v>
      </c>
      <c r="C25" s="84">
        <v>1</v>
      </c>
      <c r="D25" s="85"/>
      <c r="E25" s="84">
        <v>0.01</v>
      </c>
      <c r="F25" s="85"/>
      <c r="G25" s="84">
        <v>0.5</v>
      </c>
      <c r="H25" s="85"/>
      <c r="I25" s="84">
        <v>1E-3</v>
      </c>
      <c r="J25" s="85"/>
      <c r="K25" s="84">
        <v>0.4</v>
      </c>
      <c r="L25" s="85"/>
      <c r="M25" s="84">
        <v>0</v>
      </c>
    </row>
    <row r="26" spans="1:13" outlineLevel="1" x14ac:dyDescent="0.2">
      <c r="A26" s="82" t="s">
        <v>4727</v>
      </c>
      <c r="B26" s="83">
        <v>7.0000000000000007E-2</v>
      </c>
      <c r="C26" s="84">
        <v>1</v>
      </c>
      <c r="D26" s="85"/>
      <c r="E26" s="84">
        <v>0.01</v>
      </c>
      <c r="F26" s="85"/>
      <c r="G26" s="84">
        <v>0.5</v>
      </c>
      <c r="H26" s="85"/>
      <c r="I26" s="84">
        <v>1E-3</v>
      </c>
      <c r="J26" s="85"/>
      <c r="K26" s="84">
        <v>0.4</v>
      </c>
      <c r="L26" s="85"/>
      <c r="M26" s="84">
        <v>0</v>
      </c>
    </row>
    <row r="27" spans="1:13" outlineLevel="1" x14ac:dyDescent="0.2">
      <c r="A27" s="82" t="s">
        <v>4699</v>
      </c>
      <c r="B27" s="83">
        <v>0.05</v>
      </c>
      <c r="C27" s="84">
        <v>1</v>
      </c>
      <c r="D27" s="85"/>
      <c r="E27" s="84">
        <v>0.01</v>
      </c>
      <c r="F27" s="85"/>
      <c r="G27" s="84">
        <v>0.5</v>
      </c>
      <c r="H27" s="85"/>
      <c r="I27" s="84">
        <v>1E-3</v>
      </c>
      <c r="J27" s="85"/>
      <c r="K27" s="84">
        <v>0.4</v>
      </c>
      <c r="L27" s="85"/>
      <c r="M27" s="84">
        <v>0</v>
      </c>
    </row>
    <row r="28" spans="1:13" outlineLevel="1" x14ac:dyDescent="0.2">
      <c r="A28" s="82" t="s">
        <v>4724</v>
      </c>
      <c r="B28" s="83">
        <v>0.3</v>
      </c>
      <c r="C28" s="84">
        <v>1</v>
      </c>
      <c r="D28" s="85"/>
      <c r="E28" s="84">
        <v>0.01</v>
      </c>
      <c r="F28" s="85"/>
      <c r="G28" s="84">
        <v>0.5</v>
      </c>
      <c r="H28" s="85"/>
      <c r="I28" s="84">
        <v>1E-3</v>
      </c>
      <c r="J28" s="85"/>
      <c r="K28" s="84">
        <v>0.4</v>
      </c>
      <c r="L28" s="85"/>
      <c r="M28" s="84">
        <v>0</v>
      </c>
    </row>
    <row r="29" spans="1:13" outlineLevel="1" x14ac:dyDescent="0.2">
      <c r="A29" s="82" t="s">
        <v>4701</v>
      </c>
      <c r="B29" s="83">
        <v>0.03</v>
      </c>
      <c r="C29" s="84">
        <v>1</v>
      </c>
      <c r="D29" s="85"/>
      <c r="E29" s="84">
        <v>0.01</v>
      </c>
      <c r="F29" s="85"/>
      <c r="G29" s="84">
        <v>0.5</v>
      </c>
      <c r="H29" s="85"/>
      <c r="I29" s="84">
        <v>1E-3</v>
      </c>
      <c r="J29" s="85"/>
      <c r="K29" s="84">
        <v>0</v>
      </c>
      <c r="L29" s="85"/>
      <c r="M29" s="84">
        <v>0</v>
      </c>
    </row>
    <row r="30" spans="1:13" outlineLevel="1" x14ac:dyDescent="0.2">
      <c r="A30" s="82" t="s">
        <v>4726</v>
      </c>
      <c r="B30" s="83">
        <v>0.06</v>
      </c>
      <c r="C30" s="84">
        <v>1</v>
      </c>
      <c r="D30" s="85"/>
      <c r="E30" s="84">
        <v>0.01</v>
      </c>
      <c r="F30" s="85"/>
      <c r="G30" s="84">
        <v>0.5</v>
      </c>
      <c r="H30" s="85"/>
      <c r="I30" s="84">
        <v>1E-3</v>
      </c>
      <c r="J30" s="85"/>
      <c r="K30" s="84">
        <v>0</v>
      </c>
      <c r="L30" s="85"/>
      <c r="M30" s="84">
        <v>0</v>
      </c>
    </row>
    <row r="31" spans="1:13" x14ac:dyDescent="0.2">
      <c r="A31" s="86" t="s">
        <v>58</v>
      </c>
      <c r="C31" s="87"/>
      <c r="D31" s="88"/>
      <c r="E31" s="87"/>
      <c r="F31" s="88"/>
      <c r="G31" s="87"/>
      <c r="H31" s="88"/>
      <c r="I31" s="87"/>
      <c r="J31" s="88"/>
      <c r="K31" s="87"/>
      <c r="L31" s="88"/>
      <c r="M31" s="87"/>
    </row>
    <row r="32" spans="1:13" outlineLevel="1" x14ac:dyDescent="0.2">
      <c r="A32" s="89" t="s">
        <v>5558</v>
      </c>
      <c r="B32" s="90"/>
      <c r="C32" s="104">
        <v>1</v>
      </c>
      <c r="D32" s="103">
        <v>1000</v>
      </c>
      <c r="E32" s="105">
        <v>1</v>
      </c>
      <c r="F32" s="103">
        <v>1000</v>
      </c>
      <c r="G32" s="105">
        <v>1</v>
      </c>
      <c r="H32" s="103">
        <v>1000</v>
      </c>
      <c r="I32" s="105">
        <v>1</v>
      </c>
      <c r="J32" s="103">
        <v>1000</v>
      </c>
      <c r="K32" s="105">
        <v>1</v>
      </c>
      <c r="L32" s="103">
        <v>1000</v>
      </c>
      <c r="M32" s="105">
        <v>1</v>
      </c>
    </row>
    <row r="33" spans="1:16" outlineLevel="1" x14ac:dyDescent="0.2">
      <c r="A33" s="89" t="s">
        <v>5559</v>
      </c>
      <c r="B33" s="90"/>
      <c r="C33" s="104">
        <v>1</v>
      </c>
      <c r="D33" s="103">
        <v>1000</v>
      </c>
      <c r="E33" s="105">
        <v>1</v>
      </c>
      <c r="F33" s="103">
        <v>1000</v>
      </c>
      <c r="G33" s="105">
        <v>1</v>
      </c>
      <c r="H33" s="103">
        <v>1000</v>
      </c>
      <c r="I33" s="105">
        <v>1</v>
      </c>
      <c r="J33" s="103">
        <v>1000</v>
      </c>
      <c r="K33" s="105">
        <v>1</v>
      </c>
      <c r="L33" s="103">
        <v>1000</v>
      </c>
      <c r="M33" s="105">
        <v>1</v>
      </c>
    </row>
    <row r="34" spans="1:16" ht="15" outlineLevel="1" x14ac:dyDescent="0.25">
      <c r="A34" s="89" t="s">
        <v>5943</v>
      </c>
      <c r="B34" s="90"/>
      <c r="C34" s="104">
        <v>1</v>
      </c>
      <c r="D34" s="103" t="s">
        <v>4872</v>
      </c>
      <c r="E34" s="104">
        <v>1</v>
      </c>
      <c r="F34" s="103" t="s">
        <v>4872</v>
      </c>
      <c r="G34" s="104">
        <v>1</v>
      </c>
      <c r="H34" s="103" t="s">
        <v>4872</v>
      </c>
      <c r="I34" s="104">
        <v>1</v>
      </c>
      <c r="J34" s="103" t="s">
        <v>4872</v>
      </c>
      <c r="K34" s="104">
        <v>1</v>
      </c>
      <c r="L34" s="103" t="s">
        <v>4872</v>
      </c>
      <c r="M34" s="104">
        <v>1</v>
      </c>
      <c r="N34" s="22"/>
      <c r="O34" s="22"/>
      <c r="P34" s="22"/>
    </row>
    <row r="35" spans="1:16" outlineLevel="1" x14ac:dyDescent="0.2">
      <c r="A35" s="89" t="s">
        <v>5580</v>
      </c>
      <c r="B35" s="90"/>
      <c r="C35" s="104">
        <v>1</v>
      </c>
      <c r="D35" s="103" t="s">
        <v>5159</v>
      </c>
      <c r="E35" s="105">
        <v>1</v>
      </c>
      <c r="F35" s="103" t="s">
        <v>5159</v>
      </c>
      <c r="G35" s="105">
        <v>1</v>
      </c>
      <c r="H35" s="103" t="s">
        <v>5159</v>
      </c>
      <c r="I35" s="105">
        <v>1</v>
      </c>
      <c r="J35" s="103" t="s">
        <v>5159</v>
      </c>
      <c r="K35" s="105">
        <v>1</v>
      </c>
      <c r="L35" s="103" t="s">
        <v>5159</v>
      </c>
      <c r="M35" s="105">
        <v>1</v>
      </c>
    </row>
    <row r="36" spans="1:16" x14ac:dyDescent="0.2">
      <c r="A36" s="95"/>
      <c r="B36" s="95"/>
      <c r="C36" s="96"/>
      <c r="D36" s="97"/>
      <c r="E36" s="97"/>
      <c r="F36" s="98"/>
      <c r="G36" s="97"/>
      <c r="H36" s="98"/>
      <c r="I36" s="97"/>
      <c r="J36" s="98"/>
      <c r="K36" s="97"/>
      <c r="L36" s="98"/>
      <c r="M36" s="97"/>
    </row>
    <row r="37" spans="1:16" s="94" customFormat="1" x14ac:dyDescent="0.2">
      <c r="A37" s="91" t="s">
        <v>5938</v>
      </c>
      <c r="B37" s="91" t="s">
        <v>6055</v>
      </c>
      <c r="C37" s="92">
        <v>1</v>
      </c>
      <c r="D37" s="93" t="s">
        <v>4896</v>
      </c>
      <c r="E37" s="92">
        <v>0</v>
      </c>
      <c r="F37" s="93" t="s">
        <v>4874</v>
      </c>
      <c r="G37" s="92">
        <v>0</v>
      </c>
      <c r="H37" s="93" t="s">
        <v>4874</v>
      </c>
      <c r="I37" s="92">
        <v>0</v>
      </c>
      <c r="J37" s="93" t="s">
        <v>4874</v>
      </c>
      <c r="K37" s="92">
        <v>0.5</v>
      </c>
      <c r="L37" s="93" t="s">
        <v>4896</v>
      </c>
      <c r="M37" s="92">
        <v>0.25</v>
      </c>
    </row>
    <row r="38" spans="1:16" x14ac:dyDescent="0.2">
      <c r="A38" s="95"/>
      <c r="B38" s="95"/>
      <c r="C38" s="96"/>
      <c r="D38" s="97"/>
      <c r="E38" s="97"/>
      <c r="F38" s="98"/>
      <c r="G38" s="97"/>
      <c r="H38" s="98"/>
      <c r="I38" s="97"/>
      <c r="J38" s="98"/>
      <c r="K38" s="97"/>
      <c r="L38" s="98"/>
      <c r="M38" s="97"/>
    </row>
    <row r="39" spans="1:16" s="94" customFormat="1" x14ac:dyDescent="0.2">
      <c r="A39" s="91" t="s">
        <v>6160</v>
      </c>
      <c r="B39" s="91" t="s">
        <v>6161</v>
      </c>
      <c r="C39" s="92">
        <v>1</v>
      </c>
      <c r="D39" s="93" t="s">
        <v>4860</v>
      </c>
      <c r="E39" s="92">
        <v>0</v>
      </c>
      <c r="F39" s="93" t="s">
        <v>4859</v>
      </c>
      <c r="G39" s="92">
        <v>0</v>
      </c>
      <c r="H39" s="93" t="s">
        <v>4859</v>
      </c>
      <c r="I39" s="92">
        <v>0</v>
      </c>
      <c r="J39" s="93" t="s">
        <v>4859</v>
      </c>
      <c r="K39" s="92">
        <v>0</v>
      </c>
      <c r="L39" s="93" t="s">
        <v>4849</v>
      </c>
      <c r="M39" s="92">
        <v>0.25</v>
      </c>
    </row>
    <row r="40" spans="1:16" x14ac:dyDescent="0.2">
      <c r="A40" s="95"/>
      <c r="B40" s="95"/>
      <c r="C40" s="96"/>
      <c r="D40" s="97"/>
      <c r="E40" s="97"/>
      <c r="F40" s="98"/>
      <c r="G40" s="97"/>
      <c r="H40" s="98"/>
      <c r="I40" s="97"/>
      <c r="J40" s="98"/>
      <c r="K40" s="97"/>
      <c r="L40" s="98"/>
      <c r="M40" s="97"/>
    </row>
    <row r="41" spans="1:16" s="94" customFormat="1" x14ac:dyDescent="0.2">
      <c r="A41" s="107" t="s">
        <v>5523</v>
      </c>
      <c r="B41" s="91"/>
      <c r="C41" s="92">
        <v>1</v>
      </c>
      <c r="D41" s="93" t="s">
        <v>5520</v>
      </c>
      <c r="E41" s="92">
        <v>0</v>
      </c>
      <c r="F41" s="93" t="s">
        <v>4914</v>
      </c>
      <c r="G41" s="92">
        <v>0</v>
      </c>
      <c r="H41" s="93" t="s">
        <v>4874</v>
      </c>
      <c r="I41" s="92">
        <v>0</v>
      </c>
      <c r="J41" s="93" t="s">
        <v>4874</v>
      </c>
      <c r="K41" s="92">
        <v>0.25</v>
      </c>
      <c r="L41" s="93" t="s">
        <v>5520</v>
      </c>
      <c r="M41" s="92">
        <v>0.25</v>
      </c>
    </row>
    <row r="42" spans="1:16" s="94" customFormat="1" x14ac:dyDescent="0.2">
      <c r="A42" s="107" t="s">
        <v>5522</v>
      </c>
      <c r="B42" s="91"/>
      <c r="C42" s="92">
        <v>1</v>
      </c>
      <c r="D42" s="93" t="s">
        <v>5520</v>
      </c>
      <c r="E42" s="92">
        <v>0</v>
      </c>
      <c r="F42" s="93" t="s">
        <v>4914</v>
      </c>
      <c r="G42" s="92">
        <v>0</v>
      </c>
      <c r="H42" s="93" t="s">
        <v>4874</v>
      </c>
      <c r="I42" s="92">
        <v>0</v>
      </c>
      <c r="J42" s="93" t="s">
        <v>4874</v>
      </c>
      <c r="K42" s="92">
        <v>0.25</v>
      </c>
      <c r="L42" s="93" t="s">
        <v>5520</v>
      </c>
      <c r="M42" s="92">
        <v>0.25</v>
      </c>
    </row>
    <row r="43" spans="1:16" s="94" customFormat="1" x14ac:dyDescent="0.2">
      <c r="A43" s="107" t="s">
        <v>5554</v>
      </c>
      <c r="B43" s="91"/>
      <c r="C43" s="92">
        <v>1</v>
      </c>
      <c r="D43" s="93" t="s">
        <v>5520</v>
      </c>
      <c r="E43" s="92">
        <v>0</v>
      </c>
      <c r="F43" s="93" t="s">
        <v>4914</v>
      </c>
      <c r="G43" s="92">
        <v>0</v>
      </c>
      <c r="H43" s="93" t="s">
        <v>4874</v>
      </c>
      <c r="I43" s="92">
        <v>0</v>
      </c>
      <c r="J43" s="93" t="s">
        <v>4874</v>
      </c>
      <c r="K43" s="92">
        <v>0.25</v>
      </c>
      <c r="L43" s="93" t="s">
        <v>5520</v>
      </c>
      <c r="M43" s="92">
        <v>0</v>
      </c>
    </row>
    <row r="44" spans="1:16" s="94" customFormat="1" x14ac:dyDescent="0.2">
      <c r="A44" s="107" t="s">
        <v>5521</v>
      </c>
      <c r="B44" s="91"/>
      <c r="C44" s="92">
        <v>1</v>
      </c>
      <c r="D44" s="93" t="s">
        <v>5520</v>
      </c>
      <c r="E44" s="92">
        <v>0</v>
      </c>
      <c r="F44" s="93" t="s">
        <v>4914</v>
      </c>
      <c r="G44" s="92">
        <v>0</v>
      </c>
      <c r="H44" s="93" t="s">
        <v>4874</v>
      </c>
      <c r="I44" s="92">
        <v>0</v>
      </c>
      <c r="J44" s="93" t="s">
        <v>4874</v>
      </c>
      <c r="K44" s="92">
        <v>0.25</v>
      </c>
      <c r="L44" s="93" t="s">
        <v>5520</v>
      </c>
      <c r="M44" s="92">
        <v>0</v>
      </c>
    </row>
    <row r="45" spans="1:16" x14ac:dyDescent="0.2">
      <c r="A45" s="95"/>
      <c r="B45" s="95"/>
      <c r="C45" s="96"/>
      <c r="D45" s="97"/>
      <c r="E45" s="97"/>
      <c r="F45" s="98"/>
      <c r="G45" s="97"/>
      <c r="H45" s="98"/>
      <c r="I45" s="97"/>
      <c r="J45" s="98"/>
      <c r="K45" s="97"/>
      <c r="L45" s="98"/>
      <c r="M45" s="97"/>
    </row>
    <row r="46" spans="1:16" s="94" customFormat="1" x14ac:dyDescent="0.2">
      <c r="A46" s="91" t="s">
        <v>6056</v>
      </c>
      <c r="B46" s="91" t="s">
        <v>6057</v>
      </c>
      <c r="C46" s="92">
        <v>1</v>
      </c>
      <c r="D46" s="93" t="s">
        <v>6062</v>
      </c>
      <c r="E46" s="92">
        <v>0</v>
      </c>
      <c r="F46" s="93" t="s">
        <v>4918</v>
      </c>
      <c r="G46" s="92">
        <v>0</v>
      </c>
      <c r="H46" s="93" t="s">
        <v>4798</v>
      </c>
      <c r="I46" s="92">
        <v>0</v>
      </c>
      <c r="J46" s="93" t="s">
        <v>4798</v>
      </c>
      <c r="K46" s="92">
        <v>0.01</v>
      </c>
      <c r="L46" s="93" t="s">
        <v>4698</v>
      </c>
      <c r="M46" s="92">
        <v>0.01</v>
      </c>
    </row>
    <row r="47" spans="1:16" x14ac:dyDescent="0.2">
      <c r="A47" s="95"/>
      <c r="B47" s="95"/>
      <c r="C47" s="96"/>
      <c r="D47" s="97"/>
      <c r="E47" s="97"/>
      <c r="F47" s="98"/>
      <c r="G47" s="97"/>
      <c r="H47" s="98"/>
      <c r="I47" s="97"/>
      <c r="J47" s="98"/>
      <c r="K47" s="97"/>
      <c r="L47" s="98"/>
      <c r="M47" s="97"/>
    </row>
    <row r="48" spans="1:16" s="94" customFormat="1" x14ac:dyDescent="0.2">
      <c r="A48" s="91" t="s">
        <v>5487</v>
      </c>
      <c r="B48" s="91"/>
      <c r="C48" s="92">
        <v>1</v>
      </c>
      <c r="D48" s="93" t="s">
        <v>101</v>
      </c>
      <c r="E48" s="92">
        <v>0</v>
      </c>
      <c r="F48" s="93" t="s">
        <v>98</v>
      </c>
      <c r="G48" s="92">
        <v>0</v>
      </c>
      <c r="H48" s="93" t="s">
        <v>98</v>
      </c>
      <c r="I48" s="92">
        <v>0</v>
      </c>
      <c r="J48" s="93" t="s">
        <v>98</v>
      </c>
      <c r="K48" s="92">
        <v>0</v>
      </c>
      <c r="L48" s="93" t="s">
        <v>98</v>
      </c>
      <c r="M48" s="92">
        <v>0</v>
      </c>
    </row>
    <row r="49" spans="1:13" x14ac:dyDescent="0.2">
      <c r="A49" s="95"/>
      <c r="B49" s="95"/>
      <c r="C49" s="96"/>
      <c r="D49" s="97"/>
      <c r="E49" s="97"/>
      <c r="F49" s="98"/>
      <c r="G49" s="97"/>
      <c r="H49" s="98"/>
      <c r="I49" s="97"/>
      <c r="J49" s="98"/>
      <c r="K49" s="97"/>
      <c r="L49" s="98"/>
      <c r="M49" s="97"/>
    </row>
    <row r="50" spans="1:13" s="94" customFormat="1" x14ac:dyDescent="0.2">
      <c r="A50" s="91" t="s">
        <v>37</v>
      </c>
      <c r="B50" s="91"/>
      <c r="C50" s="92">
        <v>1</v>
      </c>
      <c r="D50" s="93" t="s">
        <v>5127</v>
      </c>
      <c r="E50" s="92">
        <v>0</v>
      </c>
      <c r="F50" s="93" t="s">
        <v>4798</v>
      </c>
      <c r="G50" s="92">
        <v>0</v>
      </c>
      <c r="H50" s="93" t="s">
        <v>4798</v>
      </c>
      <c r="I50" s="92">
        <v>0</v>
      </c>
      <c r="J50" s="93" t="s">
        <v>4798</v>
      </c>
      <c r="K50" s="92">
        <v>0.5</v>
      </c>
      <c r="L50" s="93" t="s">
        <v>5123</v>
      </c>
      <c r="M50" s="92">
        <v>0.5</v>
      </c>
    </row>
    <row r="51" spans="1:13" x14ac:dyDescent="0.2">
      <c r="A51" s="95"/>
      <c r="B51" s="95"/>
      <c r="C51" s="96"/>
      <c r="D51" s="97"/>
      <c r="E51" s="97"/>
      <c r="F51" s="98"/>
      <c r="G51" s="97"/>
      <c r="H51" s="98"/>
      <c r="I51" s="97"/>
      <c r="J51" s="98"/>
      <c r="K51" s="97"/>
      <c r="L51" s="98"/>
      <c r="M51" s="97"/>
    </row>
    <row r="52" spans="1:13" s="94" customFormat="1" x14ac:dyDescent="0.2">
      <c r="A52" s="91" t="s">
        <v>28</v>
      </c>
      <c r="B52" s="91"/>
      <c r="C52" s="92">
        <v>1</v>
      </c>
      <c r="D52" s="93" t="s">
        <v>5122</v>
      </c>
      <c r="E52" s="92">
        <v>0</v>
      </c>
      <c r="F52" s="93" t="s">
        <v>5122</v>
      </c>
      <c r="G52" s="92">
        <v>0</v>
      </c>
      <c r="H52" s="93" t="s">
        <v>4874</v>
      </c>
      <c r="I52" s="92">
        <v>0</v>
      </c>
      <c r="J52" s="93" t="s">
        <v>4874</v>
      </c>
      <c r="K52" s="92">
        <v>0.25</v>
      </c>
      <c r="L52" s="93" t="s">
        <v>5122</v>
      </c>
      <c r="M52" s="92">
        <v>0</v>
      </c>
    </row>
    <row r="53" spans="1:13" s="94" customFormat="1" x14ac:dyDescent="0.2">
      <c r="A53" s="91" t="s">
        <v>29</v>
      </c>
      <c r="B53" s="91"/>
      <c r="C53" s="92">
        <v>1</v>
      </c>
      <c r="D53" s="93" t="s">
        <v>5122</v>
      </c>
      <c r="E53" s="92">
        <v>0</v>
      </c>
      <c r="F53" s="93" t="s">
        <v>5122</v>
      </c>
      <c r="G53" s="92">
        <v>0</v>
      </c>
      <c r="H53" s="93" t="s">
        <v>4874</v>
      </c>
      <c r="I53" s="92">
        <v>0</v>
      </c>
      <c r="J53" s="93" t="s">
        <v>4874</v>
      </c>
      <c r="K53" s="92">
        <v>0</v>
      </c>
      <c r="L53" s="93" t="s">
        <v>4874</v>
      </c>
      <c r="M53" s="92">
        <v>0</v>
      </c>
    </row>
    <row r="54" spans="1:13" s="94" customFormat="1" x14ac:dyDescent="0.2">
      <c r="A54" s="91" t="s">
        <v>31</v>
      </c>
      <c r="B54" s="91"/>
      <c r="C54" s="92">
        <v>1</v>
      </c>
      <c r="D54" s="93" t="s">
        <v>5122</v>
      </c>
      <c r="E54" s="92">
        <v>0</v>
      </c>
      <c r="F54" s="93" t="s">
        <v>5122</v>
      </c>
      <c r="G54" s="92">
        <v>0</v>
      </c>
      <c r="H54" s="93" t="s">
        <v>4874</v>
      </c>
      <c r="I54" s="92">
        <v>0</v>
      </c>
      <c r="J54" s="93" t="s">
        <v>4874</v>
      </c>
      <c r="K54" s="92">
        <v>0</v>
      </c>
      <c r="L54" s="93" t="s">
        <v>4874</v>
      </c>
      <c r="M54" s="92">
        <v>0</v>
      </c>
    </row>
    <row r="55" spans="1:13" x14ac:dyDescent="0.2">
      <c r="A55" s="95"/>
      <c r="B55" s="95"/>
      <c r="C55" s="96"/>
      <c r="D55" s="97"/>
      <c r="E55" s="97"/>
      <c r="F55" s="98"/>
      <c r="G55" s="97"/>
      <c r="H55" s="98"/>
      <c r="I55" s="97"/>
      <c r="J55" s="98"/>
      <c r="K55" s="97"/>
      <c r="L55" s="98"/>
      <c r="M55" s="97"/>
    </row>
    <row r="56" spans="1:13" s="94" customFormat="1" x14ac:dyDescent="0.2">
      <c r="A56" s="91" t="s">
        <v>5493</v>
      </c>
      <c r="B56" s="91"/>
      <c r="C56" s="92">
        <v>1</v>
      </c>
      <c r="D56" s="93" t="s">
        <v>5594</v>
      </c>
      <c r="E56" s="92">
        <v>0</v>
      </c>
      <c r="F56" s="93" t="s">
        <v>4874</v>
      </c>
      <c r="G56" s="92">
        <v>0</v>
      </c>
      <c r="H56" s="93" t="s">
        <v>4874</v>
      </c>
      <c r="I56" s="92">
        <v>0</v>
      </c>
      <c r="J56" s="93" t="s">
        <v>4874</v>
      </c>
      <c r="K56" s="92">
        <v>0.25</v>
      </c>
      <c r="L56" s="93" t="s">
        <v>5600</v>
      </c>
      <c r="M56" s="92">
        <v>0.25</v>
      </c>
    </row>
    <row r="57" spans="1:13" s="94" customFormat="1" x14ac:dyDescent="0.2">
      <c r="A57" s="91" t="s">
        <v>5494</v>
      </c>
      <c r="B57" s="91"/>
      <c r="C57" s="92">
        <v>1</v>
      </c>
      <c r="D57" s="93" t="s">
        <v>5594</v>
      </c>
      <c r="E57" s="92">
        <v>0</v>
      </c>
      <c r="F57" s="93" t="s">
        <v>4874</v>
      </c>
      <c r="G57" s="92">
        <v>0</v>
      </c>
      <c r="H57" s="93" t="s">
        <v>4874</v>
      </c>
      <c r="I57" s="92">
        <v>0</v>
      </c>
      <c r="J57" s="93" t="s">
        <v>4874</v>
      </c>
      <c r="K57" s="92">
        <v>0.25</v>
      </c>
      <c r="L57" s="93" t="s">
        <v>5600</v>
      </c>
      <c r="M57" s="92">
        <v>0.25</v>
      </c>
    </row>
    <row r="58" spans="1:13" s="94" customFormat="1" x14ac:dyDescent="0.2">
      <c r="A58" s="91" t="s">
        <v>5495</v>
      </c>
      <c r="B58" s="91"/>
      <c r="C58" s="92">
        <v>1</v>
      </c>
      <c r="D58" s="93" t="s">
        <v>5594</v>
      </c>
      <c r="E58" s="92">
        <v>0</v>
      </c>
      <c r="F58" s="93" t="s">
        <v>4874</v>
      </c>
      <c r="G58" s="92">
        <v>0</v>
      </c>
      <c r="H58" s="93" t="s">
        <v>4874</v>
      </c>
      <c r="I58" s="92">
        <v>0</v>
      </c>
      <c r="J58" s="93" t="s">
        <v>4874</v>
      </c>
      <c r="K58" s="92">
        <v>0.25</v>
      </c>
      <c r="L58" s="93" t="s">
        <v>5600</v>
      </c>
      <c r="M58" s="92">
        <v>0</v>
      </c>
    </row>
    <row r="59" spans="1:13" s="94" customFormat="1" x14ac:dyDescent="0.2">
      <c r="A59" s="91" t="s">
        <v>5496</v>
      </c>
      <c r="B59" s="91"/>
      <c r="C59" s="92">
        <v>1</v>
      </c>
      <c r="D59" s="93" t="s">
        <v>5594</v>
      </c>
      <c r="E59" s="92">
        <v>0</v>
      </c>
      <c r="F59" s="93" t="s">
        <v>4874</v>
      </c>
      <c r="G59" s="92">
        <v>0</v>
      </c>
      <c r="H59" s="93" t="s">
        <v>4874</v>
      </c>
      <c r="I59" s="92">
        <v>0</v>
      </c>
      <c r="J59" s="93" t="s">
        <v>4874</v>
      </c>
      <c r="K59" s="92">
        <v>0</v>
      </c>
      <c r="L59" s="93" t="s">
        <v>4874</v>
      </c>
      <c r="M59" s="92">
        <v>0</v>
      </c>
    </row>
    <row r="60" spans="1:13" s="94" customFormat="1" x14ac:dyDescent="0.2">
      <c r="A60" s="91" t="s">
        <v>5497</v>
      </c>
      <c r="B60" s="91"/>
      <c r="C60" s="92">
        <v>1</v>
      </c>
      <c r="D60" s="93" t="s">
        <v>5594</v>
      </c>
      <c r="E60" s="92">
        <v>0</v>
      </c>
      <c r="F60" s="93" t="s">
        <v>4874</v>
      </c>
      <c r="G60" s="92">
        <v>0</v>
      </c>
      <c r="H60" s="93" t="s">
        <v>4874</v>
      </c>
      <c r="I60" s="92">
        <v>0</v>
      </c>
      <c r="J60" s="93" t="s">
        <v>4874</v>
      </c>
      <c r="K60" s="92">
        <v>0</v>
      </c>
      <c r="L60" s="93" t="s">
        <v>4874</v>
      </c>
      <c r="M60" s="92">
        <v>0</v>
      </c>
    </row>
    <row r="61" spans="1:13" x14ac:dyDescent="0.2">
      <c r="A61" s="95"/>
      <c r="B61" s="95"/>
      <c r="C61" s="96"/>
      <c r="D61" s="97"/>
      <c r="E61" s="97"/>
      <c r="F61" s="98"/>
      <c r="G61" s="97"/>
      <c r="H61" s="98"/>
      <c r="I61" s="97"/>
      <c r="J61" s="98"/>
      <c r="K61" s="97"/>
      <c r="L61" s="98"/>
      <c r="M61" s="97"/>
    </row>
    <row r="62" spans="1:13" s="94" customFormat="1" x14ac:dyDescent="0.2">
      <c r="A62" s="91" t="s">
        <v>5498</v>
      </c>
      <c r="B62" s="91"/>
      <c r="C62" s="92">
        <v>1</v>
      </c>
      <c r="D62" s="93" t="s">
        <v>5134</v>
      </c>
      <c r="E62" s="92">
        <v>0</v>
      </c>
      <c r="F62" s="93" t="s">
        <v>5593</v>
      </c>
      <c r="G62" s="92">
        <v>0</v>
      </c>
      <c r="H62" s="93" t="s">
        <v>5593</v>
      </c>
      <c r="I62" s="92">
        <v>0</v>
      </c>
      <c r="J62" s="93" t="s">
        <v>5593</v>
      </c>
      <c r="K62" s="92">
        <v>0.5</v>
      </c>
      <c r="L62" s="93" t="s">
        <v>5134</v>
      </c>
      <c r="M62" s="92">
        <v>0.5</v>
      </c>
    </row>
    <row r="63" spans="1:13" s="94" customFormat="1" x14ac:dyDescent="0.2">
      <c r="A63" s="91" t="s">
        <v>5499</v>
      </c>
      <c r="B63" s="91"/>
      <c r="C63" s="92">
        <v>1</v>
      </c>
      <c r="D63" s="93" t="s">
        <v>5134</v>
      </c>
      <c r="E63" s="92">
        <v>0</v>
      </c>
      <c r="F63" s="93" t="s">
        <v>5593</v>
      </c>
      <c r="G63" s="92">
        <v>0</v>
      </c>
      <c r="H63" s="93" t="s">
        <v>5593</v>
      </c>
      <c r="I63" s="92">
        <v>0</v>
      </c>
      <c r="J63" s="93" t="s">
        <v>5593</v>
      </c>
      <c r="K63" s="92">
        <v>0.5</v>
      </c>
      <c r="L63" s="93" t="s">
        <v>5134</v>
      </c>
      <c r="M63" s="92">
        <v>0.5</v>
      </c>
    </row>
    <row r="64" spans="1:13" s="94" customFormat="1" x14ac:dyDescent="0.2">
      <c r="A64" s="91" t="s">
        <v>5500</v>
      </c>
      <c r="B64" s="91"/>
      <c r="C64" s="92">
        <v>1</v>
      </c>
      <c r="D64" s="93" t="s">
        <v>5134</v>
      </c>
      <c r="E64" s="92">
        <v>0</v>
      </c>
      <c r="F64" s="93" t="s">
        <v>5593</v>
      </c>
      <c r="G64" s="92">
        <v>0</v>
      </c>
      <c r="H64" s="93" t="s">
        <v>5593</v>
      </c>
      <c r="I64" s="92">
        <v>0</v>
      </c>
      <c r="J64" s="93" t="s">
        <v>5593</v>
      </c>
      <c r="K64" s="92">
        <v>0.5</v>
      </c>
      <c r="L64" s="93" t="s">
        <v>5134</v>
      </c>
      <c r="M64" s="92">
        <v>0</v>
      </c>
    </row>
    <row r="65" spans="1:13" s="94" customFormat="1" x14ac:dyDescent="0.2">
      <c r="A65" s="91" t="s">
        <v>5501</v>
      </c>
      <c r="B65" s="91"/>
      <c r="C65" s="92">
        <v>1</v>
      </c>
      <c r="D65" s="93" t="s">
        <v>5134</v>
      </c>
      <c r="E65" s="92">
        <v>0</v>
      </c>
      <c r="F65" s="93" t="s">
        <v>5593</v>
      </c>
      <c r="G65" s="92">
        <v>0</v>
      </c>
      <c r="H65" s="93" t="s">
        <v>5593</v>
      </c>
      <c r="I65" s="92">
        <v>0</v>
      </c>
      <c r="J65" s="93" t="s">
        <v>5593</v>
      </c>
      <c r="K65" s="92">
        <v>0.5</v>
      </c>
      <c r="L65" s="93" t="s">
        <v>5134</v>
      </c>
      <c r="M65" s="92">
        <v>0</v>
      </c>
    </row>
    <row r="66" spans="1:13" s="94" customFormat="1" x14ac:dyDescent="0.2">
      <c r="A66" s="91" t="s">
        <v>5502</v>
      </c>
      <c r="B66" s="91"/>
      <c r="C66" s="92">
        <v>1</v>
      </c>
      <c r="D66" s="93" t="s">
        <v>5134</v>
      </c>
      <c r="E66" s="92">
        <v>0</v>
      </c>
      <c r="F66" s="93" t="s">
        <v>5593</v>
      </c>
      <c r="G66" s="92">
        <v>0</v>
      </c>
      <c r="H66" s="93" t="s">
        <v>5593</v>
      </c>
      <c r="I66" s="92">
        <v>0</v>
      </c>
      <c r="J66" s="93" t="s">
        <v>5593</v>
      </c>
      <c r="K66" s="92">
        <v>0</v>
      </c>
      <c r="L66" s="93" t="s">
        <v>5593</v>
      </c>
      <c r="M66" s="92">
        <v>0</v>
      </c>
    </row>
    <row r="67" spans="1:13" s="94" customFormat="1" x14ac:dyDescent="0.2">
      <c r="A67" s="91" t="s">
        <v>5503</v>
      </c>
      <c r="B67" s="91"/>
      <c r="C67" s="92">
        <v>1</v>
      </c>
      <c r="D67" s="93" t="s">
        <v>5134</v>
      </c>
      <c r="E67" s="92">
        <v>0</v>
      </c>
      <c r="F67" s="93" t="s">
        <v>5593</v>
      </c>
      <c r="G67" s="92">
        <v>0</v>
      </c>
      <c r="H67" s="93" t="s">
        <v>5593</v>
      </c>
      <c r="I67" s="92">
        <v>0</v>
      </c>
      <c r="J67" s="93" t="s">
        <v>5593</v>
      </c>
      <c r="K67" s="92">
        <v>0</v>
      </c>
      <c r="L67" s="93" t="s">
        <v>5593</v>
      </c>
      <c r="M67" s="92">
        <v>0</v>
      </c>
    </row>
    <row r="68" spans="1:13" x14ac:dyDescent="0.2">
      <c r="A68" s="95"/>
      <c r="B68" s="95"/>
      <c r="C68" s="96"/>
      <c r="D68" s="97"/>
      <c r="E68" s="97"/>
      <c r="F68" s="98"/>
      <c r="G68" s="97"/>
      <c r="H68" s="98"/>
      <c r="I68" s="97"/>
      <c r="J68" s="98"/>
      <c r="K68" s="97"/>
      <c r="L68" s="98"/>
      <c r="M68" s="97"/>
    </row>
    <row r="69" spans="1:13" s="94" customFormat="1" x14ac:dyDescent="0.2">
      <c r="A69" s="91" t="s">
        <v>5524</v>
      </c>
      <c r="B69" s="91"/>
      <c r="C69" s="92">
        <v>1</v>
      </c>
      <c r="D69" s="93" t="s">
        <v>5159</v>
      </c>
      <c r="E69" s="92">
        <v>0</v>
      </c>
      <c r="F69" s="93" t="s">
        <v>4874</v>
      </c>
      <c r="G69" s="92">
        <v>0</v>
      </c>
      <c r="H69" s="93" t="s">
        <v>4874</v>
      </c>
      <c r="I69" s="92">
        <v>0</v>
      </c>
      <c r="J69" s="93" t="s">
        <v>4874</v>
      </c>
      <c r="K69" s="92">
        <v>0.5</v>
      </c>
      <c r="L69" s="93" t="s">
        <v>99</v>
      </c>
      <c r="M69" s="92">
        <v>0.5</v>
      </c>
    </row>
    <row r="70" spans="1:13" s="94" customFormat="1" x14ac:dyDescent="0.2">
      <c r="A70" s="91" t="s">
        <v>5525</v>
      </c>
      <c r="B70" s="91"/>
      <c r="C70" s="92">
        <v>1</v>
      </c>
      <c r="D70" s="93" t="s">
        <v>5159</v>
      </c>
      <c r="E70" s="92">
        <v>0</v>
      </c>
      <c r="F70" s="93" t="s">
        <v>4874</v>
      </c>
      <c r="G70" s="92">
        <v>0</v>
      </c>
      <c r="H70" s="93" t="s">
        <v>4874</v>
      </c>
      <c r="I70" s="92">
        <v>0</v>
      </c>
      <c r="J70" s="93" t="s">
        <v>4874</v>
      </c>
      <c r="K70" s="92">
        <v>0.5</v>
      </c>
      <c r="L70" s="93" t="s">
        <v>99</v>
      </c>
      <c r="M70" s="92">
        <v>0.5</v>
      </c>
    </row>
    <row r="71" spans="1:13" s="94" customFormat="1" x14ac:dyDescent="0.2">
      <c r="A71" s="91" t="s">
        <v>5526</v>
      </c>
      <c r="B71" s="91"/>
      <c r="C71" s="92">
        <v>1</v>
      </c>
      <c r="D71" s="93" t="s">
        <v>5159</v>
      </c>
      <c r="E71" s="92">
        <v>0</v>
      </c>
      <c r="F71" s="93" t="s">
        <v>4874</v>
      </c>
      <c r="G71" s="92">
        <v>0</v>
      </c>
      <c r="H71" s="93" t="s">
        <v>4874</v>
      </c>
      <c r="I71" s="92">
        <v>0</v>
      </c>
      <c r="J71" s="93" t="s">
        <v>4874</v>
      </c>
      <c r="K71" s="92">
        <v>0.5</v>
      </c>
      <c r="L71" s="93" t="s">
        <v>99</v>
      </c>
      <c r="M71" s="92">
        <v>0.5</v>
      </c>
    </row>
    <row r="72" spans="1:13" s="94" customFormat="1" x14ac:dyDescent="0.2">
      <c r="A72" s="91" t="s">
        <v>5527</v>
      </c>
      <c r="B72" s="91"/>
      <c r="C72" s="92">
        <v>1</v>
      </c>
      <c r="D72" s="93" t="s">
        <v>5159</v>
      </c>
      <c r="E72" s="92">
        <v>0</v>
      </c>
      <c r="F72" s="93" t="s">
        <v>4874</v>
      </c>
      <c r="G72" s="92">
        <v>0</v>
      </c>
      <c r="H72" s="93" t="s">
        <v>4874</v>
      </c>
      <c r="I72" s="92">
        <v>0</v>
      </c>
      <c r="J72" s="93" t="s">
        <v>4874</v>
      </c>
      <c r="K72" s="92">
        <v>0.5</v>
      </c>
      <c r="L72" s="93" t="s">
        <v>99</v>
      </c>
      <c r="M72" s="92">
        <v>0.5</v>
      </c>
    </row>
    <row r="73" spans="1:13" s="94" customFormat="1" x14ac:dyDescent="0.2">
      <c r="A73" s="91" t="s">
        <v>5528</v>
      </c>
      <c r="B73" s="91"/>
      <c r="C73" s="92">
        <v>1</v>
      </c>
      <c r="D73" s="93" t="s">
        <v>5159</v>
      </c>
      <c r="E73" s="92">
        <v>0</v>
      </c>
      <c r="F73" s="93" t="s">
        <v>4874</v>
      </c>
      <c r="G73" s="92">
        <v>0</v>
      </c>
      <c r="H73" s="93" t="s">
        <v>4874</v>
      </c>
      <c r="I73" s="92">
        <v>0</v>
      </c>
      <c r="J73" s="93" t="s">
        <v>4874</v>
      </c>
      <c r="K73" s="92">
        <v>0.5</v>
      </c>
      <c r="L73" s="93" t="s">
        <v>99</v>
      </c>
      <c r="M73" s="92">
        <v>0.5</v>
      </c>
    </row>
    <row r="74" spans="1:13" s="94" customFormat="1" x14ac:dyDescent="0.2">
      <c r="A74" s="91" t="s">
        <v>5529</v>
      </c>
      <c r="B74" s="91"/>
      <c r="C74" s="92">
        <v>1</v>
      </c>
      <c r="D74" s="93" t="s">
        <v>5159</v>
      </c>
      <c r="E74" s="92">
        <v>0</v>
      </c>
      <c r="F74" s="93" t="s">
        <v>4874</v>
      </c>
      <c r="G74" s="92">
        <v>0</v>
      </c>
      <c r="H74" s="93" t="s">
        <v>4874</v>
      </c>
      <c r="I74" s="92">
        <v>0</v>
      </c>
      <c r="J74" s="93" t="s">
        <v>4874</v>
      </c>
      <c r="K74" s="92">
        <v>0.5</v>
      </c>
      <c r="L74" s="93" t="s">
        <v>99</v>
      </c>
      <c r="M74" s="92">
        <v>0.5</v>
      </c>
    </row>
    <row r="75" spans="1:13" x14ac:dyDescent="0.2">
      <c r="A75" s="95"/>
      <c r="B75" s="95"/>
      <c r="C75" s="96"/>
      <c r="D75" s="97"/>
      <c r="E75" s="97"/>
      <c r="F75" s="98"/>
      <c r="G75" s="97"/>
      <c r="H75" s="98"/>
      <c r="I75" s="97"/>
      <c r="J75" s="98"/>
      <c r="K75" s="97"/>
      <c r="L75" s="98"/>
      <c r="M75" s="97"/>
    </row>
    <row r="76" spans="1:13" s="94" customFormat="1" x14ac:dyDescent="0.2">
      <c r="A76" s="91" t="s">
        <v>5514</v>
      </c>
      <c r="B76" s="91"/>
      <c r="C76" s="92">
        <v>1</v>
      </c>
      <c r="D76" s="93" t="s">
        <v>5163</v>
      </c>
      <c r="E76" s="92">
        <v>0</v>
      </c>
      <c r="F76" s="93" t="s">
        <v>4874</v>
      </c>
      <c r="G76" s="92">
        <v>0</v>
      </c>
      <c r="H76" s="93" t="s">
        <v>4874</v>
      </c>
      <c r="I76" s="92">
        <v>0</v>
      </c>
      <c r="J76" s="93" t="s">
        <v>4874</v>
      </c>
      <c r="K76" s="92">
        <v>0.5</v>
      </c>
      <c r="L76" s="93" t="s">
        <v>5163</v>
      </c>
      <c r="M76" s="92">
        <v>0.5</v>
      </c>
    </row>
    <row r="77" spans="1:13" s="94" customFormat="1" x14ac:dyDescent="0.2">
      <c r="A77" s="91" t="s">
        <v>5515</v>
      </c>
      <c r="B77" s="91"/>
      <c r="C77" s="92">
        <v>1</v>
      </c>
      <c r="D77" s="93" t="s">
        <v>5163</v>
      </c>
      <c r="E77" s="92">
        <v>0</v>
      </c>
      <c r="F77" s="93" t="s">
        <v>4874</v>
      </c>
      <c r="G77" s="92">
        <v>0</v>
      </c>
      <c r="H77" s="93" t="s">
        <v>4874</v>
      </c>
      <c r="I77" s="92">
        <v>0</v>
      </c>
      <c r="J77" s="93" t="s">
        <v>4874</v>
      </c>
      <c r="K77" s="92">
        <v>0</v>
      </c>
      <c r="L77" s="93" t="s">
        <v>4874</v>
      </c>
      <c r="M77" s="92">
        <v>0</v>
      </c>
    </row>
  </sheetData>
  <dataValidations disablePrompts="1" count="18">
    <dataValidation type="list" allowBlank="1" showInputMessage="1" showErrorMessage="1" sqref="D34 F34 H34 J34 L34" xr:uid="{3E17EA68-40B4-4B46-9598-FD7AA09BD63E}">
      <formula1>"on,off"</formula1>
    </dataValidation>
    <dataValidation type="list" allowBlank="1" showInputMessage="1" showErrorMessage="1" sqref="D50 F50 H50 J50 L50" xr:uid="{AA9B885A-1BB2-45F5-BB5C-99A8E427AF73}">
      <formula1>i2c_od_modes</formula1>
    </dataValidation>
    <dataValidation type="list" allowBlank="1" showInputMessage="1" showErrorMessage="1" sqref="F32:F33 H32:H33 J32:J33 L32:L33 D32:D33" xr:uid="{7CA7CAD4-32B5-4438-BCBF-458F048AE02C}">
      <formula1>pll_modes</formula1>
    </dataValidation>
    <dataValidation type="list" allowBlank="1" showInputMessage="1" showErrorMessage="1" sqref="C6:M6" xr:uid="{ABD990F9-F4EB-460D-A667-890B6C75E7E1}">
      <formula1>tj_choices</formula1>
    </dataValidation>
    <dataValidation type="list" allowBlank="1" showInputMessage="1" showErrorMessage="1" sqref="C7:M8" xr:uid="{0E7D9FF2-7FDE-4522-ACDD-F17325333FDE}">
      <formula1>vdd_choices</formula1>
    </dataValidation>
    <dataValidation type="list" allowBlank="1" showInputMessage="1" showErrorMessage="1" sqref="L46 J46 H46 F46" xr:uid="{49BCBC18-D3AC-4CEF-AE16-90EEABE8BD0A}">
      <formula1>qspi_modes</formula1>
    </dataValidation>
    <dataValidation type="list" allowBlank="1" showInputMessage="1" showErrorMessage="1" sqref="L41:L44 F41:F44 J41:J44 H41:H44 D41:D44 L48:L49 F48:F49 J48:J49 H48:H49 D48:D49" xr:uid="{4A739DBF-30EC-43A1-9F69-BEDBF659BF02}">
      <formula1>canfd_modes</formula1>
    </dataValidation>
    <dataValidation type="list" allowBlank="1" showInputMessage="1" showErrorMessage="1" sqref="H52:H54 D52:D54 J52:J54 L52:L54 F52:F54" xr:uid="{D79444C7-27F1-4D9D-8CA4-5D813A8DF251}">
      <formula1>i2c_modes</formula1>
    </dataValidation>
    <dataValidation type="list" allowBlank="1" showInputMessage="1" showErrorMessage="1" sqref="D56:D60 F56:F60 L56:L60 J56:J60 H56:H60" xr:uid="{B483B1E5-3C8A-4C94-8DFE-5539D1F02FF7}">
      <formula1>spi_modes</formula1>
    </dataValidation>
    <dataValidation type="list" allowBlank="1" showInputMessage="1" showErrorMessage="1" sqref="D62:D67 F62:F67 L62:L67 J62:J67 H62:H67" xr:uid="{6A7518E0-88E7-4D33-95F6-DBDD79949950}">
      <formula1>uart_modes</formula1>
    </dataValidation>
    <dataValidation type="list" allowBlank="1" showInputMessage="1" showErrorMessage="1" sqref="F69:F74 L69:L74 J69:J74 H69:H74 D69:D74" xr:uid="{98AC8A3E-D435-4E21-8D31-EFB54983D1D1}">
      <formula1>epwm_modes</formula1>
    </dataValidation>
    <dataValidation type="list" allowBlank="1" showInputMessage="1" showErrorMessage="1" sqref="D76:D77 F76:F77 L76:L77 J76:J77 H76:H77" xr:uid="{2C51FD06-0BB1-4CE7-B0AB-97359BEA4888}">
      <formula1>gpio_modes</formula1>
    </dataValidation>
    <dataValidation type="list" allowBlank="1" showInputMessage="1" showErrorMessage="1" sqref="F37 L37 J37 D37 H37" xr:uid="{6079B261-592B-4001-ADEB-2FF6308BFAB2}">
      <formula1>ethernet_modes</formula1>
    </dataValidation>
    <dataValidation type="list" allowBlank="1" showInputMessage="1" showErrorMessage="1" sqref="D35 L35 J35 H35 F35" xr:uid="{A9135248-E959-49C4-9BFB-F407F1B7A43F}">
      <formula1>on_off_modes</formula1>
    </dataValidation>
    <dataValidation type="list" allowBlank="1" showInputMessage="1" showErrorMessage="1" sqref="E35 M35 K35 I35 G35" xr:uid="{99A57579-CC2C-4849-93F2-C1B8B747B206}">
      <formula1>"ON,OFF"</formula1>
    </dataValidation>
    <dataValidation type="list" allowBlank="1" showInputMessage="1" showErrorMessage="1" sqref="D46" xr:uid="{78347089-4238-4A1F-8E30-81B9C94DDE07}">
      <formula1>ospi_modes</formula1>
    </dataValidation>
    <dataValidation type="list" allowBlank="1" showInputMessage="1" showErrorMessage="1" sqref="D48:D49 L48:L49 J48:J49 H48:H49 F48:F49" xr:uid="{0F09B389-88E7-44F4-87D9-78F67096A6D1}">
      <formula1>sdio_modes</formula1>
    </dataValidation>
    <dataValidation type="list" allowBlank="1" showInputMessage="1" showErrorMessage="1" sqref="D39 F39 H39 J39 L39" xr:uid="{BDE54DF5-3439-4CA2-97B7-562AC04BA686}">
      <formula1>usb2_modes</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36F5-4055-4258-B8D2-679AE9FB9303}">
  <sheetPr>
    <tabColor theme="8" tint="-0.249977111117893"/>
  </sheetPr>
  <dimension ref="A1:Q117"/>
  <sheetViews>
    <sheetView workbookViewId="0"/>
  </sheetViews>
  <sheetFormatPr defaultColWidth="8.5703125" defaultRowHeight="12" outlineLevelRow="1" outlineLevelCol="1" x14ac:dyDescent="0.2"/>
  <cols>
    <col min="1" max="1" width="19.5703125" style="62" customWidth="1" outlineLevel="1"/>
    <col min="2" max="2" width="22.85546875" style="62" customWidth="1"/>
    <col min="3" max="3" width="10.7109375" style="99" customWidth="1" outlineLevel="1" collapsed="1"/>
    <col min="4" max="10" width="10.7109375" style="99" customWidth="1" outlineLevel="1"/>
    <col min="11" max="11" width="10.7109375" style="99" customWidth="1"/>
    <col min="12" max="12" width="10.7109375" style="99" customWidth="1" outlineLevel="1"/>
    <col min="13" max="13" width="10.7109375" style="99" customWidth="1"/>
    <col min="14" max="14" width="10.7109375" style="99" customWidth="1" outlineLevel="1"/>
    <col min="15" max="16384" width="8.5703125" style="62"/>
  </cols>
  <sheetData>
    <row r="1" spans="1:14" ht="39" customHeight="1" x14ac:dyDescent="0.2">
      <c r="A1" s="60" t="s">
        <v>5427</v>
      </c>
      <c r="B1" s="60" t="s">
        <v>3</v>
      </c>
      <c r="C1" s="6" t="s">
        <v>50</v>
      </c>
      <c r="D1" s="61" t="str">
        <f>C1&amp;" UC Mode or Frequency"</f>
        <v>100% UC Mode or Frequency</v>
      </c>
      <c r="E1" s="5" t="s">
        <v>39</v>
      </c>
      <c r="F1" s="61" t="str">
        <f>E1&amp;" UC Mode or Frequency"</f>
        <v>Idle UC Mode or Frequency</v>
      </c>
      <c r="G1" s="5" t="s">
        <v>52</v>
      </c>
      <c r="H1" s="61" t="str">
        <f>G1&amp;" UC Mode or Frequency"</f>
        <v>Burn In UC Mode or Frequency</v>
      </c>
      <c r="I1" s="5" t="s">
        <v>4706</v>
      </c>
      <c r="J1" s="61" t="str">
        <f>I1&amp;" UC Mode or Frequency"</f>
        <v>Scan Partition 0 UC Mode or Frequency</v>
      </c>
      <c r="K1" s="5" t="s">
        <v>6163</v>
      </c>
      <c r="L1" s="61" t="str">
        <f>K1&amp;" UC Mode or Frequency"</f>
        <v>Paul Example UC UC Mode or Frequency</v>
      </c>
      <c r="M1" s="5" t="s">
        <v>6162</v>
      </c>
      <c r="N1" s="61" t="str">
        <f>M1&amp;" UC Mode or Frequency"</f>
        <v>TBD1 UC Mode or Frequency</v>
      </c>
    </row>
    <row r="2" spans="1:14" outlineLevel="1" x14ac:dyDescent="0.2">
      <c r="A2" s="63" t="s">
        <v>4799</v>
      </c>
      <c r="B2" s="64" t="s">
        <v>43</v>
      </c>
      <c r="C2" s="161" t="s">
        <v>5998</v>
      </c>
      <c r="D2" s="65"/>
      <c r="E2" s="65" t="s">
        <v>39</v>
      </c>
      <c r="F2" s="65"/>
      <c r="G2" s="65" t="s">
        <v>52</v>
      </c>
      <c r="H2" s="65"/>
      <c r="I2" s="65" t="s">
        <v>4695</v>
      </c>
      <c r="J2" s="65"/>
      <c r="K2" s="65" t="s">
        <v>85</v>
      </c>
      <c r="L2" s="65"/>
      <c r="M2" s="65" t="s">
        <v>86</v>
      </c>
      <c r="N2" s="65"/>
    </row>
    <row r="3" spans="1:14" outlineLevel="1" x14ac:dyDescent="0.2">
      <c r="A3" s="63" t="s">
        <v>5434</v>
      </c>
      <c r="B3" s="64" t="s">
        <v>56</v>
      </c>
      <c r="C3" s="65" t="s">
        <v>40</v>
      </c>
      <c r="D3" s="65"/>
      <c r="E3" s="65" t="s">
        <v>40</v>
      </c>
      <c r="F3" s="65"/>
      <c r="G3" s="65" t="s">
        <v>57</v>
      </c>
      <c r="H3" s="65"/>
      <c r="I3" s="65" t="s">
        <v>57</v>
      </c>
      <c r="J3" s="65"/>
      <c r="K3" s="65" t="s">
        <v>90</v>
      </c>
      <c r="L3" s="65"/>
      <c r="M3" s="65" t="s">
        <v>91</v>
      </c>
      <c r="N3" s="65"/>
    </row>
    <row r="4" spans="1:14" outlineLevel="1" x14ac:dyDescent="0.2">
      <c r="A4" s="63" t="s">
        <v>4800</v>
      </c>
      <c r="B4" s="64" t="s">
        <v>53</v>
      </c>
      <c r="C4" s="66" t="s">
        <v>54</v>
      </c>
      <c r="D4" s="66"/>
      <c r="E4" s="66" t="s">
        <v>54</v>
      </c>
      <c r="F4" s="66"/>
      <c r="G4" s="66" t="s">
        <v>54</v>
      </c>
      <c r="H4" s="66"/>
      <c r="I4" s="66" t="s">
        <v>54</v>
      </c>
      <c r="J4" s="66"/>
      <c r="K4" s="66" t="s">
        <v>94</v>
      </c>
      <c r="L4" s="66"/>
      <c r="M4" s="66" t="s">
        <v>94</v>
      </c>
      <c r="N4" s="66"/>
    </row>
    <row r="5" spans="1:14" outlineLevel="1" x14ac:dyDescent="0.2">
      <c r="A5" s="63" t="s">
        <v>4801</v>
      </c>
      <c r="B5" s="64" t="s">
        <v>55</v>
      </c>
      <c r="C5" s="66">
        <v>44159</v>
      </c>
      <c r="D5" s="66"/>
      <c r="E5" s="66">
        <v>44292</v>
      </c>
      <c r="F5" s="66"/>
      <c r="G5" s="66">
        <v>44131</v>
      </c>
      <c r="H5" s="66"/>
      <c r="I5" s="66">
        <v>44254</v>
      </c>
      <c r="J5" s="66"/>
      <c r="K5" s="66">
        <v>44141</v>
      </c>
      <c r="L5" s="66"/>
      <c r="M5" s="66">
        <v>44141</v>
      </c>
      <c r="N5" s="66"/>
    </row>
    <row r="6" spans="1:14" outlineLevel="1" x14ac:dyDescent="0.2">
      <c r="A6" s="63" t="s">
        <v>4802</v>
      </c>
      <c r="B6" s="64" t="s">
        <v>6</v>
      </c>
      <c r="C6" s="67">
        <v>150</v>
      </c>
      <c r="D6" s="67"/>
      <c r="E6" s="67">
        <v>150</v>
      </c>
      <c r="F6" s="67"/>
      <c r="G6" s="67">
        <v>150</v>
      </c>
      <c r="H6" s="67"/>
      <c r="I6" s="67">
        <v>150</v>
      </c>
      <c r="J6" s="67"/>
      <c r="K6" s="67">
        <v>150</v>
      </c>
      <c r="L6" s="67"/>
      <c r="M6" s="67">
        <v>150</v>
      </c>
      <c r="N6" s="67"/>
    </row>
    <row r="7" spans="1:14" outlineLevel="1" x14ac:dyDescent="0.2">
      <c r="A7" s="63" t="s">
        <v>5435</v>
      </c>
      <c r="B7" s="64" t="s">
        <v>51</v>
      </c>
      <c r="C7" s="68">
        <v>1.1999999999999993</v>
      </c>
      <c r="D7" s="68"/>
      <c r="E7" s="68">
        <v>1.1999999999999993</v>
      </c>
      <c r="F7" s="68"/>
      <c r="G7" s="68">
        <v>1.1999999999999993</v>
      </c>
      <c r="H7" s="68"/>
      <c r="I7" s="68">
        <v>1.1999999999999993</v>
      </c>
      <c r="J7" s="68"/>
      <c r="K7" s="68">
        <v>1.1999999999999993</v>
      </c>
      <c r="L7" s="68"/>
      <c r="M7" s="68">
        <v>1.1999999999999993</v>
      </c>
      <c r="N7" s="68"/>
    </row>
    <row r="8" spans="1:14" outlineLevel="1" x14ac:dyDescent="0.2">
      <c r="A8" s="63" t="s">
        <v>5437</v>
      </c>
      <c r="B8" s="64" t="s">
        <v>5436</v>
      </c>
      <c r="C8" s="68">
        <v>1.1999999999999993</v>
      </c>
      <c r="D8" s="68"/>
      <c r="E8" s="68">
        <v>1.1999999999999993</v>
      </c>
      <c r="F8" s="68"/>
      <c r="G8" s="68">
        <v>1.1999999999999993</v>
      </c>
      <c r="H8" s="68"/>
      <c r="I8" s="68">
        <v>1.1999999999999993</v>
      </c>
      <c r="J8" s="68"/>
      <c r="K8" s="68">
        <v>1.1999999999999993</v>
      </c>
      <c r="L8" s="68"/>
      <c r="M8" s="68">
        <v>1.1999999999999993</v>
      </c>
      <c r="N8" s="68"/>
    </row>
    <row r="9" spans="1:14" outlineLevel="1" x14ac:dyDescent="0.2">
      <c r="A9" s="63" t="s">
        <v>4803</v>
      </c>
      <c r="B9" s="69" t="s">
        <v>4804</v>
      </c>
      <c r="C9" s="70" t="s">
        <v>79</v>
      </c>
      <c r="D9" s="70"/>
      <c r="E9" s="70" t="s">
        <v>79</v>
      </c>
      <c r="F9" s="70"/>
      <c r="G9" s="70" t="s">
        <v>79</v>
      </c>
      <c r="H9" s="70"/>
      <c r="I9" s="70" t="s">
        <v>79</v>
      </c>
      <c r="J9" s="70"/>
      <c r="K9" s="70" t="s">
        <v>79</v>
      </c>
      <c r="L9" s="70"/>
      <c r="M9" s="70" t="s">
        <v>79</v>
      </c>
      <c r="N9" s="70"/>
    </row>
    <row r="10" spans="1:14" outlineLevel="1" x14ac:dyDescent="0.2">
      <c r="A10" s="63" t="s">
        <v>5439</v>
      </c>
      <c r="B10" s="69" t="s">
        <v>4805</v>
      </c>
      <c r="C10" s="71">
        <v>0.65</v>
      </c>
      <c r="D10" s="71"/>
      <c r="E10" s="71">
        <v>0.65</v>
      </c>
      <c r="F10" s="71"/>
      <c r="G10" s="71">
        <v>0.65</v>
      </c>
      <c r="H10" s="71"/>
      <c r="I10" s="71">
        <v>0.65</v>
      </c>
      <c r="J10" s="71"/>
      <c r="K10" s="71">
        <v>0.65</v>
      </c>
      <c r="L10" s="71"/>
      <c r="M10" s="71">
        <v>0.65</v>
      </c>
      <c r="N10" s="71"/>
    </row>
    <row r="11" spans="1:14" x14ac:dyDescent="0.2">
      <c r="A11" s="72" t="s">
        <v>4722</v>
      </c>
      <c r="B11" s="72"/>
      <c r="C11" s="73"/>
      <c r="D11" s="73"/>
      <c r="E11" s="73"/>
      <c r="F11" s="73"/>
      <c r="G11" s="73"/>
      <c r="H11" s="73"/>
      <c r="I11" s="73"/>
      <c r="J11" s="73"/>
      <c r="K11" s="73"/>
      <c r="L11" s="73"/>
      <c r="M11" s="73"/>
      <c r="N11" s="73"/>
    </row>
    <row r="12" spans="1:14" x14ac:dyDescent="0.2">
      <c r="A12" s="74" t="s">
        <v>6019</v>
      </c>
      <c r="B12" s="75" t="s">
        <v>4678</v>
      </c>
      <c r="C12" s="76">
        <v>1</v>
      </c>
      <c r="D12" s="77">
        <v>400</v>
      </c>
      <c r="E12" s="76">
        <v>0.01</v>
      </c>
      <c r="F12" s="77">
        <v>400</v>
      </c>
      <c r="G12" s="76">
        <v>0.5</v>
      </c>
      <c r="H12" s="77">
        <v>5</v>
      </c>
      <c r="I12" s="76">
        <v>1</v>
      </c>
      <c r="J12" s="77">
        <v>50</v>
      </c>
      <c r="K12" s="76">
        <v>0.7</v>
      </c>
      <c r="L12" s="77">
        <v>400</v>
      </c>
      <c r="M12" s="76">
        <v>0</v>
      </c>
      <c r="N12" s="77">
        <v>400</v>
      </c>
    </row>
    <row r="13" spans="1:14" x14ac:dyDescent="0.2">
      <c r="A13" s="78" t="s">
        <v>5922</v>
      </c>
      <c r="B13" s="79" t="s">
        <v>4678</v>
      </c>
      <c r="C13" s="76">
        <v>1</v>
      </c>
      <c r="D13" s="77">
        <v>400</v>
      </c>
      <c r="E13" s="76">
        <v>0.01</v>
      </c>
      <c r="F13" s="77">
        <v>400</v>
      </c>
      <c r="G13" s="76">
        <v>0.5</v>
      </c>
      <c r="H13" s="77">
        <v>5</v>
      </c>
      <c r="I13" s="76">
        <v>1</v>
      </c>
      <c r="J13" s="77">
        <v>50</v>
      </c>
      <c r="K13" s="76">
        <v>0</v>
      </c>
      <c r="L13" s="77">
        <v>400</v>
      </c>
      <c r="M13" s="76">
        <v>0</v>
      </c>
      <c r="N13" s="77">
        <v>400</v>
      </c>
    </row>
    <row r="14" spans="1:14" x14ac:dyDescent="0.2">
      <c r="A14" s="74" t="s">
        <v>5884</v>
      </c>
      <c r="B14" s="75" t="s">
        <v>6055</v>
      </c>
      <c r="C14" s="80">
        <v>1</v>
      </c>
      <c r="D14" s="77">
        <v>200</v>
      </c>
      <c r="E14" s="80">
        <v>0.01</v>
      </c>
      <c r="F14" s="77">
        <v>200</v>
      </c>
      <c r="G14" s="80">
        <v>0.5</v>
      </c>
      <c r="H14" s="77">
        <v>5</v>
      </c>
      <c r="I14" s="80">
        <v>1</v>
      </c>
      <c r="J14" s="77">
        <v>50</v>
      </c>
      <c r="K14" s="80">
        <v>0.5</v>
      </c>
      <c r="L14" s="77">
        <v>200</v>
      </c>
      <c r="M14" s="80">
        <v>0</v>
      </c>
      <c r="N14" s="77">
        <v>200</v>
      </c>
    </row>
    <row r="15" spans="1:14" x14ac:dyDescent="0.2">
      <c r="A15" s="74" t="s">
        <v>5426</v>
      </c>
      <c r="B15" s="75" t="s">
        <v>6185</v>
      </c>
      <c r="C15" s="80">
        <v>1</v>
      </c>
      <c r="D15" s="77">
        <v>200</v>
      </c>
      <c r="E15" s="80">
        <v>0.01</v>
      </c>
      <c r="F15" s="77">
        <v>200</v>
      </c>
      <c r="G15" s="80">
        <v>0.5</v>
      </c>
      <c r="H15" s="77">
        <v>5</v>
      </c>
      <c r="I15" s="80">
        <v>1</v>
      </c>
      <c r="J15" s="77">
        <v>50</v>
      </c>
      <c r="K15" s="80">
        <v>0.5</v>
      </c>
      <c r="L15" s="77">
        <v>200</v>
      </c>
      <c r="M15" s="80">
        <v>0</v>
      </c>
      <c r="N15" s="77">
        <v>200</v>
      </c>
    </row>
    <row r="16" spans="1:14" x14ac:dyDescent="0.2">
      <c r="A16" s="74" t="s">
        <v>5923</v>
      </c>
      <c r="B16" s="75" t="s">
        <v>6185</v>
      </c>
      <c r="C16" s="80">
        <v>1</v>
      </c>
      <c r="D16" s="77">
        <v>200</v>
      </c>
      <c r="E16" s="80">
        <v>0.01</v>
      </c>
      <c r="F16" s="77">
        <v>200</v>
      </c>
      <c r="G16" s="80">
        <v>0.5</v>
      </c>
      <c r="H16" s="77">
        <v>5</v>
      </c>
      <c r="I16" s="80">
        <v>1</v>
      </c>
      <c r="J16" s="77">
        <v>50</v>
      </c>
      <c r="K16" s="80">
        <v>0.5</v>
      </c>
      <c r="L16" s="77">
        <v>200</v>
      </c>
      <c r="M16" s="80">
        <v>0</v>
      </c>
      <c r="N16" s="77">
        <v>200</v>
      </c>
    </row>
    <row r="17" spans="1:14" x14ac:dyDescent="0.2">
      <c r="A17" s="74" t="s">
        <v>6020</v>
      </c>
      <c r="B17" s="75" t="s">
        <v>6186</v>
      </c>
      <c r="C17" s="80">
        <v>1</v>
      </c>
      <c r="D17" s="77">
        <v>200</v>
      </c>
      <c r="E17" s="80">
        <v>0.01</v>
      </c>
      <c r="F17" s="77">
        <v>200</v>
      </c>
      <c r="G17" s="80">
        <v>0.5</v>
      </c>
      <c r="H17" s="77">
        <v>5</v>
      </c>
      <c r="I17" s="80">
        <v>1</v>
      </c>
      <c r="J17" s="77">
        <v>50</v>
      </c>
      <c r="K17" s="80">
        <v>0.05</v>
      </c>
      <c r="L17" s="77">
        <v>200</v>
      </c>
      <c r="M17" s="80">
        <v>0</v>
      </c>
      <c r="N17" s="77">
        <v>200</v>
      </c>
    </row>
    <row r="18" spans="1:14" x14ac:dyDescent="0.2">
      <c r="A18" s="72" t="s">
        <v>4723</v>
      </c>
      <c r="B18" s="72"/>
      <c r="C18" s="73"/>
      <c r="D18" s="73"/>
      <c r="E18" s="73"/>
      <c r="F18" s="73"/>
      <c r="G18" s="73"/>
      <c r="H18" s="73"/>
      <c r="I18" s="73"/>
      <c r="J18" s="73"/>
      <c r="K18" s="73"/>
      <c r="L18" s="73"/>
      <c r="M18" s="73"/>
      <c r="N18" s="73"/>
    </row>
    <row r="19" spans="1:14" x14ac:dyDescent="0.2">
      <c r="A19" s="74" t="s">
        <v>6165</v>
      </c>
      <c r="B19" s="75" t="s">
        <v>4721</v>
      </c>
      <c r="C19" s="80">
        <f>SUMPRODUCT(C20:C44,$B20:$B44)</f>
        <v>0.99726666666666697</v>
      </c>
      <c r="D19" s="77">
        <v>200</v>
      </c>
      <c r="E19" s="80">
        <f>SUMPRODUCT(E20:E44,$B20:$B44)</f>
        <v>9.9726666666666679E-3</v>
      </c>
      <c r="F19" s="77">
        <v>200</v>
      </c>
      <c r="G19" s="80">
        <f>SUMPRODUCT(G20:G44,$B20:$B44)</f>
        <v>0.49863333333333348</v>
      </c>
      <c r="H19" s="77">
        <v>5</v>
      </c>
      <c r="I19" s="80">
        <f>SUMPRODUCT(I20:I44,$B20:$B44)</f>
        <v>9.9726666666666666E-4</v>
      </c>
      <c r="J19" s="77">
        <v>50</v>
      </c>
      <c r="K19" s="80">
        <f>SUMPRODUCT(K20:K44,$B20:$B44)</f>
        <v>0.25327333333333335</v>
      </c>
      <c r="L19" s="77">
        <v>200</v>
      </c>
      <c r="M19" s="80">
        <f>SUMPRODUCT(M20:M44,$B20:$B44)</f>
        <v>0</v>
      </c>
      <c r="N19" s="77">
        <v>200</v>
      </c>
    </row>
    <row r="20" spans="1:14" outlineLevel="1" x14ac:dyDescent="0.2">
      <c r="A20" s="82" t="s">
        <v>139</v>
      </c>
      <c r="B20" s="83">
        <v>0.02</v>
      </c>
      <c r="C20" s="84">
        <v>1</v>
      </c>
      <c r="D20" s="85"/>
      <c r="E20" s="84">
        <v>0.01</v>
      </c>
      <c r="F20" s="85"/>
      <c r="G20" s="84">
        <v>0.5</v>
      </c>
      <c r="H20" s="85"/>
      <c r="I20" s="84">
        <v>1E-3</v>
      </c>
      <c r="J20" s="85"/>
      <c r="K20" s="84">
        <v>0.5</v>
      </c>
      <c r="L20" s="85"/>
      <c r="M20" s="84">
        <v>0</v>
      </c>
      <c r="N20" s="85"/>
    </row>
    <row r="21" spans="1:14" outlineLevel="1" x14ac:dyDescent="0.2">
      <c r="A21" s="82" t="s">
        <v>6166</v>
      </c>
      <c r="B21" s="83">
        <v>0.05</v>
      </c>
      <c r="C21" s="84">
        <v>1</v>
      </c>
      <c r="D21" s="85"/>
      <c r="E21" s="84">
        <v>0.01</v>
      </c>
      <c r="F21" s="85"/>
      <c r="G21" s="84">
        <v>0.5</v>
      </c>
      <c r="H21" s="85"/>
      <c r="I21" s="84">
        <v>1E-3</v>
      </c>
      <c r="J21" s="85"/>
      <c r="K21" s="84">
        <v>0.05</v>
      </c>
      <c r="L21" s="85"/>
      <c r="M21" s="84">
        <v>0</v>
      </c>
      <c r="N21" s="85"/>
    </row>
    <row r="22" spans="1:14" outlineLevel="1" x14ac:dyDescent="0.2">
      <c r="A22" s="82" t="s">
        <v>6167</v>
      </c>
      <c r="B22" s="83">
        <v>0.02</v>
      </c>
      <c r="C22" s="84">
        <v>1</v>
      </c>
      <c r="D22" s="85"/>
      <c r="E22" s="84">
        <v>0.01</v>
      </c>
      <c r="F22" s="85"/>
      <c r="G22" s="84">
        <v>0.5</v>
      </c>
      <c r="H22" s="85"/>
      <c r="I22" s="84">
        <v>1E-3</v>
      </c>
      <c r="J22" s="85"/>
      <c r="K22" s="84">
        <v>0.05</v>
      </c>
      <c r="L22" s="85"/>
      <c r="M22" s="84">
        <v>0</v>
      </c>
      <c r="N22" s="85"/>
    </row>
    <row r="23" spans="1:14" outlineLevel="1" x14ac:dyDescent="0.2">
      <c r="A23" s="82" t="s">
        <v>6168</v>
      </c>
      <c r="B23" s="83">
        <v>5.0000000000000001E-3</v>
      </c>
      <c r="C23" s="84">
        <v>1</v>
      </c>
      <c r="D23" s="85"/>
      <c r="E23" s="84">
        <v>0.01</v>
      </c>
      <c r="F23" s="85"/>
      <c r="G23" s="84">
        <v>0.5</v>
      </c>
      <c r="H23" s="85"/>
      <c r="I23" s="84">
        <v>1E-3</v>
      </c>
      <c r="J23" s="85"/>
      <c r="K23" s="84">
        <v>0.05</v>
      </c>
      <c r="L23" s="85"/>
      <c r="M23" s="84">
        <v>0</v>
      </c>
      <c r="N23" s="85"/>
    </row>
    <row r="24" spans="1:14" outlineLevel="1" x14ac:dyDescent="0.2">
      <c r="A24" s="82" t="s">
        <v>6169</v>
      </c>
      <c r="B24" s="83">
        <v>5.0000000000000001E-3</v>
      </c>
      <c r="C24" s="84">
        <v>1</v>
      </c>
      <c r="D24" s="85"/>
      <c r="E24" s="84">
        <v>0.01</v>
      </c>
      <c r="F24" s="85"/>
      <c r="G24" s="84">
        <v>0.5</v>
      </c>
      <c r="H24" s="85"/>
      <c r="I24" s="84">
        <v>1E-3</v>
      </c>
      <c r="J24" s="85"/>
      <c r="K24" s="84">
        <v>0.05</v>
      </c>
      <c r="L24" s="85"/>
      <c r="M24" s="84">
        <v>0</v>
      </c>
      <c r="N24" s="85"/>
    </row>
    <row r="25" spans="1:14" outlineLevel="1" x14ac:dyDescent="0.2">
      <c r="A25" s="82" t="s">
        <v>70</v>
      </c>
      <c r="B25" s="83">
        <v>5.0000000000000001E-3</v>
      </c>
      <c r="C25" s="84">
        <v>1</v>
      </c>
      <c r="D25" s="85"/>
      <c r="E25" s="84">
        <v>0.01</v>
      </c>
      <c r="F25" s="85"/>
      <c r="G25" s="84">
        <v>0.5</v>
      </c>
      <c r="H25" s="85"/>
      <c r="I25" s="84">
        <v>1E-3</v>
      </c>
      <c r="J25" s="85"/>
      <c r="K25" s="84">
        <v>0.05</v>
      </c>
      <c r="L25" s="85"/>
      <c r="M25" s="84">
        <v>0</v>
      </c>
      <c r="N25" s="85"/>
    </row>
    <row r="26" spans="1:14" outlineLevel="1" x14ac:dyDescent="0.2">
      <c r="A26" s="82" t="s">
        <v>6170</v>
      </c>
      <c r="B26" s="83">
        <v>5.0000000000000001E-3</v>
      </c>
      <c r="C26" s="84">
        <v>1</v>
      </c>
      <c r="D26" s="85"/>
      <c r="E26" s="84">
        <v>0.01</v>
      </c>
      <c r="F26" s="85"/>
      <c r="G26" s="84">
        <v>0.5</v>
      </c>
      <c r="H26" s="85"/>
      <c r="I26" s="84">
        <v>1E-3</v>
      </c>
      <c r="J26" s="85"/>
      <c r="K26" s="84">
        <v>0.05</v>
      </c>
      <c r="L26" s="85"/>
      <c r="M26" s="84">
        <v>0</v>
      </c>
      <c r="N26" s="85"/>
    </row>
    <row r="27" spans="1:14" outlineLevel="1" x14ac:dyDescent="0.2">
      <c r="A27" s="82" t="s">
        <v>68</v>
      </c>
      <c r="B27" s="83">
        <v>4.5333333333333337E-3</v>
      </c>
      <c r="C27" s="84">
        <v>1</v>
      </c>
      <c r="D27" s="85"/>
      <c r="E27" s="84">
        <v>0.01</v>
      </c>
      <c r="F27" s="85"/>
      <c r="G27" s="84">
        <v>0.5</v>
      </c>
      <c r="H27" s="85"/>
      <c r="I27" s="84">
        <v>1E-3</v>
      </c>
      <c r="J27" s="85"/>
      <c r="K27" s="84">
        <v>0.05</v>
      </c>
      <c r="L27" s="85"/>
      <c r="M27" s="84">
        <v>0</v>
      </c>
      <c r="N27" s="85"/>
    </row>
    <row r="28" spans="1:14" outlineLevel="1" x14ac:dyDescent="0.2">
      <c r="A28" s="82" t="s">
        <v>69</v>
      </c>
      <c r="B28" s="83">
        <v>0.02</v>
      </c>
      <c r="C28" s="84">
        <v>1</v>
      </c>
      <c r="D28" s="85"/>
      <c r="E28" s="84">
        <v>0.01</v>
      </c>
      <c r="F28" s="85"/>
      <c r="G28" s="84">
        <v>0.5</v>
      </c>
      <c r="H28" s="85"/>
      <c r="I28" s="84">
        <v>1E-3</v>
      </c>
      <c r="J28" s="85"/>
      <c r="K28" s="84">
        <v>0.05</v>
      </c>
      <c r="L28" s="85"/>
      <c r="M28" s="84">
        <v>0</v>
      </c>
      <c r="N28" s="85"/>
    </row>
    <row r="29" spans="1:14" outlineLevel="1" x14ac:dyDescent="0.2">
      <c r="A29" s="82" t="s">
        <v>6164</v>
      </c>
      <c r="B29" s="83">
        <v>0.1</v>
      </c>
      <c r="C29" s="84">
        <v>1</v>
      </c>
      <c r="D29" s="85"/>
      <c r="E29" s="84">
        <v>0.01</v>
      </c>
      <c r="F29" s="85"/>
      <c r="G29" s="84">
        <v>0.5</v>
      </c>
      <c r="H29" s="85"/>
      <c r="I29" s="84">
        <v>1E-3</v>
      </c>
      <c r="J29" s="85"/>
      <c r="K29" s="84">
        <v>0.01</v>
      </c>
      <c r="L29" s="85"/>
      <c r="M29" s="84">
        <v>0</v>
      </c>
      <c r="N29" s="85"/>
    </row>
    <row r="30" spans="1:14" outlineLevel="1" x14ac:dyDescent="0.2">
      <c r="A30" s="82" t="s">
        <v>6171</v>
      </c>
      <c r="B30" s="83">
        <v>1.2533333333333332E-2</v>
      </c>
      <c r="C30" s="84">
        <v>1</v>
      </c>
      <c r="D30" s="85"/>
      <c r="E30" s="84">
        <v>0.01</v>
      </c>
      <c r="F30" s="85"/>
      <c r="G30" s="84">
        <v>0.5</v>
      </c>
      <c r="H30" s="85"/>
      <c r="I30" s="84">
        <v>1E-3</v>
      </c>
      <c r="J30" s="85"/>
      <c r="K30" s="84">
        <v>0.2</v>
      </c>
      <c r="L30" s="85"/>
      <c r="M30" s="84">
        <v>0</v>
      </c>
      <c r="N30" s="85"/>
    </row>
    <row r="31" spans="1:14" outlineLevel="1" x14ac:dyDescent="0.2">
      <c r="A31" s="82" t="s">
        <v>6173</v>
      </c>
      <c r="B31" s="83">
        <v>5.0000000000000001E-3</v>
      </c>
      <c r="C31" s="84"/>
      <c r="D31" s="85"/>
      <c r="E31" s="84"/>
      <c r="F31" s="85"/>
      <c r="G31" s="84"/>
      <c r="H31" s="85"/>
      <c r="I31" s="84"/>
      <c r="J31" s="85"/>
      <c r="K31" s="84"/>
      <c r="L31" s="85"/>
      <c r="M31" s="84"/>
      <c r="N31" s="85"/>
    </row>
    <row r="32" spans="1:14" outlineLevel="1" x14ac:dyDescent="0.2">
      <c r="A32" s="82" t="s">
        <v>4725</v>
      </c>
      <c r="B32" s="83">
        <v>0.02</v>
      </c>
      <c r="C32" s="84">
        <v>1</v>
      </c>
      <c r="D32" s="85"/>
      <c r="E32" s="84">
        <v>0.01</v>
      </c>
      <c r="F32" s="85"/>
      <c r="G32" s="84">
        <v>0.5</v>
      </c>
      <c r="H32" s="85"/>
      <c r="I32" s="84">
        <v>1E-3</v>
      </c>
      <c r="J32" s="85"/>
      <c r="K32" s="84">
        <v>0.2</v>
      </c>
      <c r="L32" s="85"/>
      <c r="M32" s="84">
        <v>0</v>
      </c>
      <c r="N32" s="85"/>
    </row>
    <row r="33" spans="1:17" outlineLevel="1" x14ac:dyDescent="0.2">
      <c r="A33" s="82" t="s">
        <v>6172</v>
      </c>
      <c r="B33" s="83">
        <v>5.0000000000000001E-3</v>
      </c>
      <c r="C33" s="84">
        <v>1</v>
      </c>
      <c r="D33" s="85"/>
      <c r="E33" s="84">
        <v>0.01</v>
      </c>
      <c r="F33" s="85"/>
      <c r="G33" s="84">
        <v>0.5</v>
      </c>
      <c r="H33" s="85"/>
      <c r="I33" s="84">
        <v>1E-3</v>
      </c>
      <c r="J33" s="85"/>
      <c r="K33" s="84">
        <v>0.2</v>
      </c>
      <c r="L33" s="85"/>
      <c r="M33" s="84">
        <v>0</v>
      </c>
      <c r="N33" s="85"/>
    </row>
    <row r="34" spans="1:17" outlineLevel="1" x14ac:dyDescent="0.2">
      <c r="A34" s="82" t="s">
        <v>6006</v>
      </c>
      <c r="B34" s="83">
        <v>5.0000000000000001E-3</v>
      </c>
      <c r="C34" s="84">
        <v>1</v>
      </c>
      <c r="D34" s="85"/>
      <c r="E34" s="84">
        <v>0.01</v>
      </c>
      <c r="F34" s="85"/>
      <c r="G34" s="84">
        <v>0.5</v>
      </c>
      <c r="H34" s="85"/>
      <c r="I34" s="84">
        <v>1E-3</v>
      </c>
      <c r="J34" s="85"/>
      <c r="K34" s="84">
        <v>0.2</v>
      </c>
      <c r="L34" s="85"/>
      <c r="M34" s="84">
        <v>0</v>
      </c>
      <c r="N34" s="85"/>
    </row>
    <row r="35" spans="1:17" outlineLevel="1" x14ac:dyDescent="0.2">
      <c r="A35" s="82" t="s">
        <v>6005</v>
      </c>
      <c r="B35" s="83">
        <v>5.0000000000000001E-3</v>
      </c>
      <c r="C35" s="84">
        <v>1</v>
      </c>
      <c r="D35" s="85"/>
      <c r="E35" s="84">
        <v>0.01</v>
      </c>
      <c r="F35" s="85"/>
      <c r="G35" s="84">
        <v>0.5</v>
      </c>
      <c r="H35" s="85"/>
      <c r="I35" s="84">
        <v>1E-3</v>
      </c>
      <c r="J35" s="85"/>
      <c r="K35" s="84">
        <v>0.2</v>
      </c>
      <c r="L35" s="85"/>
      <c r="M35" s="84">
        <v>0</v>
      </c>
      <c r="N35" s="85"/>
    </row>
    <row r="36" spans="1:17" outlineLevel="1" x14ac:dyDescent="0.2">
      <c r="A36" s="82" t="s">
        <v>66</v>
      </c>
      <c r="B36" s="83">
        <v>1.2533333333333332E-2</v>
      </c>
      <c r="C36" s="84">
        <v>1</v>
      </c>
      <c r="D36" s="85"/>
      <c r="E36" s="84">
        <v>0.01</v>
      </c>
      <c r="F36" s="85"/>
      <c r="G36" s="84">
        <v>0.5</v>
      </c>
      <c r="H36" s="85"/>
      <c r="I36" s="84">
        <v>1E-3</v>
      </c>
      <c r="J36" s="85"/>
      <c r="K36" s="84">
        <v>0.2</v>
      </c>
      <c r="L36" s="85"/>
      <c r="M36" s="84">
        <v>0</v>
      </c>
      <c r="N36" s="85"/>
    </row>
    <row r="37" spans="1:17" outlineLevel="1" x14ac:dyDescent="0.2">
      <c r="A37" s="82" t="s">
        <v>67</v>
      </c>
      <c r="B37" s="83">
        <v>2.2666666666666665E-2</v>
      </c>
      <c r="C37" s="84">
        <v>1</v>
      </c>
      <c r="D37" s="85"/>
      <c r="E37" s="84">
        <v>0.01</v>
      </c>
      <c r="F37" s="85"/>
      <c r="G37" s="84">
        <v>0.5</v>
      </c>
      <c r="H37" s="85"/>
      <c r="I37" s="84">
        <v>1E-3</v>
      </c>
      <c r="J37" s="85"/>
      <c r="K37" s="84">
        <v>0.2</v>
      </c>
      <c r="L37" s="85"/>
      <c r="M37" s="84">
        <v>0</v>
      </c>
      <c r="N37" s="85"/>
    </row>
    <row r="38" spans="1:17" outlineLevel="1" x14ac:dyDescent="0.2">
      <c r="A38" s="82" t="s">
        <v>99</v>
      </c>
      <c r="B38" s="83">
        <v>0.06</v>
      </c>
      <c r="C38" s="84">
        <v>1</v>
      </c>
      <c r="D38" s="85"/>
      <c r="E38" s="84">
        <v>0.01</v>
      </c>
      <c r="F38" s="85"/>
      <c r="G38" s="84">
        <v>0.5</v>
      </c>
      <c r="H38" s="85"/>
      <c r="I38" s="84">
        <v>1E-3</v>
      </c>
      <c r="J38" s="85"/>
      <c r="K38" s="84">
        <v>0</v>
      </c>
      <c r="L38" s="85"/>
      <c r="M38" s="84">
        <v>0</v>
      </c>
      <c r="N38" s="85"/>
    </row>
    <row r="39" spans="1:17" outlineLevel="1" x14ac:dyDescent="0.2">
      <c r="A39" s="82" t="s">
        <v>65</v>
      </c>
      <c r="B39" s="83">
        <v>0.19</v>
      </c>
      <c r="C39" s="84">
        <v>1</v>
      </c>
      <c r="D39" s="85"/>
      <c r="E39" s="84">
        <v>0.01</v>
      </c>
      <c r="F39" s="85"/>
      <c r="G39" s="84">
        <v>0.5</v>
      </c>
      <c r="H39" s="85"/>
      <c r="I39" s="84">
        <v>1E-3</v>
      </c>
      <c r="J39" s="85"/>
      <c r="K39" s="84">
        <v>0.4</v>
      </c>
      <c r="L39" s="85"/>
      <c r="M39" s="84">
        <v>0</v>
      </c>
      <c r="N39" s="85"/>
    </row>
    <row r="40" spans="1:17" outlineLevel="1" x14ac:dyDescent="0.2">
      <c r="A40" s="82" t="s">
        <v>4727</v>
      </c>
      <c r="B40" s="83">
        <v>7.0000000000000007E-2</v>
      </c>
      <c r="C40" s="84">
        <v>1</v>
      </c>
      <c r="D40" s="85"/>
      <c r="E40" s="84">
        <v>0.01</v>
      </c>
      <c r="F40" s="85"/>
      <c r="G40" s="84">
        <v>0.5</v>
      </c>
      <c r="H40" s="85"/>
      <c r="I40" s="84">
        <v>1E-3</v>
      </c>
      <c r="J40" s="85"/>
      <c r="K40" s="84">
        <v>0.4</v>
      </c>
      <c r="L40" s="85"/>
      <c r="M40" s="84">
        <v>0</v>
      </c>
      <c r="N40" s="85"/>
    </row>
    <row r="41" spans="1:17" outlineLevel="1" x14ac:dyDescent="0.2">
      <c r="A41" s="82" t="s">
        <v>4699</v>
      </c>
      <c r="B41" s="83">
        <v>0.04</v>
      </c>
      <c r="C41" s="84">
        <v>1</v>
      </c>
      <c r="D41" s="85"/>
      <c r="E41" s="84">
        <v>0.01</v>
      </c>
      <c r="F41" s="85"/>
      <c r="G41" s="84">
        <v>0.5</v>
      </c>
      <c r="H41" s="85"/>
      <c r="I41" s="84">
        <v>1E-3</v>
      </c>
      <c r="J41" s="85"/>
      <c r="K41" s="84">
        <v>0.4</v>
      </c>
      <c r="L41" s="85"/>
      <c r="M41" s="84">
        <v>0</v>
      </c>
      <c r="N41" s="85"/>
    </row>
    <row r="42" spans="1:17" outlineLevel="1" x14ac:dyDescent="0.2">
      <c r="A42" s="82" t="s">
        <v>4724</v>
      </c>
      <c r="B42" s="83">
        <v>0.25</v>
      </c>
      <c r="C42" s="84">
        <v>1</v>
      </c>
      <c r="D42" s="85"/>
      <c r="E42" s="84">
        <v>0.01</v>
      </c>
      <c r="F42" s="85"/>
      <c r="G42" s="84">
        <v>0.5</v>
      </c>
      <c r="H42" s="85"/>
      <c r="I42" s="84">
        <v>1E-3</v>
      </c>
      <c r="J42" s="85"/>
      <c r="K42" s="84">
        <v>0.4</v>
      </c>
      <c r="L42" s="85"/>
      <c r="M42" s="84">
        <v>0</v>
      </c>
      <c r="N42" s="85"/>
    </row>
    <row r="43" spans="1:17" outlineLevel="1" x14ac:dyDescent="0.2">
      <c r="A43" s="82" t="s">
        <v>4701</v>
      </c>
      <c r="B43" s="83">
        <v>0.02</v>
      </c>
      <c r="C43" s="84">
        <v>1</v>
      </c>
      <c r="D43" s="85"/>
      <c r="E43" s="84">
        <v>0.01</v>
      </c>
      <c r="F43" s="85"/>
      <c r="G43" s="84">
        <v>0.5</v>
      </c>
      <c r="H43" s="85"/>
      <c r="I43" s="84">
        <v>1E-3</v>
      </c>
      <c r="J43" s="85"/>
      <c r="K43" s="84">
        <v>0</v>
      </c>
      <c r="L43" s="85"/>
      <c r="M43" s="84">
        <v>0</v>
      </c>
      <c r="N43" s="85"/>
    </row>
    <row r="44" spans="1:17" outlineLevel="1" x14ac:dyDescent="0.2">
      <c r="A44" s="82" t="s">
        <v>4726</v>
      </c>
      <c r="B44" s="83">
        <v>0.05</v>
      </c>
      <c r="C44" s="84">
        <v>1</v>
      </c>
      <c r="D44" s="85"/>
      <c r="E44" s="84">
        <v>0.01</v>
      </c>
      <c r="F44" s="85"/>
      <c r="G44" s="84">
        <v>0.5</v>
      </c>
      <c r="H44" s="85"/>
      <c r="I44" s="84">
        <v>1E-3</v>
      </c>
      <c r="J44" s="85"/>
      <c r="K44" s="84">
        <v>0</v>
      </c>
      <c r="L44" s="85"/>
      <c r="M44" s="84">
        <v>0</v>
      </c>
      <c r="N44" s="85"/>
    </row>
    <row r="45" spans="1:17" x14ac:dyDescent="0.2">
      <c r="A45" s="86" t="s">
        <v>58</v>
      </c>
      <c r="C45" s="87"/>
      <c r="D45" s="88"/>
      <c r="E45" s="87"/>
      <c r="F45" s="88"/>
      <c r="G45" s="87"/>
      <c r="H45" s="88"/>
      <c r="I45" s="87"/>
      <c r="J45" s="88"/>
      <c r="K45" s="87"/>
      <c r="L45" s="88"/>
      <c r="M45" s="87"/>
      <c r="N45" s="88"/>
    </row>
    <row r="46" spans="1:17" outlineLevel="1" x14ac:dyDescent="0.2">
      <c r="A46" s="89" t="s">
        <v>5558</v>
      </c>
      <c r="B46" s="90"/>
      <c r="C46" s="104">
        <v>1</v>
      </c>
      <c r="D46" s="103">
        <v>1000</v>
      </c>
      <c r="E46" s="105">
        <v>1</v>
      </c>
      <c r="F46" s="103">
        <v>1000</v>
      </c>
      <c r="G46" s="105">
        <v>1</v>
      </c>
      <c r="H46" s="103">
        <v>1000</v>
      </c>
      <c r="I46" s="105">
        <v>1</v>
      </c>
      <c r="J46" s="103">
        <v>1000</v>
      </c>
      <c r="K46" s="105">
        <v>1</v>
      </c>
      <c r="L46" s="103">
        <v>1000</v>
      </c>
      <c r="M46" s="105">
        <v>1</v>
      </c>
      <c r="N46" s="103">
        <v>1000</v>
      </c>
    </row>
    <row r="47" spans="1:17" outlineLevel="1" x14ac:dyDescent="0.2">
      <c r="A47" s="89" t="s">
        <v>5559</v>
      </c>
      <c r="B47" s="90"/>
      <c r="C47" s="104">
        <v>1</v>
      </c>
      <c r="D47" s="103">
        <v>1000</v>
      </c>
      <c r="E47" s="105">
        <v>1</v>
      </c>
      <c r="F47" s="103">
        <v>1000</v>
      </c>
      <c r="G47" s="105">
        <v>1</v>
      </c>
      <c r="H47" s="103">
        <v>1000</v>
      </c>
      <c r="I47" s="105">
        <v>1</v>
      </c>
      <c r="J47" s="103">
        <v>1000</v>
      </c>
      <c r="K47" s="105">
        <v>1</v>
      </c>
      <c r="L47" s="103">
        <v>1000</v>
      </c>
      <c r="M47" s="105">
        <v>1</v>
      </c>
      <c r="N47" s="103">
        <v>1000</v>
      </c>
    </row>
    <row r="48" spans="1:17" ht="15" outlineLevel="1" x14ac:dyDescent="0.25">
      <c r="A48" s="89" t="s">
        <v>5943</v>
      </c>
      <c r="B48" s="90"/>
      <c r="C48" s="104">
        <v>1</v>
      </c>
      <c r="D48" s="103" t="s">
        <v>4872</v>
      </c>
      <c r="E48" s="104">
        <v>1</v>
      </c>
      <c r="F48" s="103" t="s">
        <v>4872</v>
      </c>
      <c r="G48" s="104">
        <v>1</v>
      </c>
      <c r="H48" s="103" t="s">
        <v>4872</v>
      </c>
      <c r="I48" s="104">
        <v>1</v>
      </c>
      <c r="J48" s="103" t="s">
        <v>4872</v>
      </c>
      <c r="K48" s="104">
        <v>1</v>
      </c>
      <c r="L48" s="103" t="s">
        <v>4872</v>
      </c>
      <c r="M48" s="104">
        <v>1</v>
      </c>
      <c r="N48" s="103" t="s">
        <v>4872</v>
      </c>
      <c r="O48" s="22"/>
      <c r="P48" s="22"/>
      <c r="Q48" s="22"/>
    </row>
    <row r="49" spans="1:14" outlineLevel="1" x14ac:dyDescent="0.2">
      <c r="A49" s="89" t="s">
        <v>5580</v>
      </c>
      <c r="B49" s="90"/>
      <c r="C49" s="104">
        <v>1</v>
      </c>
      <c r="D49" s="103" t="s">
        <v>5159</v>
      </c>
      <c r="E49" s="105">
        <v>1</v>
      </c>
      <c r="F49" s="103" t="s">
        <v>5159</v>
      </c>
      <c r="G49" s="105">
        <v>1</v>
      </c>
      <c r="H49" s="103" t="s">
        <v>5159</v>
      </c>
      <c r="I49" s="105">
        <v>1</v>
      </c>
      <c r="J49" s="103" t="s">
        <v>5159</v>
      </c>
      <c r="K49" s="105">
        <v>1</v>
      </c>
      <c r="L49" s="103" t="s">
        <v>5159</v>
      </c>
      <c r="M49" s="105">
        <v>1</v>
      </c>
      <c r="N49" s="103" t="s">
        <v>5159</v>
      </c>
    </row>
    <row r="50" spans="1:14" x14ac:dyDescent="0.2">
      <c r="A50" s="95"/>
      <c r="B50" s="95"/>
      <c r="C50" s="96"/>
      <c r="D50" s="97"/>
      <c r="E50" s="97"/>
      <c r="F50" s="98"/>
      <c r="G50" s="97"/>
      <c r="H50" s="98"/>
      <c r="I50" s="97"/>
      <c r="J50" s="98"/>
      <c r="K50" s="97"/>
      <c r="L50" s="98"/>
      <c r="M50" s="97"/>
      <c r="N50" s="98"/>
    </row>
    <row r="51" spans="1:14" s="94" customFormat="1" x14ac:dyDescent="0.2">
      <c r="A51" s="91" t="s">
        <v>5938</v>
      </c>
      <c r="B51" s="91" t="s">
        <v>6055</v>
      </c>
      <c r="C51" s="92">
        <v>1</v>
      </c>
      <c r="D51" s="93" t="s">
        <v>4896</v>
      </c>
      <c r="E51" s="92">
        <v>0</v>
      </c>
      <c r="F51" s="93" t="s">
        <v>4874</v>
      </c>
      <c r="G51" s="92">
        <v>0</v>
      </c>
      <c r="H51" s="93" t="s">
        <v>4874</v>
      </c>
      <c r="I51" s="92">
        <v>0</v>
      </c>
      <c r="J51" s="93" t="s">
        <v>4874</v>
      </c>
      <c r="K51" s="92">
        <v>0.5</v>
      </c>
      <c r="L51" s="93" t="s">
        <v>4896</v>
      </c>
      <c r="M51" s="92">
        <v>0.25</v>
      </c>
      <c r="N51" s="93" t="s">
        <v>4897</v>
      </c>
    </row>
    <row r="52" spans="1:14" x14ac:dyDescent="0.2">
      <c r="A52" s="95"/>
      <c r="B52" s="95"/>
      <c r="C52" s="96"/>
      <c r="D52" s="97"/>
      <c r="E52" s="97"/>
      <c r="F52" s="98"/>
      <c r="G52" s="97"/>
      <c r="H52" s="98"/>
      <c r="I52" s="97"/>
      <c r="J52" s="98"/>
      <c r="K52" s="97"/>
      <c r="L52" s="98"/>
      <c r="M52" s="97"/>
      <c r="N52" s="98"/>
    </row>
    <row r="53" spans="1:14" s="94" customFormat="1" x14ac:dyDescent="0.2">
      <c r="A53" s="91" t="s">
        <v>6160</v>
      </c>
      <c r="B53" s="91" t="s">
        <v>6161</v>
      </c>
      <c r="C53" s="92">
        <v>1</v>
      </c>
      <c r="D53" s="93" t="s">
        <v>4860</v>
      </c>
      <c r="E53" s="92">
        <v>0</v>
      </c>
      <c r="F53" s="93" t="s">
        <v>4859</v>
      </c>
      <c r="G53" s="92">
        <v>0</v>
      </c>
      <c r="H53" s="93" t="s">
        <v>4859</v>
      </c>
      <c r="I53" s="92">
        <v>0</v>
      </c>
      <c r="J53" s="93" t="s">
        <v>4859</v>
      </c>
      <c r="K53" s="92">
        <v>0</v>
      </c>
      <c r="L53" s="93" t="s">
        <v>4849</v>
      </c>
      <c r="M53" s="92">
        <v>0.25</v>
      </c>
      <c r="N53" s="93" t="s">
        <v>4859</v>
      </c>
    </row>
    <row r="54" spans="1:14" x14ac:dyDescent="0.2">
      <c r="A54" s="95"/>
      <c r="B54" s="95"/>
      <c r="C54" s="96"/>
      <c r="D54" s="97"/>
      <c r="E54" s="97"/>
      <c r="F54" s="98"/>
      <c r="G54" s="97"/>
      <c r="H54" s="98"/>
      <c r="I54" s="97"/>
      <c r="J54" s="98"/>
      <c r="K54" s="97"/>
      <c r="L54" s="98"/>
      <c r="M54" s="97"/>
      <c r="N54" s="98"/>
    </row>
    <row r="55" spans="1:14" s="94" customFormat="1" x14ac:dyDescent="0.2">
      <c r="A55" s="107" t="s">
        <v>5523</v>
      </c>
      <c r="B55" s="91"/>
      <c r="C55" s="92">
        <v>1</v>
      </c>
      <c r="D55" s="93" t="s">
        <v>5520</v>
      </c>
      <c r="E55" s="92">
        <v>0</v>
      </c>
      <c r="F55" s="93" t="s">
        <v>4914</v>
      </c>
      <c r="G55" s="92">
        <v>0</v>
      </c>
      <c r="H55" s="93" t="s">
        <v>4874</v>
      </c>
      <c r="I55" s="92">
        <v>0</v>
      </c>
      <c r="J55" s="93" t="s">
        <v>4874</v>
      </c>
      <c r="K55" s="92">
        <v>0.25</v>
      </c>
      <c r="L55" s="93" t="s">
        <v>5520</v>
      </c>
      <c r="M55" s="92">
        <v>0.25</v>
      </c>
      <c r="N55" s="93" t="s">
        <v>4911</v>
      </c>
    </row>
    <row r="56" spans="1:14" s="94" customFormat="1" x14ac:dyDescent="0.2">
      <c r="A56" s="107" t="s">
        <v>5522</v>
      </c>
      <c r="B56" s="91"/>
      <c r="C56" s="92">
        <v>1</v>
      </c>
      <c r="D56" s="93" t="s">
        <v>5520</v>
      </c>
      <c r="E56" s="92">
        <v>0</v>
      </c>
      <c r="F56" s="93" t="s">
        <v>4914</v>
      </c>
      <c r="G56" s="92">
        <v>0</v>
      </c>
      <c r="H56" s="93" t="s">
        <v>4874</v>
      </c>
      <c r="I56" s="92">
        <v>0</v>
      </c>
      <c r="J56" s="93" t="s">
        <v>4874</v>
      </c>
      <c r="K56" s="92">
        <v>0.25</v>
      </c>
      <c r="L56" s="93" t="s">
        <v>5520</v>
      </c>
      <c r="M56" s="92">
        <v>0.25</v>
      </c>
      <c r="N56" s="93" t="s">
        <v>4911</v>
      </c>
    </row>
    <row r="57" spans="1:14" x14ac:dyDescent="0.2">
      <c r="A57" s="95"/>
      <c r="B57" s="95"/>
      <c r="C57" s="96"/>
      <c r="D57" s="97"/>
      <c r="E57" s="97"/>
      <c r="F57" s="98"/>
      <c r="G57" s="97"/>
      <c r="H57" s="98"/>
      <c r="I57" s="97"/>
      <c r="J57" s="98"/>
      <c r="K57" s="97"/>
      <c r="L57" s="98"/>
      <c r="M57" s="97"/>
      <c r="N57" s="98"/>
    </row>
    <row r="58" spans="1:14" s="94" customFormat="1" x14ac:dyDescent="0.2">
      <c r="A58" s="91" t="s">
        <v>6056</v>
      </c>
      <c r="B58" s="91" t="s">
        <v>6057</v>
      </c>
      <c r="C58" s="92">
        <v>1</v>
      </c>
      <c r="D58" s="93" t="s">
        <v>6062</v>
      </c>
      <c r="E58" s="92">
        <v>0</v>
      </c>
      <c r="F58" s="93" t="s">
        <v>4918</v>
      </c>
      <c r="G58" s="92">
        <v>0</v>
      </c>
      <c r="H58" s="93" t="s">
        <v>4798</v>
      </c>
      <c r="I58" s="92">
        <v>0</v>
      </c>
      <c r="J58" s="93" t="s">
        <v>4798</v>
      </c>
      <c r="K58" s="92">
        <v>0.01</v>
      </c>
      <c r="L58" s="93" t="s">
        <v>4698</v>
      </c>
      <c r="M58" s="92">
        <v>0.01</v>
      </c>
      <c r="N58" s="93" t="s">
        <v>4698</v>
      </c>
    </row>
    <row r="59" spans="1:14" x14ac:dyDescent="0.2">
      <c r="A59" s="95"/>
      <c r="B59" s="95"/>
      <c r="C59" s="96"/>
      <c r="D59" s="97"/>
      <c r="E59" s="97"/>
      <c r="F59" s="98"/>
      <c r="G59" s="97"/>
      <c r="H59" s="98"/>
      <c r="I59" s="97"/>
      <c r="J59" s="98"/>
      <c r="K59" s="97"/>
      <c r="L59" s="98"/>
      <c r="M59" s="97"/>
      <c r="N59" s="98"/>
    </row>
    <row r="60" spans="1:14" s="94" customFormat="1" x14ac:dyDescent="0.2">
      <c r="A60" s="91" t="s">
        <v>5487</v>
      </c>
      <c r="B60" s="91"/>
      <c r="C60" s="92">
        <v>1</v>
      </c>
      <c r="D60" s="93" t="s">
        <v>101</v>
      </c>
      <c r="E60" s="92">
        <v>0</v>
      </c>
      <c r="F60" s="93" t="s">
        <v>98</v>
      </c>
      <c r="G60" s="92">
        <v>0</v>
      </c>
      <c r="H60" s="93" t="s">
        <v>98</v>
      </c>
      <c r="I60" s="92">
        <v>0</v>
      </c>
      <c r="J60" s="93" t="s">
        <v>98</v>
      </c>
      <c r="K60" s="92">
        <v>0</v>
      </c>
      <c r="L60" s="93" t="s">
        <v>98</v>
      </c>
      <c r="M60" s="92">
        <v>0</v>
      </c>
      <c r="N60" s="93" t="s">
        <v>98</v>
      </c>
    </row>
    <row r="61" spans="1:14" x14ac:dyDescent="0.2">
      <c r="A61" s="95"/>
      <c r="B61" s="95"/>
      <c r="C61" s="96"/>
      <c r="D61" s="97"/>
      <c r="E61" s="97"/>
      <c r="F61" s="98"/>
      <c r="G61" s="97"/>
      <c r="H61" s="98"/>
      <c r="I61" s="97"/>
      <c r="J61" s="98"/>
      <c r="K61" s="97"/>
      <c r="L61" s="98"/>
      <c r="M61" s="97"/>
      <c r="N61" s="98"/>
    </row>
    <row r="62" spans="1:14" s="170" customFormat="1" x14ac:dyDescent="0.2">
      <c r="A62" s="168" t="s">
        <v>6180</v>
      </c>
      <c r="B62" s="168"/>
      <c r="C62" s="165">
        <v>1</v>
      </c>
      <c r="D62" s="169" t="s">
        <v>5159</v>
      </c>
      <c r="E62" s="165">
        <v>0</v>
      </c>
      <c r="F62" s="169" t="s">
        <v>4798</v>
      </c>
      <c r="G62" s="165">
        <v>0</v>
      </c>
      <c r="H62" s="169" t="s">
        <v>4798</v>
      </c>
      <c r="I62" s="165">
        <v>0</v>
      </c>
      <c r="J62" s="169" t="s">
        <v>4798</v>
      </c>
      <c r="K62" s="165">
        <v>0.5</v>
      </c>
      <c r="L62" s="169" t="s">
        <v>4798</v>
      </c>
      <c r="M62" s="165">
        <v>0.5</v>
      </c>
      <c r="N62" s="169" t="s">
        <v>4798</v>
      </c>
    </row>
    <row r="63" spans="1:14" x14ac:dyDescent="0.2">
      <c r="A63" s="95"/>
      <c r="B63" s="95"/>
      <c r="C63" s="96"/>
      <c r="D63" s="97"/>
      <c r="E63" s="97"/>
      <c r="F63" s="97"/>
      <c r="G63" s="97"/>
      <c r="H63" s="97"/>
      <c r="I63" s="97"/>
      <c r="J63" s="97"/>
      <c r="K63" s="97"/>
      <c r="L63" s="97"/>
      <c r="M63" s="97"/>
      <c r="N63" s="97"/>
    </row>
    <row r="64" spans="1:14" s="170" customFormat="1" x14ac:dyDescent="0.2">
      <c r="A64" s="168" t="s">
        <v>6182</v>
      </c>
      <c r="B64" s="168"/>
      <c r="C64" s="165">
        <v>1</v>
      </c>
      <c r="D64" s="169" t="s">
        <v>5159</v>
      </c>
      <c r="E64" s="165">
        <v>0</v>
      </c>
      <c r="F64" s="169" t="s">
        <v>4798</v>
      </c>
      <c r="G64" s="165">
        <v>0</v>
      </c>
      <c r="H64" s="169" t="s">
        <v>4798</v>
      </c>
      <c r="I64" s="165">
        <v>0</v>
      </c>
      <c r="J64" s="169" t="s">
        <v>4798</v>
      </c>
      <c r="K64" s="165">
        <v>0.5</v>
      </c>
      <c r="L64" s="169" t="s">
        <v>4798</v>
      </c>
      <c r="M64" s="165">
        <v>0.5</v>
      </c>
      <c r="N64" s="169" t="s">
        <v>4798</v>
      </c>
    </row>
    <row r="65" spans="1:14" x14ac:dyDescent="0.2">
      <c r="A65" s="95"/>
      <c r="B65" s="95"/>
      <c r="C65" s="96"/>
      <c r="D65" s="97"/>
      <c r="E65" s="97"/>
      <c r="F65" s="97"/>
      <c r="G65" s="97"/>
      <c r="H65" s="97"/>
      <c r="I65" s="97"/>
      <c r="J65" s="97"/>
      <c r="K65" s="97"/>
      <c r="L65" s="97"/>
      <c r="M65" s="97"/>
      <c r="N65" s="97"/>
    </row>
    <row r="66" spans="1:14" s="170" customFormat="1" x14ac:dyDescent="0.2">
      <c r="A66" s="168" t="s">
        <v>6181</v>
      </c>
      <c r="B66" s="168"/>
      <c r="C66" s="165">
        <v>1</v>
      </c>
      <c r="D66" s="169" t="s">
        <v>5159</v>
      </c>
      <c r="E66" s="165">
        <v>0</v>
      </c>
      <c r="F66" s="169" t="s">
        <v>4798</v>
      </c>
      <c r="G66" s="165">
        <v>0</v>
      </c>
      <c r="H66" s="169" t="s">
        <v>4798</v>
      </c>
      <c r="I66" s="165">
        <v>0</v>
      </c>
      <c r="J66" s="169" t="s">
        <v>4798</v>
      </c>
      <c r="K66" s="165">
        <v>0.5</v>
      </c>
      <c r="L66" s="169" t="s">
        <v>4798</v>
      </c>
      <c r="M66" s="165">
        <v>0.5</v>
      </c>
      <c r="N66" s="169" t="s">
        <v>4798</v>
      </c>
    </row>
    <row r="67" spans="1:14" x14ac:dyDescent="0.2">
      <c r="A67" s="95"/>
      <c r="B67" s="95"/>
      <c r="C67" s="96"/>
      <c r="D67" s="97"/>
      <c r="E67" s="97"/>
      <c r="F67" s="97"/>
      <c r="G67" s="97"/>
      <c r="H67" s="97"/>
      <c r="I67" s="97"/>
      <c r="J67" s="97"/>
      <c r="K67" s="97"/>
      <c r="L67" s="97"/>
      <c r="M67" s="97"/>
      <c r="N67" s="97"/>
    </row>
    <row r="68" spans="1:14" s="170" customFormat="1" x14ac:dyDescent="0.2">
      <c r="A68" s="168" t="s">
        <v>5936</v>
      </c>
      <c r="B68" s="168"/>
      <c r="C68" s="165">
        <v>1</v>
      </c>
      <c r="D68" s="169" t="s">
        <v>5159</v>
      </c>
      <c r="E68" s="165">
        <v>0</v>
      </c>
      <c r="F68" s="169" t="s">
        <v>4798</v>
      </c>
      <c r="G68" s="165">
        <v>0</v>
      </c>
      <c r="H68" s="169" t="s">
        <v>4798</v>
      </c>
      <c r="I68" s="165">
        <v>0</v>
      </c>
      <c r="J68" s="169" t="s">
        <v>4798</v>
      </c>
      <c r="K68" s="165">
        <v>0.5</v>
      </c>
      <c r="L68" s="169" t="s">
        <v>4798</v>
      </c>
      <c r="M68" s="165">
        <v>0.5</v>
      </c>
      <c r="N68" s="169" t="s">
        <v>4798</v>
      </c>
    </row>
    <row r="69" spans="1:14" s="170" customFormat="1" x14ac:dyDescent="0.2">
      <c r="A69" s="168" t="s">
        <v>6183</v>
      </c>
      <c r="B69" s="168"/>
      <c r="C69" s="165">
        <v>1</v>
      </c>
      <c r="D69" s="169" t="s">
        <v>5159</v>
      </c>
      <c r="E69" s="165">
        <v>0</v>
      </c>
      <c r="F69" s="169" t="s">
        <v>4798</v>
      </c>
      <c r="G69" s="165">
        <v>0</v>
      </c>
      <c r="H69" s="169" t="s">
        <v>4798</v>
      </c>
      <c r="I69" s="165">
        <v>0</v>
      </c>
      <c r="J69" s="169" t="s">
        <v>4798</v>
      </c>
      <c r="K69" s="165">
        <v>0.5</v>
      </c>
      <c r="L69" s="169" t="s">
        <v>4798</v>
      </c>
      <c r="M69" s="165">
        <v>0.5</v>
      </c>
      <c r="N69" s="169" t="s">
        <v>4798</v>
      </c>
    </row>
    <row r="70" spans="1:14" x14ac:dyDescent="0.2">
      <c r="A70" s="95"/>
      <c r="B70" s="95"/>
      <c r="C70" s="96"/>
      <c r="D70" s="97"/>
      <c r="E70" s="97"/>
      <c r="F70" s="97"/>
      <c r="G70" s="97"/>
      <c r="H70" s="97"/>
      <c r="I70" s="97"/>
      <c r="J70" s="97"/>
      <c r="K70" s="97"/>
      <c r="L70" s="97"/>
      <c r="M70" s="97"/>
      <c r="N70" s="97"/>
    </row>
    <row r="71" spans="1:14" s="170" customFormat="1" x14ac:dyDescent="0.2">
      <c r="A71" s="168" t="s">
        <v>5937</v>
      </c>
      <c r="B71" s="168"/>
      <c r="C71" s="165">
        <v>1</v>
      </c>
      <c r="D71" s="169" t="s">
        <v>5159</v>
      </c>
      <c r="E71" s="165">
        <v>0</v>
      </c>
      <c r="F71" s="169" t="s">
        <v>4798</v>
      </c>
      <c r="G71" s="165">
        <v>0</v>
      </c>
      <c r="H71" s="169" t="s">
        <v>4798</v>
      </c>
      <c r="I71" s="165">
        <v>0</v>
      </c>
      <c r="J71" s="169" t="s">
        <v>4798</v>
      </c>
      <c r="K71" s="165">
        <v>0.5</v>
      </c>
      <c r="L71" s="169" t="s">
        <v>4798</v>
      </c>
      <c r="M71" s="165">
        <v>0.5</v>
      </c>
      <c r="N71" s="169" t="s">
        <v>4798</v>
      </c>
    </row>
    <row r="72" spans="1:14" s="170" customFormat="1" x14ac:dyDescent="0.2">
      <c r="A72" s="168" t="s">
        <v>6184</v>
      </c>
      <c r="B72" s="168"/>
      <c r="C72" s="165">
        <v>1</v>
      </c>
      <c r="D72" s="169" t="s">
        <v>5159</v>
      </c>
      <c r="E72" s="165">
        <v>0</v>
      </c>
      <c r="F72" s="169" t="s">
        <v>4798</v>
      </c>
      <c r="G72" s="165">
        <v>0</v>
      </c>
      <c r="H72" s="169" t="s">
        <v>4798</v>
      </c>
      <c r="I72" s="165">
        <v>0</v>
      </c>
      <c r="J72" s="169" t="s">
        <v>4798</v>
      </c>
      <c r="K72" s="165">
        <v>0.5</v>
      </c>
      <c r="L72" s="169" t="s">
        <v>4798</v>
      </c>
      <c r="M72" s="165">
        <v>0.5</v>
      </c>
      <c r="N72" s="169" t="s">
        <v>4798</v>
      </c>
    </row>
    <row r="73" spans="1:14" x14ac:dyDescent="0.2">
      <c r="A73" s="95"/>
      <c r="B73" s="95"/>
      <c r="C73" s="96"/>
      <c r="D73" s="97"/>
      <c r="E73" s="97"/>
      <c r="F73" s="98"/>
      <c r="G73" s="97"/>
      <c r="H73" s="98"/>
      <c r="I73" s="97"/>
      <c r="J73" s="98"/>
      <c r="K73" s="97"/>
      <c r="L73" s="98"/>
      <c r="M73" s="97"/>
      <c r="N73" s="98"/>
    </row>
    <row r="74" spans="1:14" s="94" customFormat="1" x14ac:dyDescent="0.2">
      <c r="A74" s="91" t="s">
        <v>5504</v>
      </c>
      <c r="B74" s="91"/>
      <c r="C74" s="92">
        <v>1</v>
      </c>
      <c r="D74" s="93" t="s">
        <v>5149</v>
      </c>
      <c r="E74" s="92">
        <v>0</v>
      </c>
      <c r="F74" s="93" t="s">
        <v>4874</v>
      </c>
      <c r="G74" s="92">
        <v>0</v>
      </c>
      <c r="H74" s="93" t="s">
        <v>4874</v>
      </c>
      <c r="I74" s="92">
        <v>0</v>
      </c>
      <c r="J74" s="93" t="s">
        <v>4874</v>
      </c>
      <c r="K74" s="92">
        <v>0</v>
      </c>
      <c r="L74" s="93" t="s">
        <v>4874</v>
      </c>
      <c r="M74" s="92">
        <v>0</v>
      </c>
      <c r="N74" s="93" t="s">
        <v>4874</v>
      </c>
    </row>
    <row r="75" spans="1:14" s="94" customFormat="1" x14ac:dyDescent="0.2">
      <c r="A75" s="91" t="s">
        <v>5505</v>
      </c>
      <c r="B75" s="91"/>
      <c r="C75" s="92">
        <v>1</v>
      </c>
      <c r="D75" s="93" t="s">
        <v>5149</v>
      </c>
      <c r="E75" s="92">
        <v>0</v>
      </c>
      <c r="F75" s="93" t="s">
        <v>4874</v>
      </c>
      <c r="G75" s="92">
        <v>0</v>
      </c>
      <c r="H75" s="93" t="s">
        <v>4874</v>
      </c>
      <c r="I75" s="92">
        <v>0</v>
      </c>
      <c r="J75" s="93" t="s">
        <v>4874</v>
      </c>
      <c r="K75" s="92">
        <v>0</v>
      </c>
      <c r="L75" s="93" t="s">
        <v>4874</v>
      </c>
      <c r="M75" s="92">
        <v>0</v>
      </c>
      <c r="N75" s="93" t="s">
        <v>4874</v>
      </c>
    </row>
    <row r="76" spans="1:14" s="94" customFormat="1" x14ac:dyDescent="0.2">
      <c r="A76" s="91" t="s">
        <v>5506</v>
      </c>
      <c r="B76" s="91"/>
      <c r="C76" s="92">
        <v>1</v>
      </c>
      <c r="D76" s="93" t="s">
        <v>5149</v>
      </c>
      <c r="E76" s="92">
        <v>0</v>
      </c>
      <c r="F76" s="93" t="s">
        <v>4874</v>
      </c>
      <c r="G76" s="92">
        <v>0</v>
      </c>
      <c r="H76" s="93" t="s">
        <v>4874</v>
      </c>
      <c r="I76" s="92">
        <v>0</v>
      </c>
      <c r="J76" s="93" t="s">
        <v>4874</v>
      </c>
      <c r="K76" s="92">
        <v>0</v>
      </c>
      <c r="L76" s="93" t="s">
        <v>4874</v>
      </c>
      <c r="M76" s="92">
        <v>0</v>
      </c>
      <c r="N76" s="93" t="s">
        <v>4874</v>
      </c>
    </row>
    <row r="77" spans="1:14" x14ac:dyDescent="0.2">
      <c r="A77" s="95"/>
      <c r="B77" s="95"/>
      <c r="C77" s="96"/>
      <c r="D77" s="97"/>
      <c r="E77" s="97"/>
      <c r="F77" s="98"/>
      <c r="G77" s="97"/>
      <c r="H77" s="98"/>
      <c r="I77" s="97"/>
      <c r="J77" s="98"/>
      <c r="K77" s="97"/>
      <c r="L77" s="98"/>
      <c r="M77" s="97"/>
      <c r="N77" s="98"/>
    </row>
    <row r="78" spans="1:14" s="94" customFormat="1" x14ac:dyDescent="0.2">
      <c r="A78" s="91" t="s">
        <v>25</v>
      </c>
      <c r="B78" s="91"/>
      <c r="C78" s="92">
        <v>1</v>
      </c>
      <c r="D78" s="93" t="s">
        <v>5159</v>
      </c>
      <c r="E78" s="92">
        <v>0</v>
      </c>
      <c r="F78" s="93" t="s">
        <v>4874</v>
      </c>
      <c r="G78" s="92">
        <v>0</v>
      </c>
      <c r="H78" s="93" t="s">
        <v>4874</v>
      </c>
      <c r="I78" s="92">
        <v>0</v>
      </c>
      <c r="J78" s="93" t="s">
        <v>4874</v>
      </c>
      <c r="K78" s="92">
        <v>0</v>
      </c>
      <c r="L78" s="93" t="s">
        <v>4874</v>
      </c>
      <c r="M78" s="92">
        <v>0</v>
      </c>
      <c r="N78" s="93" t="s">
        <v>4874</v>
      </c>
    </row>
    <row r="79" spans="1:14" s="94" customFormat="1" x14ac:dyDescent="0.2">
      <c r="A79" s="91" t="s">
        <v>26</v>
      </c>
      <c r="B79" s="91"/>
      <c r="C79" s="92">
        <v>1</v>
      </c>
      <c r="D79" s="93" t="s">
        <v>5159</v>
      </c>
      <c r="E79" s="92">
        <v>0</v>
      </c>
      <c r="F79" s="93" t="s">
        <v>4874</v>
      </c>
      <c r="G79" s="92">
        <v>0</v>
      </c>
      <c r="H79" s="93" t="s">
        <v>4874</v>
      </c>
      <c r="I79" s="92">
        <v>0</v>
      </c>
      <c r="J79" s="93" t="s">
        <v>4874</v>
      </c>
      <c r="K79" s="92">
        <v>0</v>
      </c>
      <c r="L79" s="93" t="s">
        <v>4874</v>
      </c>
      <c r="M79" s="92">
        <v>0</v>
      </c>
      <c r="N79" s="93" t="s">
        <v>4874</v>
      </c>
    </row>
    <row r="80" spans="1:14" x14ac:dyDescent="0.2">
      <c r="A80" s="95"/>
      <c r="B80" s="95"/>
      <c r="C80" s="96"/>
      <c r="D80" s="97"/>
      <c r="E80" s="97"/>
      <c r="F80" s="98"/>
      <c r="G80" s="97"/>
      <c r="H80" s="98"/>
      <c r="I80" s="97"/>
      <c r="J80" s="98"/>
      <c r="K80" s="97"/>
      <c r="L80" s="98"/>
      <c r="M80" s="97"/>
      <c r="N80" s="98"/>
    </row>
    <row r="81" spans="1:14" s="94" customFormat="1" x14ac:dyDescent="0.2">
      <c r="A81" s="91" t="s">
        <v>5940</v>
      </c>
      <c r="B81" s="91"/>
      <c r="C81" s="92">
        <v>1</v>
      </c>
      <c r="D81" s="93" t="s">
        <v>5159</v>
      </c>
      <c r="E81" s="92">
        <v>0</v>
      </c>
      <c r="F81" s="93" t="s">
        <v>4874</v>
      </c>
      <c r="G81" s="92">
        <v>0</v>
      </c>
      <c r="H81" s="93" t="s">
        <v>4874</v>
      </c>
      <c r="I81" s="92">
        <v>0</v>
      </c>
      <c r="J81" s="93" t="s">
        <v>4874</v>
      </c>
      <c r="K81" s="92">
        <v>0.5</v>
      </c>
      <c r="L81" s="93" t="s">
        <v>4874</v>
      </c>
      <c r="M81" s="92">
        <v>0.5</v>
      </c>
      <c r="N81" s="93" t="s">
        <v>4874</v>
      </c>
    </row>
    <row r="82" spans="1:14" s="94" customFormat="1" x14ac:dyDescent="0.2">
      <c r="A82" s="91" t="s">
        <v>6034</v>
      </c>
      <c r="B82" s="91"/>
      <c r="C82" s="92">
        <v>1</v>
      </c>
      <c r="D82" s="93" t="s">
        <v>5159</v>
      </c>
      <c r="E82" s="92">
        <v>0</v>
      </c>
      <c r="F82" s="93" t="s">
        <v>4874</v>
      </c>
      <c r="G82" s="92">
        <v>0</v>
      </c>
      <c r="H82" s="93" t="s">
        <v>4874</v>
      </c>
      <c r="I82" s="92">
        <v>0</v>
      </c>
      <c r="J82" s="93" t="s">
        <v>4874</v>
      </c>
      <c r="K82" s="92">
        <v>0</v>
      </c>
      <c r="L82" s="93" t="s">
        <v>4874</v>
      </c>
      <c r="M82" s="92">
        <v>0</v>
      </c>
      <c r="N82" s="93" t="s">
        <v>4874</v>
      </c>
    </row>
    <row r="83" spans="1:14" x14ac:dyDescent="0.2">
      <c r="A83" s="95"/>
      <c r="B83" s="95"/>
      <c r="C83" s="96"/>
      <c r="D83" s="97"/>
      <c r="E83" s="97"/>
      <c r="F83" s="98"/>
      <c r="G83" s="97"/>
      <c r="H83" s="98"/>
      <c r="I83" s="97"/>
      <c r="J83" s="98"/>
      <c r="K83" s="97"/>
      <c r="L83" s="98"/>
      <c r="M83" s="97"/>
      <c r="N83" s="98"/>
    </row>
    <row r="84" spans="1:14" s="94" customFormat="1" x14ac:dyDescent="0.2">
      <c r="A84" s="91" t="s">
        <v>6037</v>
      </c>
      <c r="B84" s="91"/>
      <c r="C84" s="92">
        <v>1</v>
      </c>
      <c r="D84" s="93" t="s">
        <v>5159</v>
      </c>
      <c r="E84" s="92">
        <v>0</v>
      </c>
      <c r="F84" s="93" t="s">
        <v>5159</v>
      </c>
      <c r="G84" s="92">
        <v>0</v>
      </c>
      <c r="H84" s="93" t="s">
        <v>5159</v>
      </c>
      <c r="I84" s="92">
        <v>0</v>
      </c>
      <c r="J84" s="93" t="s">
        <v>5159</v>
      </c>
      <c r="K84" s="92">
        <v>0</v>
      </c>
      <c r="L84" s="92">
        <v>0</v>
      </c>
      <c r="M84" s="93" t="s">
        <v>5159</v>
      </c>
      <c r="N84" s="92">
        <v>0</v>
      </c>
    </row>
    <row r="85" spans="1:14" x14ac:dyDescent="0.2">
      <c r="A85" s="95"/>
      <c r="B85" s="95"/>
      <c r="C85" s="96"/>
      <c r="D85" s="97"/>
      <c r="E85" s="97"/>
      <c r="F85" s="98"/>
      <c r="G85" s="97"/>
      <c r="H85" s="98"/>
      <c r="I85" s="97"/>
      <c r="J85" s="98"/>
      <c r="K85" s="97"/>
      <c r="L85" s="98"/>
      <c r="M85" s="97"/>
      <c r="N85" s="98"/>
    </row>
    <row r="86" spans="1:14" s="94" customFormat="1" x14ac:dyDescent="0.2">
      <c r="A86" s="91" t="s">
        <v>37</v>
      </c>
      <c r="B86" s="91"/>
      <c r="C86" s="92">
        <v>1</v>
      </c>
      <c r="D86" s="93" t="s">
        <v>5127</v>
      </c>
      <c r="E86" s="92">
        <v>0</v>
      </c>
      <c r="F86" s="93" t="s">
        <v>4798</v>
      </c>
      <c r="G86" s="92">
        <v>0</v>
      </c>
      <c r="H86" s="93" t="s">
        <v>4798</v>
      </c>
      <c r="I86" s="92">
        <v>0</v>
      </c>
      <c r="J86" s="93" t="s">
        <v>4798</v>
      </c>
      <c r="K86" s="92">
        <v>0.5</v>
      </c>
      <c r="L86" s="93" t="s">
        <v>5123</v>
      </c>
      <c r="M86" s="92">
        <v>0.5</v>
      </c>
      <c r="N86" s="93" t="s">
        <v>5123</v>
      </c>
    </row>
    <row r="87" spans="1:14" x14ac:dyDescent="0.2">
      <c r="A87" s="95"/>
      <c r="B87" s="95"/>
      <c r="C87" s="96"/>
      <c r="D87" s="97"/>
      <c r="E87" s="97"/>
      <c r="F87" s="98"/>
      <c r="G87" s="97"/>
      <c r="H87" s="98"/>
      <c r="I87" s="97"/>
      <c r="J87" s="98"/>
      <c r="K87" s="97"/>
      <c r="L87" s="98"/>
      <c r="M87" s="97"/>
      <c r="N87" s="98"/>
    </row>
    <row r="88" spans="1:14" s="94" customFormat="1" x14ac:dyDescent="0.2">
      <c r="A88" s="91" t="s">
        <v>28</v>
      </c>
      <c r="B88" s="91"/>
      <c r="C88" s="92">
        <v>1</v>
      </c>
      <c r="D88" s="93" t="s">
        <v>5122</v>
      </c>
      <c r="E88" s="92">
        <v>0</v>
      </c>
      <c r="F88" s="93" t="s">
        <v>5122</v>
      </c>
      <c r="G88" s="92">
        <v>0</v>
      </c>
      <c r="H88" s="93" t="s">
        <v>4874</v>
      </c>
      <c r="I88" s="92">
        <v>0</v>
      </c>
      <c r="J88" s="93" t="s">
        <v>4874</v>
      </c>
      <c r="K88" s="92">
        <v>0.25</v>
      </c>
      <c r="L88" s="93" t="s">
        <v>5122</v>
      </c>
      <c r="M88" s="92">
        <v>0</v>
      </c>
      <c r="N88" s="93" t="s">
        <v>4874</v>
      </c>
    </row>
    <row r="89" spans="1:14" s="94" customFormat="1" x14ac:dyDescent="0.2">
      <c r="A89" s="91" t="s">
        <v>29</v>
      </c>
      <c r="B89" s="91"/>
      <c r="C89" s="92">
        <v>1</v>
      </c>
      <c r="D89" s="93" t="s">
        <v>5122</v>
      </c>
      <c r="E89" s="92">
        <v>0</v>
      </c>
      <c r="F89" s="93" t="s">
        <v>5122</v>
      </c>
      <c r="G89" s="92">
        <v>0</v>
      </c>
      <c r="H89" s="93" t="s">
        <v>4874</v>
      </c>
      <c r="I89" s="92">
        <v>0</v>
      </c>
      <c r="J89" s="93" t="s">
        <v>4874</v>
      </c>
      <c r="K89" s="92">
        <v>0</v>
      </c>
      <c r="L89" s="93" t="s">
        <v>4874</v>
      </c>
      <c r="M89" s="92">
        <v>0</v>
      </c>
      <c r="N89" s="93" t="s">
        <v>4874</v>
      </c>
    </row>
    <row r="90" spans="1:14" s="94" customFormat="1" x14ac:dyDescent="0.2">
      <c r="A90" s="91" t="s">
        <v>31</v>
      </c>
      <c r="B90" s="91"/>
      <c r="C90" s="92">
        <v>1</v>
      </c>
      <c r="D90" s="93" t="s">
        <v>5122</v>
      </c>
      <c r="E90" s="92">
        <v>0</v>
      </c>
      <c r="F90" s="93" t="s">
        <v>5122</v>
      </c>
      <c r="G90" s="92">
        <v>0</v>
      </c>
      <c r="H90" s="93" t="s">
        <v>4874</v>
      </c>
      <c r="I90" s="92">
        <v>0</v>
      </c>
      <c r="J90" s="93" t="s">
        <v>4874</v>
      </c>
      <c r="K90" s="92">
        <v>0</v>
      </c>
      <c r="L90" s="93" t="s">
        <v>4874</v>
      </c>
      <c r="M90" s="92">
        <v>0</v>
      </c>
      <c r="N90" s="93" t="s">
        <v>4874</v>
      </c>
    </row>
    <row r="91" spans="1:14" s="94" customFormat="1" x14ac:dyDescent="0.2">
      <c r="A91" s="91" t="s">
        <v>35</v>
      </c>
      <c r="B91" s="91"/>
      <c r="C91" s="92">
        <v>1</v>
      </c>
      <c r="D91" s="93" t="s">
        <v>5122</v>
      </c>
      <c r="E91" s="92">
        <v>0</v>
      </c>
      <c r="F91" s="93" t="s">
        <v>5122</v>
      </c>
      <c r="G91" s="92">
        <v>0</v>
      </c>
      <c r="H91" s="93" t="s">
        <v>4874</v>
      </c>
      <c r="I91" s="92">
        <v>0</v>
      </c>
      <c r="J91" s="93" t="s">
        <v>4874</v>
      </c>
      <c r="K91" s="92">
        <v>0</v>
      </c>
      <c r="L91" s="93" t="s">
        <v>4874</v>
      </c>
      <c r="M91" s="92">
        <v>0</v>
      </c>
      <c r="N91" s="93" t="s">
        <v>4874</v>
      </c>
    </row>
    <row r="92" spans="1:14" s="94" customFormat="1" x14ac:dyDescent="0.2">
      <c r="A92" s="91" t="s">
        <v>6174</v>
      </c>
      <c r="B92" s="91"/>
      <c r="C92" s="92">
        <v>1</v>
      </c>
      <c r="D92" s="93" t="s">
        <v>5122</v>
      </c>
      <c r="E92" s="92">
        <v>0</v>
      </c>
      <c r="F92" s="93" t="s">
        <v>5122</v>
      </c>
      <c r="G92" s="92">
        <v>0</v>
      </c>
      <c r="H92" s="93" t="s">
        <v>4874</v>
      </c>
      <c r="I92" s="92">
        <v>0</v>
      </c>
      <c r="J92" s="93" t="s">
        <v>4874</v>
      </c>
      <c r="K92" s="92">
        <v>0</v>
      </c>
      <c r="L92" s="93" t="s">
        <v>4874</v>
      </c>
      <c r="M92" s="92">
        <v>0</v>
      </c>
      <c r="N92" s="93" t="s">
        <v>4874</v>
      </c>
    </row>
    <row r="93" spans="1:14" s="94" customFormat="1" x14ac:dyDescent="0.2">
      <c r="A93" s="91" t="s">
        <v>6175</v>
      </c>
      <c r="B93" s="91"/>
      <c r="C93" s="92">
        <v>1</v>
      </c>
      <c r="D93" s="93" t="s">
        <v>5122</v>
      </c>
      <c r="E93" s="92">
        <v>0</v>
      </c>
      <c r="F93" s="93" t="s">
        <v>5122</v>
      </c>
      <c r="G93" s="92">
        <v>0</v>
      </c>
      <c r="H93" s="93" t="s">
        <v>4874</v>
      </c>
      <c r="I93" s="92">
        <v>0</v>
      </c>
      <c r="J93" s="93" t="s">
        <v>4874</v>
      </c>
      <c r="K93" s="92">
        <v>0</v>
      </c>
      <c r="L93" s="93" t="s">
        <v>4874</v>
      </c>
      <c r="M93" s="92">
        <v>0</v>
      </c>
      <c r="N93" s="93" t="s">
        <v>4874</v>
      </c>
    </row>
    <row r="94" spans="1:14" s="94" customFormat="1" x14ac:dyDescent="0.2">
      <c r="A94" s="91" t="s">
        <v>6176</v>
      </c>
      <c r="B94" s="91"/>
      <c r="C94" s="92">
        <v>1</v>
      </c>
      <c r="D94" s="93" t="s">
        <v>5122</v>
      </c>
      <c r="E94" s="92">
        <v>0</v>
      </c>
      <c r="F94" s="93" t="s">
        <v>5122</v>
      </c>
      <c r="G94" s="92">
        <v>0</v>
      </c>
      <c r="H94" s="93" t="s">
        <v>4874</v>
      </c>
      <c r="I94" s="92">
        <v>0</v>
      </c>
      <c r="J94" s="93" t="s">
        <v>4874</v>
      </c>
      <c r="K94" s="92">
        <v>0</v>
      </c>
      <c r="L94" s="93" t="s">
        <v>4874</v>
      </c>
      <c r="M94" s="92">
        <v>0</v>
      </c>
      <c r="N94" s="93" t="s">
        <v>4874</v>
      </c>
    </row>
    <row r="95" spans="1:14" s="94" customFormat="1" x14ac:dyDescent="0.2">
      <c r="A95" s="91" t="s">
        <v>6177</v>
      </c>
      <c r="B95" s="91"/>
      <c r="C95" s="92">
        <v>1</v>
      </c>
      <c r="D95" s="93" t="s">
        <v>5122</v>
      </c>
      <c r="E95" s="92">
        <v>0</v>
      </c>
      <c r="F95" s="93" t="s">
        <v>5122</v>
      </c>
      <c r="G95" s="92">
        <v>0</v>
      </c>
      <c r="H95" s="93" t="s">
        <v>4874</v>
      </c>
      <c r="I95" s="92">
        <v>0</v>
      </c>
      <c r="J95" s="93" t="s">
        <v>4874</v>
      </c>
      <c r="K95" s="92">
        <v>0</v>
      </c>
      <c r="L95" s="93" t="s">
        <v>4874</v>
      </c>
      <c r="M95" s="92">
        <v>0</v>
      </c>
      <c r="N95" s="93" t="s">
        <v>4874</v>
      </c>
    </row>
    <row r="96" spans="1:14" s="94" customFormat="1" x14ac:dyDescent="0.2">
      <c r="A96" s="91" t="s">
        <v>6178</v>
      </c>
      <c r="B96" s="91"/>
      <c r="C96" s="92">
        <v>1</v>
      </c>
      <c r="D96" s="93" t="s">
        <v>5122</v>
      </c>
      <c r="E96" s="92">
        <v>0</v>
      </c>
      <c r="F96" s="93" t="s">
        <v>5122</v>
      </c>
      <c r="G96" s="92">
        <v>0</v>
      </c>
      <c r="H96" s="93" t="s">
        <v>4874</v>
      </c>
      <c r="I96" s="92">
        <v>0</v>
      </c>
      <c r="J96" s="93" t="s">
        <v>4874</v>
      </c>
      <c r="K96" s="92">
        <v>0</v>
      </c>
      <c r="L96" s="93" t="s">
        <v>4874</v>
      </c>
      <c r="M96" s="92">
        <v>0</v>
      </c>
      <c r="N96" s="93" t="s">
        <v>4874</v>
      </c>
    </row>
    <row r="97" spans="1:14" s="94" customFormat="1" x14ac:dyDescent="0.2">
      <c r="A97" s="91" t="s">
        <v>6179</v>
      </c>
      <c r="B97" s="91"/>
      <c r="C97" s="92">
        <v>1</v>
      </c>
      <c r="D97" s="93" t="s">
        <v>5122</v>
      </c>
      <c r="E97" s="92">
        <v>0</v>
      </c>
      <c r="F97" s="93" t="s">
        <v>5122</v>
      </c>
      <c r="G97" s="92">
        <v>0</v>
      </c>
      <c r="H97" s="93" t="s">
        <v>4874</v>
      </c>
      <c r="I97" s="92">
        <v>0</v>
      </c>
      <c r="J97" s="93" t="s">
        <v>4874</v>
      </c>
      <c r="K97" s="92">
        <v>0</v>
      </c>
      <c r="L97" s="93" t="s">
        <v>4874</v>
      </c>
      <c r="M97" s="92">
        <v>0</v>
      </c>
      <c r="N97" s="93" t="s">
        <v>4874</v>
      </c>
    </row>
    <row r="98" spans="1:14" x14ac:dyDescent="0.2">
      <c r="A98" s="95"/>
      <c r="B98" s="95"/>
      <c r="C98" s="96"/>
      <c r="D98" s="97"/>
      <c r="E98" s="97"/>
      <c r="F98" s="98"/>
      <c r="G98" s="97"/>
      <c r="H98" s="98"/>
      <c r="I98" s="97"/>
      <c r="J98" s="98"/>
      <c r="K98" s="97"/>
      <c r="L98" s="98"/>
      <c r="M98" s="97"/>
      <c r="N98" s="98"/>
    </row>
    <row r="99" spans="1:14" s="94" customFormat="1" x14ac:dyDescent="0.2">
      <c r="A99" s="91" t="s">
        <v>5493</v>
      </c>
      <c r="B99" s="91"/>
      <c r="C99" s="92">
        <v>1</v>
      </c>
      <c r="D99" s="93" t="s">
        <v>5594</v>
      </c>
      <c r="E99" s="92">
        <v>0</v>
      </c>
      <c r="F99" s="93" t="s">
        <v>4874</v>
      </c>
      <c r="G99" s="92">
        <v>0</v>
      </c>
      <c r="H99" s="93" t="s">
        <v>4874</v>
      </c>
      <c r="I99" s="92">
        <v>0</v>
      </c>
      <c r="J99" s="93" t="s">
        <v>4874</v>
      </c>
      <c r="K99" s="92">
        <v>0.25</v>
      </c>
      <c r="L99" s="93" t="s">
        <v>5600</v>
      </c>
      <c r="M99" s="92">
        <v>0.25</v>
      </c>
      <c r="N99" s="93" t="s">
        <v>5600</v>
      </c>
    </row>
    <row r="100" spans="1:14" s="94" customFormat="1" x14ac:dyDescent="0.2">
      <c r="A100" s="91" t="s">
        <v>5494</v>
      </c>
      <c r="B100" s="91"/>
      <c r="C100" s="92">
        <v>1</v>
      </c>
      <c r="D100" s="93" t="s">
        <v>5594</v>
      </c>
      <c r="E100" s="92">
        <v>0</v>
      </c>
      <c r="F100" s="93" t="s">
        <v>4874</v>
      </c>
      <c r="G100" s="92">
        <v>0</v>
      </c>
      <c r="H100" s="93" t="s">
        <v>4874</v>
      </c>
      <c r="I100" s="92">
        <v>0</v>
      </c>
      <c r="J100" s="93" t="s">
        <v>4874</v>
      </c>
      <c r="K100" s="92">
        <v>0.25</v>
      </c>
      <c r="L100" s="93" t="s">
        <v>5600</v>
      </c>
      <c r="M100" s="92">
        <v>0.25</v>
      </c>
      <c r="N100" s="93" t="s">
        <v>5600</v>
      </c>
    </row>
    <row r="101" spans="1:14" s="94" customFormat="1" x14ac:dyDescent="0.2">
      <c r="A101" s="91" t="s">
        <v>5495</v>
      </c>
      <c r="B101" s="91"/>
      <c r="C101" s="92">
        <v>1</v>
      </c>
      <c r="D101" s="93" t="s">
        <v>5594</v>
      </c>
      <c r="E101" s="92">
        <v>0</v>
      </c>
      <c r="F101" s="93" t="s">
        <v>4874</v>
      </c>
      <c r="G101" s="92">
        <v>0</v>
      </c>
      <c r="H101" s="93" t="s">
        <v>4874</v>
      </c>
      <c r="I101" s="92">
        <v>0</v>
      </c>
      <c r="J101" s="93" t="s">
        <v>4874</v>
      </c>
      <c r="K101" s="92">
        <v>0.25</v>
      </c>
      <c r="L101" s="93" t="s">
        <v>5600</v>
      </c>
      <c r="M101" s="92">
        <v>0</v>
      </c>
      <c r="N101" s="93" t="s">
        <v>4874</v>
      </c>
    </row>
    <row r="102" spans="1:14" s="94" customFormat="1" x14ac:dyDescent="0.2">
      <c r="A102" s="91" t="s">
        <v>5496</v>
      </c>
      <c r="B102" s="91"/>
      <c r="C102" s="92">
        <v>1</v>
      </c>
      <c r="D102" s="93" t="s">
        <v>5594</v>
      </c>
      <c r="E102" s="92">
        <v>0</v>
      </c>
      <c r="F102" s="93" t="s">
        <v>4874</v>
      </c>
      <c r="G102" s="92">
        <v>0</v>
      </c>
      <c r="H102" s="93" t="s">
        <v>4874</v>
      </c>
      <c r="I102" s="92">
        <v>0</v>
      </c>
      <c r="J102" s="93" t="s">
        <v>4874</v>
      </c>
      <c r="K102" s="92">
        <v>0</v>
      </c>
      <c r="L102" s="93" t="s">
        <v>4874</v>
      </c>
      <c r="M102" s="92">
        <v>0</v>
      </c>
      <c r="N102" s="93" t="s">
        <v>4874</v>
      </c>
    </row>
    <row r="103" spans="1:14" x14ac:dyDescent="0.2">
      <c r="A103" s="95"/>
      <c r="B103" s="95"/>
      <c r="C103" s="96"/>
      <c r="D103" s="97"/>
      <c r="E103" s="97"/>
      <c r="F103" s="98"/>
      <c r="G103" s="97"/>
      <c r="H103" s="98"/>
      <c r="I103" s="97"/>
      <c r="J103" s="98"/>
      <c r="K103" s="97"/>
      <c r="L103" s="98"/>
      <c r="M103" s="97"/>
      <c r="N103" s="98"/>
    </row>
    <row r="104" spans="1:14" s="94" customFormat="1" x14ac:dyDescent="0.2">
      <c r="A104" s="91" t="s">
        <v>5498</v>
      </c>
      <c r="B104" s="91"/>
      <c r="C104" s="92">
        <v>1</v>
      </c>
      <c r="D104" s="93" t="s">
        <v>5134</v>
      </c>
      <c r="E104" s="92">
        <v>0</v>
      </c>
      <c r="F104" s="93" t="s">
        <v>5593</v>
      </c>
      <c r="G104" s="92">
        <v>0</v>
      </c>
      <c r="H104" s="93" t="s">
        <v>5593</v>
      </c>
      <c r="I104" s="92">
        <v>0</v>
      </c>
      <c r="J104" s="93" t="s">
        <v>5593</v>
      </c>
      <c r="K104" s="92">
        <v>0.5</v>
      </c>
      <c r="L104" s="93" t="s">
        <v>5134</v>
      </c>
      <c r="M104" s="92">
        <v>0.5</v>
      </c>
      <c r="N104" s="93" t="s">
        <v>5134</v>
      </c>
    </row>
    <row r="105" spans="1:14" s="94" customFormat="1" x14ac:dyDescent="0.2">
      <c r="A105" s="91" t="s">
        <v>5499</v>
      </c>
      <c r="B105" s="91"/>
      <c r="C105" s="92">
        <v>1</v>
      </c>
      <c r="D105" s="93" t="s">
        <v>5134</v>
      </c>
      <c r="E105" s="92">
        <v>0</v>
      </c>
      <c r="F105" s="93" t="s">
        <v>5593</v>
      </c>
      <c r="G105" s="92">
        <v>0</v>
      </c>
      <c r="H105" s="93" t="s">
        <v>5593</v>
      </c>
      <c r="I105" s="92">
        <v>0</v>
      </c>
      <c r="J105" s="93" t="s">
        <v>5593</v>
      </c>
      <c r="K105" s="92">
        <v>0.5</v>
      </c>
      <c r="L105" s="93" t="s">
        <v>5134</v>
      </c>
      <c r="M105" s="92">
        <v>0.5</v>
      </c>
      <c r="N105" s="93" t="s">
        <v>5134</v>
      </c>
    </row>
    <row r="106" spans="1:14" s="94" customFormat="1" x14ac:dyDescent="0.2">
      <c r="A106" s="91" t="s">
        <v>5500</v>
      </c>
      <c r="B106" s="91"/>
      <c r="C106" s="92">
        <v>1</v>
      </c>
      <c r="D106" s="93" t="s">
        <v>5134</v>
      </c>
      <c r="E106" s="92">
        <v>0</v>
      </c>
      <c r="F106" s="93" t="s">
        <v>5593</v>
      </c>
      <c r="G106" s="92">
        <v>0</v>
      </c>
      <c r="H106" s="93" t="s">
        <v>5593</v>
      </c>
      <c r="I106" s="92">
        <v>0</v>
      </c>
      <c r="J106" s="93" t="s">
        <v>5593</v>
      </c>
      <c r="K106" s="92">
        <v>0.5</v>
      </c>
      <c r="L106" s="93" t="s">
        <v>5134</v>
      </c>
      <c r="M106" s="92">
        <v>0</v>
      </c>
      <c r="N106" s="93" t="s">
        <v>5593</v>
      </c>
    </row>
    <row r="107" spans="1:14" s="94" customFormat="1" x14ac:dyDescent="0.2">
      <c r="A107" s="91" t="s">
        <v>5501</v>
      </c>
      <c r="B107" s="91"/>
      <c r="C107" s="92">
        <v>1</v>
      </c>
      <c r="D107" s="93" t="s">
        <v>5134</v>
      </c>
      <c r="E107" s="92">
        <v>0</v>
      </c>
      <c r="F107" s="93" t="s">
        <v>5593</v>
      </c>
      <c r="G107" s="92">
        <v>0</v>
      </c>
      <c r="H107" s="93" t="s">
        <v>5593</v>
      </c>
      <c r="I107" s="92">
        <v>0</v>
      </c>
      <c r="J107" s="93" t="s">
        <v>5593</v>
      </c>
      <c r="K107" s="92">
        <v>0.5</v>
      </c>
      <c r="L107" s="93" t="s">
        <v>5134</v>
      </c>
      <c r="M107" s="92">
        <v>0</v>
      </c>
      <c r="N107" s="93" t="s">
        <v>5593</v>
      </c>
    </row>
    <row r="108" spans="1:14" x14ac:dyDescent="0.2">
      <c r="A108" s="95"/>
      <c r="B108" s="95"/>
      <c r="C108" s="96"/>
      <c r="D108" s="97"/>
      <c r="E108" s="97"/>
      <c r="F108" s="98"/>
      <c r="G108" s="97"/>
      <c r="H108" s="98"/>
      <c r="I108" s="97"/>
      <c r="J108" s="98"/>
      <c r="K108" s="97"/>
      <c r="L108" s="98"/>
      <c r="M108" s="97"/>
      <c r="N108" s="98"/>
    </row>
    <row r="109" spans="1:14" s="94" customFormat="1" x14ac:dyDescent="0.2">
      <c r="A109" s="91" t="s">
        <v>5524</v>
      </c>
      <c r="B109" s="91"/>
      <c r="C109" s="92">
        <v>1</v>
      </c>
      <c r="D109" s="93" t="s">
        <v>5159</v>
      </c>
      <c r="E109" s="92">
        <v>0</v>
      </c>
      <c r="F109" s="93" t="s">
        <v>4874</v>
      </c>
      <c r="G109" s="92">
        <v>0</v>
      </c>
      <c r="H109" s="93" t="s">
        <v>4874</v>
      </c>
      <c r="I109" s="92">
        <v>0</v>
      </c>
      <c r="J109" s="93" t="s">
        <v>4874</v>
      </c>
      <c r="K109" s="92">
        <v>0.5</v>
      </c>
      <c r="L109" s="93" t="s">
        <v>99</v>
      </c>
      <c r="M109" s="92">
        <v>0.5</v>
      </c>
      <c r="N109" s="93" t="s">
        <v>99</v>
      </c>
    </row>
    <row r="110" spans="1:14" s="94" customFormat="1" x14ac:dyDescent="0.2">
      <c r="A110" s="91" t="s">
        <v>5525</v>
      </c>
      <c r="B110" s="91"/>
      <c r="C110" s="92">
        <v>1</v>
      </c>
      <c r="D110" s="93" t="s">
        <v>5159</v>
      </c>
      <c r="E110" s="92">
        <v>0</v>
      </c>
      <c r="F110" s="93" t="s">
        <v>4874</v>
      </c>
      <c r="G110" s="92">
        <v>0</v>
      </c>
      <c r="H110" s="93" t="s">
        <v>4874</v>
      </c>
      <c r="I110" s="92">
        <v>0</v>
      </c>
      <c r="J110" s="93" t="s">
        <v>4874</v>
      </c>
      <c r="K110" s="92">
        <v>0.5</v>
      </c>
      <c r="L110" s="93" t="s">
        <v>99</v>
      </c>
      <c r="M110" s="92">
        <v>0.5</v>
      </c>
      <c r="N110" s="93" t="s">
        <v>99</v>
      </c>
    </row>
    <row r="111" spans="1:14" s="94" customFormat="1" x14ac:dyDescent="0.2">
      <c r="A111" s="91" t="s">
        <v>5526</v>
      </c>
      <c r="B111" s="91"/>
      <c r="C111" s="92">
        <v>1</v>
      </c>
      <c r="D111" s="93" t="s">
        <v>5159</v>
      </c>
      <c r="E111" s="92">
        <v>0</v>
      </c>
      <c r="F111" s="93" t="s">
        <v>4874</v>
      </c>
      <c r="G111" s="92">
        <v>0</v>
      </c>
      <c r="H111" s="93" t="s">
        <v>4874</v>
      </c>
      <c r="I111" s="92">
        <v>0</v>
      </c>
      <c r="J111" s="93" t="s">
        <v>4874</v>
      </c>
      <c r="K111" s="92">
        <v>0.5</v>
      </c>
      <c r="L111" s="93" t="s">
        <v>99</v>
      </c>
      <c r="M111" s="92">
        <v>0.5</v>
      </c>
      <c r="N111" s="93" t="s">
        <v>99</v>
      </c>
    </row>
    <row r="112" spans="1:14" s="94" customFormat="1" x14ac:dyDescent="0.2">
      <c r="A112" s="91" t="s">
        <v>5527</v>
      </c>
      <c r="B112" s="91"/>
      <c r="C112" s="92">
        <v>1</v>
      </c>
      <c r="D112" s="93" t="s">
        <v>5159</v>
      </c>
      <c r="E112" s="92">
        <v>0</v>
      </c>
      <c r="F112" s="93" t="s">
        <v>4874</v>
      </c>
      <c r="G112" s="92">
        <v>0</v>
      </c>
      <c r="H112" s="93" t="s">
        <v>4874</v>
      </c>
      <c r="I112" s="92">
        <v>0</v>
      </c>
      <c r="J112" s="93" t="s">
        <v>4874</v>
      </c>
      <c r="K112" s="92">
        <v>0.5</v>
      </c>
      <c r="L112" s="93" t="s">
        <v>99</v>
      </c>
      <c r="M112" s="92">
        <v>0.5</v>
      </c>
      <c r="N112" s="93" t="s">
        <v>99</v>
      </c>
    </row>
    <row r="113" spans="1:14" s="94" customFormat="1" x14ac:dyDescent="0.2">
      <c r="A113" s="91" t="s">
        <v>5528</v>
      </c>
      <c r="B113" s="91"/>
      <c r="C113" s="92">
        <v>1</v>
      </c>
      <c r="D113" s="93" t="s">
        <v>5159</v>
      </c>
      <c r="E113" s="92">
        <v>0</v>
      </c>
      <c r="F113" s="93" t="s">
        <v>4874</v>
      </c>
      <c r="G113" s="92">
        <v>0</v>
      </c>
      <c r="H113" s="93" t="s">
        <v>4874</v>
      </c>
      <c r="I113" s="92">
        <v>0</v>
      </c>
      <c r="J113" s="93" t="s">
        <v>4874</v>
      </c>
      <c r="K113" s="92">
        <v>0.5</v>
      </c>
      <c r="L113" s="93" t="s">
        <v>99</v>
      </c>
      <c r="M113" s="92">
        <v>0.5</v>
      </c>
      <c r="N113" s="93" t="s">
        <v>99</v>
      </c>
    </row>
    <row r="114" spans="1:14" s="94" customFormat="1" x14ac:dyDescent="0.2">
      <c r="A114" s="91" t="s">
        <v>5529</v>
      </c>
      <c r="B114" s="91"/>
      <c r="C114" s="92">
        <v>1</v>
      </c>
      <c r="D114" s="93" t="s">
        <v>5159</v>
      </c>
      <c r="E114" s="92">
        <v>0</v>
      </c>
      <c r="F114" s="93" t="s">
        <v>4874</v>
      </c>
      <c r="G114" s="92">
        <v>0</v>
      </c>
      <c r="H114" s="93" t="s">
        <v>4874</v>
      </c>
      <c r="I114" s="92">
        <v>0</v>
      </c>
      <c r="J114" s="93" t="s">
        <v>4874</v>
      </c>
      <c r="K114" s="92">
        <v>0.5</v>
      </c>
      <c r="L114" s="93" t="s">
        <v>99</v>
      </c>
      <c r="M114" s="92">
        <v>0.5</v>
      </c>
      <c r="N114" s="93" t="s">
        <v>99</v>
      </c>
    </row>
    <row r="115" spans="1:14" x14ac:dyDescent="0.2">
      <c r="A115" s="95"/>
      <c r="B115" s="95"/>
      <c r="C115" s="96"/>
      <c r="D115" s="97"/>
      <c r="E115" s="97"/>
      <c r="F115" s="98"/>
      <c r="G115" s="97"/>
      <c r="H115" s="98"/>
      <c r="I115" s="97"/>
      <c r="J115" s="98"/>
      <c r="K115" s="97"/>
      <c r="L115" s="98"/>
      <c r="M115" s="97"/>
      <c r="N115" s="98"/>
    </row>
    <row r="116" spans="1:14" s="94" customFormat="1" x14ac:dyDescent="0.2">
      <c r="A116" s="91" t="s">
        <v>5514</v>
      </c>
      <c r="B116" s="91"/>
      <c r="C116" s="92">
        <v>1</v>
      </c>
      <c r="D116" s="93" t="s">
        <v>5163</v>
      </c>
      <c r="E116" s="92">
        <v>0</v>
      </c>
      <c r="F116" s="93" t="s">
        <v>4874</v>
      </c>
      <c r="G116" s="92">
        <v>0</v>
      </c>
      <c r="H116" s="93" t="s">
        <v>4874</v>
      </c>
      <c r="I116" s="92">
        <v>0</v>
      </c>
      <c r="J116" s="93" t="s">
        <v>4874</v>
      </c>
      <c r="K116" s="92">
        <v>0.5</v>
      </c>
      <c r="L116" s="93" t="s">
        <v>5163</v>
      </c>
      <c r="M116" s="92">
        <v>0.5</v>
      </c>
      <c r="N116" s="93" t="s">
        <v>5163</v>
      </c>
    </row>
    <row r="117" spans="1:14" s="94" customFormat="1" x14ac:dyDescent="0.2">
      <c r="A117" s="91" t="s">
        <v>5515</v>
      </c>
      <c r="B117" s="91"/>
      <c r="C117" s="92">
        <v>1</v>
      </c>
      <c r="D117" s="93" t="s">
        <v>5163</v>
      </c>
      <c r="E117" s="92">
        <v>0</v>
      </c>
      <c r="F117" s="93" t="s">
        <v>4874</v>
      </c>
      <c r="G117" s="92">
        <v>0</v>
      </c>
      <c r="H117" s="93" t="s">
        <v>4874</v>
      </c>
      <c r="I117" s="92">
        <v>0</v>
      </c>
      <c r="J117" s="93" t="s">
        <v>4874</v>
      </c>
      <c r="K117" s="92">
        <v>0</v>
      </c>
      <c r="L117" s="93" t="s">
        <v>4874</v>
      </c>
      <c r="M117" s="92">
        <v>0</v>
      </c>
      <c r="N117" s="93" t="s">
        <v>4874</v>
      </c>
    </row>
  </sheetData>
  <dataValidations count="26">
    <dataValidation type="list" allowBlank="1" showInputMessage="1" showErrorMessage="1" sqref="D53 F53 H53 J53 L53 N53" xr:uid="{A17C564C-0A5A-44FA-B5C8-75F45932890F}">
      <formula1>usb2_modes</formula1>
    </dataValidation>
    <dataValidation type="list" allowBlank="1" showInputMessage="1" showErrorMessage="1" sqref="D85 L85 J85 H85 F85 N85 N60:N61 F60:F61 H60:H61 J60:J61 L60:L61 D60:D61" xr:uid="{29936CB3-E863-4E39-BCF0-D63BD7AC0930}">
      <formula1>sdio_modes</formula1>
    </dataValidation>
    <dataValidation type="list" allowBlank="1" showInputMessage="1" showErrorMessage="1" sqref="D58" xr:uid="{E5921BFB-790A-428F-A53F-9BD0388EBE6C}">
      <formula1>ospi_modes</formula1>
    </dataValidation>
    <dataValidation type="list" allowBlank="1" showInputMessage="1" showErrorMessage="1" sqref="E49 M49 K49 I49 G49" xr:uid="{5DC7D011-F496-4B5E-BF31-2407EB0B34D1}">
      <formula1>"ON,OFF"</formula1>
    </dataValidation>
    <dataValidation type="list" allowBlank="1" showInputMessage="1" showErrorMessage="1" sqref="D49 N49 L49 J49 H49 F49" xr:uid="{88D16F2E-31E2-4B2B-9606-CE0AA7FA3119}">
      <formula1>on_off_modes</formula1>
    </dataValidation>
    <dataValidation type="list" allowBlank="1" showInputMessage="1" showErrorMessage="1" sqref="F51 N51 L51 J51 D51 H51" xr:uid="{DDD3C35B-74C8-425D-965E-122F272D6245}">
      <formula1>ethernet_modes</formula1>
    </dataValidation>
    <dataValidation type="list" allowBlank="1" showInputMessage="1" showErrorMessage="1" sqref="D116:D117 F116:F117 L116:L117 N116:N117 J116:J117 H116:H117" xr:uid="{961EA15D-22A5-4C85-8787-212941DE9289}">
      <formula1>gpio_modes</formula1>
    </dataValidation>
    <dataValidation type="list" allowBlank="1" showInputMessage="1" showErrorMessage="1" sqref="F109:F114 N109:N114 L109:L114 J109:J114 H109:H114 D109:D114" xr:uid="{9387DBE2-A3F9-4DF8-A25E-EFDBD66A35F7}">
      <formula1>epwm_modes</formula1>
    </dataValidation>
    <dataValidation type="list" allowBlank="1" showInputMessage="1" showErrorMessage="1" sqref="D104:D107 F104:F107 N104:N107 L104:L107 J104:J107 H104:H107" xr:uid="{A9E1CF95-C817-495D-B5E8-9F3DA2CA43D8}">
      <formula1>uart_modes</formula1>
    </dataValidation>
    <dataValidation type="list" allowBlank="1" showInputMessage="1" showErrorMessage="1" sqref="D99:D102 F99:F102 N99:N102 L99:L102 J99:J102 H99:H102" xr:uid="{B690637D-60A1-4AB6-AD8D-057574DEA578}">
      <formula1>spi_modes</formula1>
    </dataValidation>
    <dataValidation type="list" allowBlank="1" showInputMessage="1" showErrorMessage="1" sqref="D88:D97 J88:J97 L88:L97 N88:N97 F88:F97 H88:H97" xr:uid="{88CEEC66-104D-4957-8126-D128ADD7F9F3}">
      <formula1>i2c_modes</formula1>
    </dataValidation>
    <dataValidation type="list" allowBlank="1" showInputMessage="1" showErrorMessage="1" sqref="L55:L56 F55:F56 N55:N56 J55:J56 H55:H56 D55:D56 F85 N85 J85 H85 D85 D60:D61 H60:H61 J60:J61 N60:N61 F60:F61 L60:L61 L85" xr:uid="{D3F40054-309E-42BE-AC50-50FF28209F2B}">
      <formula1>canfd_modes</formula1>
    </dataValidation>
    <dataValidation type="list" allowBlank="1" showInputMessage="1" showErrorMessage="1" sqref="L58 J58 H58 F58 N58" xr:uid="{DF1E42DB-FCDB-475A-968C-2683932FE421}">
      <formula1>qspi_modes</formula1>
    </dataValidation>
    <dataValidation type="list" allowBlank="1" showInputMessage="1" showErrorMessage="1" sqref="C7:N8" xr:uid="{959AE89D-9E1D-4292-BBCD-ACB0F01DE2B7}">
      <formula1>vdd_choices</formula1>
    </dataValidation>
    <dataValidation type="list" allowBlank="1" showInputMessage="1" showErrorMessage="1" sqref="C6:N6" xr:uid="{465B30E3-41F4-4273-A2AB-E84E508BC6CB}">
      <formula1>tj_choices</formula1>
    </dataValidation>
    <dataValidation type="list" allowBlank="1" showInputMessage="1" showErrorMessage="1" sqref="F46:F47 H46:H47 J46:J47 L46:L47 N46:N47 D46:D47" xr:uid="{89EF6A99-4067-48E7-98CF-0DFCE2DCF604}">
      <formula1>pll_modes</formula1>
    </dataValidation>
    <dataValidation type="list" allowBlank="1" showInputMessage="1" showErrorMessage="1" sqref="D86 F86 H86 J86 L86 N86" xr:uid="{890F0B48-6307-4AD4-BF9E-DB989F7C8CEF}">
      <formula1>i2c_od_modes</formula1>
    </dataValidation>
    <dataValidation type="list" allowBlank="1" showInputMessage="1" showErrorMessage="1" sqref="D48 F48 H48 J48 L48 N48" xr:uid="{F3173709-8F6D-4F57-A956-2A470148A5CE}">
      <formula1>"on,off"</formula1>
    </dataValidation>
    <dataValidation type="list" allowBlank="1" showInputMessage="1" showErrorMessage="1" sqref="F78:F79 N78:N79 L78:L79 J78:J79 H78:H79 D78:D79" xr:uid="{E1D519AF-7E8C-4FD9-A09D-50A87C2D8034}">
      <formula1>eqep_modes</formula1>
    </dataValidation>
    <dataValidation type="list" allowBlank="1" showInputMessage="1" showErrorMessage="1" sqref="L74:L76 J74:J76 H74:H76 D74:D76 F74:F76 N74:N76" xr:uid="{A53FA4D3-CFC2-480A-8B04-2511355592DD}">
      <formula1>ecap_modes</formula1>
    </dataValidation>
    <dataValidation type="list" allowBlank="1" showInputMessage="1" showErrorMessage="1" sqref="D84 F84 H84 J84 M84" xr:uid="{EA8F5608-4D6A-4E96-8EB7-C930E5187D8F}">
      <formula1>sdfm_modes</formula1>
    </dataValidation>
    <dataValidation type="list" allowBlank="1" showInputMessage="1" showErrorMessage="1" sqref="D81:D82 F81:F82 H81:H82 J81:J82 L81:L82 N81:N82" xr:uid="{130908F2-AF29-4790-9048-2E9FD818C594}">
      <formula1>fsi_modes</formula1>
    </dataValidation>
    <dataValidation type="list" allowBlank="1" showInputMessage="1" showErrorMessage="1" sqref="D71:D72 F71:F72 H71:H72 J71:J72 L71:L72 N71:N72" xr:uid="{815F925F-FC4D-45E0-9AA4-311DD070FD92}">
      <formula1>lpc_modes</formula1>
    </dataValidation>
    <dataValidation type="list" allowBlank="1" showInputMessage="1" showErrorMessage="1" sqref="D64 F64 H64 J64 L64 N64" xr:uid="{8F499C43-314B-4203-9283-0C5A1B03F59F}">
      <formula1>espi_modes</formula1>
    </dataValidation>
    <dataValidation type="list" allowBlank="1" showInputMessage="1" showErrorMessage="1" sqref="D66 F66 H66 J66 L66 N66" xr:uid="{3F3FF113-FCD9-471C-8E7F-F78C280DF425}">
      <formula1>peci_modes</formula1>
    </dataValidation>
    <dataValidation type="list" allowBlank="1" showInputMessage="1" showErrorMessage="1" sqref="D68:D69 F68:F69 H68:H69 J68:J69 L68:L69 N68:N69" xr:uid="{0C15DAA1-B802-49C5-91C3-A635E1DFC816}">
      <formula1>fan_modes</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113</vt:i4>
      </vt:variant>
    </vt:vector>
  </HeadingPairs>
  <TitlesOfParts>
    <vt:vector size="124" baseType="lpstr">
      <vt:lpstr>Rev History</vt:lpstr>
      <vt:lpstr>Input</vt:lpstr>
      <vt:lpstr>TI Important Notice</vt:lpstr>
      <vt:lpstr>PWRCALC</vt:lpstr>
      <vt:lpstr>MDB</vt:lpstr>
      <vt:lpstr>AM261_UC</vt:lpstr>
      <vt:lpstr>AM273_UC</vt:lpstr>
      <vt:lpstr>AM240_UC</vt:lpstr>
      <vt:lpstr>AM241_UC</vt:lpstr>
      <vt:lpstr>AM273 Info</vt:lpstr>
      <vt:lpstr>AM261 Info</vt:lpstr>
      <vt:lpstr>ADC</vt:lpstr>
      <vt:lpstr>ADC_Util</vt:lpstr>
      <vt:lpstr>AM261_UC!AM263P_UC</vt:lpstr>
      <vt:lpstr>canfd_modes</vt:lpstr>
      <vt:lpstr>CMPSS</vt:lpstr>
      <vt:lpstr>CMPSS_Util</vt:lpstr>
      <vt:lpstr>CPSW_freq</vt:lpstr>
      <vt:lpstr>cpsw_util</vt:lpstr>
      <vt:lpstr>DAC</vt:lpstr>
      <vt:lpstr>DAC_Util</vt:lpstr>
      <vt:lpstr>dpi_modes</vt:lpstr>
      <vt:lpstr>Dyn_Int_Scale_LVT</vt:lpstr>
      <vt:lpstr>Dyn_Int_Scale_OSVT</vt:lpstr>
      <vt:lpstr>Dyn_Int_Scale_SVT</vt:lpstr>
      <vt:lpstr>Dyn_Int_Scale_XSVT</vt:lpstr>
      <vt:lpstr>Dyn_Sw_Scale_LVT</vt:lpstr>
      <vt:lpstr>Dyn_Sw_Scale_OSVT</vt:lpstr>
      <vt:lpstr>Dyn_Sw_Scale_SVT</vt:lpstr>
      <vt:lpstr>Dyn_Sw_Scale_XSVT</vt:lpstr>
      <vt:lpstr>ecap_modes</vt:lpstr>
      <vt:lpstr>EPWM</vt:lpstr>
      <vt:lpstr>epwm_modes</vt:lpstr>
      <vt:lpstr>EPWM_Util</vt:lpstr>
      <vt:lpstr>eqep_modes</vt:lpstr>
      <vt:lpstr>espi_modes</vt:lpstr>
      <vt:lpstr>Ethernet_0</vt:lpstr>
      <vt:lpstr>ethernet_0_util</vt:lpstr>
      <vt:lpstr>Ethernet_1</vt:lpstr>
      <vt:lpstr>ethernet_1_util</vt:lpstr>
      <vt:lpstr>ethernet_modes</vt:lpstr>
      <vt:lpstr>fan_modes</vt:lpstr>
      <vt:lpstr>flash_operation_modes</vt:lpstr>
      <vt:lpstr>fsi_modes</vt:lpstr>
      <vt:lpstr>gpio_modes</vt:lpstr>
      <vt:lpstr>gpmc_modes</vt:lpstr>
      <vt:lpstr>hsm_mode</vt:lpstr>
      <vt:lpstr>hsm_util</vt:lpstr>
      <vt:lpstr>i2c_modes</vt:lpstr>
      <vt:lpstr>i2c_od_modes</vt:lpstr>
      <vt:lpstr>ICSSM_freq</vt:lpstr>
      <vt:lpstr>icssm_modes</vt:lpstr>
      <vt:lpstr>ICSSM_Util</vt:lpstr>
      <vt:lpstr>lin_modes</vt:lpstr>
      <vt:lpstr>Lkg_Scale_VDD_LVT</vt:lpstr>
      <vt:lpstr>Lkg_Scale_VDD_OSVT</vt:lpstr>
      <vt:lpstr>Lkg_Scale_VDD_SVT</vt:lpstr>
      <vt:lpstr>Lkg_Scale_VDD_XSVT</vt:lpstr>
      <vt:lpstr>Lkg_Scale_VDDAR_LVT</vt:lpstr>
      <vt:lpstr>Lkg_Scale_VDDAR_OSVT</vt:lpstr>
      <vt:lpstr>Lkg_Scale_VDDAR_SVT</vt:lpstr>
      <vt:lpstr>Lkg_Scale_VDDAR_XSVT</vt:lpstr>
      <vt:lpstr>lkg_vdd_screen_pct</vt:lpstr>
      <vt:lpstr>lkg_vddr_screen_pct</vt:lpstr>
      <vt:lpstr>lpc_modes</vt:lpstr>
      <vt:lpstr>lvds_tx_aurora_modes</vt:lpstr>
      <vt:lpstr>LVT_dyn_int_adj</vt:lpstr>
      <vt:lpstr>LVT_dyn_sw_adj</vt:lpstr>
      <vt:lpstr>LVT_lkg_adj</vt:lpstr>
      <vt:lpstr>MCAN</vt:lpstr>
      <vt:lpstr>MCAN_Util</vt:lpstr>
      <vt:lpstr>mcasp_modes</vt:lpstr>
      <vt:lpstr>MCSPI</vt:lpstr>
      <vt:lpstr>MCSPI_Util</vt:lpstr>
      <vt:lpstr>mcu_mode_0</vt:lpstr>
      <vt:lpstr>mcu_mode_1</vt:lpstr>
      <vt:lpstr>mcu_util_0</vt:lpstr>
      <vt:lpstr>mcu_util_1</vt:lpstr>
      <vt:lpstr>MDB</vt:lpstr>
      <vt:lpstr>mdb_cols</vt:lpstr>
      <vt:lpstr>mdb_rows</vt:lpstr>
      <vt:lpstr>on_off_modes</vt:lpstr>
      <vt:lpstr>OSPI</vt:lpstr>
      <vt:lpstr>ospi_modes</vt:lpstr>
      <vt:lpstr>Ospi_util</vt:lpstr>
      <vt:lpstr>OSVT_dyn_int_adj</vt:lpstr>
      <vt:lpstr>OSVT_dyn_sw_adj</vt:lpstr>
      <vt:lpstr>OSVT_lkg_adj</vt:lpstr>
      <vt:lpstr>peci_modes</vt:lpstr>
      <vt:lpstr>pll_modes</vt:lpstr>
      <vt:lpstr>process_corner</vt:lpstr>
      <vt:lpstr>Process_Options</vt:lpstr>
      <vt:lpstr>qspi_modes</vt:lpstr>
      <vt:lpstr>qspi_util</vt:lpstr>
      <vt:lpstr>Resolver</vt:lpstr>
      <vt:lpstr>Resolver_util</vt:lpstr>
      <vt:lpstr>Scaling_Table</vt:lpstr>
      <vt:lpstr>Scaling_Table_Header</vt:lpstr>
      <vt:lpstr>sdfm_modes</vt:lpstr>
      <vt:lpstr>sdio_modes</vt:lpstr>
      <vt:lpstr>sip_mode</vt:lpstr>
      <vt:lpstr>sip_non_sip_modes</vt:lpstr>
      <vt:lpstr>spi_modes</vt:lpstr>
      <vt:lpstr>SVT_dyn_int_adj</vt:lpstr>
      <vt:lpstr>SVT_dyn_sw_adj</vt:lpstr>
      <vt:lpstr>SVT_Lkg_Adj</vt:lpstr>
      <vt:lpstr>Temperature_Tj</vt:lpstr>
      <vt:lpstr>Tj</vt:lpstr>
      <vt:lpstr>tj_choices</vt:lpstr>
      <vt:lpstr>tj_choices_SIP</vt:lpstr>
      <vt:lpstr>uart_modes</vt:lpstr>
      <vt:lpstr>usb2_modes</vt:lpstr>
      <vt:lpstr>vdd_choices</vt:lpstr>
      <vt:lpstr>VDD_CORE</vt:lpstr>
      <vt:lpstr>vdd_core_sram_voltage</vt:lpstr>
      <vt:lpstr>vdd_total</vt:lpstr>
      <vt:lpstr>vdda_total</vt:lpstr>
      <vt:lpstr>VDDAR_CORE</vt:lpstr>
      <vt:lpstr>vddar_total</vt:lpstr>
      <vt:lpstr>vddio18_total</vt:lpstr>
      <vt:lpstr>vddio33_total</vt:lpstr>
      <vt:lpstr>XSVT_dyn_int_adj</vt:lpstr>
      <vt:lpstr>XSVT_dyn_sw_adj</vt:lpstr>
      <vt:lpstr>XSVT_Lkg_Adj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Updated version of 16 FF power tool</dc:title>
  <dc:creator>Carson, Paul</dc:creator>
  <cp:lastModifiedBy>H G, Sahana</cp:lastModifiedBy>
  <cp:lastPrinted>2023-06-08T06:01:36Z</cp:lastPrinted>
  <dcterms:created xsi:type="dcterms:W3CDTF">2012-07-24T10:22:46Z</dcterms:created>
  <dcterms:modified xsi:type="dcterms:W3CDTF">2024-07-24T05:29:27Z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0x0101004EDE9EAB23E7E2468B1EB109AE21F12B</vt:lpwstr>
  </property>
</Properties>
</file>