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a0500956\TI Drive\Execel_Calculators\"/>
    </mc:Choice>
  </mc:AlternateContent>
  <xr:revisionPtr revIDLastSave="0" documentId="13_ncr:1_{A1C96255-E218-486E-B296-B45A3CC1A9CE}" xr6:coauthVersionLast="36" xr6:coauthVersionMax="36" xr10:uidLastSave="{00000000-0000-0000-0000-000000000000}"/>
  <bookViews>
    <workbookView xWindow="0" yWindow="0" windowWidth="19200" windowHeight="8150" tabRatio="677" firstSheet="2" activeTab="3" xr2:uid="{7DBE367D-FC40-44CB-8352-98A05CE874CE}"/>
  </bookViews>
  <sheets>
    <sheet name="PEC_Calc" sheetId="12" state="hidden" r:id="rId1"/>
    <sheet name="PEC=00" sheetId="11" state="hidden" r:id="rId2"/>
    <sheet name="Voltage_Threshold_Instruction" sheetId="6" r:id="rId3"/>
    <sheet name="Voltage_Threshold_Tool" sheetId="3" r:id="rId4"/>
    <sheet name="PEC_CALC_Tool" sheetId="13" r:id="rId5"/>
    <sheet name="ADC_Tool" sheetId="8" r:id="rId6"/>
    <sheet name="Seq_Time_Stap" sheetId="9" r:id="rId7"/>
    <sheet name="Threshold_Calculation" sheetId="5" state="hidden" r:id="rId8"/>
    <sheet name="Lists" sheetId="2" state="hidden" r:id="rId9"/>
  </sheets>
  <externalReferences>
    <externalReference r:id="rId10"/>
  </externalReferences>
  <definedNames>
    <definedName name="addr_nvm_i2c">Lists!$AG$3:$AG$18</definedName>
    <definedName name="addr_strap_i2c">Lists!$AG$19:$AG$26</definedName>
    <definedName name="amsk_ch_en">Lists!$AA$3:$AA$4</definedName>
    <definedName name="bank_sel">Lists!$AA$11:$AA$12</definedName>
    <definedName name="bist_at_por">Lists!$H$5:$H$6</definedName>
    <definedName name="bist_at_shdn">Lists!$H$3:$H$4</definedName>
    <definedName name="cfg_regs">Lists!$AD$7:$AD$8</definedName>
    <definedName name="chmon_regs">Lists!$AD$15:$AD$16</definedName>
    <definedName name="crc8_table_12">Lists!$AL$3:$AL$258</definedName>
    <definedName name="ctl_regs">[1]Lists!$AD$15:$AD$16</definedName>
    <definedName name="device_model_12">Lists!$B$17:$B$21</definedName>
    <definedName name="fc_lf_3db">Lists!$U$3:$U$10</definedName>
    <definedName name="flt_hf_ovdeb">Lists!$Q$3:$Q$18</definedName>
    <definedName name="flt_hf_uvdeb">Lists!$Q$19:$Q$34</definedName>
    <definedName name="ien_bist">Lists!$K$31:$K$32</definedName>
    <definedName name="ien_bist_c">Lists!$K$29:$K$30</definedName>
    <definedName name="ien_ecc_sec">Lists!$K$27:$K$28</definedName>
    <definedName name="ien_ovhf">Lists!$K$7:$K$8</definedName>
    <definedName name="ien_ovlf">Lists!$K$9:$K$10</definedName>
    <definedName name="ien_pec">Lists!$K$25:$K$26</definedName>
    <definedName name="ien_regs">Lists!$AD$9:$AD$10</definedName>
    <definedName name="ien_rt_crc">Lists!$K$19:$K$20</definedName>
    <definedName name="ien_seq_ens">Lists!$K$17:$K$18</definedName>
    <definedName name="ien_seq_exs">Lists!$K$15:$K$16</definedName>
    <definedName name="ien_seq_off">Lists!$K$13:$K$14</definedName>
    <definedName name="ien_seq_on">Lists!$K$11:$K$12</definedName>
    <definedName name="ien_sync">Lists!$K$23:$K$24</definedName>
    <definedName name="ien_tsd">Lists!$K$21:$K$22</definedName>
    <definedName name="ien_uvhf">Lists!$K$3:$K$4</definedName>
    <definedName name="ien_uvlf">Lists!$K$5:$K$6</definedName>
    <definedName name="mon_regs">Lists!$AD$11:$AD$12</definedName>
    <definedName name="rtc_regs">[1]Lists!$AD$13:$AD$14</definedName>
    <definedName name="seq_ctl_ensack">Lists!$X$17:$X$18</definedName>
    <definedName name="seq_ctl_exsack">Lists!$X$15:$X$16</definedName>
    <definedName name="seq_ctl_offack">Lists!$X$13:$X$14</definedName>
    <definedName name="seq_ctl_onack">Lists!$X$11:$X$12</definedName>
    <definedName name="seq_ctl_recstart">Lists!$X$3:$X$4</definedName>
    <definedName name="seq_ctl_seq">Lists!$X$5:$X$8</definedName>
    <definedName name="seq_ctl_tsack">Lists!$X$9:$X$10</definedName>
    <definedName name="seq_regs">Lists!$AD$13:$AD$14</definedName>
    <definedName name="seq_updn_thld">Lists!$AA$7:$AA$8</definedName>
    <definedName name="seqc_regs">[1]Lists!$AD$9:$AD$10</definedName>
    <definedName name="seqp_regs">[1]Lists!$AD$7:$AD$8</definedName>
    <definedName name="seqs_regs">[1]Lists!$AD$5:$AD$6</definedName>
    <definedName name="silicon_rev_12">Lists!$B$28:$B$31</definedName>
    <definedName name="soc_if">Lists!$AG$29:$AG$30</definedName>
    <definedName name="vendor_id_12">Lists!$B$22:$B$24</definedName>
    <definedName name="vin_ch_en">Lists!$N$3:$N$4</definedName>
    <definedName name="vin_ch_scale">Lists!$N$5:$N$6</definedName>
    <definedName name="vmon_ctrl_comp_ofsc">Lists!$B$5:$B$6</definedName>
    <definedName name="vmon_ctrl_nirq">Lists!$B$13:$B$14</definedName>
    <definedName name="vmon_ctrl_reset">Lists!$B$7:$B$8</definedName>
    <definedName name="vmon_ctrl_sleep_pwr">Lists!$B$3:$B$4</definedName>
    <definedName name="vmon_ctrl_sync">Lists!$B$11:$B$12</definedName>
    <definedName name="vmon_ctrl_sync_rst">Lists!$B$9:$B$10</definedName>
    <definedName name="vmon_misc_enpec">Lists!$E$9:$E$10</definedName>
    <definedName name="vmon_misc_enseqow">Lists!$E$5:$E$6</definedName>
    <definedName name="vmon_misc_entsow">Lists!$E$3:$E$4</definedName>
    <definedName name="vmon_misc_reqpec">Lists!$E$7:$E$8</definedName>
    <definedName name="wdt_regs">[1]Lists!$AD$11:$AD$12</definedName>
    <definedName name="wrk_regs">[1]Lists!$AD$3:$AD$4</definedName>
    <definedName name="wrkc_regs">Lists!$AD$3:$AD$4</definedName>
    <definedName name="wrks_regs">Lists!$AD$5:$AD$6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5" l="1"/>
  <c r="L20" i="5"/>
  <c r="M20" i="5"/>
  <c r="N20" i="5"/>
  <c r="O20" i="5"/>
  <c r="P20" i="5"/>
  <c r="K19" i="5"/>
  <c r="L19" i="5"/>
  <c r="M19" i="5"/>
  <c r="N19" i="5"/>
  <c r="O19" i="5"/>
  <c r="P19" i="5"/>
  <c r="F8" i="9" l="1"/>
  <c r="F22" i="9" l="1"/>
  <c r="F20" i="9"/>
  <c r="F18" i="9"/>
  <c r="F16" i="9"/>
  <c r="F14" i="9"/>
  <c r="F12" i="9"/>
  <c r="F10" i="9"/>
  <c r="L15" i="9" l="1"/>
  <c r="L16" i="9"/>
  <c r="L17" i="9"/>
  <c r="L18" i="9"/>
  <c r="L19" i="9"/>
  <c r="L20" i="9"/>
  <c r="L21" i="9"/>
  <c r="L22" i="9"/>
  <c r="L23" i="9"/>
  <c r="L7" i="9"/>
  <c r="L14" i="9"/>
  <c r="L13" i="9"/>
  <c r="L12" i="9"/>
  <c r="L11" i="9"/>
  <c r="L10" i="9"/>
  <c r="L9" i="9"/>
  <c r="L8" i="9"/>
  <c r="G11" i="8"/>
  <c r="G10" i="8"/>
  <c r="G12" i="8"/>
  <c r="G13" i="8"/>
  <c r="G14" i="8"/>
  <c r="G15" i="8"/>
  <c r="G16" i="8"/>
  <c r="G9" i="8"/>
  <c r="L8" i="8"/>
  <c r="L9" i="8"/>
  <c r="L10" i="8"/>
  <c r="L11" i="8"/>
  <c r="L12" i="8"/>
  <c r="L13" i="8"/>
  <c r="L14" i="8"/>
  <c r="L7" i="8"/>
  <c r="B5" i="12" l="1"/>
  <c r="B22" i="12" s="1"/>
  <c r="C22" i="12" s="1"/>
  <c r="B4" i="12"/>
  <c r="B11" i="12" s="1"/>
  <c r="C11" i="12" s="1"/>
  <c r="B3" i="12"/>
  <c r="B19" i="12"/>
  <c r="C19" i="12" s="1"/>
  <c r="B8" i="12"/>
  <c r="C8" i="12" s="1"/>
  <c r="B21" i="12"/>
  <c r="C21" i="12" s="1"/>
  <c r="I25" i="11"/>
  <c r="I26" i="11" s="1"/>
  <c r="H25" i="11"/>
  <c r="H26" i="11" s="1"/>
  <c r="G25" i="11"/>
  <c r="G26" i="11" s="1"/>
  <c r="F25" i="11"/>
  <c r="E25" i="11"/>
  <c r="E26" i="11" s="1"/>
  <c r="D25" i="11"/>
  <c r="D26" i="11" s="1"/>
  <c r="C25" i="11"/>
  <c r="C26" i="11" s="1"/>
  <c r="B25" i="11"/>
  <c r="F26" i="11" s="1"/>
  <c r="I11" i="11"/>
  <c r="I12" i="11" s="1"/>
  <c r="H11" i="11"/>
  <c r="H12" i="11" s="1"/>
  <c r="G11" i="11"/>
  <c r="G12" i="11" s="1"/>
  <c r="F11" i="11"/>
  <c r="E11" i="11"/>
  <c r="E12" i="11" s="1"/>
  <c r="D11" i="11"/>
  <c r="D12" i="11" s="1"/>
  <c r="C11" i="11"/>
  <c r="C12" i="11" s="1"/>
  <c r="B11" i="11"/>
  <c r="F12" i="11" s="1"/>
  <c r="E21" i="12" l="1"/>
  <c r="D21" i="12"/>
  <c r="K21" i="12"/>
  <c r="J21" i="12"/>
  <c r="I21" i="12"/>
  <c r="H21" i="12"/>
  <c r="G21" i="12"/>
  <c r="F21" i="12"/>
  <c r="E11" i="12"/>
  <c r="D11" i="12"/>
  <c r="K11" i="12"/>
  <c r="J11" i="12"/>
  <c r="I11" i="12"/>
  <c r="H11" i="12"/>
  <c r="F11" i="12"/>
  <c r="G11" i="12"/>
  <c r="K22" i="12"/>
  <c r="J22" i="12"/>
  <c r="D22" i="12"/>
  <c r="I22" i="12"/>
  <c r="H22" i="12"/>
  <c r="G22" i="12"/>
  <c r="F22" i="12"/>
  <c r="E22" i="12"/>
  <c r="I8" i="12"/>
  <c r="H8" i="12"/>
  <c r="G8" i="12"/>
  <c r="J8" i="12"/>
  <c r="F8" i="12"/>
  <c r="E8" i="12"/>
  <c r="D8" i="12"/>
  <c r="K8" i="12"/>
  <c r="I19" i="12"/>
  <c r="H19" i="12"/>
  <c r="G19" i="12"/>
  <c r="F19" i="12"/>
  <c r="E19" i="12"/>
  <c r="D19" i="12"/>
  <c r="J19" i="12"/>
  <c r="K19" i="12"/>
  <c r="B10" i="12"/>
  <c r="C10" i="12" s="1"/>
  <c r="B20" i="12"/>
  <c r="C20" i="12" s="1"/>
  <c r="B12" i="12"/>
  <c r="C12" i="12" s="1"/>
  <c r="C27" i="11"/>
  <c r="H27" i="11"/>
  <c r="G27" i="11"/>
  <c r="D13" i="11"/>
  <c r="D27" i="11"/>
  <c r="E13" i="11"/>
  <c r="E27" i="11"/>
  <c r="C13" i="11"/>
  <c r="H13" i="11"/>
  <c r="G13" i="11"/>
  <c r="B12" i="11"/>
  <c r="B26" i="11"/>
  <c r="F24" i="12" l="1"/>
  <c r="J24" i="12"/>
  <c r="I24" i="12"/>
  <c r="E24" i="12"/>
  <c r="K24" i="12"/>
  <c r="H24" i="12"/>
  <c r="D24" i="12"/>
  <c r="K12" i="12"/>
  <c r="J12" i="12"/>
  <c r="I12" i="12"/>
  <c r="H12" i="12"/>
  <c r="D12" i="12"/>
  <c r="G12" i="12"/>
  <c r="F12" i="12"/>
  <c r="E12" i="12"/>
  <c r="G24" i="12"/>
  <c r="G20" i="12"/>
  <c r="F20" i="12"/>
  <c r="E20" i="12"/>
  <c r="H20" i="12"/>
  <c r="D20" i="12"/>
  <c r="K20" i="12"/>
  <c r="J20" i="12"/>
  <c r="I20" i="12"/>
  <c r="G10" i="12"/>
  <c r="F10" i="12"/>
  <c r="H10" i="12"/>
  <c r="E10" i="12"/>
  <c r="D10" i="12"/>
  <c r="K10" i="12"/>
  <c r="J10" i="12"/>
  <c r="I10" i="12"/>
  <c r="F27" i="11"/>
  <c r="D28" i="11" s="1"/>
  <c r="B27" i="11"/>
  <c r="I27" i="11"/>
  <c r="H28" i="11" s="1"/>
  <c r="E28" i="11"/>
  <c r="F13" i="11"/>
  <c r="B13" i="11"/>
  <c r="I13" i="11"/>
  <c r="C28" i="11"/>
  <c r="G14" i="12" l="1"/>
  <c r="F25" i="12"/>
  <c r="K25" i="12"/>
  <c r="H25" i="12"/>
  <c r="D25" i="12"/>
  <c r="K14" i="12"/>
  <c r="D14" i="12"/>
  <c r="H14" i="12"/>
  <c r="J25" i="12"/>
  <c r="I25" i="12"/>
  <c r="E25" i="12"/>
  <c r="J14" i="12"/>
  <c r="I14" i="12"/>
  <c r="E14" i="12"/>
  <c r="G25" i="12"/>
  <c r="F14" i="12"/>
  <c r="F28" i="11"/>
  <c r="B28" i="11"/>
  <c r="I28" i="11"/>
  <c r="G28" i="11"/>
  <c r="F15" i="12" l="1"/>
  <c r="D26" i="12"/>
  <c r="E26" i="12"/>
  <c r="G15" i="12"/>
  <c r="J15" i="12"/>
  <c r="I15" i="12"/>
  <c r="K15" i="12"/>
  <c r="H15" i="12"/>
  <c r="F26" i="12"/>
  <c r="G26" i="12"/>
  <c r="J26" i="12"/>
  <c r="K26" i="12"/>
  <c r="I26" i="12"/>
  <c r="D15" i="12"/>
  <c r="H26" i="12"/>
  <c r="E15" i="12"/>
  <c r="D16" i="12" l="1"/>
  <c r="F16" i="12"/>
  <c r="E27" i="12"/>
  <c r="D27" i="12"/>
  <c r="F27" i="12"/>
  <c r="K16" i="12"/>
  <c r="J16" i="12"/>
  <c r="I16" i="12"/>
  <c r="G16" i="12"/>
  <c r="G27" i="12"/>
  <c r="H16" i="12"/>
  <c r="E16" i="12"/>
  <c r="J27" i="12"/>
  <c r="I27" i="12"/>
  <c r="K27" i="12"/>
  <c r="H27" i="12"/>
  <c r="E2" i="12" l="1"/>
  <c r="D15" i="13" s="1"/>
  <c r="E3" i="12"/>
  <c r="D16" i="13" s="1"/>
  <c r="H3" i="5"/>
  <c r="I3" i="5"/>
  <c r="Q35" i="5" s="1"/>
  <c r="J3" i="5"/>
  <c r="P35" i="5" s="1"/>
  <c r="X35" i="5" s="1"/>
  <c r="K3" i="5"/>
  <c r="O35" i="5" s="1"/>
  <c r="W35" i="5" s="1"/>
  <c r="L3" i="5"/>
  <c r="N35" i="5" s="1"/>
  <c r="V35" i="5" s="1"/>
  <c r="M3" i="5"/>
  <c r="M35" i="5" s="1"/>
  <c r="U35" i="5" s="1"/>
  <c r="N3" i="5"/>
  <c r="L35" i="5" s="1"/>
  <c r="T35" i="5" s="1"/>
  <c r="O3" i="5"/>
  <c r="K35" i="5" s="1"/>
  <c r="S35" i="5" s="1"/>
  <c r="P3" i="5"/>
  <c r="J35" i="5" s="1"/>
  <c r="R35" i="5" s="1"/>
  <c r="G36" i="5"/>
  <c r="G38" i="5"/>
  <c r="G39" i="5"/>
  <c r="G40" i="5"/>
  <c r="G41" i="5"/>
  <c r="G44" i="5"/>
  <c r="G45" i="5"/>
  <c r="G46" i="5"/>
  <c r="G47" i="5"/>
  <c r="G50" i="5"/>
  <c r="G51" i="5"/>
  <c r="G52" i="5"/>
  <c r="G53" i="5"/>
  <c r="J18" i="3" l="1"/>
  <c r="K18" i="3"/>
  <c r="M18" i="3"/>
  <c r="I18" i="3"/>
  <c r="L18" i="3"/>
  <c r="H18" i="3"/>
  <c r="Y35" i="5"/>
  <c r="Z35" i="5" s="1"/>
  <c r="O18" i="3" s="1"/>
  <c r="N18" i="3"/>
  <c r="O31" i="5"/>
  <c r="G18" i="3"/>
  <c r="H73" i="3" l="1"/>
  <c r="I73" i="3"/>
  <c r="J73" i="3"/>
  <c r="K73" i="3"/>
  <c r="L73" i="3"/>
  <c r="M73" i="3"/>
  <c r="N73" i="3"/>
  <c r="G73" i="3"/>
  <c r="H65" i="3"/>
  <c r="I65" i="3"/>
  <c r="J65" i="3"/>
  <c r="K65" i="3"/>
  <c r="L65" i="3"/>
  <c r="M65" i="3"/>
  <c r="N65" i="3"/>
  <c r="G65" i="3"/>
  <c r="J6" i="5" l="1"/>
  <c r="K6" i="5"/>
  <c r="L6" i="5"/>
  <c r="M6" i="5"/>
  <c r="N6" i="5"/>
  <c r="O6" i="5"/>
  <c r="P6" i="5"/>
  <c r="I6" i="5"/>
  <c r="I5" i="5" l="1"/>
  <c r="I4" i="5"/>
  <c r="G83" i="5"/>
  <c r="G82" i="5"/>
  <c r="G81" i="5"/>
  <c r="G80" i="5"/>
  <c r="G77" i="5"/>
  <c r="G76" i="5"/>
  <c r="G75" i="5"/>
  <c r="G74" i="5"/>
  <c r="G71" i="5"/>
  <c r="G70" i="5"/>
  <c r="G69" i="5"/>
  <c r="G68" i="5"/>
  <c r="G65" i="5"/>
  <c r="G64" i="5"/>
  <c r="G63" i="5"/>
  <c r="G62" i="5"/>
  <c r="G59" i="5"/>
  <c r="G58" i="5"/>
  <c r="G57" i="5"/>
  <c r="G56" i="5"/>
  <c r="I9" i="5" l="1"/>
  <c r="I10" i="5" s="1"/>
  <c r="I17" i="5" s="1"/>
  <c r="I13" i="5"/>
  <c r="I12" i="5" s="1"/>
  <c r="I19" i="5" s="1"/>
  <c r="AD20" i="5"/>
  <c r="AD21" i="5"/>
  <c r="J5" i="5"/>
  <c r="K5" i="5"/>
  <c r="L5" i="5"/>
  <c r="M5" i="5"/>
  <c r="N5" i="5"/>
  <c r="O5" i="5"/>
  <c r="P5" i="5"/>
  <c r="J4" i="5"/>
  <c r="K4" i="5"/>
  <c r="L4" i="5"/>
  <c r="M4" i="5"/>
  <c r="N4" i="5"/>
  <c r="O4" i="5"/>
  <c r="P4" i="5"/>
  <c r="I8" i="5" l="1"/>
  <c r="I16" i="5" s="1"/>
  <c r="L9" i="5"/>
  <c r="L10" i="5" s="1"/>
  <c r="L17" i="5" s="1"/>
  <c r="L13" i="5"/>
  <c r="L12" i="5" s="1"/>
  <c r="K9" i="5"/>
  <c r="K10" i="5" s="1"/>
  <c r="K17" i="5" s="1"/>
  <c r="K13" i="5"/>
  <c r="K12" i="5" s="1"/>
  <c r="J9" i="5"/>
  <c r="J10" i="5" s="1"/>
  <c r="J17" i="5" s="1"/>
  <c r="J13" i="5"/>
  <c r="J12" i="5" s="1"/>
  <c r="J19" i="5" s="1"/>
  <c r="M9" i="5"/>
  <c r="M10" i="5" s="1"/>
  <c r="M17" i="5" s="1"/>
  <c r="M13" i="5"/>
  <c r="M12" i="5" s="1"/>
  <c r="P9" i="5"/>
  <c r="P10" i="5" s="1"/>
  <c r="P17" i="5" s="1"/>
  <c r="P13" i="5"/>
  <c r="P12" i="5" s="1"/>
  <c r="O9" i="5"/>
  <c r="O10" i="5" s="1"/>
  <c r="O17" i="5" s="1"/>
  <c r="O13" i="5"/>
  <c r="O12" i="5" s="1"/>
  <c r="I14" i="5"/>
  <c r="I20" i="5" s="1"/>
  <c r="N9" i="5"/>
  <c r="N10" i="5" s="1"/>
  <c r="N17" i="5" s="1"/>
  <c r="N13" i="5"/>
  <c r="N12" i="5" s="1"/>
  <c r="K8" i="5" l="1"/>
  <c r="K16" i="5" s="1"/>
  <c r="L8" i="5"/>
  <c r="L23" i="5" s="1"/>
  <c r="N36" i="5" s="1"/>
  <c r="I23" i="5"/>
  <c r="Q36" i="5" s="1"/>
  <c r="J8" i="5"/>
  <c r="O8" i="5"/>
  <c r="M8" i="5"/>
  <c r="N8" i="5"/>
  <c r="M14" i="5"/>
  <c r="J14" i="5"/>
  <c r="J20" i="5" s="1"/>
  <c r="N14" i="5"/>
  <c r="P8" i="5"/>
  <c r="O14" i="5"/>
  <c r="K14" i="5"/>
  <c r="P14" i="5"/>
  <c r="L14" i="5"/>
  <c r="V36" i="5" l="1"/>
  <c r="K19" i="3"/>
  <c r="N19" i="3"/>
  <c r="K23" i="5"/>
  <c r="O36" i="5" s="1"/>
  <c r="L16" i="5"/>
  <c r="P16" i="5"/>
  <c r="P23" i="5"/>
  <c r="J36" i="5" s="1"/>
  <c r="O16" i="5"/>
  <c r="O23" i="5"/>
  <c r="K36" i="5" s="1"/>
  <c r="N16" i="5"/>
  <c r="N23" i="5"/>
  <c r="L36" i="5" s="1"/>
  <c r="M16" i="5"/>
  <c r="M23" i="5"/>
  <c r="M36" i="5" s="1"/>
  <c r="J16" i="5"/>
  <c r="J23" i="5"/>
  <c r="P36" i="5" s="1"/>
  <c r="I24" i="5" a="1"/>
  <c r="I24" i="5" s="1"/>
  <c r="R36" i="5" l="1"/>
  <c r="G19" i="3"/>
  <c r="W36" i="5"/>
  <c r="L19" i="3"/>
  <c r="S36" i="5"/>
  <c r="H19" i="3"/>
  <c r="Y36" i="5"/>
  <c r="M26" i="5" a="1"/>
  <c r="M26" i="5" s="1"/>
  <c r="J65" i="5" s="1"/>
  <c r="G63" i="3"/>
  <c r="J39" i="5"/>
  <c r="G22" i="3" s="1"/>
  <c r="O25" i="5" a="1"/>
  <c r="O25" i="5" s="1"/>
  <c r="J74" i="5" s="1"/>
  <c r="O24" i="5" a="1"/>
  <c r="O24" i="5" s="1"/>
  <c r="J75" i="5" s="1"/>
  <c r="O27" i="5" a="1"/>
  <c r="O27" i="5" s="1"/>
  <c r="J76" i="5" s="1"/>
  <c r="O26" i="5" a="1"/>
  <c r="O26" i="5" s="1"/>
  <c r="M71" i="3" s="1"/>
  <c r="M72" i="3" s="1"/>
  <c r="N26" i="5" a="1"/>
  <c r="N26" i="5" s="1"/>
  <c r="N25" i="5" a="1"/>
  <c r="N25" i="5" s="1"/>
  <c r="M24" i="5" a="1"/>
  <c r="M24" i="5" s="1"/>
  <c r="M25" i="5" a="1"/>
  <c r="M25" i="5" s="1"/>
  <c r="L24" i="5" a="1"/>
  <c r="L24" i="5" s="1"/>
  <c r="L25" i="5" a="1"/>
  <c r="L25" i="5" s="1"/>
  <c r="P24" i="5" a="1"/>
  <c r="P24" i="5" s="1"/>
  <c r="K27" i="5" a="1"/>
  <c r="K27" i="5" s="1"/>
  <c r="J52" i="5" s="1"/>
  <c r="G33" i="3" s="1"/>
  <c r="J27" i="5" a="1"/>
  <c r="J27" i="5" s="1"/>
  <c r="J46" i="5" s="1"/>
  <c r="J25" i="5" a="1"/>
  <c r="J25" i="5" s="1"/>
  <c r="J44" i="5" s="1"/>
  <c r="K24" i="5" a="1"/>
  <c r="K24" i="5" s="1"/>
  <c r="J51" i="5" s="1"/>
  <c r="G32" i="3" s="1"/>
  <c r="K25" i="5" a="1"/>
  <c r="K25" i="5" s="1"/>
  <c r="J50" i="5" s="1"/>
  <c r="G31" i="3" s="1"/>
  <c r="K26" i="5" a="1"/>
  <c r="K26" i="5" s="1"/>
  <c r="J53" i="5" s="1"/>
  <c r="G34" i="3" s="1"/>
  <c r="N24" i="5" a="1"/>
  <c r="N24" i="5" s="1"/>
  <c r="P25" i="5" a="1"/>
  <c r="P25" i="5" s="1"/>
  <c r="N27" i="5" a="1"/>
  <c r="N27" i="5" s="1"/>
  <c r="M27" i="5" a="1"/>
  <c r="M27" i="5" s="1"/>
  <c r="J24" i="5" a="1"/>
  <c r="J24" i="5" s="1"/>
  <c r="J45" i="5" s="1"/>
  <c r="J26" i="5" a="1"/>
  <c r="J26" i="5" s="1"/>
  <c r="J47" i="5" s="1"/>
  <c r="I27" i="5" a="1"/>
  <c r="I27" i="5" s="1"/>
  <c r="P27" i="5" a="1"/>
  <c r="P27" i="5" s="1"/>
  <c r="P26" i="5" a="1"/>
  <c r="P26" i="5" s="1"/>
  <c r="L27" i="5" a="1"/>
  <c r="L27" i="5" s="1"/>
  <c r="L26" i="5" a="1"/>
  <c r="L26" i="5" s="1"/>
  <c r="I25" i="5" a="1"/>
  <c r="I25" i="5" s="1"/>
  <c r="I26" i="5" a="1"/>
  <c r="I26" i="5" s="1"/>
  <c r="Q34" i="2"/>
  <c r="Q33" i="2"/>
  <c r="Q32" i="2"/>
  <c r="Q31" i="2"/>
  <c r="Q30" i="2"/>
  <c r="Q29" i="2"/>
  <c r="Q28" i="2"/>
  <c r="Q27" i="2"/>
  <c r="Q26" i="2"/>
  <c r="Q25" i="2"/>
  <c r="Q24" i="2"/>
  <c r="Q23" i="2"/>
  <c r="Q22" i="2"/>
  <c r="Q21" i="2"/>
  <c r="Q20" i="2"/>
  <c r="Q19" i="2"/>
  <c r="Q4" i="2"/>
  <c r="Q5" i="2"/>
  <c r="Q6" i="2"/>
  <c r="Q7" i="2"/>
  <c r="Q8" i="2"/>
  <c r="Q9" i="2"/>
  <c r="Q10" i="2"/>
  <c r="Q11" i="2"/>
  <c r="Q12" i="2"/>
  <c r="Q13" i="2"/>
  <c r="Q14" i="2"/>
  <c r="Q15" i="2"/>
  <c r="Q16" i="2"/>
  <c r="Q17" i="2"/>
  <c r="Q18" i="2"/>
  <c r="Q3" i="2"/>
  <c r="T36" i="5" l="1"/>
  <c r="I19" i="3"/>
  <c r="U36" i="5"/>
  <c r="Y65" i="5" s="1"/>
  <c r="J19" i="3"/>
  <c r="X36" i="5"/>
  <c r="V46" i="5" s="1"/>
  <c r="M19" i="3"/>
  <c r="G75" i="3"/>
  <c r="G74" i="3" s="1"/>
  <c r="J40" i="5"/>
  <c r="G23" i="3" s="1"/>
  <c r="X52" i="5"/>
  <c r="V52" i="5"/>
  <c r="S52" i="5"/>
  <c r="R52" i="5"/>
  <c r="T52" i="5"/>
  <c r="U52" i="5"/>
  <c r="Y52" i="5"/>
  <c r="W52" i="5"/>
  <c r="K71" i="3"/>
  <c r="K72" i="3" s="1"/>
  <c r="U39" i="5"/>
  <c r="X39" i="5"/>
  <c r="V39" i="5"/>
  <c r="Y39" i="5"/>
  <c r="R39" i="5"/>
  <c r="T39" i="5"/>
  <c r="W39" i="5"/>
  <c r="S39" i="5"/>
  <c r="T53" i="5"/>
  <c r="S53" i="5"/>
  <c r="U53" i="5"/>
  <c r="W53" i="5"/>
  <c r="Y53" i="5"/>
  <c r="V53" i="5"/>
  <c r="R53" i="5"/>
  <c r="X53" i="5"/>
  <c r="U50" i="5"/>
  <c r="T50" i="5"/>
  <c r="V50" i="5"/>
  <c r="R50" i="5"/>
  <c r="S50" i="5"/>
  <c r="X50" i="5"/>
  <c r="Y50" i="5"/>
  <c r="W50" i="5"/>
  <c r="R51" i="5"/>
  <c r="Y51" i="5"/>
  <c r="V51" i="5"/>
  <c r="S51" i="5"/>
  <c r="U51" i="5"/>
  <c r="T51" i="5"/>
  <c r="W51" i="5"/>
  <c r="X51" i="5"/>
  <c r="G71" i="3"/>
  <c r="G72" i="3" s="1"/>
  <c r="J41" i="5"/>
  <c r="G24" i="3" s="1"/>
  <c r="G67" i="3"/>
  <c r="J38" i="5"/>
  <c r="G21" i="3" s="1"/>
  <c r="R76" i="5"/>
  <c r="T76" i="5"/>
  <c r="V76" i="5"/>
  <c r="X76" i="5"/>
  <c r="S76" i="5"/>
  <c r="U76" i="5"/>
  <c r="W76" i="5"/>
  <c r="Y76" i="5"/>
  <c r="G52" i="3"/>
  <c r="R75" i="5"/>
  <c r="T75" i="5"/>
  <c r="V75" i="5"/>
  <c r="X75" i="5"/>
  <c r="S75" i="5"/>
  <c r="U75" i="5"/>
  <c r="W75" i="5"/>
  <c r="Y75" i="5"/>
  <c r="G51" i="3"/>
  <c r="W74" i="5"/>
  <c r="S74" i="5"/>
  <c r="R74" i="5"/>
  <c r="T74" i="5"/>
  <c r="V74" i="5"/>
  <c r="X74" i="5"/>
  <c r="Y74" i="5"/>
  <c r="U74" i="5"/>
  <c r="G44" i="3"/>
  <c r="M63" i="3"/>
  <c r="M64" i="3" s="1"/>
  <c r="M67" i="3"/>
  <c r="M66" i="3" s="1"/>
  <c r="G53" i="3"/>
  <c r="J77" i="5"/>
  <c r="M75" i="3"/>
  <c r="M74" i="3" s="1"/>
  <c r="J82" i="5"/>
  <c r="N75" i="3"/>
  <c r="N74" i="3" s="1"/>
  <c r="J83" i="5"/>
  <c r="S83" i="5" s="1"/>
  <c r="N71" i="3"/>
  <c r="N72" i="3" s="1"/>
  <c r="L71" i="3"/>
  <c r="L72" i="3" s="1"/>
  <c r="J71" i="5"/>
  <c r="G49" i="3" s="1"/>
  <c r="J70" i="5"/>
  <c r="G48" i="3" s="1"/>
  <c r="L75" i="3"/>
  <c r="L74" i="3" s="1"/>
  <c r="J64" i="5"/>
  <c r="K75" i="3"/>
  <c r="K74" i="3" s="1"/>
  <c r="J59" i="5"/>
  <c r="J71" i="3"/>
  <c r="J72" i="3" s="1"/>
  <c r="J58" i="5"/>
  <c r="J75" i="3"/>
  <c r="J74" i="3" s="1"/>
  <c r="I75" i="3"/>
  <c r="I74" i="3" s="1"/>
  <c r="I71" i="3"/>
  <c r="I72" i="3" s="1"/>
  <c r="H75" i="3"/>
  <c r="H74" i="3" s="1"/>
  <c r="H71" i="3"/>
  <c r="H72" i="3" s="1"/>
  <c r="J80" i="5"/>
  <c r="R80" i="5" s="1"/>
  <c r="N67" i="3"/>
  <c r="N66" i="3" s="1"/>
  <c r="I67" i="3"/>
  <c r="I66" i="3" s="1"/>
  <c r="J81" i="5"/>
  <c r="N63" i="3"/>
  <c r="N64" i="3" s="1"/>
  <c r="J68" i="5"/>
  <c r="G46" i="3" s="1"/>
  <c r="L67" i="3"/>
  <c r="L66" i="3" s="1"/>
  <c r="H63" i="3"/>
  <c r="H64" i="3" s="1"/>
  <c r="I63" i="3"/>
  <c r="I64" i="3" s="1"/>
  <c r="J56" i="5"/>
  <c r="J67" i="3"/>
  <c r="J66" i="3" s="1"/>
  <c r="J69" i="5"/>
  <c r="G47" i="3" s="1"/>
  <c r="L63" i="3"/>
  <c r="L64" i="3" s="1"/>
  <c r="J57" i="5"/>
  <c r="J63" i="3"/>
  <c r="J64" i="3" s="1"/>
  <c r="J63" i="5"/>
  <c r="K63" i="3"/>
  <c r="K64" i="3" s="1"/>
  <c r="H67" i="3"/>
  <c r="H66" i="3" s="1"/>
  <c r="J62" i="5"/>
  <c r="K67" i="3"/>
  <c r="K66" i="3" s="1"/>
  <c r="AD19" i="5"/>
  <c r="AD18" i="5"/>
  <c r="AD17" i="5"/>
  <c r="AD13" i="5"/>
  <c r="AD16" i="5"/>
  <c r="AD25" i="5"/>
  <c r="AD24" i="5"/>
  <c r="AD23" i="5"/>
  <c r="AD22" i="5"/>
  <c r="K32" i="2"/>
  <c r="K31" i="2"/>
  <c r="K30" i="2"/>
  <c r="K29" i="2"/>
  <c r="K28" i="2"/>
  <c r="K27" i="2"/>
  <c r="K26" i="2"/>
  <c r="K25" i="2"/>
  <c r="K24" i="2"/>
  <c r="K23" i="2"/>
  <c r="K22" i="2"/>
  <c r="K21" i="2"/>
  <c r="K20" i="2"/>
  <c r="K19" i="2"/>
  <c r="V47" i="5" l="1"/>
  <c r="X45" i="5"/>
  <c r="V44" i="5"/>
  <c r="T44" i="5"/>
  <c r="W46" i="5"/>
  <c r="S44" i="5"/>
  <c r="Z36" i="5"/>
  <c r="O19" i="3" s="1"/>
  <c r="U46" i="5"/>
  <c r="Y45" i="5"/>
  <c r="X47" i="5"/>
  <c r="T46" i="5"/>
  <c r="R45" i="5"/>
  <c r="Y47" i="5"/>
  <c r="X44" i="5"/>
  <c r="U45" i="5"/>
  <c r="T47" i="5"/>
  <c r="S46" i="5"/>
  <c r="Y44" i="5"/>
  <c r="T45" i="5"/>
  <c r="U47" i="5"/>
  <c r="R46" i="5"/>
  <c r="U44" i="5"/>
  <c r="V45" i="5"/>
  <c r="S47" i="5"/>
  <c r="Y46" i="5"/>
  <c r="W44" i="5"/>
  <c r="W45" i="5"/>
  <c r="W47" i="5"/>
  <c r="X46" i="5"/>
  <c r="R44" i="5"/>
  <c r="S45" i="5"/>
  <c r="R47" i="5"/>
  <c r="Z53" i="5"/>
  <c r="O34" i="3" s="1"/>
  <c r="Z52" i="5"/>
  <c r="O33" i="3" s="1"/>
  <c r="Z39" i="5"/>
  <c r="T41" i="5"/>
  <c r="S41" i="5"/>
  <c r="X41" i="5"/>
  <c r="R41" i="5"/>
  <c r="V41" i="5"/>
  <c r="U41" i="5"/>
  <c r="Y41" i="5"/>
  <c r="W41" i="5"/>
  <c r="Z51" i="5"/>
  <c r="O32" i="3" s="1"/>
  <c r="Z50" i="5"/>
  <c r="O31" i="3" s="1"/>
  <c r="U40" i="5"/>
  <c r="Y40" i="5"/>
  <c r="T40" i="5"/>
  <c r="W40" i="5"/>
  <c r="V40" i="5"/>
  <c r="X40" i="5"/>
  <c r="S40" i="5"/>
  <c r="R40" i="5"/>
  <c r="X38" i="5"/>
  <c r="S38" i="5"/>
  <c r="T38" i="5"/>
  <c r="R38" i="5"/>
  <c r="V38" i="5"/>
  <c r="Y38" i="5"/>
  <c r="W38" i="5"/>
  <c r="U38" i="5"/>
  <c r="G64" i="3"/>
  <c r="G27" i="3"/>
  <c r="G29" i="3"/>
  <c r="G26" i="3"/>
  <c r="G28" i="3"/>
  <c r="G56" i="3"/>
  <c r="X80" i="5"/>
  <c r="V80" i="5"/>
  <c r="T80" i="5"/>
  <c r="S80" i="5"/>
  <c r="U80" i="5"/>
  <c r="W80" i="5"/>
  <c r="Y80" i="5"/>
  <c r="G57" i="3"/>
  <c r="T81" i="5"/>
  <c r="V81" i="5"/>
  <c r="X81" i="5"/>
  <c r="R81" i="5"/>
  <c r="S81" i="5"/>
  <c r="U81" i="5"/>
  <c r="W81" i="5"/>
  <c r="Y81" i="5"/>
  <c r="G59" i="3"/>
  <c r="R83" i="5"/>
  <c r="T83" i="5"/>
  <c r="X83" i="5"/>
  <c r="V83" i="5"/>
  <c r="U83" i="5"/>
  <c r="W83" i="5"/>
  <c r="Y83" i="5"/>
  <c r="G58" i="3"/>
  <c r="R82" i="5"/>
  <c r="T82" i="5"/>
  <c r="V82" i="5"/>
  <c r="X82" i="5"/>
  <c r="S82" i="5"/>
  <c r="U82" i="5"/>
  <c r="W82" i="5"/>
  <c r="Y82" i="5"/>
  <c r="R77" i="5"/>
  <c r="T77" i="5"/>
  <c r="V77" i="5"/>
  <c r="X77" i="5"/>
  <c r="S77" i="5"/>
  <c r="U77" i="5"/>
  <c r="W77" i="5"/>
  <c r="Y77" i="5"/>
  <c r="U70" i="5"/>
  <c r="Y70" i="5"/>
  <c r="X70" i="5"/>
  <c r="W70" i="5"/>
  <c r="S70" i="5"/>
  <c r="T70" i="5"/>
  <c r="V70" i="5"/>
  <c r="R70" i="5"/>
  <c r="Y71" i="5"/>
  <c r="V71" i="5"/>
  <c r="T71" i="5"/>
  <c r="R71" i="5"/>
  <c r="W71" i="5"/>
  <c r="S71" i="5"/>
  <c r="X71" i="5"/>
  <c r="U71" i="5"/>
  <c r="W69" i="5"/>
  <c r="U69" i="5"/>
  <c r="S69" i="5"/>
  <c r="V69" i="5"/>
  <c r="T69" i="5"/>
  <c r="R69" i="5"/>
  <c r="X69" i="5"/>
  <c r="Y69" i="5"/>
  <c r="X68" i="5"/>
  <c r="W68" i="5"/>
  <c r="U68" i="5"/>
  <c r="S68" i="5"/>
  <c r="Y68" i="5"/>
  <c r="V68" i="5"/>
  <c r="T68" i="5"/>
  <c r="R68" i="5"/>
  <c r="S65" i="5"/>
  <c r="W65" i="5"/>
  <c r="U65" i="5"/>
  <c r="X65" i="5"/>
  <c r="G42" i="3"/>
  <c r="R63" i="5"/>
  <c r="S63" i="5"/>
  <c r="W63" i="5"/>
  <c r="Y63" i="5"/>
  <c r="U63" i="5"/>
  <c r="T63" i="5"/>
  <c r="V63" i="5"/>
  <c r="X63" i="5"/>
  <c r="V65" i="5"/>
  <c r="G41" i="3"/>
  <c r="R62" i="5"/>
  <c r="T62" i="5"/>
  <c r="V62" i="5"/>
  <c r="X62" i="5"/>
  <c r="S62" i="5"/>
  <c r="U62" i="5"/>
  <c r="W62" i="5"/>
  <c r="Y62" i="5"/>
  <c r="T65" i="5"/>
  <c r="G43" i="3"/>
  <c r="T64" i="5"/>
  <c r="U64" i="5"/>
  <c r="W64" i="5"/>
  <c r="X64" i="5"/>
  <c r="S64" i="5"/>
  <c r="Y64" i="5"/>
  <c r="R64" i="5"/>
  <c r="V64" i="5"/>
  <c r="R65" i="5"/>
  <c r="G36" i="3"/>
  <c r="R56" i="5"/>
  <c r="T56" i="5"/>
  <c r="V56" i="5"/>
  <c r="X56" i="5"/>
  <c r="S56" i="5"/>
  <c r="U56" i="5"/>
  <c r="W56" i="5"/>
  <c r="Y56" i="5"/>
  <c r="G39" i="3"/>
  <c r="R59" i="5"/>
  <c r="T59" i="5"/>
  <c r="V59" i="5"/>
  <c r="X59" i="5"/>
  <c r="S59" i="5"/>
  <c r="U59" i="5"/>
  <c r="W59" i="5"/>
  <c r="Y59" i="5"/>
  <c r="G37" i="3"/>
  <c r="W57" i="5"/>
  <c r="S57" i="5"/>
  <c r="U57" i="5"/>
  <c r="Y57" i="5"/>
  <c r="R57" i="5"/>
  <c r="T57" i="5"/>
  <c r="V57" i="5"/>
  <c r="X57" i="5"/>
  <c r="G38" i="3"/>
  <c r="R58" i="5"/>
  <c r="T58" i="5"/>
  <c r="V58" i="5"/>
  <c r="X58" i="5"/>
  <c r="S58" i="5"/>
  <c r="W58" i="5"/>
  <c r="U58" i="5"/>
  <c r="Y58" i="5"/>
  <c r="Z76" i="5"/>
  <c r="O53" i="3" s="1"/>
  <c r="Z74" i="5"/>
  <c r="O51" i="3" s="1"/>
  <c r="G54" i="3"/>
  <c r="G66" i="3"/>
  <c r="Z75" i="5"/>
  <c r="O52" i="3" s="1"/>
  <c r="K18" i="2"/>
  <c r="K17" i="2"/>
  <c r="K16" i="2"/>
  <c r="K15" i="2"/>
  <c r="K14" i="2"/>
  <c r="K13" i="2"/>
  <c r="K12" i="2"/>
  <c r="K11" i="2"/>
  <c r="K10" i="2"/>
  <c r="K9" i="2"/>
  <c r="K8" i="2"/>
  <c r="K7" i="2"/>
  <c r="K6" i="2"/>
  <c r="K5" i="2"/>
  <c r="K4" i="2"/>
  <c r="K3" i="2"/>
  <c r="Z45" i="5" l="1"/>
  <c r="O27" i="3" s="1"/>
  <c r="Z44" i="5"/>
  <c r="O26" i="3" s="1"/>
  <c r="Z47" i="5"/>
  <c r="O29" i="3" s="1"/>
  <c r="Z46" i="5"/>
  <c r="O28" i="3" s="1"/>
  <c r="Z40" i="5"/>
  <c r="O23" i="3" s="1"/>
  <c r="Z38" i="5"/>
  <c r="O21" i="3" s="1"/>
  <c r="Z41" i="5"/>
  <c r="O24" i="3" s="1"/>
  <c r="Z65" i="5"/>
  <c r="O44" i="3" s="1"/>
  <c r="Z77" i="5"/>
  <c r="O54" i="3" s="1"/>
  <c r="Z80" i="5"/>
  <c r="O56" i="3" s="1"/>
  <c r="Z82" i="5"/>
  <c r="O58" i="3" s="1"/>
  <c r="Z57" i="5"/>
  <c r="O37" i="3" s="1"/>
  <c r="Z63" i="5"/>
  <c r="O42" i="3" s="1"/>
  <c r="Z64" i="5"/>
  <c r="O43" i="3" s="1"/>
  <c r="Z83" i="5"/>
  <c r="O59" i="3" s="1"/>
  <c r="Z58" i="5"/>
  <c r="O38" i="3" s="1"/>
  <c r="Z81" i="5"/>
  <c r="O57" i="3" s="1"/>
  <c r="Z71" i="5"/>
  <c r="O49" i="3" s="1"/>
  <c r="Z62" i="5"/>
  <c r="O41" i="3" s="1"/>
  <c r="Z56" i="5"/>
  <c r="O36" i="3" s="1"/>
  <c r="Z59" i="5"/>
  <c r="O39" i="3" s="1"/>
  <c r="Z69" i="5"/>
  <c r="O47" i="3" s="1"/>
  <c r="Z70" i="5"/>
  <c r="O48" i="3" s="1"/>
  <c r="Z68" i="5"/>
  <c r="O46" i="3" s="1"/>
  <c r="O22" i="3"/>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L8" i="2"/>
  <c r="AL7" i="2"/>
  <c r="AL6" i="2"/>
  <c r="AL5" i="2"/>
  <c r="AL4" i="2"/>
  <c r="AL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2" authorId="0" shapeId="0" xr:uid="{12817AA5-484A-4F04-9BD9-C21AD088D582}">
      <text>
        <r>
          <rPr>
            <b/>
            <sz val="10"/>
            <color rgb="FF000000"/>
            <rFont val="Tahoma"/>
            <family val="2"/>
          </rPr>
          <t>Fill in the yellow coloured cell</t>
        </r>
        <r>
          <rPr>
            <sz val="10"/>
            <color rgb="FF000000"/>
            <rFont val="Tahoma"/>
            <family val="2"/>
          </rPr>
          <t xml:space="preserve">
</t>
        </r>
      </text>
    </comment>
    <comment ref="E2" authorId="0" shapeId="0" xr:uid="{DB235187-7F12-48F1-A299-CFE6DFEC329D}">
      <text>
        <r>
          <rPr>
            <b/>
            <sz val="10"/>
            <color rgb="FF000000"/>
            <rFont val="Tahoma"/>
            <family val="2"/>
          </rPr>
          <t>PEC data</t>
        </r>
        <r>
          <rPr>
            <sz val="10"/>
            <color rgb="FF000000"/>
            <rFont val="Tahoma"/>
            <family val="2"/>
          </rPr>
          <t xml:space="preserve">
</t>
        </r>
      </text>
    </comment>
    <comment ref="A7" authorId="0" shapeId="0" xr:uid="{07EB545F-8E9A-462C-90A8-E81C251197DA}">
      <text>
        <r>
          <rPr>
            <b/>
            <sz val="10"/>
            <color rgb="FF000000"/>
            <rFont val="Tahoma"/>
            <family val="2"/>
          </rPr>
          <t>Donot edit the table contents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7" authorId="0" shapeId="0" xr:uid="{8492C777-E7B6-41C8-859C-7A77BF23BE3B}">
      <text>
        <r>
          <rPr>
            <b/>
            <sz val="10"/>
            <color rgb="FF000000"/>
            <rFont val="Tahoma"/>
            <family val="2"/>
          </rPr>
          <t>Fill in the yellow coloured cell</t>
        </r>
        <r>
          <rPr>
            <sz val="10"/>
            <color rgb="FF000000"/>
            <rFont val="Tahoma"/>
            <family val="2"/>
          </rPr>
          <t xml:space="preserve">
</t>
        </r>
      </text>
    </comment>
    <comment ref="D15" authorId="0" shapeId="0" xr:uid="{C697B5B2-2EF1-4425-A11B-E072D66B7456}">
      <text>
        <r>
          <rPr>
            <b/>
            <sz val="10"/>
            <color rgb="FF000000"/>
            <rFont val="Tahoma"/>
            <family val="2"/>
          </rPr>
          <t>PEC data</t>
        </r>
        <r>
          <rPr>
            <sz val="10"/>
            <color rgb="FF000000"/>
            <rFont val="Tahoma"/>
            <family val="2"/>
          </rPr>
          <t xml:space="preserve">
</t>
        </r>
      </text>
    </comment>
  </commentList>
</comments>
</file>

<file path=xl/sharedStrings.xml><?xml version="1.0" encoding="utf-8"?>
<sst xmlns="http://schemas.openxmlformats.org/spreadsheetml/2006/main" count="891" uniqueCount="630">
  <si>
    <t>Address</t>
  </si>
  <si>
    <t>Name</t>
  </si>
  <si>
    <t>Bit 7</t>
  </si>
  <si>
    <t>Bit 6</t>
  </si>
  <si>
    <t>Bit 5</t>
  </si>
  <si>
    <t>Bit 4</t>
  </si>
  <si>
    <t>Bit 3</t>
  </si>
  <si>
    <t>Bit 2</t>
  </si>
  <si>
    <t>Bit 1</t>
  </si>
  <si>
    <t>Bit 0</t>
  </si>
  <si>
    <t>NIRQ normal</t>
  </si>
  <si>
    <t>REQ_PEC</t>
  </si>
  <si>
    <t>PEC not required</t>
  </si>
  <si>
    <t>PEC required</t>
  </si>
  <si>
    <t>EN_PEC</t>
  </si>
  <si>
    <t>PEC Dis</t>
  </si>
  <si>
    <t>PEC En</t>
  </si>
  <si>
    <t>Test configuration:</t>
  </si>
  <si>
    <t>AT_SHDN</t>
  </si>
  <si>
    <t>No BIST at SHDN</t>
  </si>
  <si>
    <t>BIST at SHDN</t>
  </si>
  <si>
    <t>AT_POR</t>
  </si>
  <si>
    <t>No BIST at POR</t>
  </si>
  <si>
    <t>BIST at POR</t>
  </si>
  <si>
    <t>Protection:</t>
  </si>
  <si>
    <t>Hex</t>
  </si>
  <si>
    <t>PEC</t>
  </si>
  <si>
    <t>CRC8 table:</t>
  </si>
  <si>
    <t>0x00</t>
  </si>
  <si>
    <t>0x07</t>
  </si>
  <si>
    <t>0x0E</t>
  </si>
  <si>
    <t>0x09</t>
  </si>
  <si>
    <t>0x1C</t>
  </si>
  <si>
    <t>0x1B</t>
  </si>
  <si>
    <t>0x12</t>
  </si>
  <si>
    <t>0x15</t>
  </si>
  <si>
    <t>0x38</t>
  </si>
  <si>
    <t>0x3F</t>
  </si>
  <si>
    <t>0x36</t>
  </si>
  <si>
    <t>0x31</t>
  </si>
  <si>
    <t>0x24</t>
  </si>
  <si>
    <t>0x23</t>
  </si>
  <si>
    <t>0x2A</t>
  </si>
  <si>
    <t>0x2D</t>
  </si>
  <si>
    <t>0x70</t>
  </si>
  <si>
    <t>0x77</t>
  </si>
  <si>
    <t>0x7E</t>
  </si>
  <si>
    <t>0x79</t>
  </si>
  <si>
    <t>0x6C</t>
  </si>
  <si>
    <t>0x6B</t>
  </si>
  <si>
    <t>0x62</t>
  </si>
  <si>
    <t>0x65</t>
  </si>
  <si>
    <t>0x48</t>
  </si>
  <si>
    <t>0x4F</t>
  </si>
  <si>
    <t>0x46</t>
  </si>
  <si>
    <t>0x41</t>
  </si>
  <si>
    <t>0x54</t>
  </si>
  <si>
    <t>0x53</t>
  </si>
  <si>
    <t>0x5A</t>
  </si>
  <si>
    <t>0x5D</t>
  </si>
  <si>
    <t>0xE0</t>
  </si>
  <si>
    <t>0xE7</t>
  </si>
  <si>
    <t>0xEE</t>
  </si>
  <si>
    <t>0xE9</t>
  </si>
  <si>
    <t>0xFC</t>
  </si>
  <si>
    <t>0xFB</t>
  </si>
  <si>
    <t>0xF2</t>
  </si>
  <si>
    <t>0xF5</t>
  </si>
  <si>
    <t>0xD8</t>
  </si>
  <si>
    <t>0xDF</t>
  </si>
  <si>
    <t>0xD6</t>
  </si>
  <si>
    <t>0xD1</t>
  </si>
  <si>
    <t>0xC4</t>
  </si>
  <si>
    <t>0xC3</t>
  </si>
  <si>
    <t>0xCA</t>
  </si>
  <si>
    <t>0xCD</t>
  </si>
  <si>
    <t>0x90</t>
  </si>
  <si>
    <t>0x97</t>
  </si>
  <si>
    <t>0x9E</t>
  </si>
  <si>
    <t>0x99</t>
  </si>
  <si>
    <t>0x8C</t>
  </si>
  <si>
    <t>0x8B</t>
  </si>
  <si>
    <t>0x82</t>
  </si>
  <si>
    <t>0x85</t>
  </si>
  <si>
    <t>0xA8</t>
  </si>
  <si>
    <t>0xAF</t>
  </si>
  <si>
    <t>0xA6</t>
  </si>
  <si>
    <t>0xA1</t>
  </si>
  <si>
    <t>0xB4</t>
  </si>
  <si>
    <t>0xB3</t>
  </si>
  <si>
    <t>0xBA</t>
  </si>
  <si>
    <t>0xBD</t>
  </si>
  <si>
    <t>0xC7</t>
  </si>
  <si>
    <t>0xC0</t>
  </si>
  <si>
    <t>0xC9</t>
  </si>
  <si>
    <t>0xCE</t>
  </si>
  <si>
    <t>0xDB</t>
  </si>
  <si>
    <t>0xDC</t>
  </si>
  <si>
    <t>0xD5</t>
  </si>
  <si>
    <t>0xD2</t>
  </si>
  <si>
    <t>0xFF</t>
  </si>
  <si>
    <t>0xF8</t>
  </si>
  <si>
    <t>0xF1</t>
  </si>
  <si>
    <t>0xF6</t>
  </si>
  <si>
    <t>0xE3</t>
  </si>
  <si>
    <t>0xE4</t>
  </si>
  <si>
    <t>0xED</t>
  </si>
  <si>
    <t>0xEA</t>
  </si>
  <si>
    <t>0xB7</t>
  </si>
  <si>
    <t>0xB0</t>
  </si>
  <si>
    <t>0xB9</t>
  </si>
  <si>
    <t>0xBE</t>
  </si>
  <si>
    <t>0xAB</t>
  </si>
  <si>
    <t>0xAC</t>
  </si>
  <si>
    <t>0xA5</t>
  </si>
  <si>
    <t>0xA2</t>
  </si>
  <si>
    <t>0x8F</t>
  </si>
  <si>
    <t>0x88</t>
  </si>
  <si>
    <t>0x81</t>
  </si>
  <si>
    <t>0x86</t>
  </si>
  <si>
    <t>0x93</t>
  </si>
  <si>
    <t>0x94</t>
  </si>
  <si>
    <t>0x9D</t>
  </si>
  <si>
    <t>0x9A</t>
  </si>
  <si>
    <t>0x27</t>
  </si>
  <si>
    <t>0x20</t>
  </si>
  <si>
    <t>0x29</t>
  </si>
  <si>
    <t>0x2E</t>
  </si>
  <si>
    <t>0x3B</t>
  </si>
  <si>
    <t>0x3C</t>
  </si>
  <si>
    <t>0x35</t>
  </si>
  <si>
    <t>0x32</t>
  </si>
  <si>
    <t>0x1F</t>
  </si>
  <si>
    <t>0x18</t>
  </si>
  <si>
    <t>0x11</t>
  </si>
  <si>
    <t>0x16</t>
  </si>
  <si>
    <t>0x03</t>
  </si>
  <si>
    <t>0x04</t>
  </si>
  <si>
    <t>0x0D</t>
  </si>
  <si>
    <t>0x0A</t>
  </si>
  <si>
    <t>0x57</t>
  </si>
  <si>
    <t>0x50</t>
  </si>
  <si>
    <t>0x59</t>
  </si>
  <si>
    <t>0x5E</t>
  </si>
  <si>
    <t>0x4B</t>
  </si>
  <si>
    <t>0x4C</t>
  </si>
  <si>
    <t>0x45</t>
  </si>
  <si>
    <t>0x42</t>
  </si>
  <si>
    <t>0x6F</t>
  </si>
  <si>
    <t>0x68</t>
  </si>
  <si>
    <t>0x61</t>
  </si>
  <si>
    <t>0x66</t>
  </si>
  <si>
    <t>0x73</t>
  </si>
  <si>
    <t>0x74</t>
  </si>
  <si>
    <t>0x7D</t>
  </si>
  <si>
    <t>0x7A</t>
  </si>
  <si>
    <t>0x89</t>
  </si>
  <si>
    <t>0x8E</t>
  </si>
  <si>
    <t>0x87</t>
  </si>
  <si>
    <t>0x80</t>
  </si>
  <si>
    <t>0x95</t>
  </si>
  <si>
    <t>0x92</t>
  </si>
  <si>
    <t>0x9B</t>
  </si>
  <si>
    <t>0x9C</t>
  </si>
  <si>
    <t>0xB1</t>
  </si>
  <si>
    <t>0xB6</t>
  </si>
  <si>
    <t>0xBF</t>
  </si>
  <si>
    <t>0xB8</t>
  </si>
  <si>
    <t>0xAD</t>
  </si>
  <si>
    <t>0xAA</t>
  </si>
  <si>
    <t>0xA3</t>
  </si>
  <si>
    <t>0xA4</t>
  </si>
  <si>
    <t>0xF9</t>
  </si>
  <si>
    <t>0xFE</t>
  </si>
  <si>
    <t>0xF7</t>
  </si>
  <si>
    <t>0xF0</t>
  </si>
  <si>
    <t>0xE5</t>
  </si>
  <si>
    <t>0xE2</t>
  </si>
  <si>
    <t>0xEB</t>
  </si>
  <si>
    <t>0xEC</t>
  </si>
  <si>
    <t>0xC1</t>
  </si>
  <si>
    <t>0xC6</t>
  </si>
  <si>
    <t>0xCF</t>
  </si>
  <si>
    <t>0xC8</t>
  </si>
  <si>
    <t>0xDD</t>
  </si>
  <si>
    <t>0xDA</t>
  </si>
  <si>
    <t>0xD3</t>
  </si>
  <si>
    <t>0xD4</t>
  </si>
  <si>
    <t>0x69</t>
  </si>
  <si>
    <t>0x6E</t>
  </si>
  <si>
    <t>0x67</t>
  </si>
  <si>
    <t>0x60</t>
  </si>
  <si>
    <t>0x75</t>
  </si>
  <si>
    <t>0x72</t>
  </si>
  <si>
    <t>0x7B</t>
  </si>
  <si>
    <t>0x7C</t>
  </si>
  <si>
    <t>0x51</t>
  </si>
  <si>
    <t>0x56</t>
  </si>
  <si>
    <t>0x5F</t>
  </si>
  <si>
    <t>0x58</t>
  </si>
  <si>
    <t>0x4D</t>
  </si>
  <si>
    <t>0x4A</t>
  </si>
  <si>
    <t>0x43</t>
  </si>
  <si>
    <t>0x44</t>
  </si>
  <si>
    <t>0x19</t>
  </si>
  <si>
    <t>0x1E</t>
  </si>
  <si>
    <t>0x17</t>
  </si>
  <si>
    <t>0x10</t>
  </si>
  <si>
    <t>0x05</t>
  </si>
  <si>
    <t>0x02</t>
  </si>
  <si>
    <t>0x0B</t>
  </si>
  <si>
    <t>0x0C</t>
  </si>
  <si>
    <t>0x21</t>
  </si>
  <si>
    <t>0x26</t>
  </si>
  <si>
    <t>0x2F</t>
  </si>
  <si>
    <t>0x28</t>
  </si>
  <si>
    <t>0x3D</t>
  </si>
  <si>
    <t>0x3A</t>
  </si>
  <si>
    <t>0x33</t>
  </si>
  <si>
    <t>0x34</t>
  </si>
  <si>
    <t>0x4E</t>
  </si>
  <si>
    <t>0x49</t>
  </si>
  <si>
    <t>0x40</t>
  </si>
  <si>
    <t>0x47</t>
  </si>
  <si>
    <t>0x52</t>
  </si>
  <si>
    <t>0x55</t>
  </si>
  <si>
    <t>0x5C</t>
  </si>
  <si>
    <t>0x5B</t>
  </si>
  <si>
    <t>0x76</t>
  </si>
  <si>
    <t>0x71</t>
  </si>
  <si>
    <t>0x78</t>
  </si>
  <si>
    <t>0x7F</t>
  </si>
  <si>
    <t>0x6A</t>
  </si>
  <si>
    <t>0x6D</t>
  </si>
  <si>
    <t>0x64</t>
  </si>
  <si>
    <t>0x63</t>
  </si>
  <si>
    <t>0x3E</t>
  </si>
  <si>
    <t>0x39</t>
  </si>
  <si>
    <t>0x30</t>
  </si>
  <si>
    <t>0x37</t>
  </si>
  <si>
    <t>0x22</t>
  </si>
  <si>
    <t>0x25</t>
  </si>
  <si>
    <t>0x2C</t>
  </si>
  <si>
    <t>0x2B</t>
  </si>
  <si>
    <t>0x06</t>
  </si>
  <si>
    <t>0x01</t>
  </si>
  <si>
    <t>0x08</t>
  </si>
  <si>
    <t>0x0F</t>
  </si>
  <si>
    <t>0x1A</t>
  </si>
  <si>
    <t>0x1D</t>
  </si>
  <si>
    <t>0x14</t>
  </si>
  <si>
    <t>0x13</t>
  </si>
  <si>
    <t>0xAE</t>
  </si>
  <si>
    <t>0xA9</t>
  </si>
  <si>
    <t>0xA0</t>
  </si>
  <si>
    <t>0xA7</t>
  </si>
  <si>
    <t>0xB2</t>
  </si>
  <si>
    <t>0xB5</t>
  </si>
  <si>
    <t>0xBC</t>
  </si>
  <si>
    <t>0xBB</t>
  </si>
  <si>
    <t>0x96</t>
  </si>
  <si>
    <t>0x91</t>
  </si>
  <si>
    <t>0x98</t>
  </si>
  <si>
    <t>0x9F</t>
  </si>
  <si>
    <t>0x8A</t>
  </si>
  <si>
    <t>0x8D</t>
  </si>
  <si>
    <t>0x84</t>
  </si>
  <si>
    <t>0x83</t>
  </si>
  <si>
    <t>0xDE</t>
  </si>
  <si>
    <t>0xD9</t>
  </si>
  <si>
    <t>0xD0</t>
  </si>
  <si>
    <t>0xD7</t>
  </si>
  <si>
    <t>0xC2</t>
  </si>
  <si>
    <t>0xC5</t>
  </si>
  <si>
    <t>0xCC</t>
  </si>
  <si>
    <t>0xCB</t>
  </si>
  <si>
    <t>0xE6</t>
  </si>
  <si>
    <t>0xE1</t>
  </si>
  <si>
    <t>0xE8</t>
  </si>
  <si>
    <t>0xEF</t>
  </si>
  <si>
    <t>0xFA</t>
  </si>
  <si>
    <t>0xFD</t>
  </si>
  <si>
    <t>0xF4</t>
  </si>
  <si>
    <t>0xF3</t>
  </si>
  <si>
    <t>CRC8</t>
  </si>
  <si>
    <t>VIN_CH_EN</t>
  </si>
  <si>
    <t>VRANGE_MULT</t>
  </si>
  <si>
    <t>VMON Control:</t>
  </si>
  <si>
    <t>COMP_OFSC</t>
  </si>
  <si>
    <t>Normal OFSC</t>
  </si>
  <si>
    <t>Initiate OFSC</t>
  </si>
  <si>
    <t>Reset not active</t>
  </si>
  <si>
    <t>SYNC_RST</t>
  </si>
  <si>
    <t>Reset SYNC counter</t>
  </si>
  <si>
    <t>Normal SYNC counter</t>
  </si>
  <si>
    <t>FORCE_SYNC</t>
  </si>
  <si>
    <t>SYNC normal</t>
  </si>
  <si>
    <t>FORCE_NIRQ</t>
  </si>
  <si>
    <t>VMON Miscellaneous:</t>
  </si>
  <si>
    <t>EN_TS_OW</t>
  </si>
  <si>
    <t>EN_SEQ_OW</t>
  </si>
  <si>
    <t>Dis Tstamp Overwrite</t>
  </si>
  <si>
    <t>En Tstamp Overwrite</t>
  </si>
  <si>
    <t>Dis Seq Overwrite</t>
  </si>
  <si>
    <t>En Seq Overwrite</t>
  </si>
  <si>
    <t>Interrupt Enable:</t>
  </si>
  <si>
    <t>UVHF</t>
  </si>
  <si>
    <t>UVLF</t>
  </si>
  <si>
    <t>OVHF</t>
  </si>
  <si>
    <t>OVLF</t>
  </si>
  <si>
    <t>SEQ_ON</t>
  </si>
  <si>
    <t>SEQ_OFF</t>
  </si>
  <si>
    <t>SEQ_EXS</t>
  </si>
  <si>
    <t>SEQ_ENS</t>
  </si>
  <si>
    <t>RT_CRC</t>
  </si>
  <si>
    <t>TSD</t>
  </si>
  <si>
    <t>SYNC</t>
  </si>
  <si>
    <t>ECC_SEC</t>
  </si>
  <si>
    <t>BIST_C</t>
  </si>
  <si>
    <t>BIST</t>
  </si>
  <si>
    <t>VIN Channel:</t>
  </si>
  <si>
    <t>VIN Ch Disabled</t>
  </si>
  <si>
    <t>VIN Ch Enabled</t>
  </si>
  <si>
    <t>Set Ch to 1x Scaling</t>
  </si>
  <si>
    <t>Set Ch to 4x Scaling</t>
  </si>
  <si>
    <t>UV_HF[1]</t>
  </si>
  <si>
    <t>OV_HF[1]</t>
  </si>
  <si>
    <t>UV_LF[1]</t>
  </si>
  <si>
    <t>OV_LF[1]</t>
  </si>
  <si>
    <t>UV_HF[2]</t>
  </si>
  <si>
    <t>OV_HF[2]</t>
  </si>
  <si>
    <t>UV_LF[2]</t>
  </si>
  <si>
    <t>OV_LF[2]</t>
  </si>
  <si>
    <t>UV_HF[3]</t>
  </si>
  <si>
    <t>OV_HF[3]</t>
  </si>
  <si>
    <t>UV_LF[3]</t>
  </si>
  <si>
    <t>OV_LF[3]</t>
  </si>
  <si>
    <t>UV_HF[4]</t>
  </si>
  <si>
    <t>OV_HF[4]</t>
  </si>
  <si>
    <t>UV_LF[4]</t>
  </si>
  <si>
    <t>OV_LF[4]</t>
  </si>
  <si>
    <t>UV_HF[5]</t>
  </si>
  <si>
    <t>OV_HF[5]</t>
  </si>
  <si>
    <t>UV_LF[5]</t>
  </si>
  <si>
    <t>OV_LF[5]</t>
  </si>
  <si>
    <t>UV_HF[6]</t>
  </si>
  <si>
    <t>OV_HF[6]</t>
  </si>
  <si>
    <t>UV_LF[6]</t>
  </si>
  <si>
    <t>OV_LF[6]</t>
  </si>
  <si>
    <t>HF Filter debounce:</t>
  </si>
  <si>
    <t>OV_DEB</t>
  </si>
  <si>
    <t>UV_DEB</t>
  </si>
  <si>
    <t>LF Cutoff:</t>
  </si>
  <si>
    <t>THREEDB</t>
  </si>
  <si>
    <t>Invalid</t>
  </si>
  <si>
    <t>250 Hz LF Cutoff</t>
  </si>
  <si>
    <t>500 Hz LF Cutoff</t>
  </si>
  <si>
    <t>1 kHz LF Cutoff</t>
  </si>
  <si>
    <t>2 kHz LF Cutoff</t>
  </si>
  <si>
    <t>4 kHz LF Cutoff</t>
  </si>
  <si>
    <t>Sequence Control:</t>
  </si>
  <si>
    <t>REC_START</t>
  </si>
  <si>
    <t>Idle Seq Log</t>
  </si>
  <si>
    <t>Start Seq Log</t>
  </si>
  <si>
    <t>SEQ</t>
  </si>
  <si>
    <t>Log Power ON</t>
  </si>
  <si>
    <t>Log Power OFF</t>
  </si>
  <si>
    <t>Log Sleep Exit</t>
  </si>
  <si>
    <t>Log Sleep Entry</t>
  </si>
  <si>
    <t>TS_ACK</t>
  </si>
  <si>
    <t>ACK TS Data</t>
  </si>
  <si>
    <t>SEQ_ON_ACK</t>
  </si>
  <si>
    <t>SEQ_OFF_ACK</t>
  </si>
  <si>
    <t>SEQ_EXS_ACK</t>
  </si>
  <si>
    <t>SEQ_ENS_ACK</t>
  </si>
  <si>
    <t>No ACK TS Data</t>
  </si>
  <si>
    <t>No ACK ON seq data</t>
  </si>
  <si>
    <t>ACK ON seq data</t>
  </si>
  <si>
    <t>No ACK OFF seq data</t>
  </si>
  <si>
    <t>ACK OFF seq data</t>
  </si>
  <si>
    <t>No ACK EXS seq data</t>
  </si>
  <si>
    <t>ACK EXS seq data</t>
  </si>
  <si>
    <t>No ACK ENS seq data</t>
  </si>
  <si>
    <t>ACK ENS seq data</t>
  </si>
  <si>
    <t>Automask:</t>
  </si>
  <si>
    <t>AMSK</t>
  </si>
  <si>
    <t>Ch Int En Automask</t>
  </si>
  <si>
    <t>Ch Int Dis Automask</t>
  </si>
  <si>
    <t>Use OFF threshold</t>
  </si>
  <si>
    <t>Use UVLF threshold</t>
  </si>
  <si>
    <t>Threshold for UP/DN sequence</t>
  </si>
  <si>
    <t>SEQ_xx_THLD</t>
  </si>
  <si>
    <t>BANK_SEL</t>
  </si>
  <si>
    <t>Bank selection</t>
  </si>
  <si>
    <t>Registers Bank 0</t>
  </si>
  <si>
    <t>Registers Bank 1</t>
  </si>
  <si>
    <t>PROTMON1</t>
  </si>
  <si>
    <t>CH MON regs W</t>
  </si>
  <si>
    <t>CH MON regs no W</t>
  </si>
  <si>
    <t>ADDR_NVM[3:0] 0x4</t>
  </si>
  <si>
    <t>ADDR_STRAP[2:0] 0x0</t>
  </si>
  <si>
    <t>I2C Address:</t>
  </si>
  <si>
    <t>ADDR_NVM</t>
  </si>
  <si>
    <t>ADDR_NVM[3:0] 0x0</t>
  </si>
  <si>
    <t>ADDR_NVM[3:0] 0x1</t>
  </si>
  <si>
    <t>ADDR_NVM[3:0] 0x2</t>
  </si>
  <si>
    <t>ADDR_NVM[3:0] 0x3</t>
  </si>
  <si>
    <t>ADDR_NVM[3:0] 0x5</t>
  </si>
  <si>
    <t>ADDR_NVM[3:0] 0x6</t>
  </si>
  <si>
    <t>ADDR_NVM[3:0] 0x7</t>
  </si>
  <si>
    <t>ADDR_NVM[3:0] 0x8</t>
  </si>
  <si>
    <t>ADDR_NVM[3:0] 0x9</t>
  </si>
  <si>
    <t>ADDR_NVM[3:0] 0xA</t>
  </si>
  <si>
    <t>ADDR_NVM[3:0] 0xB</t>
  </si>
  <si>
    <t>ADDR_NVM[3:0] 0xC</t>
  </si>
  <si>
    <t>ADDR_NVM[3:0] 0xD</t>
  </si>
  <si>
    <t>ADDR_NVM[3:0] 0xE</t>
  </si>
  <si>
    <t>ADDR_NVM[3:0] 0xF</t>
  </si>
  <si>
    <t>ADDR_STRAP</t>
  </si>
  <si>
    <t>ADDR_STRAP[2:0] 0x1</t>
  </si>
  <si>
    <t>ADDR_STRAP[2:0] 0x2</t>
  </si>
  <si>
    <t>ADDR_STRAP[2:0] 0x3</t>
  </si>
  <si>
    <t>ADDR_STRAP[2:0] 0x4</t>
  </si>
  <si>
    <t>ADDR_STRAP[2:0] 0x5</t>
  </si>
  <si>
    <t>ADDR_STRAP[2:0] 0x6</t>
  </si>
  <si>
    <t>ADDR_STRAP[2:0] 0x7</t>
  </si>
  <si>
    <t>SOC interface</t>
  </si>
  <si>
    <t>SOC_IF</t>
  </si>
  <si>
    <t>3.3V I/F</t>
  </si>
  <si>
    <t>1.2V/1.8V I/F</t>
  </si>
  <si>
    <t>Device: VRS-10</t>
  </si>
  <si>
    <t>Vendor 2</t>
  </si>
  <si>
    <t>Revision</t>
  </si>
  <si>
    <t>Silicon: R0</t>
  </si>
  <si>
    <t>Device &amp; Vendor</t>
  </si>
  <si>
    <t>Dev_Mod</t>
  </si>
  <si>
    <t>Device: Reserved</t>
  </si>
  <si>
    <t>Device: VRS-11</t>
  </si>
  <si>
    <t>Device: VRS-12</t>
  </si>
  <si>
    <t>VendorID</t>
  </si>
  <si>
    <t>Vendor 1</t>
  </si>
  <si>
    <t>Reserved</t>
  </si>
  <si>
    <t>Si_Rev</t>
  </si>
  <si>
    <t>Silicon: R1</t>
  </si>
  <si>
    <t>Silicon: R2</t>
  </si>
  <si>
    <t>Silicon: R3</t>
  </si>
  <si>
    <t>RESET_PROT</t>
  </si>
  <si>
    <t>Reset PROT1/2</t>
  </si>
  <si>
    <t>SYNC forced low</t>
  </si>
  <si>
    <t>NIRQ forced low</t>
  </si>
  <si>
    <t>SLEEP_PWR</t>
  </si>
  <si>
    <t>Sleep Low Power</t>
  </si>
  <si>
    <t>Sleep High Power</t>
  </si>
  <si>
    <t>Group</t>
  </si>
  <si>
    <t>WRKC</t>
  </si>
  <si>
    <t>CFG</t>
  </si>
  <si>
    <t>IEN</t>
  </si>
  <si>
    <t>MON[1]</t>
  </si>
  <si>
    <t>MON[2]</t>
  </si>
  <si>
    <t>MON[3]</t>
  </si>
  <si>
    <t>MON[4]</t>
  </si>
  <si>
    <t>MON[5]</t>
  </si>
  <si>
    <t>MON[6]</t>
  </si>
  <si>
    <t>WRKS</t>
  </si>
  <si>
    <t>MON</t>
  </si>
  <si>
    <t>WRKC regs W</t>
  </si>
  <si>
    <t>WRKC regs no W</t>
  </si>
  <si>
    <t>WRKS regs W</t>
  </si>
  <si>
    <t>WRKS regs no W</t>
  </si>
  <si>
    <t>CFG regs W</t>
  </si>
  <si>
    <t>CFG regs no W</t>
  </si>
  <si>
    <t>IEN regs W</t>
  </si>
  <si>
    <t>IEN regs no W</t>
  </si>
  <si>
    <t>MON regs W</t>
  </si>
  <si>
    <t>MON regs no W</t>
  </si>
  <si>
    <t>SEQ regs W</t>
  </si>
  <si>
    <t>SEQ regs no W</t>
  </si>
  <si>
    <t>MON1</t>
  </si>
  <si>
    <t>MON2</t>
  </si>
  <si>
    <t>MON3</t>
  </si>
  <si>
    <t>MON4</t>
  </si>
  <si>
    <t>MON5</t>
  </si>
  <si>
    <t>MON6</t>
  </si>
  <si>
    <t>MON7</t>
  </si>
  <si>
    <t>MON8</t>
  </si>
  <si>
    <t>MON[7]</t>
  </si>
  <si>
    <t>UV_HF[8]</t>
  </si>
  <si>
    <t>OV_HF[8]</t>
  </si>
  <si>
    <t>UV_LF[8]</t>
  </si>
  <si>
    <t>OV_LF[8]</t>
  </si>
  <si>
    <t>MON[8]</t>
  </si>
  <si>
    <t>UV_HF[7]</t>
  </si>
  <si>
    <t>OV_HF[7]</t>
  </si>
  <si>
    <t>UV_LF[7]</t>
  </si>
  <si>
    <t>OV_LF[7]</t>
  </si>
  <si>
    <t>Value</t>
  </si>
  <si>
    <t xml:space="preserve">CH1 </t>
  </si>
  <si>
    <t>CH2</t>
  </si>
  <si>
    <t>CH3</t>
  </si>
  <si>
    <t>CH4</t>
  </si>
  <si>
    <t>CH5</t>
  </si>
  <si>
    <t>CH6</t>
  </si>
  <si>
    <t>CH7</t>
  </si>
  <si>
    <t>CH8</t>
  </si>
  <si>
    <t>Vin</t>
  </si>
  <si>
    <t>Multiplier</t>
  </si>
  <si>
    <t>User Input Cell</t>
  </si>
  <si>
    <t>Data</t>
  </si>
  <si>
    <t>Vin-Accuracy</t>
  </si>
  <si>
    <t>Monitors</t>
  </si>
  <si>
    <t>HF ABS Max%</t>
  </si>
  <si>
    <t>LF ABS Max%</t>
  </si>
  <si>
    <t>LF ABS Max %</t>
  </si>
  <si>
    <t>Vin+HF ABS Max</t>
  </si>
  <si>
    <t>Vin-HF ABS Max</t>
  </si>
  <si>
    <t>OVHF-error</t>
  </si>
  <si>
    <t>UVHF+error</t>
  </si>
  <si>
    <t>OVLF-error</t>
  </si>
  <si>
    <t>UVLF+error</t>
  </si>
  <si>
    <t>OV HF</t>
  </si>
  <si>
    <t>OV LF</t>
  </si>
  <si>
    <t>UV HF</t>
  </si>
  <si>
    <t>Buffer (mv)</t>
  </si>
  <si>
    <t>Vmon (V)</t>
  </si>
  <si>
    <t xml:space="preserve">MON2 </t>
  </si>
  <si>
    <t>Parameter</t>
  </si>
  <si>
    <t>UV HF (V)</t>
  </si>
  <si>
    <t>OV HF (V)</t>
  </si>
  <si>
    <t>Vin+LF ABS Max</t>
  </si>
  <si>
    <t>UV LF</t>
  </si>
  <si>
    <t>OV LF (V)</t>
  </si>
  <si>
    <t>UV LF (V)</t>
  </si>
  <si>
    <t>OVHF-Vmon (mv)</t>
  </si>
  <si>
    <t>Vmon-UVHF (mv)</t>
  </si>
  <si>
    <t>Vmon Enable</t>
  </si>
  <si>
    <t xml:space="preserve"> Vmon CH Enable</t>
  </si>
  <si>
    <t>Comments</t>
  </si>
  <si>
    <t>For WRITE PEC</t>
  </si>
  <si>
    <t>Do not update RED coloured cells</t>
  </si>
  <si>
    <t>BIT FIELD</t>
  </si>
  <si>
    <t>slaveid</t>
  </si>
  <si>
    <t>Slave id + write (0)</t>
  </si>
  <si>
    <t>reg addr</t>
  </si>
  <si>
    <t xml:space="preserve">reg addr to write to </t>
  </si>
  <si>
    <t>data</t>
  </si>
  <si>
    <t>Data to write to</t>
  </si>
  <si>
    <t>crc1</t>
  </si>
  <si>
    <t>crc2</t>
  </si>
  <si>
    <t>crc3(final ans)</t>
  </si>
  <si>
    <t>PEC TO WRITE TO THE DEVICE</t>
  </si>
  <si>
    <t>For READ PEC</t>
  </si>
  <si>
    <t>Slave id + write(0)</t>
  </si>
  <si>
    <t>Reg addr to read from</t>
  </si>
  <si>
    <t>Slave id</t>
  </si>
  <si>
    <t>Slave id + Read (1)</t>
  </si>
  <si>
    <t>expected read data</t>
  </si>
  <si>
    <t>Expected data from device</t>
  </si>
  <si>
    <t>crc3</t>
  </si>
  <si>
    <t>crc4 ( final ans)</t>
  </si>
  <si>
    <t>PEC EXPECTED FROM THE DEVICE</t>
  </si>
  <si>
    <t>HEX_DATA</t>
  </si>
  <si>
    <t>CRC_INITIAL</t>
  </si>
  <si>
    <t>WRITE_PEC</t>
  </si>
  <si>
    <t>SLAVE_ID</t>
  </si>
  <si>
    <t>READ_PEC</t>
  </si>
  <si>
    <t>REG_ADDR</t>
  </si>
  <si>
    <t>REG_DATA</t>
  </si>
  <si>
    <t>HEX2BIN</t>
  </si>
  <si>
    <t>slaveid_w</t>
  </si>
  <si>
    <t>Slave id_r</t>
  </si>
  <si>
    <t>User Input:</t>
  </si>
  <si>
    <t>Result:</t>
  </si>
  <si>
    <t>Description</t>
  </si>
  <si>
    <t xml:space="preserve">Input device ID, set by resistor at address pin </t>
  </si>
  <si>
    <t>Input device register in question</t>
  </si>
  <si>
    <t>Input data to be written</t>
  </si>
  <si>
    <r>
      <t xml:space="preserve">CRC is calculated from a base 0x00, </t>
    </r>
    <r>
      <rPr>
        <b/>
        <sz val="15"/>
        <rFont val="Calibri"/>
        <family val="2"/>
        <scheme val="minor"/>
      </rPr>
      <t xml:space="preserve">do not change </t>
    </r>
  </si>
  <si>
    <t>AA</t>
  </si>
  <si>
    <t>DE</t>
  </si>
  <si>
    <t>Register</t>
  </si>
  <si>
    <t>MON_LVL[1]</t>
  </si>
  <si>
    <t>MON_LVL[2]</t>
  </si>
  <si>
    <t>MON_LVL[3]</t>
  </si>
  <si>
    <t>MON_LVL[4]</t>
  </si>
  <si>
    <t>MON_LVL[5]</t>
  </si>
  <si>
    <t>MON_LVL[6]</t>
  </si>
  <si>
    <t>MON_LVL[7]</t>
  </si>
  <si>
    <t>MON_LVL[8]</t>
  </si>
  <si>
    <t>Register Data</t>
  </si>
  <si>
    <t>Vmon Multiplier</t>
  </si>
  <si>
    <t>4x MON Scaling</t>
  </si>
  <si>
    <t>1x MON Scaling</t>
  </si>
  <si>
    <t>Column1</t>
  </si>
  <si>
    <t>User Input</t>
  </si>
  <si>
    <t>Vmon1</t>
  </si>
  <si>
    <t>Vmon2</t>
  </si>
  <si>
    <t>Vmon3</t>
  </si>
  <si>
    <t>Vmon4</t>
  </si>
  <si>
    <t>Vmon5</t>
  </si>
  <si>
    <t>Vmon6</t>
  </si>
  <si>
    <t>Vmon7</t>
  </si>
  <si>
    <t>Vmon8</t>
  </si>
  <si>
    <t>CF</t>
  </si>
  <si>
    <t>AB</t>
  </si>
  <si>
    <t>BE</t>
  </si>
  <si>
    <t>DC</t>
  </si>
  <si>
    <t>SEQ_TIME_MSB[1]</t>
  </si>
  <si>
    <t>SEQ_TIME_LSB[1]</t>
  </si>
  <si>
    <t>SEQ_TIME_MSB[2]</t>
  </si>
  <si>
    <t>SEQ_TIME_LSB[2]</t>
  </si>
  <si>
    <t>SEQ_TIME_MSB[3]</t>
  </si>
  <si>
    <t>SEQ_TIME_MSB[4</t>
  </si>
  <si>
    <t>SEQ_TIME_MSB[5</t>
  </si>
  <si>
    <t>SEQ_TIME_MSB[6</t>
  </si>
  <si>
    <t>SEQ_TIME_MSB[7</t>
  </si>
  <si>
    <t>SEQ_TIME_MSB[8</t>
  </si>
  <si>
    <t>SEQ_TIME_LSB[3</t>
  </si>
  <si>
    <t>SEQ_TIME_LSB[4</t>
  </si>
  <si>
    <t>SEQ_TIME_LSB[5</t>
  </si>
  <si>
    <t>SEQ_TIME_LSB[6</t>
  </si>
  <si>
    <t>SEQ_TIME_LSB[7</t>
  </si>
  <si>
    <t>SEQ_TIME_LSB[8</t>
  </si>
  <si>
    <t>DF</t>
  </si>
  <si>
    <t>Result Voltage (V)</t>
  </si>
  <si>
    <t>Result</t>
  </si>
  <si>
    <t>This is the value which will be read along with the data when PEC is enabled</t>
  </si>
  <si>
    <t>This is the value which will be written to the register alogn with the data when PEC is enabled</t>
  </si>
  <si>
    <t>Time Stamp (S)</t>
  </si>
  <si>
    <t>7D</t>
  </si>
  <si>
    <t>Vin-LF ABS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</si>
</sst>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General\ \V"/>
    <numFmt numFmtId="165" formatCode="0.000"/>
    <numFmt numFmtId="166" formatCode="General\ \m\s"/>
    <numFmt numFmtId="167" formatCode="General\ \µ\s"/>
    <numFmt numFmtId="168" formatCode="&quot;OTP Rev:&quot;\ 0"/>
    <numFmt numFmtId="169" formatCode="0.000\ \V"/>
    <numFmt numFmtId="170" formatCode="0\ &quot;m&quot;\V"/>
    <numFmt numFmtId="171" formatCode="0.00000\ &quot;(S)&quot;"/>
  </numFmts>
  <fonts count="26" x14ac:knownFonts="1">
    <font>
      <sz val="11"/>
      <color theme="1"/>
      <name val="Calibri"/>
      <family val="2"/>
      <scheme val="minor"/>
    </font>
    <font>
      <b/>
      <sz val="11"/>
      <color theme="1"/>
      <name val="Calibri"/>
      <family val="2"/>
      <scheme val="minor"/>
    </font>
    <font>
      <sz val="8"/>
      <name val="Calibri"/>
      <family val="2"/>
      <scheme val="minor"/>
    </font>
    <font>
      <sz val="11"/>
      <color theme="0" tint="-0.499984740745262"/>
      <name val="Calibri"/>
      <family val="2"/>
      <scheme val="minor"/>
    </font>
    <font>
      <b/>
      <sz val="11"/>
      <color theme="0" tint="-0.499984740745262"/>
      <name val="Calibri"/>
      <family val="2"/>
      <scheme val="minor"/>
    </font>
    <font>
      <sz val="1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sz val="14"/>
      <name val="Calibri"/>
      <family val="2"/>
      <scheme val="minor"/>
    </font>
    <font>
      <b/>
      <sz val="14"/>
      <color theme="0"/>
      <name val="Calibri"/>
      <family val="2"/>
      <scheme val="minor"/>
    </font>
    <font>
      <b/>
      <sz val="14"/>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0"/>
      <color rgb="FF000000"/>
      <name val="Tahoma"/>
      <family val="2"/>
    </font>
    <font>
      <sz val="10"/>
      <color rgb="FF000000"/>
      <name val="Tahoma"/>
      <family val="2"/>
    </font>
    <font>
      <b/>
      <sz val="12"/>
      <color rgb="FFFF0000"/>
      <name val="Calibri"/>
      <family val="2"/>
      <scheme val="minor"/>
    </font>
    <font>
      <b/>
      <sz val="14"/>
      <color rgb="FFFF0000"/>
      <name val="Calibri"/>
      <family val="2"/>
      <scheme val="minor"/>
    </font>
    <font>
      <b/>
      <sz val="14"/>
      <color theme="1"/>
      <name val="Calibri"/>
      <family val="2"/>
      <scheme val="minor"/>
    </font>
    <font>
      <b/>
      <sz val="16"/>
      <color rgb="FFFF0000"/>
      <name val="Calibri"/>
      <family val="2"/>
      <scheme val="minor"/>
    </font>
    <font>
      <sz val="15"/>
      <color theme="1"/>
      <name val="Calibri"/>
      <family val="2"/>
      <scheme val="minor"/>
    </font>
    <font>
      <sz val="15"/>
      <name val="Calibri"/>
      <family val="2"/>
      <scheme val="minor"/>
    </font>
    <font>
      <b/>
      <sz val="15"/>
      <name val="Calibri"/>
      <family val="2"/>
      <scheme val="minor"/>
    </font>
    <font>
      <b/>
      <sz val="15"/>
      <color theme="1"/>
      <name val="Calibri"/>
      <family val="2"/>
      <scheme val="minor"/>
    </font>
  </fonts>
  <fills count="33">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249977111117893"/>
        <bgColor theme="4" tint="0.59999389629810485"/>
      </patternFill>
    </fill>
    <fill>
      <patternFill patternType="solid">
        <fgColor theme="4" tint="0.59999389629810485"/>
        <bgColor theme="4" tint="0.79998168889431442"/>
      </patternFill>
    </fill>
    <fill>
      <patternFill patternType="solid">
        <fgColor theme="0"/>
        <bgColor theme="4" tint="0.59999389629810485"/>
      </patternFill>
    </fill>
    <fill>
      <patternFill patternType="solid">
        <fgColor theme="0"/>
        <bgColor theme="4" tint="0.79998168889431442"/>
      </patternFill>
    </fill>
    <fill>
      <patternFill patternType="solid">
        <fgColor theme="0" tint="-0.14999847407452621"/>
        <bgColor theme="0" tint="-0.14999847407452621"/>
      </patternFill>
    </fill>
    <fill>
      <patternFill patternType="solid">
        <fgColor theme="9"/>
        <bgColor theme="9"/>
      </patternFill>
    </fill>
    <fill>
      <patternFill patternType="solid">
        <fgColor theme="4"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4"/>
        <bgColor theme="4"/>
      </patternFill>
    </fill>
    <fill>
      <patternFill patternType="solid">
        <fgColor theme="7" tint="0.79998168889431442"/>
        <bgColor theme="4" tint="0.79998168889431442"/>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79998168889431442"/>
        <bgColor theme="4" tint="0.59999389629810485"/>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59999389629810485"/>
        <bgColor theme="4" tint="0.59999389629810485"/>
      </patternFill>
    </fill>
  </fills>
  <borders count="6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thin">
        <color theme="0"/>
      </left>
      <right style="thin">
        <color theme="0"/>
      </right>
      <top/>
      <bottom/>
      <diagonal/>
    </border>
    <border>
      <left style="thin">
        <color theme="0"/>
      </left>
      <right style="medium">
        <color indexed="64"/>
      </right>
      <top/>
      <bottom/>
      <diagonal/>
    </border>
    <border>
      <left/>
      <right/>
      <top style="medium">
        <color indexed="64"/>
      </top>
      <bottom/>
      <diagonal/>
    </border>
    <border>
      <left/>
      <right style="hair">
        <color theme="0"/>
      </right>
      <top/>
      <bottom/>
      <diagonal/>
    </border>
    <border>
      <left style="hair">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theme="0"/>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thin">
        <color theme="0"/>
      </top>
      <bottom/>
      <diagonal/>
    </border>
    <border>
      <left style="medium">
        <color indexed="64"/>
      </left>
      <right/>
      <top style="thin">
        <color theme="0"/>
      </top>
      <bottom style="medium">
        <color indexed="64"/>
      </bottom>
      <diagonal/>
    </border>
    <border>
      <left/>
      <right style="thin">
        <color indexed="64"/>
      </right>
      <top/>
      <bottom style="thin">
        <color indexed="64"/>
      </bottom>
      <diagonal/>
    </border>
  </borders>
  <cellStyleXfs count="2">
    <xf numFmtId="0" fontId="0" fillId="0" borderId="0"/>
    <xf numFmtId="0" fontId="14" fillId="0" borderId="0"/>
  </cellStyleXfs>
  <cellXfs count="325">
    <xf numFmtId="0" fontId="0" fillId="0" borderId="0" xfId="0"/>
    <xf numFmtId="0" fontId="0" fillId="0" borderId="0" xfId="0" applyAlignment="1">
      <alignment horizontal="center"/>
    </xf>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10" xfId="0" applyBorder="1"/>
    <xf numFmtId="0" fontId="0" fillId="0" borderId="11" xfId="0" applyBorder="1"/>
    <xf numFmtId="0" fontId="0" fillId="3" borderId="11" xfId="0" applyFill="1" applyBorder="1"/>
    <xf numFmtId="0" fontId="0" fillId="4" borderId="11" xfId="0" applyFill="1" applyBorder="1"/>
    <xf numFmtId="0" fontId="0" fillId="3" borderId="3" xfId="0" applyFill="1" applyBorder="1"/>
    <xf numFmtId="0" fontId="0" fillId="0" borderId="0" xfId="0" applyBorder="1" applyAlignment="1">
      <alignment horizontal="center"/>
    </xf>
    <xf numFmtId="0" fontId="1" fillId="3" borderId="11" xfId="0" applyFont="1" applyFill="1" applyBorder="1" applyAlignment="1">
      <alignment horizontal="center"/>
    </xf>
    <xf numFmtId="0" fontId="1" fillId="4" borderId="11" xfId="0" applyFont="1" applyFill="1" applyBorder="1" applyAlignment="1">
      <alignment horizontal="center"/>
    </xf>
    <xf numFmtId="0" fontId="1" fillId="0" borderId="11" xfId="0" applyFont="1" applyBorder="1" applyAlignment="1">
      <alignment horizontal="center"/>
    </xf>
    <xf numFmtId="0" fontId="0" fillId="0" borderId="0" xfId="0" applyBorder="1" applyAlignment="1">
      <alignment horizontal="left"/>
    </xf>
    <xf numFmtId="0" fontId="1" fillId="3" borderId="0" xfId="0" applyFont="1" applyFill="1" applyBorder="1"/>
    <xf numFmtId="0" fontId="0" fillId="3" borderId="13" xfId="0" applyFill="1" applyBorder="1" applyAlignment="1">
      <alignment horizontal="center"/>
    </xf>
    <xf numFmtId="0" fontId="0" fillId="3" borderId="14" xfId="0" applyFill="1" applyBorder="1" applyAlignment="1">
      <alignment horizontal="center"/>
    </xf>
    <xf numFmtId="0" fontId="0" fillId="0" borderId="15" xfId="0" applyBorder="1"/>
    <xf numFmtId="0" fontId="0" fillId="0" borderId="2" xfId="0" applyFill="1" applyBorder="1"/>
    <xf numFmtId="0" fontId="0" fillId="0" borderId="6" xfId="0" applyFill="1" applyBorder="1"/>
    <xf numFmtId="0" fontId="0" fillId="0" borderId="0" xfId="0"/>
    <xf numFmtId="0" fontId="0" fillId="3" borderId="0" xfId="0" applyFill="1" applyBorder="1"/>
    <xf numFmtId="0" fontId="0" fillId="6" borderId="0" xfId="0" applyFill="1" applyBorder="1" applyAlignment="1">
      <alignment horizontal="left"/>
    </xf>
    <xf numFmtId="0" fontId="0" fillId="4" borderId="18" xfId="0" applyFill="1" applyBorder="1" applyAlignment="1">
      <alignment horizontal="center"/>
    </xf>
    <xf numFmtId="0" fontId="0" fillId="5" borderId="19"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4" borderId="25" xfId="0" applyFill="1" applyBorder="1" applyAlignment="1">
      <alignment horizontal="center"/>
    </xf>
    <xf numFmtId="0" fontId="0" fillId="0" borderId="0" xfId="0" applyFill="1" applyBorder="1" applyAlignment="1">
      <alignment horizontal="center"/>
    </xf>
    <xf numFmtId="0" fontId="0" fillId="3" borderId="21" xfId="0" applyFill="1" applyBorder="1" applyAlignment="1">
      <alignment horizontal="center"/>
    </xf>
    <xf numFmtId="0" fontId="0" fillId="4" borderId="23" xfId="0" applyFill="1" applyBorder="1" applyAlignment="1">
      <alignment horizontal="center"/>
    </xf>
    <xf numFmtId="0" fontId="0" fillId="3" borderId="19" xfId="0" applyFill="1" applyBorder="1" applyAlignment="1">
      <alignment horizontal="center"/>
    </xf>
    <xf numFmtId="0" fontId="1" fillId="6" borderId="0" xfId="0" applyFont="1" applyFill="1" applyBorder="1"/>
    <xf numFmtId="0" fontId="0" fillId="6" borderId="0" xfId="0" applyFill="1" applyBorder="1"/>
    <xf numFmtId="0" fontId="1" fillId="6" borderId="0" xfId="0" applyFont="1" applyFill="1" applyBorder="1" applyAlignment="1">
      <alignment horizontal="center"/>
    </xf>
    <xf numFmtId="0" fontId="5" fillId="6" borderId="0" xfId="0" applyFont="1" applyFill="1" applyBorder="1" applyAlignment="1">
      <alignment horizontal="center"/>
    </xf>
    <xf numFmtId="0" fontId="3" fillId="6" borderId="0" xfId="0" applyFont="1" applyFill="1" applyBorder="1" applyAlignment="1">
      <alignment horizontal="center"/>
    </xf>
    <xf numFmtId="0" fontId="0" fillId="4" borderId="0" xfId="0" applyFill="1" applyBorder="1"/>
    <xf numFmtId="0" fontId="0" fillId="6" borderId="0" xfId="0" applyFont="1" applyFill="1" applyBorder="1" applyAlignment="1">
      <alignment horizontal="center"/>
    </xf>
    <xf numFmtId="0" fontId="3" fillId="0" borderId="0" xfId="0" applyFont="1" applyFill="1" applyBorder="1" applyAlignment="1">
      <alignment horizontal="center"/>
    </xf>
    <xf numFmtId="0" fontId="0" fillId="0" borderId="0" xfId="0" applyFill="1" applyBorder="1" applyAlignment="1">
      <alignment horizontal="left"/>
    </xf>
    <xf numFmtId="0" fontId="1" fillId="0" borderId="0" xfId="0" applyFont="1" applyFill="1" applyBorder="1"/>
    <xf numFmtId="0" fontId="0" fillId="0" borderId="0" xfId="0" applyFill="1" applyBorder="1"/>
    <xf numFmtId="0" fontId="1" fillId="0" borderId="0" xfId="0" applyFont="1" applyFill="1" applyBorder="1" applyAlignment="1">
      <alignment horizontal="center"/>
    </xf>
    <xf numFmtId="0" fontId="6" fillId="0" borderId="0" xfId="0" applyFont="1" applyFill="1" applyBorder="1"/>
    <xf numFmtId="0" fontId="1" fillId="2" borderId="18" xfId="0" applyFont="1" applyFill="1" applyBorder="1"/>
    <xf numFmtId="0" fontId="0" fillId="2" borderId="8" xfId="0" applyFill="1" applyBorder="1"/>
    <xf numFmtId="0" fontId="0" fillId="2" borderId="9" xfId="0" applyFill="1" applyBorder="1"/>
    <xf numFmtId="0" fontId="1" fillId="2" borderId="18" xfId="0" applyFont="1" applyFill="1" applyBorder="1" applyAlignment="1">
      <alignment horizontal="center"/>
    </xf>
    <xf numFmtId="0" fontId="0" fillId="0" borderId="3" xfId="0" applyBorder="1" applyAlignment="1">
      <alignment horizontal="left"/>
    </xf>
    <xf numFmtId="0" fontId="1" fillId="4" borderId="0" xfId="0" applyFont="1" applyFill="1" applyBorder="1"/>
    <xf numFmtId="0" fontId="1" fillId="0" borderId="0" xfId="0" applyFont="1" applyBorder="1"/>
    <xf numFmtId="164" fontId="0" fillId="0" borderId="0" xfId="0" applyNumberFormat="1" applyBorder="1"/>
    <xf numFmtId="0" fontId="0" fillId="6" borderId="3" xfId="0" applyFill="1" applyBorder="1" applyAlignment="1">
      <alignment horizontal="left"/>
    </xf>
    <xf numFmtId="0" fontId="0" fillId="4" borderId="26" xfId="0" applyFill="1" applyBorder="1" applyAlignment="1">
      <alignment horizontal="center"/>
    </xf>
    <xf numFmtId="0" fontId="0" fillId="3" borderId="27" xfId="0" applyFill="1" applyBorder="1" applyAlignment="1">
      <alignment horizontal="center"/>
    </xf>
    <xf numFmtId="0" fontId="0" fillId="6" borderId="11" xfId="0" applyFill="1" applyBorder="1"/>
    <xf numFmtId="0" fontId="0" fillId="6" borderId="3" xfId="0" applyFill="1" applyBorder="1"/>
    <xf numFmtId="0" fontId="1" fillId="6" borderId="11" xfId="0" applyFont="1" applyFill="1" applyBorder="1" applyAlignment="1">
      <alignment horizontal="center"/>
    </xf>
    <xf numFmtId="0" fontId="0" fillId="6" borderId="0" xfId="0" applyFill="1"/>
    <xf numFmtId="0" fontId="0" fillId="6" borderId="0" xfId="0"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xf>
    <xf numFmtId="0" fontId="0" fillId="6" borderId="5" xfId="0" applyFill="1" applyBorder="1" applyAlignment="1">
      <alignment horizontal="left"/>
    </xf>
    <xf numFmtId="0" fontId="1" fillId="4" borderId="7" xfId="0" applyFont="1" applyFill="1" applyBorder="1"/>
    <xf numFmtId="0" fontId="0" fillId="4" borderId="12" xfId="0" applyFill="1" applyBorder="1"/>
    <xf numFmtId="0" fontId="1" fillId="4" borderId="12" xfId="0" applyFont="1" applyFill="1" applyBorder="1" applyAlignment="1">
      <alignment horizontal="center"/>
    </xf>
    <xf numFmtId="164" fontId="0" fillId="0" borderId="0" xfId="0" applyNumberFormat="1" applyFill="1" applyBorder="1"/>
    <xf numFmtId="165" fontId="0" fillId="0" borderId="0" xfId="0" applyNumberFormat="1" applyFill="1" applyBorder="1"/>
    <xf numFmtId="0" fontId="1" fillId="0" borderId="0" xfId="0" applyFont="1" applyFill="1" applyBorder="1" applyAlignment="1"/>
    <xf numFmtId="0" fontId="4" fillId="0" borderId="0" xfId="0" applyFont="1" applyFill="1" applyBorder="1" applyAlignment="1"/>
    <xf numFmtId="0" fontId="0" fillId="0" borderId="0" xfId="0" applyFill="1" applyBorder="1" applyAlignment="1">
      <alignment horizontal="center"/>
    </xf>
    <xf numFmtId="0" fontId="0" fillId="6" borderId="3" xfId="0" applyFill="1" applyBorder="1" applyAlignment="1">
      <alignment horizontal="center"/>
    </xf>
    <xf numFmtId="0" fontId="0" fillId="6" borderId="0"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6" borderId="4" xfId="0" applyFill="1" applyBorder="1" applyAlignment="1">
      <alignment horizontal="center"/>
    </xf>
    <xf numFmtId="164" fontId="5" fillId="3" borderId="3" xfId="0" applyNumberFormat="1" applyFont="1" applyFill="1" applyBorder="1" applyAlignment="1">
      <alignment horizontal="center"/>
    </xf>
    <xf numFmtId="164" fontId="5" fillId="3" borderId="0" xfId="0" applyNumberFormat="1" applyFont="1" applyFill="1" applyBorder="1" applyAlignment="1">
      <alignment horizontal="center"/>
    </xf>
    <xf numFmtId="164" fontId="5" fillId="3" borderId="4" xfId="0" applyNumberFormat="1" applyFont="1" applyFill="1" applyBorder="1" applyAlignment="1">
      <alignment horizontal="center"/>
    </xf>
    <xf numFmtId="164" fontId="5" fillId="4" borderId="3" xfId="0" applyNumberFormat="1" applyFont="1" applyFill="1" applyBorder="1" applyAlignment="1">
      <alignment horizontal="center"/>
    </xf>
    <xf numFmtId="164" fontId="5" fillId="4" borderId="0" xfId="0" applyNumberFormat="1" applyFont="1" applyFill="1" applyBorder="1" applyAlignment="1">
      <alignment horizontal="center"/>
    </xf>
    <xf numFmtId="164" fontId="5" fillId="4" borderId="4" xfId="0" applyNumberFormat="1" applyFont="1" applyFill="1" applyBorder="1" applyAlignment="1">
      <alignment horizontal="center"/>
    </xf>
    <xf numFmtId="0" fontId="5" fillId="4" borderId="0" xfId="0" applyNumberFormat="1" applyFont="1" applyFill="1" applyBorder="1" applyAlignment="1">
      <alignment horizontal="center"/>
    </xf>
    <xf numFmtId="0" fontId="5" fillId="4" borderId="4" xfId="0" applyNumberFormat="1"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0" fillId="4" borderId="28" xfId="0" applyFill="1" applyBorder="1" applyAlignment="1">
      <alignment horizontal="center"/>
    </xf>
    <xf numFmtId="0" fontId="0" fillId="0" borderId="0" xfId="0" applyFill="1" applyBorder="1" applyAlignment="1">
      <alignment vertical="center"/>
    </xf>
    <xf numFmtId="0" fontId="0" fillId="4" borderId="47" xfId="0" applyFill="1" applyBorder="1" applyAlignment="1">
      <alignment horizontal="center"/>
    </xf>
    <xf numFmtId="0" fontId="0" fillId="3" borderId="34" xfId="0" applyFill="1" applyBorder="1"/>
    <xf numFmtId="0" fontId="0" fillId="4" borderId="35" xfId="0" applyFill="1" applyBorder="1"/>
    <xf numFmtId="0" fontId="0" fillId="5" borderId="23" xfId="0" applyFill="1" applyBorder="1" applyAlignment="1">
      <alignment horizontal="center"/>
    </xf>
    <xf numFmtId="0" fontId="0" fillId="5" borderId="30" xfId="0" applyFill="1" applyBorder="1" applyAlignment="1">
      <alignment horizontal="center"/>
    </xf>
    <xf numFmtId="0" fontId="0" fillId="4" borderId="29" xfId="0" applyFill="1" applyBorder="1" applyAlignment="1">
      <alignment horizontal="center"/>
    </xf>
    <xf numFmtId="0" fontId="1" fillId="4" borderId="21" xfId="0" applyFont="1" applyFill="1" applyBorder="1" applyAlignment="1">
      <alignment horizontal="center"/>
    </xf>
    <xf numFmtId="0" fontId="1" fillId="3" borderId="38" xfId="0" applyFont="1" applyFill="1" applyBorder="1"/>
    <xf numFmtId="0" fontId="1" fillId="4" borderId="46" xfId="0" applyFont="1" applyFill="1" applyBorder="1"/>
    <xf numFmtId="0" fontId="0" fillId="3" borderId="48" xfId="0" applyFill="1" applyBorder="1" applyAlignment="1">
      <alignment horizontal="center"/>
    </xf>
    <xf numFmtId="0" fontId="0" fillId="3" borderId="49" xfId="0" applyFill="1" applyBorder="1" applyAlignment="1">
      <alignment horizontal="center"/>
    </xf>
    <xf numFmtId="0" fontId="0" fillId="0" borderId="0" xfId="0" applyBorder="1" applyAlignment="1"/>
    <xf numFmtId="0" fontId="0" fillId="0" borderId="30"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7" fillId="0" borderId="0" xfId="0" applyFont="1" applyBorder="1" applyAlignment="1">
      <alignment horizontal="center"/>
    </xf>
    <xf numFmtId="0" fontId="7" fillId="6" borderId="0" xfId="0" applyFont="1" applyFill="1" applyBorder="1"/>
    <xf numFmtId="0" fontId="7" fillId="7" borderId="18" xfId="0" applyFont="1" applyFill="1" applyBorder="1"/>
    <xf numFmtId="0" fontId="7" fillId="6" borderId="0" xfId="0" applyFont="1" applyFill="1" applyBorder="1" applyAlignment="1">
      <alignment horizontal="center"/>
    </xf>
    <xf numFmtId="0" fontId="7" fillId="6" borderId="0" xfId="0" applyFont="1" applyFill="1" applyBorder="1" applyAlignment="1"/>
    <xf numFmtId="0" fontId="7" fillId="0" borderId="0" xfId="0" applyFont="1" applyBorder="1"/>
    <xf numFmtId="168" fontId="7" fillId="6" borderId="0" xfId="0" applyNumberFormat="1" applyFont="1" applyFill="1" applyBorder="1" applyAlignment="1"/>
    <xf numFmtId="164" fontId="9" fillId="0" borderId="0" xfId="0" applyNumberFormat="1" applyFont="1" applyFill="1" applyBorder="1" applyAlignment="1"/>
    <xf numFmtId="0" fontId="7" fillId="0" borderId="0" xfId="0" applyFont="1" applyFill="1" applyBorder="1"/>
    <xf numFmtId="0" fontId="7" fillId="0" borderId="0" xfId="0" applyFont="1" applyAlignment="1">
      <alignment horizontal="center"/>
    </xf>
    <xf numFmtId="0" fontId="7" fillId="0" borderId="0" xfId="0" applyFont="1"/>
    <xf numFmtId="0" fontId="10" fillId="10" borderId="1" xfId="0" applyFont="1" applyFill="1" applyBorder="1" applyAlignment="1">
      <alignment horizontal="center"/>
    </xf>
    <xf numFmtId="0" fontId="10" fillId="10" borderId="37" xfId="0" applyFont="1" applyFill="1" applyBorder="1" applyAlignment="1">
      <alignment horizontal="center"/>
    </xf>
    <xf numFmtId="0" fontId="10" fillId="10" borderId="36" xfId="0" applyFont="1" applyFill="1" applyBorder="1" applyAlignment="1">
      <alignment horizontal="center"/>
    </xf>
    <xf numFmtId="0" fontId="7" fillId="8" borderId="33" xfId="0" applyFont="1" applyFill="1" applyBorder="1" applyAlignment="1">
      <alignment horizontal="center"/>
    </xf>
    <xf numFmtId="0" fontId="7" fillId="8" borderId="42" xfId="0" applyFont="1" applyFill="1" applyBorder="1" applyAlignment="1">
      <alignment horizontal="center"/>
    </xf>
    <xf numFmtId="0" fontId="7" fillId="9" borderId="28" xfId="0" applyFont="1" applyFill="1" applyBorder="1" applyAlignment="1">
      <alignment horizontal="center"/>
    </xf>
    <xf numFmtId="0" fontId="7" fillId="9" borderId="45" xfId="0" applyFont="1" applyFill="1" applyBorder="1" applyAlignment="1">
      <alignment horizontal="center"/>
    </xf>
    <xf numFmtId="164" fontId="9" fillId="9" borderId="45" xfId="0" applyNumberFormat="1" applyFont="1" applyFill="1" applyBorder="1" applyAlignment="1">
      <alignment horizontal="center"/>
    </xf>
    <xf numFmtId="0" fontId="7" fillId="9" borderId="43" xfId="0" applyFont="1" applyFill="1" applyBorder="1" applyAlignment="1">
      <alignment horizontal="center"/>
    </xf>
    <xf numFmtId="0" fontId="7" fillId="13" borderId="0" xfId="0" applyFont="1" applyFill="1" applyBorder="1" applyAlignment="1">
      <alignment horizontal="center"/>
    </xf>
    <xf numFmtId="164" fontId="9" fillId="13" borderId="0" xfId="0" applyNumberFormat="1" applyFont="1" applyFill="1" applyBorder="1" applyAlignment="1">
      <alignment horizontal="center"/>
    </xf>
    <xf numFmtId="0" fontId="7" fillId="8" borderId="43" xfId="0" applyFont="1" applyFill="1" applyBorder="1" applyAlignment="1">
      <alignment horizontal="center"/>
    </xf>
    <xf numFmtId="164" fontId="9" fillId="12" borderId="0" xfId="0" applyNumberFormat="1" applyFont="1" applyFill="1" applyBorder="1" applyAlignment="1"/>
    <xf numFmtId="164" fontId="9" fillId="12" borderId="0" xfId="0" applyNumberFormat="1" applyFont="1" applyFill="1" applyBorder="1" applyAlignment="1">
      <alignment horizontal="center"/>
    </xf>
    <xf numFmtId="0" fontId="7" fillId="12" borderId="0" xfId="0" applyFont="1" applyFill="1" applyBorder="1"/>
    <xf numFmtId="0" fontId="7" fillId="9" borderId="40" xfId="0" applyFont="1" applyFill="1" applyBorder="1" applyAlignment="1">
      <alignment horizontal="center"/>
    </xf>
    <xf numFmtId="0" fontId="7" fillId="8" borderId="40" xfId="0" applyFont="1" applyFill="1" applyBorder="1" applyAlignment="1">
      <alignment horizontal="center"/>
    </xf>
    <xf numFmtId="0" fontId="7" fillId="8" borderId="41" xfId="0" applyFont="1" applyFill="1" applyBorder="1" applyAlignment="1">
      <alignment horizontal="center"/>
    </xf>
    <xf numFmtId="164" fontId="9" fillId="13" borderId="0" xfId="0" applyNumberFormat="1" applyFont="1" applyFill="1" applyBorder="1" applyAlignment="1"/>
    <xf numFmtId="0" fontId="7" fillId="13" borderId="0" xfId="0" applyFont="1" applyFill="1" applyBorder="1"/>
    <xf numFmtId="164" fontId="9" fillId="9" borderId="38" xfId="0" applyNumberFormat="1" applyFont="1" applyFill="1" applyBorder="1" applyAlignment="1">
      <alignment horizontal="center"/>
    </xf>
    <xf numFmtId="0" fontId="7" fillId="9" borderId="39" xfId="0" applyFont="1" applyFill="1" applyBorder="1" applyAlignment="1">
      <alignment horizontal="center"/>
    </xf>
    <xf numFmtId="0" fontId="7" fillId="9" borderId="41" xfId="0" applyFont="1" applyFill="1" applyBorder="1" applyAlignment="1">
      <alignment horizontal="center"/>
    </xf>
    <xf numFmtId="0" fontId="7" fillId="12" borderId="0" xfId="0" applyFont="1" applyFill="1" applyBorder="1" applyAlignment="1">
      <alignment horizontal="center"/>
    </xf>
    <xf numFmtId="0" fontId="7" fillId="8" borderId="0" xfId="0" applyFont="1" applyFill="1" applyBorder="1" applyAlignment="1">
      <alignment horizontal="center"/>
    </xf>
    <xf numFmtId="164" fontId="9" fillId="8" borderId="46" xfId="0" applyNumberFormat="1" applyFont="1" applyFill="1" applyBorder="1" applyAlignment="1">
      <alignment horizontal="center"/>
    </xf>
    <xf numFmtId="164" fontId="9" fillId="8" borderId="35" xfId="0" applyNumberFormat="1" applyFont="1" applyFill="1" applyBorder="1" applyAlignment="1">
      <alignment horizontal="center"/>
    </xf>
    <xf numFmtId="0" fontId="9" fillId="0" borderId="0" xfId="0" applyNumberFormat="1" applyFont="1" applyFill="1" applyBorder="1" applyAlignment="1">
      <alignment horizontal="center"/>
    </xf>
    <xf numFmtId="0" fontId="7" fillId="0" borderId="0" xfId="0" applyFont="1" applyFill="1" applyBorder="1" applyAlignment="1">
      <alignment horizontal="center"/>
    </xf>
    <xf numFmtId="0" fontId="8" fillId="7" borderId="23" xfId="0" applyFont="1" applyFill="1" applyBorder="1" applyAlignment="1">
      <alignment horizontal="center"/>
    </xf>
    <xf numFmtId="0" fontId="8" fillId="7" borderId="19" xfId="0" applyFont="1" applyFill="1" applyBorder="1" applyAlignment="1">
      <alignment horizontal="center"/>
    </xf>
    <xf numFmtId="164" fontId="9" fillId="9" borderId="34" xfId="0" applyNumberFormat="1" applyFont="1" applyFill="1" applyBorder="1" applyAlignment="1">
      <alignment horizontal="center"/>
    </xf>
    <xf numFmtId="0" fontId="7" fillId="9" borderId="32" xfId="0" applyFont="1" applyFill="1" applyBorder="1" applyAlignment="1">
      <alignment horizontal="center"/>
    </xf>
    <xf numFmtId="0" fontId="7" fillId="8" borderId="32" xfId="0" applyFont="1" applyFill="1" applyBorder="1" applyAlignment="1">
      <alignment horizontal="center"/>
    </xf>
    <xf numFmtId="0" fontId="0" fillId="0" borderId="0" xfId="0" applyFill="1" applyBorder="1" applyAlignment="1">
      <alignment horizontal="center"/>
    </xf>
    <xf numFmtId="164" fontId="5" fillId="0" borderId="0" xfId="0" applyNumberFormat="1" applyFont="1" applyFill="1" applyBorder="1" applyAlignment="1"/>
    <xf numFmtId="0" fontId="0" fillId="0" borderId="0" xfId="0" applyFill="1" applyBorder="1" applyAlignment="1"/>
    <xf numFmtId="166" fontId="0" fillId="0" borderId="0" xfId="0" applyNumberFormat="1" applyFill="1" applyBorder="1" applyAlignment="1">
      <alignment vertical="center"/>
    </xf>
    <xf numFmtId="167" fontId="0" fillId="0" borderId="0" xfId="0" applyNumberFormat="1" applyFill="1" applyBorder="1" applyAlignment="1"/>
    <xf numFmtId="0" fontId="11" fillId="15" borderId="1" xfId="0" applyNumberFormat="1" applyFont="1" applyFill="1" applyBorder="1" applyAlignment="1">
      <alignment horizontal="center"/>
    </xf>
    <xf numFmtId="0" fontId="11" fillId="15" borderId="53" xfId="0" applyNumberFormat="1" applyFont="1" applyFill="1" applyBorder="1" applyAlignment="1">
      <alignment horizontal="center"/>
    </xf>
    <xf numFmtId="0" fontId="11" fillId="15" borderId="15" xfId="0" applyNumberFormat="1" applyFont="1" applyFill="1" applyBorder="1" applyAlignment="1">
      <alignment horizontal="center"/>
    </xf>
    <xf numFmtId="0" fontId="11" fillId="15" borderId="2" xfId="0" applyNumberFormat="1" applyFont="1" applyFill="1" applyBorder="1" applyAlignment="1">
      <alignment horizontal="center"/>
    </xf>
    <xf numFmtId="0" fontId="7" fillId="14" borderId="1" xfId="0" applyFont="1" applyFill="1" applyBorder="1" applyAlignment="1">
      <alignment horizontal="center" vertical="center"/>
    </xf>
    <xf numFmtId="169" fontId="7" fillId="14" borderId="53" xfId="0" applyNumberFormat="1" applyFont="1" applyFill="1" applyBorder="1" applyAlignment="1">
      <alignment horizontal="center" vertical="center"/>
    </xf>
    <xf numFmtId="169" fontId="7" fillId="14" borderId="15" xfId="0" applyNumberFormat="1" applyFont="1" applyFill="1" applyBorder="1" applyAlignment="1">
      <alignment horizontal="center" vertical="center"/>
    </xf>
    <xf numFmtId="169" fontId="7" fillId="14" borderId="2" xfId="0" applyNumberFormat="1" applyFont="1" applyFill="1" applyBorder="1" applyAlignment="1">
      <alignment horizontal="center" vertical="center"/>
    </xf>
    <xf numFmtId="0" fontId="7" fillId="0" borderId="33" xfId="0" applyFont="1" applyBorder="1" applyAlignment="1">
      <alignment horizontal="center" vertical="center"/>
    </xf>
    <xf numFmtId="170" fontId="7" fillId="0" borderId="48" xfId="0" applyNumberFormat="1" applyFont="1" applyBorder="1" applyAlignment="1">
      <alignment horizontal="center" vertical="center"/>
    </xf>
    <xf numFmtId="170" fontId="7" fillId="0" borderId="51" xfId="0" applyNumberFormat="1" applyFont="1" applyBorder="1" applyAlignment="1">
      <alignment horizontal="center" vertical="center"/>
    </xf>
    <xf numFmtId="170" fontId="7" fillId="0" borderId="54" xfId="0" applyNumberFormat="1" applyFont="1" applyBorder="1" applyAlignment="1">
      <alignment horizontal="center" vertical="center"/>
    </xf>
    <xf numFmtId="0" fontId="7" fillId="14" borderId="33" xfId="0" applyFont="1" applyFill="1" applyBorder="1" applyAlignment="1">
      <alignment horizontal="center" vertical="center"/>
    </xf>
    <xf numFmtId="169" fontId="7" fillId="14" borderId="48" xfId="0" applyNumberFormat="1" applyFont="1" applyFill="1" applyBorder="1" applyAlignment="1">
      <alignment horizontal="center" vertical="center"/>
    </xf>
    <xf numFmtId="169" fontId="7" fillId="14" borderId="51" xfId="0" applyNumberFormat="1" applyFont="1" applyFill="1" applyBorder="1" applyAlignment="1">
      <alignment horizontal="center" vertical="center"/>
    </xf>
    <xf numFmtId="169" fontId="7" fillId="14" borderId="54" xfId="0" applyNumberFormat="1" applyFont="1" applyFill="1" applyBorder="1" applyAlignment="1">
      <alignment horizontal="center" vertical="center"/>
    </xf>
    <xf numFmtId="0" fontId="7" fillId="14" borderId="28" xfId="0" applyFont="1" applyFill="1" applyBorder="1" applyAlignment="1">
      <alignment horizontal="center" vertical="center"/>
    </xf>
    <xf numFmtId="169" fontId="7" fillId="14" borderId="19" xfId="0" applyNumberFormat="1" applyFont="1" applyFill="1" applyBorder="1" applyAlignment="1">
      <alignment horizontal="center" vertical="center"/>
    </xf>
    <xf numFmtId="169" fontId="7" fillId="14" borderId="31" xfId="0" applyNumberFormat="1" applyFont="1" applyFill="1" applyBorder="1" applyAlignment="1">
      <alignment horizontal="center" vertical="center"/>
    </xf>
    <xf numFmtId="169" fontId="7" fillId="14" borderId="20" xfId="0" applyNumberFormat="1" applyFont="1" applyFill="1" applyBorder="1" applyAlignment="1">
      <alignment horizontal="center" vertical="center"/>
    </xf>
    <xf numFmtId="166" fontId="7" fillId="0" borderId="0" xfId="0" applyNumberFormat="1" applyFont="1" applyFill="1" applyBorder="1" applyAlignment="1">
      <alignment vertical="center"/>
    </xf>
    <xf numFmtId="0" fontId="1" fillId="3" borderId="0" xfId="0" applyFont="1" applyFill="1"/>
    <xf numFmtId="0" fontId="7" fillId="11" borderId="33" xfId="0" applyFont="1" applyFill="1" applyBorder="1" applyAlignment="1">
      <alignment horizontal="center"/>
    </xf>
    <xf numFmtId="0" fontId="7" fillId="11" borderId="42" xfId="0" applyFont="1" applyFill="1" applyBorder="1" applyAlignment="1">
      <alignment horizontal="center"/>
    </xf>
    <xf numFmtId="0" fontId="7" fillId="11" borderId="44" xfId="0" applyFont="1" applyFill="1" applyBorder="1" applyAlignment="1">
      <alignment horizontal="center"/>
    </xf>
    <xf numFmtId="0" fontId="8" fillId="16" borderId="53" xfId="0" applyFont="1" applyFill="1" applyBorder="1" applyAlignment="1">
      <alignment horizontal="center"/>
    </xf>
    <xf numFmtId="0" fontId="0" fillId="0" borderId="30" xfId="0" applyBorder="1"/>
    <xf numFmtId="0" fontId="0" fillId="0" borderId="50" xfId="0" applyBorder="1" applyAlignment="1"/>
    <xf numFmtId="0" fontId="0" fillId="0" borderId="51" xfId="0" applyBorder="1"/>
    <xf numFmtId="0" fontId="8" fillId="16" borderId="21" xfId="0" applyFont="1" applyFill="1" applyBorder="1" applyAlignment="1">
      <alignment horizontal="center"/>
    </xf>
    <xf numFmtId="0" fontId="8" fillId="3" borderId="52" xfId="0" applyFont="1" applyFill="1" applyBorder="1" applyAlignment="1">
      <alignment horizontal="center"/>
    </xf>
    <xf numFmtId="0" fontId="8" fillId="4" borderId="23" xfId="0" applyFont="1" applyFill="1" applyBorder="1" applyAlignment="1">
      <alignment horizontal="center"/>
    </xf>
    <xf numFmtId="0" fontId="8" fillId="3" borderId="23" xfId="0" applyFont="1" applyFill="1" applyBorder="1" applyAlignment="1">
      <alignment horizontal="center"/>
    </xf>
    <xf numFmtId="0" fontId="8" fillId="4" borderId="19" xfId="0" applyFont="1" applyFill="1" applyBorder="1" applyAlignment="1">
      <alignment horizontal="center"/>
    </xf>
    <xf numFmtId="0" fontId="0" fillId="4" borderId="55" xfId="0" applyFill="1" applyBorder="1" applyAlignment="1">
      <alignment horizontal="center"/>
    </xf>
    <xf numFmtId="0" fontId="0" fillId="5" borderId="52" xfId="0" applyFill="1" applyBorder="1" applyAlignment="1">
      <alignment horizontal="center"/>
    </xf>
    <xf numFmtId="0" fontId="0" fillId="5" borderId="50" xfId="0" applyFill="1" applyBorder="1" applyAlignment="1">
      <alignment horizontal="center"/>
    </xf>
    <xf numFmtId="0" fontId="7" fillId="3" borderId="11" xfId="0" applyFont="1" applyFill="1" applyBorder="1" applyAlignment="1">
      <alignment horizontal="center"/>
    </xf>
    <xf numFmtId="0" fontId="14" fillId="0" borderId="0" xfId="1"/>
    <xf numFmtId="0" fontId="14" fillId="17" borderId="0" xfId="1" applyFill="1"/>
    <xf numFmtId="0" fontId="14" fillId="18" borderId="0" xfId="1" applyFill="1"/>
    <xf numFmtId="0" fontId="14" fillId="19" borderId="0" xfId="1" applyFill="1"/>
    <xf numFmtId="0" fontId="14" fillId="0" borderId="0" xfId="1" applyAlignment="1">
      <alignment horizontal="center" vertical="center"/>
    </xf>
    <xf numFmtId="0" fontId="14" fillId="0" borderId="1" xfId="1" applyBorder="1"/>
    <xf numFmtId="0" fontId="14" fillId="0" borderId="2" xfId="1" applyBorder="1" applyAlignment="1">
      <alignment horizontal="center" vertical="center"/>
    </xf>
    <xf numFmtId="0" fontId="15" fillId="19" borderId="32" xfId="1" applyFont="1" applyFill="1" applyBorder="1" applyAlignment="1">
      <alignment horizontal="center" vertical="center"/>
    </xf>
    <xf numFmtId="0" fontId="15" fillId="0" borderId="32" xfId="1" applyFont="1" applyFill="1" applyBorder="1" applyAlignment="1">
      <alignment horizontal="center" vertical="center"/>
    </xf>
    <xf numFmtId="0" fontId="15" fillId="0" borderId="3" xfId="1" applyFont="1" applyBorder="1"/>
    <xf numFmtId="0" fontId="14" fillId="5" borderId="4" xfId="1" applyFill="1" applyBorder="1" applyAlignment="1">
      <alignment horizontal="center" vertical="center"/>
    </xf>
    <xf numFmtId="0" fontId="15" fillId="0" borderId="5" xfId="1" applyFont="1" applyBorder="1"/>
    <xf numFmtId="0" fontId="14" fillId="5" borderId="6" xfId="1" applyFill="1" applyBorder="1" applyAlignment="1">
      <alignment horizontal="center" vertical="center"/>
    </xf>
    <xf numFmtId="0" fontId="15" fillId="0" borderId="0" xfId="1" applyFont="1" applyBorder="1"/>
    <xf numFmtId="0" fontId="14" fillId="0" borderId="0" xfId="1" applyBorder="1" applyAlignment="1">
      <alignment horizontal="center" vertical="center"/>
    </xf>
    <xf numFmtId="0" fontId="15" fillId="0" borderId="32" xfId="1" applyFont="1" applyBorder="1"/>
    <xf numFmtId="0" fontId="14" fillId="0" borderId="32" xfId="1" applyBorder="1" applyAlignment="1">
      <alignment horizontal="center" vertical="center"/>
    </xf>
    <xf numFmtId="0" fontId="15" fillId="0" borderId="32" xfId="1" applyFont="1" applyBorder="1" applyAlignment="1">
      <alignment horizontal="center" vertical="center"/>
    </xf>
    <xf numFmtId="0" fontId="15" fillId="0" borderId="32" xfId="1" applyFont="1" applyBorder="1" applyAlignment="1">
      <alignment horizontal="right" vertical="center"/>
    </xf>
    <xf numFmtId="1" fontId="14" fillId="0" borderId="32" xfId="1" applyNumberFormat="1" applyBorder="1" applyAlignment="1">
      <alignment horizontal="center" vertical="center"/>
    </xf>
    <xf numFmtId="0" fontId="14" fillId="0" borderId="32" xfId="1" applyBorder="1" applyAlignment="1">
      <alignment horizontal="right" vertical="center"/>
    </xf>
    <xf numFmtId="0" fontId="14" fillId="0" borderId="32" xfId="1" applyBorder="1"/>
    <xf numFmtId="0" fontId="14" fillId="0" borderId="32" xfId="1" applyBorder="1" applyAlignment="1">
      <alignment horizontal="right"/>
    </xf>
    <xf numFmtId="0" fontId="14" fillId="19" borderId="32" xfId="1" applyFill="1" applyBorder="1" applyAlignment="1">
      <alignment horizontal="right"/>
    </xf>
    <xf numFmtId="0" fontId="18" fillId="0" borderId="0" xfId="1" applyFont="1" applyAlignment="1"/>
    <xf numFmtId="0" fontId="7" fillId="20" borderId="18" xfId="1" applyFont="1" applyFill="1" applyBorder="1" applyAlignment="1">
      <alignment horizontal="center" vertical="center"/>
    </xf>
    <xf numFmtId="0" fontId="7" fillId="20" borderId="6" xfId="1" applyFont="1" applyFill="1" applyBorder="1" applyAlignment="1">
      <alignment horizontal="center" vertical="center"/>
    </xf>
    <xf numFmtId="0" fontId="19" fillId="0" borderId="0" xfId="1" applyFont="1" applyAlignment="1">
      <alignment horizontal="center" vertical="center"/>
    </xf>
    <xf numFmtId="0" fontId="14" fillId="0" borderId="0" xfId="1" applyAlignment="1">
      <alignment wrapText="1"/>
    </xf>
    <xf numFmtId="0" fontId="22" fillId="22" borderId="18" xfId="1" applyFont="1" applyFill="1" applyBorder="1" applyAlignment="1">
      <alignment horizontal="center" vertical="center"/>
    </xf>
    <xf numFmtId="0" fontId="22" fillId="22" borderId="6" xfId="1" applyFont="1" applyFill="1" applyBorder="1" applyAlignment="1">
      <alignment horizontal="center" vertical="center"/>
    </xf>
    <xf numFmtId="0" fontId="22" fillId="23" borderId="18" xfId="1" applyFont="1" applyFill="1" applyBorder="1" applyAlignment="1">
      <alignment horizontal="center" vertical="center"/>
    </xf>
    <xf numFmtId="0" fontId="22" fillId="0" borderId="38" xfId="1" applyFont="1" applyBorder="1" applyAlignment="1">
      <alignment horizontal="center" vertical="center"/>
    </xf>
    <xf numFmtId="0" fontId="22" fillId="0" borderId="39" xfId="1" applyFont="1" applyBorder="1" applyAlignment="1">
      <alignment horizontal="center" vertical="center"/>
    </xf>
    <xf numFmtId="0" fontId="25" fillId="0" borderId="40" xfId="1" applyFont="1" applyBorder="1" applyAlignment="1">
      <alignment horizontal="center" vertical="center"/>
    </xf>
    <xf numFmtId="0" fontId="25" fillId="0" borderId="46" xfId="1" applyFont="1" applyBorder="1" applyAlignment="1">
      <alignment horizontal="center" vertical="center"/>
    </xf>
    <xf numFmtId="0" fontId="0" fillId="0" borderId="0" xfId="0" applyAlignment="1">
      <alignment horizontal="center" vertical="center"/>
    </xf>
    <xf numFmtId="0" fontId="0" fillId="8" borderId="32" xfId="0" applyFont="1" applyFill="1" applyBorder="1" applyAlignment="1">
      <alignment horizontal="center" vertical="center"/>
    </xf>
    <xf numFmtId="0" fontId="0" fillId="0" borderId="32" xfId="0" applyFont="1" applyBorder="1" applyAlignment="1">
      <alignment horizontal="center" vertical="center"/>
    </xf>
    <xf numFmtId="0" fontId="0" fillId="8" borderId="56" xfId="0" applyFont="1" applyFill="1" applyBorder="1" applyAlignment="1">
      <alignment horizontal="center" vertical="center"/>
    </xf>
    <xf numFmtId="0" fontId="0" fillId="25" borderId="56" xfId="0" applyFont="1" applyFill="1" applyBorder="1" applyAlignment="1">
      <alignment horizontal="center" vertical="center"/>
    </xf>
    <xf numFmtId="0" fontId="12" fillId="24" borderId="59" xfId="0" applyFont="1" applyFill="1" applyBorder="1" applyAlignment="1">
      <alignment horizontal="center" vertical="center"/>
    </xf>
    <xf numFmtId="0" fontId="12" fillId="24" borderId="60" xfId="0" applyFont="1" applyFill="1" applyBorder="1" applyAlignment="1">
      <alignment horizontal="center" vertical="center"/>
    </xf>
    <xf numFmtId="0" fontId="12" fillId="24" borderId="61" xfId="0" applyFont="1" applyFill="1" applyBorder="1" applyAlignment="1">
      <alignment horizontal="center" vertical="center"/>
    </xf>
    <xf numFmtId="0" fontId="0" fillId="0" borderId="35" xfId="0" applyFont="1" applyBorder="1" applyAlignment="1">
      <alignment horizontal="center" vertical="center"/>
    </xf>
    <xf numFmtId="0" fontId="0" fillId="25" borderId="62" xfId="0" applyFont="1" applyFill="1" applyBorder="1" applyAlignment="1">
      <alignment horizontal="center" vertical="center"/>
    </xf>
    <xf numFmtId="0" fontId="0" fillId="7" borderId="18" xfId="0" applyFill="1" applyBorder="1" applyAlignment="1">
      <alignment horizontal="center" vertical="center"/>
    </xf>
    <xf numFmtId="0" fontId="0" fillId="0" borderId="10" xfId="0" applyBorder="1" applyAlignment="1">
      <alignment horizontal="center" vertical="center"/>
    </xf>
    <xf numFmtId="0" fontId="13" fillId="0" borderId="0" xfId="0" applyFont="1"/>
    <xf numFmtId="0" fontId="5" fillId="0" borderId="0" xfId="0" applyFont="1"/>
    <xf numFmtId="0" fontId="0" fillId="26" borderId="53" xfId="0" applyFill="1" applyBorder="1" applyAlignment="1">
      <alignment horizontal="center" vertical="center"/>
    </xf>
    <xf numFmtId="0" fontId="0" fillId="26" borderId="12" xfId="0" applyFill="1" applyBorder="1"/>
    <xf numFmtId="0" fontId="0" fillId="27" borderId="53" xfId="0" applyFill="1" applyBorder="1" applyAlignment="1">
      <alignment horizontal="center" vertical="center"/>
    </xf>
    <xf numFmtId="0" fontId="0" fillId="27" borderId="12" xfId="0" applyFill="1" applyBorder="1"/>
    <xf numFmtId="0" fontId="12" fillId="24" borderId="1" xfId="0" applyFont="1" applyFill="1" applyBorder="1" applyAlignment="1">
      <alignment horizontal="center" vertical="center"/>
    </xf>
    <xf numFmtId="0" fontId="12" fillId="24" borderId="37" xfId="0" applyFont="1" applyFill="1" applyBorder="1" applyAlignment="1">
      <alignment horizontal="center" vertical="center"/>
    </xf>
    <xf numFmtId="0" fontId="12" fillId="24" borderId="53" xfId="0" applyFont="1" applyFill="1" applyBorder="1" applyAlignment="1">
      <alignment horizontal="center" vertical="center"/>
    </xf>
    <xf numFmtId="0" fontId="0" fillId="9" borderId="1" xfId="0" applyFont="1" applyFill="1" applyBorder="1" applyAlignment="1">
      <alignment horizontal="center" vertical="center"/>
    </xf>
    <xf numFmtId="0" fontId="0" fillId="9" borderId="37"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64" xfId="0" applyFont="1" applyFill="1" applyBorder="1" applyAlignment="1">
      <alignment horizontal="center" vertical="center"/>
    </xf>
    <xf numFmtId="0" fontId="0" fillId="8" borderId="65" xfId="0" applyFont="1" applyFill="1" applyBorder="1" applyAlignment="1">
      <alignment horizontal="center" vertical="center"/>
    </xf>
    <xf numFmtId="0" fontId="0" fillId="8" borderId="45" xfId="0" applyFont="1" applyFill="1" applyBorder="1" applyAlignment="1">
      <alignment horizontal="center" vertical="center"/>
    </xf>
    <xf numFmtId="0" fontId="0" fillId="28" borderId="1" xfId="0" applyFont="1" applyFill="1" applyBorder="1" applyAlignment="1">
      <alignment horizontal="center" vertical="center"/>
    </xf>
    <xf numFmtId="0" fontId="0" fillId="25" borderId="33" xfId="0" applyFont="1" applyFill="1" applyBorder="1" applyAlignment="1">
      <alignment horizontal="center" vertical="center"/>
    </xf>
    <xf numFmtId="0" fontId="0" fillId="25" borderId="64" xfId="0" applyFont="1" applyFill="1" applyBorder="1" applyAlignment="1">
      <alignment horizontal="center" vertical="center"/>
    </xf>
    <xf numFmtId="0" fontId="0" fillId="25" borderId="65" xfId="0" applyFont="1" applyFill="1" applyBorder="1" applyAlignment="1">
      <alignment horizontal="center" vertical="center"/>
    </xf>
    <xf numFmtId="0" fontId="0" fillId="27" borderId="11" xfId="0" applyFill="1" applyBorder="1" applyAlignment="1">
      <alignment horizontal="center" vertical="center"/>
    </xf>
    <xf numFmtId="0" fontId="0" fillId="27" borderId="11" xfId="0" applyFill="1" applyBorder="1"/>
    <xf numFmtId="0" fontId="0" fillId="29" borderId="58" xfId="0" applyFont="1" applyFill="1" applyBorder="1" applyAlignment="1">
      <alignment horizontal="center" vertical="center"/>
    </xf>
    <xf numFmtId="0" fontId="0" fillId="29" borderId="63" xfId="0" applyFont="1" applyFill="1" applyBorder="1" applyAlignment="1">
      <alignment horizontal="center" vertical="center"/>
    </xf>
    <xf numFmtId="0" fontId="5" fillId="30" borderId="18" xfId="0" applyFont="1" applyFill="1" applyBorder="1"/>
    <xf numFmtId="0" fontId="0" fillId="0" borderId="18" xfId="0" applyBorder="1" applyAlignment="1">
      <alignment horizontal="center" vertical="center"/>
    </xf>
    <xf numFmtId="0" fontId="0" fillId="8" borderId="66" xfId="0" applyFont="1" applyFill="1" applyBorder="1" applyAlignment="1">
      <alignment horizontal="center" vertical="center"/>
    </xf>
    <xf numFmtId="0" fontId="0" fillId="0" borderId="24" xfId="0" applyFont="1" applyBorder="1" applyAlignment="1">
      <alignment horizontal="center" vertical="center"/>
    </xf>
    <xf numFmtId="0" fontId="0" fillId="8" borderId="24" xfId="0" applyFont="1" applyFill="1" applyBorder="1" applyAlignment="1">
      <alignment horizontal="center" vertical="center"/>
    </xf>
    <xf numFmtId="0" fontId="0" fillId="0" borderId="25" xfId="0" applyFont="1" applyBorder="1" applyAlignment="1">
      <alignment horizontal="center" vertical="center"/>
    </xf>
    <xf numFmtId="0" fontId="0" fillId="31" borderId="21" xfId="0" applyFill="1" applyBorder="1" applyAlignment="1">
      <alignment horizontal="center" vertical="center"/>
    </xf>
    <xf numFmtId="0" fontId="0" fillId="31" borderId="23" xfId="0" applyFill="1" applyBorder="1" applyAlignment="1">
      <alignment horizontal="center" vertical="center"/>
    </xf>
    <xf numFmtId="0" fontId="0" fillId="31" borderId="19" xfId="0" applyFill="1" applyBorder="1" applyAlignment="1">
      <alignment horizontal="center" vertical="center"/>
    </xf>
    <xf numFmtId="0" fontId="1" fillId="32" borderId="53" xfId="0" applyFont="1" applyFill="1" applyBorder="1" applyAlignment="1">
      <alignment horizontal="center" vertical="center"/>
    </xf>
    <xf numFmtId="0" fontId="22" fillId="7" borderId="41" xfId="1" applyFont="1" applyFill="1" applyBorder="1" applyAlignment="1">
      <alignment horizontal="center" vertical="center"/>
    </xf>
    <xf numFmtId="0" fontId="22" fillId="7" borderId="43" xfId="1" applyFont="1" applyFill="1" applyBorder="1" applyAlignment="1">
      <alignment horizontal="center" vertical="center"/>
    </xf>
    <xf numFmtId="0" fontId="20" fillId="30" borderId="58" xfId="1" applyFont="1" applyFill="1" applyBorder="1" applyAlignment="1">
      <alignment horizontal="center" vertical="center"/>
    </xf>
    <xf numFmtId="0" fontId="20" fillId="30" borderId="43" xfId="1" applyFont="1" applyFill="1" applyBorder="1" applyAlignment="1">
      <alignment horizontal="center" vertical="center"/>
    </xf>
    <xf numFmtId="0" fontId="20" fillId="3" borderId="57" xfId="1" applyFont="1" applyFill="1" applyBorder="1" applyAlignment="1">
      <alignment horizontal="center" vertical="center"/>
    </xf>
    <xf numFmtId="0" fontId="20" fillId="3" borderId="46" xfId="1" applyFont="1" applyFill="1" applyBorder="1" applyAlignment="1">
      <alignment horizontal="center" vertical="center"/>
    </xf>
    <xf numFmtId="0" fontId="14" fillId="30" borderId="12" xfId="1" applyFill="1" applyBorder="1"/>
    <xf numFmtId="0" fontId="14" fillId="7" borderId="18" xfId="1" applyFill="1" applyBorder="1"/>
    <xf numFmtId="0" fontId="14" fillId="0" borderId="18" xfId="1" applyBorder="1" applyAlignment="1">
      <alignment horizontal="center" vertical="center"/>
    </xf>
    <xf numFmtId="0" fontId="18" fillId="0" borderId="0" xfId="1" applyFont="1" applyBorder="1" applyAlignment="1">
      <alignment horizontal="center" vertical="center"/>
    </xf>
    <xf numFmtId="0" fontId="23" fillId="21" borderId="23" xfId="1" applyFont="1" applyFill="1" applyBorder="1" applyAlignment="1">
      <alignment horizontal="left" vertical="center" wrapText="1"/>
    </xf>
    <xf numFmtId="0" fontId="23" fillId="21" borderId="21" xfId="1" applyFont="1" applyFill="1" applyBorder="1" applyAlignment="1">
      <alignment horizontal="left" vertical="center" wrapText="1"/>
    </xf>
    <xf numFmtId="0" fontId="23" fillId="21" borderId="19" xfId="1" applyFont="1" applyFill="1" applyBorder="1" applyAlignment="1">
      <alignment horizontal="left" vertical="center" wrapText="1"/>
    </xf>
    <xf numFmtId="0" fontId="1" fillId="32" borderId="11" xfId="0" applyFont="1" applyFill="1" applyBorder="1" applyAlignment="1">
      <alignment horizontal="center" vertical="center"/>
    </xf>
    <xf numFmtId="0" fontId="1" fillId="29" borderId="12" xfId="0" applyFont="1" applyFill="1" applyBorder="1" applyAlignment="1">
      <alignment horizontal="center" vertical="center"/>
    </xf>
    <xf numFmtId="0" fontId="1" fillId="29" borderId="11" xfId="0" applyFont="1" applyFill="1" applyBorder="1" applyAlignment="1">
      <alignment horizontal="center" vertical="center"/>
    </xf>
    <xf numFmtId="0" fontId="1" fillId="29" borderId="11" xfId="0" applyFont="1" applyFill="1" applyBorder="1"/>
    <xf numFmtId="0" fontId="1" fillId="29" borderId="12" xfId="0" applyFont="1" applyFill="1" applyBorder="1"/>
    <xf numFmtId="171" fontId="1" fillId="32" borderId="53" xfId="0" applyNumberFormat="1" applyFont="1" applyFill="1" applyBorder="1" applyAlignment="1">
      <alignment horizontal="center" vertical="center"/>
    </xf>
    <xf numFmtId="0" fontId="0" fillId="0" borderId="0" xfId="0" applyFont="1" applyFill="1" applyBorder="1" applyAlignment="1">
      <alignment horizontal="center"/>
    </xf>
    <xf numFmtId="164" fontId="9" fillId="0" borderId="0" xfId="0" applyNumberFormat="1" applyFont="1" applyFill="1" applyBorder="1" applyAlignment="1">
      <alignment horizontal="center"/>
    </xf>
    <xf numFmtId="164" fontId="5" fillId="0" borderId="0" xfId="0" applyNumberFormat="1" applyFont="1" applyFill="1" applyBorder="1" applyAlignment="1">
      <alignment horizontal="center"/>
    </xf>
    <xf numFmtId="164" fontId="9" fillId="3" borderId="32" xfId="0" applyNumberFormat="1" applyFont="1" applyFill="1" applyBorder="1" applyAlignment="1">
      <alignment horizontal="center"/>
    </xf>
    <xf numFmtId="164" fontId="9" fillId="4" borderId="32" xfId="0" applyNumberFormat="1" applyFont="1" applyFill="1" applyBorder="1" applyAlignment="1">
      <alignment horizontal="center"/>
    </xf>
    <xf numFmtId="164" fontId="9" fillId="3" borderId="35" xfId="0" applyNumberFormat="1" applyFont="1" applyFill="1" applyBorder="1" applyAlignment="1">
      <alignment horizontal="center"/>
    </xf>
    <xf numFmtId="164" fontId="9" fillId="4" borderId="34" xfId="0" applyNumberFormat="1" applyFont="1" applyFill="1" applyBorder="1" applyAlignment="1">
      <alignment horizontal="center"/>
    </xf>
    <xf numFmtId="0" fontId="8" fillId="0" borderId="8" xfId="0" applyFont="1" applyFill="1" applyBorder="1" applyAlignment="1">
      <alignment horizontal="center"/>
    </xf>
    <xf numFmtId="0" fontId="8" fillId="0" borderId="9" xfId="0" applyFont="1" applyFill="1" applyBorder="1" applyAlignment="1">
      <alignment horizontal="center"/>
    </xf>
    <xf numFmtId="0" fontId="8" fillId="0" borderId="10" xfId="0" applyFont="1" applyFill="1" applyBorder="1" applyAlignment="1">
      <alignment horizontal="center"/>
    </xf>
    <xf numFmtId="0" fontId="21" fillId="22" borderId="8" xfId="1" applyFont="1" applyFill="1" applyBorder="1" applyAlignment="1">
      <alignment horizontal="center" vertical="center"/>
    </xf>
    <xf numFmtId="0" fontId="21" fillId="22" borderId="10" xfId="1" applyFont="1" applyFill="1" applyBorder="1" applyAlignment="1">
      <alignment horizontal="center" vertical="center"/>
    </xf>
    <xf numFmtId="0" fontId="21" fillId="20" borderId="8" xfId="1" applyFont="1" applyFill="1" applyBorder="1" applyAlignment="1">
      <alignment horizontal="center" vertical="center"/>
    </xf>
    <xf numFmtId="0" fontId="21" fillId="20" borderId="10" xfId="1" applyFont="1" applyFill="1" applyBorder="1" applyAlignment="1">
      <alignment horizontal="center" vertical="center"/>
    </xf>
    <xf numFmtId="0" fontId="0" fillId="0" borderId="1" xfId="0" applyBorder="1" applyAlignment="1">
      <alignment horizontal="left"/>
    </xf>
    <xf numFmtId="0" fontId="0" fillId="0" borderId="2"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applyAlignment="1">
      <alignment horizontal="left"/>
    </xf>
  </cellXfs>
  <cellStyles count="2">
    <cellStyle name="Normal" xfId="0" builtinId="0"/>
    <cellStyle name="Normal 2" xfId="1" xr:uid="{861BC67B-AFB0-4A08-98D9-80FBE0B1354D}"/>
  </cellStyles>
  <dxfs count="160">
    <dxf>
      <border outline="0">
        <top style="thin">
          <color indexed="64"/>
        </top>
      </border>
    </dxf>
    <dxf>
      <border outline="0">
        <left style="medium">
          <color indexed="64"/>
        </left>
        <right style="medium">
          <color indexed="64"/>
        </right>
        <top style="medium">
          <color indexed="64"/>
        </top>
        <bottom style="medium">
          <color indexed="64"/>
        </bottom>
      </border>
    </dxf>
    <dxf>
      <border outline="0">
        <bottom style="thin">
          <color indexed="64"/>
        </bottom>
      </border>
    </dxf>
    <dxf>
      <alignment horizontal="general" vertical="bottom" textRotation="0" wrapText="0" indent="0" justifyLastLine="0" shrinkToFit="0" readingOrder="0"/>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alignment horizontal="center" vertical="bottom" textRotation="0" wrapText="0" indent="0" justifyLastLine="0" shrinkToFit="0" readingOrder="0"/>
    </dxf>
    <dxf>
      <border outline="0">
        <bottom style="thin">
          <color indexed="64"/>
        </bottom>
      </border>
    </dxf>
    <dxf>
      <alignment horizontal="center" vertical="bottom" textRotation="0" wrapText="0" indent="0" justifyLastLine="0" shrinkToFit="0" readingOrder="0"/>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colors>
    <mruColors>
      <color rgb="FFAF78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06644846795787"/>
          <c:y val="4.9533681370053803E-2"/>
          <c:w val="0.8306663041989728"/>
          <c:h val="0.92555763948275416"/>
        </c:manualLayout>
      </c:layout>
      <c:lineChart>
        <c:grouping val="standard"/>
        <c:varyColors val="0"/>
        <c:ser>
          <c:idx val="0"/>
          <c:order val="0"/>
          <c:tx>
            <c:v>Vmon</c:v>
          </c:tx>
          <c:spPr>
            <a:ln w="38100" cap="rnd">
              <a:solidFill>
                <a:schemeClr val="accent1">
                  <a:lumMod val="60000"/>
                  <a:lumOff val="40000"/>
                </a:schemeClr>
              </a:solidFill>
              <a:round/>
            </a:ln>
            <a:effectLst/>
          </c:spPr>
          <c:marker>
            <c:symbol val="circle"/>
            <c:size val="5"/>
            <c:spPr>
              <a:solidFill>
                <a:schemeClr val="accent1"/>
              </a:solidFill>
              <a:ln w="9525">
                <a:solidFill>
                  <a:schemeClr val="accent1">
                    <a:lumMod val="60000"/>
                    <a:lumOff val="40000"/>
                  </a:schemeClr>
                </a:solidFill>
              </a:ln>
              <a:effectLst/>
            </c:spPr>
          </c:marker>
          <c:dLbls>
            <c:dLbl>
              <c:idx val="0"/>
              <c:layout>
                <c:manualLayout>
                  <c:x val="-0.10449421784464417"/>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66E-4DA2-82FA-A863841DBAE1}"/>
                </c:ext>
              </c:extLst>
            </c:dLbl>
            <c:dLbl>
              <c:idx val="1"/>
              <c:layout>
                <c:manualLayout>
                  <c:x val="2.4093930219640813E-3"/>
                  <c:y val="-1.2666893921848613E-3"/>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fld id="{34251658-2A4C-415F-A372-69A00CC08AEA}" type="YVALUE">
                      <a:rPr lang="en-US" sz="1600"/>
                      <a:pPr>
                        <a:defRPr sz="1600"/>
                      </a:pPr>
                      <a:t>[Y 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11677330851160567"/>
                      <c:h val="5.2723358818411087E-2"/>
                    </c:manualLayout>
                  </c15:layout>
                  <c15:dlblFieldTable/>
                  <c15:showDataLabelsRange val="0"/>
                </c:ext>
                <c:ext xmlns:c16="http://schemas.microsoft.com/office/drawing/2014/chart" uri="{C3380CC4-5D6E-409C-BE32-E72D297353CC}">
                  <c16:uniqueId val="{00000001-366E-4DA2-82FA-A863841DBAE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Threshold_Calculation!$AE$20:$AE$21</c:f>
              <c:numCache>
                <c:formatCode>General</c:formatCode>
                <c:ptCount val="2"/>
                <c:pt idx="0">
                  <c:v>0</c:v>
                </c:pt>
                <c:pt idx="1">
                  <c:v>1</c:v>
                </c:pt>
              </c:numCache>
            </c:numRef>
          </c:cat>
          <c:val>
            <c:numRef>
              <c:f>Threshold_Calculation!$AD$20:$AD$21</c:f>
              <c:numCache>
                <c:formatCode>General</c:formatCode>
                <c:ptCount val="2"/>
                <c:pt idx="0">
                  <c:v>3.3</c:v>
                </c:pt>
                <c:pt idx="1">
                  <c:v>3.3</c:v>
                </c:pt>
              </c:numCache>
            </c:numRef>
          </c:val>
          <c:smooth val="0"/>
          <c:extLst>
            <c:ext xmlns:c16="http://schemas.microsoft.com/office/drawing/2014/chart" uri="{C3380CC4-5D6E-409C-BE32-E72D297353CC}">
              <c16:uniqueId val="{00000002-366E-4DA2-82FA-A863841DBAE1}"/>
            </c:ext>
          </c:extLst>
        </c:ser>
        <c:ser>
          <c:idx val="1"/>
          <c:order val="1"/>
          <c:tx>
            <c:v>OV_HF</c:v>
          </c:tx>
          <c:spPr>
            <a:ln w="38100" cap="rnd">
              <a:solidFill>
                <a:srgbClr val="FF0000"/>
              </a:solidFill>
              <a:round/>
            </a:ln>
            <a:effectLst/>
          </c:spPr>
          <c:marker>
            <c:symbol val="circle"/>
            <c:size val="5"/>
            <c:spPr>
              <a:solidFill>
                <a:schemeClr val="accent2"/>
              </a:solidFill>
              <a:ln w="9525">
                <a:solidFill>
                  <a:schemeClr val="accent2"/>
                </a:solidFill>
              </a:ln>
              <a:effectLst/>
            </c:spPr>
          </c:marker>
          <c:dLbls>
            <c:dLbl>
              <c:idx val="0"/>
              <c:layout>
                <c:manualLayout>
                  <c:x val="-0.23381617205946464"/>
                  <c:y val="9.2053764681192902E-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66E-4DA2-82FA-A863841DBAE1}"/>
                </c:ext>
              </c:extLst>
            </c:dLbl>
            <c:dLbl>
              <c:idx val="1"/>
              <c:layout>
                <c:manualLayout>
                  <c:x val="-3.256480815339783E-2"/>
                  <c:y val="-6.4689901972040872E-3"/>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fld id="{1A1EAA64-7363-4EB7-89AC-54CA55280D2F}" type="YVALUE">
                      <a:rPr lang="en-US" sz="1600"/>
                      <a:pPr>
                        <a:defRPr sz="1600"/>
                      </a:pPr>
                      <a:t>[Y 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15930660384280113"/>
                      <c:h val="4.4631637586926703E-2"/>
                    </c:manualLayout>
                  </c15:layout>
                  <c15:dlblFieldTable/>
                  <c15:showDataLabelsRange val="0"/>
                </c:ext>
                <c:ext xmlns:c16="http://schemas.microsoft.com/office/drawing/2014/chart" uri="{C3380CC4-5D6E-409C-BE32-E72D297353CC}">
                  <c16:uniqueId val="{00000004-366E-4DA2-82FA-A863841DBAE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Threshold_Calculation!$AE$18:$AE$19</c:f>
              <c:numCache>
                <c:formatCode>General</c:formatCode>
                <c:ptCount val="2"/>
                <c:pt idx="0">
                  <c:v>0</c:v>
                </c:pt>
                <c:pt idx="1">
                  <c:v>1</c:v>
                </c:pt>
              </c:numCache>
            </c:numRef>
          </c:cat>
          <c:val>
            <c:numRef>
              <c:f>Threshold_Calculation!$AD$18:$AD$19</c:f>
              <c:numCache>
                <c:formatCode>General</c:formatCode>
                <c:ptCount val="2"/>
                <c:pt idx="0">
                  <c:v>3.3799999999999901</c:v>
                </c:pt>
                <c:pt idx="1">
                  <c:v>3.3799999999999901</c:v>
                </c:pt>
              </c:numCache>
            </c:numRef>
          </c:val>
          <c:smooth val="0"/>
          <c:extLst>
            <c:ext xmlns:c16="http://schemas.microsoft.com/office/drawing/2014/chart" uri="{C3380CC4-5D6E-409C-BE32-E72D297353CC}">
              <c16:uniqueId val="{00000005-366E-4DA2-82FA-A863841DBAE1}"/>
            </c:ext>
          </c:extLst>
        </c:ser>
        <c:ser>
          <c:idx val="2"/>
          <c:order val="2"/>
          <c:tx>
            <c:v>OV_LF</c:v>
          </c:tx>
          <c:spPr>
            <a:ln w="38100" cap="rnd">
              <a:solidFill>
                <a:srgbClr val="FFC000"/>
              </a:solidFill>
              <a:round/>
            </a:ln>
            <a:effectLst/>
          </c:spPr>
          <c:marker>
            <c:symbol val="circle"/>
            <c:size val="5"/>
            <c:spPr>
              <a:solidFill>
                <a:schemeClr val="accent3"/>
              </a:solidFill>
              <a:ln w="9525">
                <a:solidFill>
                  <a:srgbClr val="FFC000"/>
                </a:solidFill>
              </a:ln>
              <a:effectLst/>
            </c:spPr>
          </c:marker>
          <c:dLbls>
            <c:dLbl>
              <c:idx val="0"/>
              <c:layout>
                <c:manualLayout>
                  <c:x val="-0.12472271110906862"/>
                  <c:y val="-8.5128581218514507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66E-4DA2-82FA-A863841DBAE1}"/>
                </c:ext>
              </c:extLst>
            </c:dLbl>
            <c:dLbl>
              <c:idx val="1"/>
              <c:layout>
                <c:manualLayout>
                  <c:x val="7.2022646022975145E-2"/>
                  <c:y val="-3.6248558031470026E-3"/>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fld id="{A0B956F1-76A7-4482-8998-B82CB1BCC30E}" type="YVALUE">
                      <a:rPr lang="en-US" sz="1600"/>
                      <a:pPr>
                        <a:defRPr sz="1600"/>
                      </a:pPr>
                      <a:t>[Y 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12502724774034218"/>
                      <c:h val="5.2690931309772045E-2"/>
                    </c:manualLayout>
                  </c15:layout>
                  <c15:dlblFieldTable/>
                  <c15:showDataLabelsRange val="0"/>
                </c:ext>
                <c:ext xmlns:c16="http://schemas.microsoft.com/office/drawing/2014/chart" uri="{C3380CC4-5D6E-409C-BE32-E72D297353CC}">
                  <c16:uniqueId val="{00000007-366E-4DA2-82FA-A863841DBAE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Threshold_Calculation!$AE$16:$AE$17</c:f>
              <c:numCache>
                <c:formatCode>General</c:formatCode>
                <c:ptCount val="2"/>
                <c:pt idx="0">
                  <c:v>0</c:v>
                </c:pt>
                <c:pt idx="1">
                  <c:v>1</c:v>
                </c:pt>
              </c:numCache>
            </c:numRef>
          </c:cat>
          <c:val>
            <c:numRef>
              <c:f>Threshold_Calculation!$AD$16:$AD$17</c:f>
              <c:numCache>
                <c:formatCode>General</c:formatCode>
                <c:ptCount val="2"/>
                <c:pt idx="0">
                  <c:v>3.3599999999999901</c:v>
                </c:pt>
                <c:pt idx="1">
                  <c:v>3.3599999999999901</c:v>
                </c:pt>
              </c:numCache>
            </c:numRef>
          </c:val>
          <c:smooth val="0"/>
          <c:extLst>
            <c:ext xmlns:c16="http://schemas.microsoft.com/office/drawing/2014/chart" uri="{C3380CC4-5D6E-409C-BE32-E72D297353CC}">
              <c16:uniqueId val="{00000008-366E-4DA2-82FA-A863841DBAE1}"/>
            </c:ext>
          </c:extLst>
        </c:ser>
        <c:ser>
          <c:idx val="3"/>
          <c:order val="3"/>
          <c:tx>
            <c:v>UV_LF</c:v>
          </c:tx>
          <c:spPr>
            <a:ln w="38100" cap="rnd">
              <a:solidFill>
                <a:srgbClr val="0070C0"/>
              </a:solidFill>
              <a:round/>
            </a:ln>
            <a:effectLst/>
          </c:spPr>
          <c:marker>
            <c:symbol val="circle"/>
            <c:size val="5"/>
            <c:spPr>
              <a:solidFill>
                <a:schemeClr val="accent4"/>
              </a:solidFill>
              <a:ln w="9525">
                <a:solidFill>
                  <a:srgbClr val="0070C0"/>
                </a:solidFill>
              </a:ln>
              <a:effectLst/>
            </c:spPr>
          </c:marker>
          <c:dLbls>
            <c:dLbl>
              <c:idx val="0"/>
              <c:layout>
                <c:manualLayout>
                  <c:x val="-0.12135456710018544"/>
                  <c:y val="9.460840625651945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366E-4DA2-82FA-A863841DBAE1}"/>
                </c:ext>
              </c:extLst>
            </c:dLbl>
            <c:dLbl>
              <c:idx val="1"/>
              <c:layout>
                <c:manualLayout>
                  <c:x val="7.3481478691317492E-2"/>
                  <c:y val="-4.1559796401868781E-3"/>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fld id="{D0A77C07-CA75-4746-910B-45DAF42C7565}" type="YVALUE">
                      <a:rPr lang="en-US" sz="1600"/>
                      <a:pPr>
                        <a:defRPr sz="1600"/>
                      </a:pPr>
                      <a:t>[Y 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12334438346005797"/>
                      <c:h val="8.3519536374432629E-2"/>
                    </c:manualLayout>
                  </c15:layout>
                  <c15:dlblFieldTable/>
                  <c15:showDataLabelsRange val="0"/>
                </c:ext>
                <c:ext xmlns:c16="http://schemas.microsoft.com/office/drawing/2014/chart" uri="{C3380CC4-5D6E-409C-BE32-E72D297353CC}">
                  <c16:uniqueId val="{00000009-366E-4DA2-82FA-A863841DBAE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Threshold_Calculation!$AE$22:$AE$23</c:f>
              <c:numCache>
                <c:formatCode>General</c:formatCode>
                <c:ptCount val="2"/>
                <c:pt idx="0">
                  <c:v>0</c:v>
                </c:pt>
                <c:pt idx="1">
                  <c:v>1</c:v>
                </c:pt>
              </c:numCache>
            </c:numRef>
          </c:cat>
          <c:val>
            <c:numRef>
              <c:f>Threshold_Calculation!$AD$22:$AD$23</c:f>
              <c:numCache>
                <c:formatCode>General</c:formatCode>
                <c:ptCount val="2"/>
                <c:pt idx="0">
                  <c:v>3.23999999999999</c:v>
                </c:pt>
                <c:pt idx="1">
                  <c:v>3.23999999999999</c:v>
                </c:pt>
              </c:numCache>
            </c:numRef>
          </c:val>
          <c:smooth val="0"/>
          <c:extLst>
            <c:ext xmlns:c16="http://schemas.microsoft.com/office/drawing/2014/chart" uri="{C3380CC4-5D6E-409C-BE32-E72D297353CC}">
              <c16:uniqueId val="{0000000A-366E-4DA2-82FA-A863841DBAE1}"/>
            </c:ext>
          </c:extLst>
        </c:ser>
        <c:ser>
          <c:idx val="4"/>
          <c:order val="4"/>
          <c:tx>
            <c:v>UV_HF</c:v>
          </c:tx>
          <c:spPr>
            <a:ln w="38100" cap="rnd">
              <a:solidFill>
                <a:srgbClr val="7030A0"/>
              </a:solidFill>
              <a:round/>
            </a:ln>
            <a:effectLst/>
          </c:spPr>
          <c:marker>
            <c:symbol val="circle"/>
            <c:size val="5"/>
            <c:spPr>
              <a:solidFill>
                <a:schemeClr val="accent5"/>
              </a:solidFill>
              <a:ln w="9525">
                <a:solidFill>
                  <a:srgbClr val="7030A0"/>
                </a:solidFill>
              </a:ln>
              <a:effectLst/>
            </c:spPr>
          </c:marker>
          <c:dLbls>
            <c:dLbl>
              <c:idx val="0"/>
              <c:layout>
                <c:manualLayout>
                  <c:x val="-0.24174033090842698"/>
                  <c:y val="2.622531484719206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66E-4DA2-82FA-A863841DBAE1}"/>
                </c:ext>
              </c:extLst>
            </c:dLbl>
            <c:dLbl>
              <c:idx val="1"/>
              <c:layout>
                <c:manualLayout>
                  <c:x val="-1.4563832118149882E-3"/>
                  <c:y val="-3.544470681940355E-3"/>
                </c:manualLayout>
              </c:layout>
              <c:tx>
                <c:rich>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fld id="{A28989EF-FEEF-4579-8976-E71A6FCE1169}" type="YVALUE">
                      <a:rPr lang="en-US" sz="1600" b="0"/>
                      <a:pPr>
                        <a:defRPr sz="1600"/>
                      </a:pPr>
                      <a:t>[Y 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extLst>
                <c:ext xmlns:c15="http://schemas.microsoft.com/office/drawing/2012/chart" uri="{CE6537A1-D6FC-4f65-9D91-7224C49458BB}">
                  <c15:layout>
                    <c:manualLayout>
                      <c:w val="0.114536392454646"/>
                      <c:h val="0.10254300278683887"/>
                    </c:manualLayout>
                  </c15:layout>
                  <c15:dlblFieldTable/>
                  <c15:showDataLabelsRange val="0"/>
                </c:ext>
                <c:ext xmlns:c16="http://schemas.microsoft.com/office/drawing/2014/chart" uri="{C3380CC4-5D6E-409C-BE32-E72D297353CC}">
                  <c16:uniqueId val="{0000000B-366E-4DA2-82FA-A863841DBAE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Threshold_Calculation!$AE$24:$AE$25</c:f>
              <c:numCache>
                <c:formatCode>General</c:formatCode>
                <c:ptCount val="2"/>
                <c:pt idx="0">
                  <c:v>0</c:v>
                </c:pt>
                <c:pt idx="1">
                  <c:v>1</c:v>
                </c:pt>
              </c:numCache>
            </c:numRef>
          </c:cat>
          <c:val>
            <c:numRef>
              <c:f>Threshold_Calculation!$AD$24:$AD$25</c:f>
              <c:numCache>
                <c:formatCode>General</c:formatCode>
                <c:ptCount val="2"/>
                <c:pt idx="0">
                  <c:v>3.21999999999999</c:v>
                </c:pt>
                <c:pt idx="1">
                  <c:v>3.21999999999999</c:v>
                </c:pt>
              </c:numCache>
            </c:numRef>
          </c:val>
          <c:smooth val="0"/>
          <c:extLst>
            <c:ext xmlns:c16="http://schemas.microsoft.com/office/drawing/2014/chart" uri="{C3380CC4-5D6E-409C-BE32-E72D297353CC}">
              <c16:uniqueId val="{0000000C-366E-4DA2-82FA-A863841DBAE1}"/>
            </c:ext>
          </c:extLst>
        </c:ser>
        <c:dLbls>
          <c:showLegendKey val="0"/>
          <c:showVal val="0"/>
          <c:showCatName val="0"/>
          <c:showSerName val="0"/>
          <c:showPercent val="0"/>
          <c:showBubbleSize val="0"/>
        </c:dLbls>
        <c:marker val="1"/>
        <c:smooth val="0"/>
        <c:axId val="1808601967"/>
        <c:axId val="1799351311"/>
      </c:lineChart>
      <c:catAx>
        <c:axId val="180860196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351311"/>
        <c:crosses val="autoZero"/>
        <c:auto val="1"/>
        <c:lblAlgn val="ctr"/>
        <c:lblOffset val="100"/>
        <c:noMultiLvlLbl val="0"/>
      </c:catAx>
      <c:valAx>
        <c:axId val="179935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a:solidFill>
                      <a:sysClr val="windowText" lastClr="000000"/>
                    </a:solidFill>
                  </a:rPr>
                  <a:t>Threshold</a:t>
                </a:r>
                <a:r>
                  <a:rPr lang="en-US" sz="1800" baseline="0">
                    <a:solidFill>
                      <a:sysClr val="windowText" lastClr="000000"/>
                    </a:solidFill>
                  </a:rPr>
                  <a:t> Voltage (V)</a:t>
                </a:r>
                <a:endParaRPr lang="en-US" sz="1800">
                  <a:solidFill>
                    <a:sysClr val="windowText" lastClr="000000"/>
                  </a:solidFill>
                </a:endParaRPr>
              </a:p>
            </c:rich>
          </c:tx>
          <c:layout>
            <c:manualLayout>
              <c:xMode val="edge"/>
              <c:yMode val="edge"/>
              <c:x val="1.7808648463142243E-2"/>
              <c:y val="0.286198090371087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1808601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20451485360068E-2"/>
          <c:y val="3.0714221640198523E-2"/>
          <c:w val="0.86126004282160507"/>
          <c:h val="0.79442811204936725"/>
        </c:manualLayout>
      </c:layout>
      <c:scatterChart>
        <c:scatterStyle val="lineMarker"/>
        <c:varyColors val="0"/>
        <c:ser>
          <c:idx val="0"/>
          <c:order val="0"/>
          <c:tx>
            <c:v>VDD</c:v>
          </c:tx>
          <c:spPr>
            <a:ln w="38100"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6C72-48F1-AE07-76796585B990}"/>
                </c:ext>
              </c:extLst>
            </c:dLbl>
            <c:dLbl>
              <c:idx val="1"/>
              <c:tx>
                <c:rich>
                  <a:bodyPr/>
                  <a:lstStyle/>
                  <a:p>
                    <a:fld id="{34251658-2A4C-415F-A372-69A00CC08AEA}" type="YVALUE">
                      <a:rPr lang="en-US" sz="1000"/>
                      <a:pPr/>
                      <a:t>[Y 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C72-48F1-AE07-76796585B99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Threshold_Calculation!$AE$20:$AE$21</c:f>
              <c:numCache>
                <c:formatCode>General</c:formatCode>
                <c:ptCount val="2"/>
                <c:pt idx="0">
                  <c:v>0</c:v>
                </c:pt>
                <c:pt idx="1">
                  <c:v>1</c:v>
                </c:pt>
              </c:numCache>
            </c:numRef>
          </c:xVal>
          <c:yVal>
            <c:numRef>
              <c:f>Threshold_Calculation!$AD$20:$AD$21</c:f>
              <c:numCache>
                <c:formatCode>General</c:formatCode>
                <c:ptCount val="2"/>
                <c:pt idx="0">
                  <c:v>3.3</c:v>
                </c:pt>
                <c:pt idx="1">
                  <c:v>3.3</c:v>
                </c:pt>
              </c:numCache>
            </c:numRef>
          </c:yVal>
          <c:smooth val="0"/>
          <c:extLst>
            <c:ext xmlns:c16="http://schemas.microsoft.com/office/drawing/2014/chart" uri="{C3380CC4-5D6E-409C-BE32-E72D297353CC}">
              <c16:uniqueId val="{00000000-6C72-48F1-AE07-76796585B990}"/>
            </c:ext>
          </c:extLst>
        </c:ser>
        <c:ser>
          <c:idx val="1"/>
          <c:order val="1"/>
          <c:tx>
            <c:v>OV_HF</c:v>
          </c:tx>
          <c:spPr>
            <a:ln w="38100" cap="rnd">
              <a:solidFill>
                <a:srgbClr val="FF0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C72-48F1-AE07-76796585B990}"/>
                </c:ext>
              </c:extLst>
            </c:dLbl>
            <c:dLbl>
              <c:idx val="1"/>
              <c:layout>
                <c:manualLayout>
                  <c:x val="2.6463494585134448E-2"/>
                  <c:y val="-3.7986051465431138E-2"/>
                </c:manualLayout>
              </c:layout>
              <c:tx>
                <c:rich>
                  <a:bodyPr/>
                  <a:lstStyle/>
                  <a:p>
                    <a:fld id="{1A1EAA64-7363-4EB7-89AC-54CA55280D2F}" type="YVALUE">
                      <a:rPr lang="en-US" sz="1000"/>
                      <a:pPr/>
                      <a:t>[Y 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C72-48F1-AE07-76796585B99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Threshold_Calculation!$AE$18:$AE$19</c:f>
              <c:numCache>
                <c:formatCode>General</c:formatCode>
                <c:ptCount val="2"/>
                <c:pt idx="0">
                  <c:v>0</c:v>
                </c:pt>
                <c:pt idx="1">
                  <c:v>1</c:v>
                </c:pt>
              </c:numCache>
            </c:numRef>
          </c:xVal>
          <c:yVal>
            <c:numRef>
              <c:f>Threshold_Calculation!$AD$18:$AD$19</c:f>
              <c:numCache>
                <c:formatCode>General</c:formatCode>
                <c:ptCount val="2"/>
                <c:pt idx="0">
                  <c:v>3.3799999999999901</c:v>
                </c:pt>
                <c:pt idx="1">
                  <c:v>3.3799999999999901</c:v>
                </c:pt>
              </c:numCache>
            </c:numRef>
          </c:yVal>
          <c:smooth val="0"/>
          <c:extLst>
            <c:ext xmlns:c16="http://schemas.microsoft.com/office/drawing/2014/chart" uri="{C3380CC4-5D6E-409C-BE32-E72D297353CC}">
              <c16:uniqueId val="{00000003-6C72-48F1-AE07-76796585B990}"/>
            </c:ext>
          </c:extLst>
        </c:ser>
        <c:ser>
          <c:idx val="2"/>
          <c:order val="2"/>
          <c:tx>
            <c:v>OV_LF</c:v>
          </c:tx>
          <c:spPr>
            <a:ln w="38100" cap="rnd">
              <a:solidFill>
                <a:srgbClr val="FFC0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6C72-48F1-AE07-76796585B990}"/>
                </c:ext>
              </c:extLst>
            </c:dLbl>
            <c:dLbl>
              <c:idx val="1"/>
              <c:layout>
                <c:manualLayout>
                  <c:x val="8.2961157913505109E-3"/>
                  <c:y val="-7.5924567913437232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0B956F1-76A7-4482-8998-B82CB1BCC30E}" type="YVALUE">
                      <a:rPr lang="en-US" sz="1050"/>
                      <a:pPr>
                        <a:defRPr/>
                      </a:pPr>
                      <a:t>[Y 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6C72-48F1-AE07-76796585B99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Threshold_Calculation!$AE$16:$AE$17</c:f>
              <c:numCache>
                <c:formatCode>General</c:formatCode>
                <c:ptCount val="2"/>
                <c:pt idx="0">
                  <c:v>0</c:v>
                </c:pt>
                <c:pt idx="1">
                  <c:v>1</c:v>
                </c:pt>
              </c:numCache>
            </c:numRef>
          </c:xVal>
          <c:yVal>
            <c:numRef>
              <c:f>Threshold_Calculation!$AD$16:$AD$17</c:f>
              <c:numCache>
                <c:formatCode>General</c:formatCode>
                <c:ptCount val="2"/>
                <c:pt idx="0">
                  <c:v>3.3599999999999901</c:v>
                </c:pt>
                <c:pt idx="1">
                  <c:v>3.3599999999999901</c:v>
                </c:pt>
              </c:numCache>
            </c:numRef>
          </c:yVal>
          <c:smooth val="0"/>
          <c:extLst>
            <c:ext xmlns:c16="http://schemas.microsoft.com/office/drawing/2014/chart" uri="{C3380CC4-5D6E-409C-BE32-E72D297353CC}">
              <c16:uniqueId val="{00000006-6C72-48F1-AE07-76796585B990}"/>
            </c:ext>
          </c:extLst>
        </c:ser>
        <c:ser>
          <c:idx val="3"/>
          <c:order val="3"/>
          <c:tx>
            <c:v>UV_LF</c:v>
          </c:tx>
          <c:spPr>
            <a:ln w="38100" cap="rnd">
              <a:solidFill>
                <a:schemeClr val="accent4"/>
              </a:solidFill>
              <a:round/>
            </a:ln>
            <a:effectLst/>
          </c:spPr>
          <c:marker>
            <c:symbol val="none"/>
          </c:marker>
          <c:dLbls>
            <c:dLbl>
              <c:idx val="1"/>
              <c:layout>
                <c:manualLayout>
                  <c:x val="9.9466584099287617E-3"/>
                  <c:y val="-8.22240993008151E-3"/>
                </c:manualLayout>
              </c:layout>
              <c:showLegendKey val="0"/>
              <c:showVal val="1"/>
              <c:showCatName val="0"/>
              <c:showSerName val="0"/>
              <c:showPercent val="0"/>
              <c:showBubbleSize val="0"/>
              <c:extLst>
                <c:ext xmlns:c15="http://schemas.microsoft.com/office/drawing/2012/chart" uri="{CE6537A1-D6FC-4f65-9D91-7224C49458BB}">
                  <c15:layout>
                    <c:manualLayout>
                      <c:w val="3.9347515812288347E-2"/>
                      <c:h val="4.1674022234604993E-2"/>
                    </c:manualLayout>
                  </c15:layout>
                </c:ext>
                <c:ext xmlns:c16="http://schemas.microsoft.com/office/drawing/2014/chart" uri="{C3380CC4-5D6E-409C-BE32-E72D297353CC}">
                  <c16:uniqueId val="{00000010-6C72-48F1-AE07-76796585B99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Threshold_Calculation!$AE$22:$AE$23</c:f>
              <c:numCache>
                <c:formatCode>General</c:formatCode>
                <c:ptCount val="2"/>
                <c:pt idx="0">
                  <c:v>0</c:v>
                </c:pt>
                <c:pt idx="1">
                  <c:v>1</c:v>
                </c:pt>
              </c:numCache>
            </c:numRef>
          </c:xVal>
          <c:yVal>
            <c:numRef>
              <c:f>Threshold_Calculation!$AD$22:$AD$23</c:f>
              <c:numCache>
                <c:formatCode>General</c:formatCode>
                <c:ptCount val="2"/>
                <c:pt idx="0">
                  <c:v>3.23999999999999</c:v>
                </c:pt>
                <c:pt idx="1">
                  <c:v>3.23999999999999</c:v>
                </c:pt>
              </c:numCache>
            </c:numRef>
          </c:yVal>
          <c:smooth val="0"/>
          <c:extLst>
            <c:ext xmlns:c16="http://schemas.microsoft.com/office/drawing/2014/chart" uri="{C3380CC4-5D6E-409C-BE32-E72D297353CC}">
              <c16:uniqueId val="{0000000C-6C72-48F1-AE07-76796585B990}"/>
            </c:ext>
          </c:extLst>
        </c:ser>
        <c:ser>
          <c:idx val="4"/>
          <c:order val="4"/>
          <c:tx>
            <c:v>UV_HF</c:v>
          </c:tx>
          <c:spPr>
            <a:ln w="38100" cap="rnd">
              <a:solidFill>
                <a:schemeClr val="accent5"/>
              </a:solidFill>
              <a:round/>
            </a:ln>
            <a:effectLst/>
          </c:spPr>
          <c:marker>
            <c:symbol val="none"/>
          </c:marker>
          <c:dLbls>
            <c:dLbl>
              <c:idx val="1"/>
              <c:layout>
                <c:manualLayout>
                  <c:x val="2.984017103143323E-2"/>
                  <c:y val="4.9334459580488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C72-48F1-AE07-76796585B99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Threshold_Calculation!$AE$24:$AE$25</c:f>
              <c:numCache>
                <c:formatCode>General</c:formatCode>
                <c:ptCount val="2"/>
                <c:pt idx="0">
                  <c:v>0</c:v>
                </c:pt>
                <c:pt idx="1">
                  <c:v>1</c:v>
                </c:pt>
              </c:numCache>
            </c:numRef>
          </c:xVal>
          <c:yVal>
            <c:numRef>
              <c:f>Threshold_Calculation!$AD$24:$AD$25</c:f>
              <c:numCache>
                <c:formatCode>General</c:formatCode>
                <c:ptCount val="2"/>
                <c:pt idx="0">
                  <c:v>3.21999999999999</c:v>
                </c:pt>
                <c:pt idx="1">
                  <c:v>3.21999999999999</c:v>
                </c:pt>
              </c:numCache>
            </c:numRef>
          </c:yVal>
          <c:smooth val="0"/>
          <c:extLst>
            <c:ext xmlns:c16="http://schemas.microsoft.com/office/drawing/2014/chart" uri="{C3380CC4-5D6E-409C-BE32-E72D297353CC}">
              <c16:uniqueId val="{0000000D-6C72-48F1-AE07-76796585B990}"/>
            </c:ext>
          </c:extLst>
        </c:ser>
        <c:dLbls>
          <c:showLegendKey val="0"/>
          <c:showVal val="0"/>
          <c:showCatName val="0"/>
          <c:showSerName val="0"/>
          <c:showPercent val="0"/>
          <c:showBubbleSize val="0"/>
        </c:dLbls>
        <c:axId val="1808601967"/>
        <c:axId val="1799351311"/>
      </c:scatterChart>
      <c:valAx>
        <c:axId val="1808601967"/>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351311"/>
        <c:crosses val="autoZero"/>
        <c:crossBetween val="midCat"/>
      </c:valAx>
      <c:valAx>
        <c:axId val="1799351311"/>
        <c:scaling>
          <c:orientation val="minMax"/>
          <c:max val="5.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808601967"/>
        <c:crosses val="autoZero"/>
        <c:crossBetween val="midCat"/>
        <c:majorUnit val="0.2"/>
      </c:valAx>
      <c:spPr>
        <a:noFill/>
        <a:ln>
          <a:noFill/>
        </a:ln>
        <a:effectLst/>
      </c:spPr>
    </c:plotArea>
    <c:legend>
      <c:legendPos val="r"/>
      <c:layout>
        <c:manualLayout>
          <c:xMode val="edge"/>
          <c:yMode val="edge"/>
          <c:x val="0.72235793617519273"/>
          <c:y val="0.84840018194059685"/>
          <c:w val="0.14987617919849558"/>
          <c:h val="0.12429089297854271"/>
        </c:manualLayout>
      </c:layout>
      <c:overlay val="0"/>
      <c:spPr>
        <a:noFill/>
        <a:ln>
          <a:solidFill>
            <a:srgbClr val="C00000"/>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chart" Target="../charts/chart1.xml"/><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193114</xdr:colOff>
      <xdr:row>71</xdr:row>
      <xdr:rowOff>2901</xdr:rowOff>
    </xdr:from>
    <xdr:to>
      <xdr:col>20</xdr:col>
      <xdr:colOff>158870</xdr:colOff>
      <xdr:row>89</xdr:row>
      <xdr:rowOff>2902</xdr:rowOff>
    </xdr:to>
    <xdr:pic>
      <xdr:nvPicPr>
        <xdr:cNvPr id="4" name="Picture 3">
          <a:extLst>
            <a:ext uri="{FF2B5EF4-FFF2-40B4-BE49-F238E27FC236}">
              <a16:creationId xmlns:a16="http://schemas.microsoft.com/office/drawing/2014/main" id="{46E22452-7F3A-4BC7-891A-0BFE10689E48}"/>
            </a:ext>
          </a:extLst>
        </xdr:cNvPr>
        <xdr:cNvPicPr>
          <a:picLocks noChangeAspect="1"/>
        </xdr:cNvPicPr>
      </xdr:nvPicPr>
      <xdr:blipFill>
        <a:blip xmlns:r="http://schemas.openxmlformats.org/officeDocument/2006/relationships" r:embed="rId1"/>
        <a:stretch>
          <a:fillRect/>
        </a:stretch>
      </xdr:blipFill>
      <xdr:spPr>
        <a:xfrm>
          <a:off x="193114" y="12987381"/>
          <a:ext cx="12157756" cy="3291841"/>
        </a:xfrm>
        <a:prstGeom prst="rect">
          <a:avLst/>
        </a:prstGeom>
      </xdr:spPr>
    </xdr:pic>
    <xdr:clientData/>
  </xdr:twoCellAnchor>
  <xdr:twoCellAnchor editAs="oneCell">
    <xdr:from>
      <xdr:col>15</xdr:col>
      <xdr:colOff>466103</xdr:colOff>
      <xdr:row>6</xdr:row>
      <xdr:rowOff>159504</xdr:rowOff>
    </xdr:from>
    <xdr:to>
      <xdr:col>29</xdr:col>
      <xdr:colOff>201792</xdr:colOff>
      <xdr:row>32</xdr:row>
      <xdr:rowOff>38925</xdr:rowOff>
    </xdr:to>
    <xdr:pic>
      <xdr:nvPicPr>
        <xdr:cNvPr id="7" name="Picture 6">
          <a:extLst>
            <a:ext uri="{FF2B5EF4-FFF2-40B4-BE49-F238E27FC236}">
              <a16:creationId xmlns:a16="http://schemas.microsoft.com/office/drawing/2014/main" id="{309C0FFA-A89C-43FD-BE5C-DD8080FCDA74}"/>
            </a:ext>
          </a:extLst>
        </xdr:cNvPr>
        <xdr:cNvPicPr>
          <a:picLocks noChangeAspect="1"/>
        </xdr:cNvPicPr>
      </xdr:nvPicPr>
      <xdr:blipFill>
        <a:blip xmlns:r="http://schemas.openxmlformats.org/officeDocument/2006/relationships" r:embed="rId2"/>
        <a:stretch>
          <a:fillRect/>
        </a:stretch>
      </xdr:blipFill>
      <xdr:spPr>
        <a:xfrm>
          <a:off x="9610103" y="1245354"/>
          <a:ext cx="8270089" cy="4584771"/>
        </a:xfrm>
        <a:prstGeom prst="rect">
          <a:avLst/>
        </a:prstGeom>
      </xdr:spPr>
    </xdr:pic>
    <xdr:clientData/>
  </xdr:twoCellAnchor>
  <xdr:twoCellAnchor>
    <xdr:from>
      <xdr:col>0</xdr:col>
      <xdr:colOff>425693</xdr:colOff>
      <xdr:row>10</xdr:row>
      <xdr:rowOff>41089</xdr:rowOff>
    </xdr:from>
    <xdr:to>
      <xdr:col>15</xdr:col>
      <xdr:colOff>62054</xdr:colOff>
      <xdr:row>13</xdr:row>
      <xdr:rowOff>124380</xdr:rowOff>
    </xdr:to>
    <xdr:sp macro="" textlink="">
      <xdr:nvSpPr>
        <xdr:cNvPr id="6" name="TextBox 5">
          <a:extLst>
            <a:ext uri="{FF2B5EF4-FFF2-40B4-BE49-F238E27FC236}">
              <a16:creationId xmlns:a16="http://schemas.microsoft.com/office/drawing/2014/main" id="{DDAA2DD6-739A-43A7-872D-50E9AAC38E40}"/>
            </a:ext>
          </a:extLst>
        </xdr:cNvPr>
        <xdr:cNvSpPr txBox="1"/>
      </xdr:nvSpPr>
      <xdr:spPr>
        <a:xfrm>
          <a:off x="425693" y="1858166"/>
          <a:ext cx="8780361" cy="628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Using the Vmon Enable cells specify the monitors which are required to be active,</a:t>
          </a:r>
          <a:r>
            <a:rPr lang="en-US" sz="1400" baseline="0"/>
            <a:t> each cell contains a drop down menu. Using the Vmon cells </a:t>
          </a:r>
          <a:r>
            <a:rPr lang="en-US" sz="1400"/>
            <a:t>list the nominal voltage which will be applied to MONx. </a:t>
          </a:r>
        </a:p>
      </xdr:txBody>
    </xdr:sp>
    <xdr:clientData/>
  </xdr:twoCellAnchor>
  <xdr:twoCellAnchor>
    <xdr:from>
      <xdr:col>0</xdr:col>
      <xdr:colOff>315059</xdr:colOff>
      <xdr:row>22</xdr:row>
      <xdr:rowOff>156152</xdr:rowOff>
    </xdr:from>
    <xdr:to>
      <xdr:col>8</xdr:col>
      <xdr:colOff>295347</xdr:colOff>
      <xdr:row>24</xdr:row>
      <xdr:rowOff>166218</xdr:rowOff>
    </xdr:to>
    <xdr:sp macro="" textlink="">
      <xdr:nvSpPr>
        <xdr:cNvPr id="14" name="TextBox 13">
          <a:extLst>
            <a:ext uri="{FF2B5EF4-FFF2-40B4-BE49-F238E27FC236}">
              <a16:creationId xmlns:a16="http://schemas.microsoft.com/office/drawing/2014/main" id="{8EA26BBF-E8B8-4470-B3A0-90429DB8F5FA}"/>
            </a:ext>
          </a:extLst>
        </xdr:cNvPr>
        <xdr:cNvSpPr txBox="1"/>
      </xdr:nvSpPr>
      <xdr:spPr>
        <a:xfrm>
          <a:off x="315059" y="4100623"/>
          <a:ext cx="4857088" cy="3686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Step Two:</a:t>
          </a:r>
          <a:r>
            <a:rPr lang="en-US" sz="2000" b="1" baseline="0">
              <a:solidFill>
                <a:srgbClr val="FF0000"/>
              </a:solidFill>
            </a:rPr>
            <a:t> Set the Monitor's Threshold</a:t>
          </a:r>
          <a:endParaRPr lang="en-US" sz="2000" b="1">
            <a:solidFill>
              <a:srgbClr val="FF0000"/>
            </a:solidFill>
          </a:endParaRPr>
        </a:p>
      </xdr:txBody>
    </xdr:sp>
    <xdr:clientData/>
  </xdr:twoCellAnchor>
  <xdr:twoCellAnchor>
    <xdr:from>
      <xdr:col>0</xdr:col>
      <xdr:colOff>311393</xdr:colOff>
      <xdr:row>25</xdr:row>
      <xdr:rowOff>48527</xdr:rowOff>
    </xdr:from>
    <xdr:to>
      <xdr:col>15</xdr:col>
      <xdr:colOff>255513</xdr:colOff>
      <xdr:row>34</xdr:row>
      <xdr:rowOff>78280</xdr:rowOff>
    </xdr:to>
    <xdr:sp macro="" textlink="">
      <xdr:nvSpPr>
        <xdr:cNvPr id="20" name="TextBox 19">
          <a:extLst>
            <a:ext uri="{FF2B5EF4-FFF2-40B4-BE49-F238E27FC236}">
              <a16:creationId xmlns:a16="http://schemas.microsoft.com/office/drawing/2014/main" id="{60FD5849-5D3A-4810-9C16-01B6EAFC59E4}"/>
            </a:ext>
          </a:extLst>
        </xdr:cNvPr>
        <xdr:cNvSpPr txBox="1"/>
      </xdr:nvSpPr>
      <xdr:spPr>
        <a:xfrm>
          <a:off x="311393" y="4530880"/>
          <a:ext cx="9088120" cy="164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TPS38900x has</a:t>
          </a:r>
          <a:r>
            <a:rPr lang="en-US" sz="1400" baseline="0"/>
            <a:t> the capability to monitor a voltage using two independent sense paths. </a:t>
          </a:r>
          <a:r>
            <a:rPr lang="en-US" sz="1400" baseline="0">
              <a:solidFill>
                <a:schemeClr val="dk1"/>
              </a:solidFill>
              <a:effectLst/>
              <a:latin typeface="+mn-lt"/>
              <a:ea typeface="+mn-ea"/>
              <a:cs typeface="+mn-cs"/>
            </a:rPr>
            <a:t>Both sense paths have independent UV and OV thresholds which can be set to the same OV and UV thresholds if desired or can be set to distinct thresholds.</a:t>
          </a:r>
          <a:r>
            <a:rPr lang="en-US" sz="1400" baseline="0"/>
            <a:t> </a:t>
          </a:r>
          <a:r>
            <a:rPr lang="en-US" sz="1400"/>
            <a:t>Using the cells labeled</a:t>
          </a:r>
          <a:r>
            <a:rPr lang="en-US" sz="1400" baseline="0"/>
            <a:t> "HF ABS Max%"  list the absolute max percent tolerance for the high frequency (HF) channel window threshold levels (comparator sense path). </a:t>
          </a:r>
          <a:r>
            <a:rPr lang="en-US" sz="1400" baseline="0">
              <a:solidFill>
                <a:schemeClr val="dk1"/>
              </a:solidFill>
              <a:effectLst/>
              <a:latin typeface="+mn-lt"/>
              <a:ea typeface="+mn-ea"/>
              <a:cs typeface="+mn-cs"/>
            </a:rPr>
            <a:t>Using cells labeled "LF ABS Max%" list the absolute max percent tolerance for the low frequency (LF) channel window thresholds levels (ADC sense path). An advantage of setting the LF thresholds to a tighter window than the HF would be for the purposes of drift monitoring, the LF thresholds can be used to identify when Vmon is approaching the HF thresholds and allow for early voltage detection. </a:t>
          </a:r>
        </a:p>
        <a:p>
          <a:endParaRPr lang="en-US" sz="1400"/>
        </a:p>
      </xdr:txBody>
    </xdr:sp>
    <xdr:clientData/>
  </xdr:twoCellAnchor>
  <xdr:twoCellAnchor>
    <xdr:from>
      <xdr:col>14</xdr:col>
      <xdr:colOff>569843</xdr:colOff>
      <xdr:row>22</xdr:row>
      <xdr:rowOff>50166</xdr:rowOff>
    </xdr:from>
    <xdr:to>
      <xdr:col>16</xdr:col>
      <xdr:colOff>304800</xdr:colOff>
      <xdr:row>35</xdr:row>
      <xdr:rowOff>59635</xdr:rowOff>
    </xdr:to>
    <xdr:cxnSp macro="">
      <xdr:nvCxnSpPr>
        <xdr:cNvPr id="28" name="Straight Arrow Connector 27">
          <a:extLst>
            <a:ext uri="{FF2B5EF4-FFF2-40B4-BE49-F238E27FC236}">
              <a16:creationId xmlns:a16="http://schemas.microsoft.com/office/drawing/2014/main" id="{A211F650-16DC-46EC-A2C9-57BCE17F8EB1}"/>
            </a:ext>
          </a:extLst>
        </xdr:cNvPr>
        <xdr:cNvCxnSpPr/>
      </xdr:nvCxnSpPr>
      <xdr:spPr>
        <a:xfrm flipV="1">
          <a:off x="9104243" y="4131836"/>
          <a:ext cx="954157" cy="2421364"/>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405284</xdr:colOff>
      <xdr:row>39</xdr:row>
      <xdr:rowOff>31474</xdr:rowOff>
    </xdr:from>
    <xdr:to>
      <xdr:col>8</xdr:col>
      <xdr:colOff>402717</xdr:colOff>
      <xdr:row>41</xdr:row>
      <xdr:rowOff>52178</xdr:rowOff>
    </xdr:to>
    <xdr:sp macro="" textlink="">
      <xdr:nvSpPr>
        <xdr:cNvPr id="29" name="TextBox 28">
          <a:extLst>
            <a:ext uri="{FF2B5EF4-FFF2-40B4-BE49-F238E27FC236}">
              <a16:creationId xmlns:a16="http://schemas.microsoft.com/office/drawing/2014/main" id="{E6871B89-92AC-4F40-8B95-FD34CF8FE591}"/>
            </a:ext>
          </a:extLst>
        </xdr:cNvPr>
        <xdr:cNvSpPr txBox="1"/>
      </xdr:nvSpPr>
      <xdr:spPr>
        <a:xfrm>
          <a:off x="405284" y="7163794"/>
          <a:ext cx="4874233" cy="386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Step Three:</a:t>
          </a:r>
          <a:r>
            <a:rPr lang="en-US" sz="2000" b="1" baseline="0">
              <a:solidFill>
                <a:srgbClr val="FF0000"/>
              </a:solidFill>
            </a:rPr>
            <a:t> Accuracy of TPS38900x</a:t>
          </a:r>
          <a:endParaRPr lang="en-US" sz="2000" b="1">
            <a:solidFill>
              <a:srgbClr val="FF0000"/>
            </a:solidFill>
          </a:endParaRPr>
        </a:p>
      </xdr:txBody>
    </xdr:sp>
    <xdr:clientData/>
  </xdr:twoCellAnchor>
  <xdr:twoCellAnchor>
    <xdr:from>
      <xdr:col>0</xdr:col>
      <xdr:colOff>458237</xdr:colOff>
      <xdr:row>41</xdr:row>
      <xdr:rowOff>89103</xdr:rowOff>
    </xdr:from>
    <xdr:to>
      <xdr:col>16</xdr:col>
      <xdr:colOff>150750</xdr:colOff>
      <xdr:row>45</xdr:row>
      <xdr:rowOff>119380</xdr:rowOff>
    </xdr:to>
    <xdr:sp macro="" textlink="">
      <xdr:nvSpPr>
        <xdr:cNvPr id="30" name="TextBox 29">
          <a:extLst>
            <a:ext uri="{FF2B5EF4-FFF2-40B4-BE49-F238E27FC236}">
              <a16:creationId xmlns:a16="http://schemas.microsoft.com/office/drawing/2014/main" id="{6532F728-5664-4504-B4A8-747FD130CB9D}"/>
            </a:ext>
          </a:extLst>
        </xdr:cNvPr>
        <xdr:cNvSpPr txBox="1"/>
      </xdr:nvSpPr>
      <xdr:spPr>
        <a:xfrm>
          <a:off x="458237" y="7587183"/>
          <a:ext cx="9446113" cy="7617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No additional input is required from</a:t>
          </a:r>
          <a:r>
            <a:rPr lang="en-US" sz="1400" baseline="0"/>
            <a:t> the user for this step. The tool will automatically shift the final OV or UV threshold by the HF accuracy of the device for the respective threshold, this will insure the absolute max percentage is not exceeded. The accuracy of TPS38900x at varying thresholds are as follows:</a:t>
          </a:r>
          <a:endParaRPr lang="en-US" sz="1400"/>
        </a:p>
      </xdr:txBody>
    </xdr:sp>
    <xdr:clientData/>
  </xdr:twoCellAnchor>
  <xdr:twoCellAnchor editAs="oneCell">
    <xdr:from>
      <xdr:col>1</xdr:col>
      <xdr:colOff>235061</xdr:colOff>
      <xdr:row>46</xdr:row>
      <xdr:rowOff>81653</xdr:rowOff>
    </xdr:from>
    <xdr:to>
      <xdr:col>15</xdr:col>
      <xdr:colOff>576595</xdr:colOff>
      <xdr:row>53</xdr:row>
      <xdr:rowOff>35617</xdr:rowOff>
    </xdr:to>
    <xdr:pic>
      <xdr:nvPicPr>
        <xdr:cNvPr id="31" name="Picture 30">
          <a:extLst>
            <a:ext uri="{FF2B5EF4-FFF2-40B4-BE49-F238E27FC236}">
              <a16:creationId xmlns:a16="http://schemas.microsoft.com/office/drawing/2014/main" id="{23F6D16C-DA76-472A-9EC7-25E45833A4C6}"/>
            </a:ext>
          </a:extLst>
        </xdr:cNvPr>
        <xdr:cNvPicPr>
          <a:picLocks noChangeAspect="1"/>
        </xdr:cNvPicPr>
      </xdr:nvPicPr>
      <xdr:blipFill rotWithShape="1">
        <a:blip xmlns:r="http://schemas.openxmlformats.org/officeDocument/2006/relationships" r:embed="rId3"/>
        <a:srcRect t="8547" b="2552"/>
        <a:stretch/>
      </xdr:blipFill>
      <xdr:spPr>
        <a:xfrm>
          <a:off x="844661" y="8494133"/>
          <a:ext cx="8875934" cy="1234124"/>
        </a:xfrm>
        <a:prstGeom prst="rect">
          <a:avLst/>
        </a:prstGeom>
      </xdr:spPr>
    </xdr:pic>
    <xdr:clientData/>
  </xdr:twoCellAnchor>
  <xdr:twoCellAnchor>
    <xdr:from>
      <xdr:col>0</xdr:col>
      <xdr:colOff>508340</xdr:colOff>
      <xdr:row>53</xdr:row>
      <xdr:rowOff>118911</xdr:rowOff>
    </xdr:from>
    <xdr:to>
      <xdr:col>13</xdr:col>
      <xdr:colOff>305477</xdr:colOff>
      <xdr:row>55</xdr:row>
      <xdr:rowOff>41145</xdr:rowOff>
    </xdr:to>
    <xdr:sp macro="" textlink="">
      <xdr:nvSpPr>
        <xdr:cNvPr id="32" name="TextBox 31">
          <a:extLst>
            <a:ext uri="{FF2B5EF4-FFF2-40B4-BE49-F238E27FC236}">
              <a16:creationId xmlns:a16="http://schemas.microsoft.com/office/drawing/2014/main" id="{2472101C-18F6-4FB8-AC02-50E33DA08785}"/>
            </a:ext>
          </a:extLst>
        </xdr:cNvPr>
        <xdr:cNvSpPr txBox="1"/>
      </xdr:nvSpPr>
      <xdr:spPr>
        <a:xfrm>
          <a:off x="508340" y="9621499"/>
          <a:ext cx="7721937" cy="280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 final OV/UV</a:t>
          </a:r>
          <a:r>
            <a:rPr lang="en-US" sz="1400" baseline="0"/>
            <a:t> thresholds calculated will follow the following equation: </a:t>
          </a:r>
          <a:endParaRPr lang="en-US" sz="1400"/>
        </a:p>
      </xdr:txBody>
    </xdr:sp>
    <xdr:clientData/>
  </xdr:twoCellAnchor>
  <xdr:twoCellAnchor>
    <xdr:from>
      <xdr:col>0</xdr:col>
      <xdr:colOff>208434</xdr:colOff>
      <xdr:row>63</xdr:row>
      <xdr:rowOff>102736</xdr:rowOff>
    </xdr:from>
    <xdr:to>
      <xdr:col>8</xdr:col>
      <xdr:colOff>188087</xdr:colOff>
      <xdr:row>65</xdr:row>
      <xdr:rowOff>140414</xdr:rowOff>
    </xdr:to>
    <xdr:sp macro="" textlink="">
      <xdr:nvSpPr>
        <xdr:cNvPr id="40" name="TextBox 39">
          <a:extLst>
            <a:ext uri="{FF2B5EF4-FFF2-40B4-BE49-F238E27FC236}">
              <a16:creationId xmlns:a16="http://schemas.microsoft.com/office/drawing/2014/main" id="{9A337933-0453-41AC-8B8E-E51BAEA806F9}"/>
            </a:ext>
          </a:extLst>
        </xdr:cNvPr>
        <xdr:cNvSpPr txBox="1"/>
      </xdr:nvSpPr>
      <xdr:spPr>
        <a:xfrm>
          <a:off x="208434" y="11246986"/>
          <a:ext cx="4878224" cy="391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Step Four:</a:t>
          </a:r>
          <a:r>
            <a:rPr lang="en-US" sz="2000" b="1" baseline="0">
              <a:solidFill>
                <a:srgbClr val="FF0000"/>
              </a:solidFill>
            </a:rPr>
            <a:t> Results</a:t>
          </a:r>
          <a:endParaRPr lang="en-US" sz="2000" b="1">
            <a:solidFill>
              <a:srgbClr val="FF0000"/>
            </a:solidFill>
          </a:endParaRPr>
        </a:p>
      </xdr:txBody>
    </xdr:sp>
    <xdr:clientData/>
  </xdr:twoCellAnchor>
  <xdr:twoCellAnchor>
    <xdr:from>
      <xdr:col>0</xdr:col>
      <xdr:colOff>563593</xdr:colOff>
      <xdr:row>65</xdr:row>
      <xdr:rowOff>172036</xdr:rowOff>
    </xdr:from>
    <xdr:to>
      <xdr:col>16</xdr:col>
      <xdr:colOff>288439</xdr:colOff>
      <xdr:row>71</xdr:row>
      <xdr:rowOff>152400</xdr:rowOff>
    </xdr:to>
    <xdr:sp macro="" textlink="">
      <xdr:nvSpPr>
        <xdr:cNvPr id="41" name="TextBox 40">
          <a:extLst>
            <a:ext uri="{FF2B5EF4-FFF2-40B4-BE49-F238E27FC236}">
              <a16:creationId xmlns:a16="http://schemas.microsoft.com/office/drawing/2014/main" id="{BC5E71A8-21F0-473C-B332-AB92EB768520}"/>
            </a:ext>
          </a:extLst>
        </xdr:cNvPr>
        <xdr:cNvSpPr txBox="1"/>
      </xdr:nvSpPr>
      <xdr:spPr>
        <a:xfrm>
          <a:off x="563593" y="11935411"/>
          <a:ext cx="9478446" cy="1066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a:t>
          </a:r>
          <a:r>
            <a:rPr lang="en-US" sz="1400" baseline="0"/>
            <a:t> </a:t>
          </a:r>
          <a:r>
            <a:rPr lang="en-US" sz="1400"/>
            <a:t>OV and UV thresholds for each monitor will be calculated</a:t>
          </a:r>
          <a:r>
            <a:rPr lang="en-US" sz="1400" baseline="0"/>
            <a:t> and the closest threshold available will be listed in the table provided. The table also list the corresponding register addresses where the user can write their OV and UV thresholds for each monitor under the "Address" column and the data to be written under the "Hex" column. Note all the address provided are referencing registers in BANK One of the register map. </a:t>
          </a:r>
          <a:endParaRPr lang="en-US" sz="1400"/>
        </a:p>
      </xdr:txBody>
    </xdr:sp>
    <xdr:clientData/>
  </xdr:twoCellAnchor>
  <xdr:twoCellAnchor>
    <xdr:from>
      <xdr:col>15</xdr:col>
      <xdr:colOff>513080</xdr:colOff>
      <xdr:row>8</xdr:row>
      <xdr:rowOff>137160</xdr:rowOff>
    </xdr:from>
    <xdr:to>
      <xdr:col>26</xdr:col>
      <xdr:colOff>480060</xdr:colOff>
      <xdr:row>46</xdr:row>
      <xdr:rowOff>114301</xdr:rowOff>
    </xdr:to>
    <xdr:cxnSp macro="">
      <xdr:nvCxnSpPr>
        <xdr:cNvPr id="43" name="Straight Arrow Connector 42">
          <a:extLst>
            <a:ext uri="{FF2B5EF4-FFF2-40B4-BE49-F238E27FC236}">
              <a16:creationId xmlns:a16="http://schemas.microsoft.com/office/drawing/2014/main" id="{10726BE3-C103-4CB5-AA71-28CC58D00AF8}"/>
            </a:ext>
          </a:extLst>
        </xdr:cNvPr>
        <xdr:cNvCxnSpPr/>
      </xdr:nvCxnSpPr>
      <xdr:spPr>
        <a:xfrm flipV="1">
          <a:off x="9657080" y="1600200"/>
          <a:ext cx="6672580" cy="692658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193194</xdr:colOff>
      <xdr:row>93</xdr:row>
      <xdr:rowOff>2007</xdr:rowOff>
    </xdr:from>
    <xdr:to>
      <xdr:col>8</xdr:col>
      <xdr:colOff>175387</xdr:colOff>
      <xdr:row>95</xdr:row>
      <xdr:rowOff>19225</xdr:rowOff>
    </xdr:to>
    <xdr:sp macro="" textlink="">
      <xdr:nvSpPr>
        <xdr:cNvPr id="56" name="TextBox 55">
          <a:extLst>
            <a:ext uri="{FF2B5EF4-FFF2-40B4-BE49-F238E27FC236}">
              <a16:creationId xmlns:a16="http://schemas.microsoft.com/office/drawing/2014/main" id="{7CD493D0-A3E2-43C5-9075-869BDB940843}"/>
            </a:ext>
          </a:extLst>
        </xdr:cNvPr>
        <xdr:cNvSpPr txBox="1"/>
      </xdr:nvSpPr>
      <xdr:spPr>
        <a:xfrm>
          <a:off x="193194" y="16752152"/>
          <a:ext cx="4858993" cy="37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Step Five:</a:t>
          </a:r>
          <a:r>
            <a:rPr lang="en-US" sz="2000" b="1" baseline="0">
              <a:solidFill>
                <a:srgbClr val="FF0000"/>
              </a:solidFill>
            </a:rPr>
            <a:t> Threshold Visual</a:t>
          </a:r>
          <a:endParaRPr lang="en-US" sz="2000" b="1">
            <a:solidFill>
              <a:srgbClr val="FF0000"/>
            </a:solidFill>
          </a:endParaRPr>
        </a:p>
      </xdr:txBody>
    </xdr:sp>
    <xdr:clientData/>
  </xdr:twoCellAnchor>
  <xdr:twoCellAnchor>
    <xdr:from>
      <xdr:col>1</xdr:col>
      <xdr:colOff>325617</xdr:colOff>
      <xdr:row>95</xdr:row>
      <xdr:rowOff>99349</xdr:rowOff>
    </xdr:from>
    <xdr:to>
      <xdr:col>17</xdr:col>
      <xdr:colOff>320115</xdr:colOff>
      <xdr:row>99</xdr:row>
      <xdr:rowOff>153421</xdr:rowOff>
    </xdr:to>
    <xdr:sp macro="" textlink="">
      <xdr:nvSpPr>
        <xdr:cNvPr id="62" name="TextBox 61">
          <a:extLst>
            <a:ext uri="{FF2B5EF4-FFF2-40B4-BE49-F238E27FC236}">
              <a16:creationId xmlns:a16="http://schemas.microsoft.com/office/drawing/2014/main" id="{AA2F36EC-FBD0-45AC-9039-56D080AA71E2}"/>
            </a:ext>
          </a:extLst>
        </xdr:cNvPr>
        <xdr:cNvSpPr txBox="1"/>
      </xdr:nvSpPr>
      <xdr:spPr>
        <a:xfrm>
          <a:off x="935217" y="17209713"/>
          <a:ext cx="9748098" cy="774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A</a:t>
          </a:r>
          <a:r>
            <a:rPr lang="en-US" sz="1400" baseline="0"/>
            <a:t> visual representation of the</a:t>
          </a:r>
          <a:r>
            <a:rPr lang="en-US" sz="1400"/>
            <a:t> calculated OV and UV thresholds for each monitor can be found in the plot located</a:t>
          </a:r>
          <a:r>
            <a:rPr lang="en-US" sz="1400" baseline="0"/>
            <a:t> to the right of the result's table. The plot can be set to show the thresholds for a different monitor by clicking on a the drop down menu located at the bottom of the plot. </a:t>
          </a:r>
          <a:endParaRPr lang="en-US" sz="1400"/>
        </a:p>
      </xdr:txBody>
    </xdr:sp>
    <xdr:clientData/>
  </xdr:twoCellAnchor>
  <xdr:twoCellAnchor>
    <xdr:from>
      <xdr:col>14</xdr:col>
      <xdr:colOff>570411</xdr:colOff>
      <xdr:row>15</xdr:row>
      <xdr:rowOff>44134</xdr:rowOff>
    </xdr:from>
    <xdr:to>
      <xdr:col>16</xdr:col>
      <xdr:colOff>374968</xdr:colOff>
      <xdr:row>35</xdr:row>
      <xdr:rowOff>43543</xdr:rowOff>
    </xdr:to>
    <xdr:cxnSp macro="">
      <xdr:nvCxnSpPr>
        <xdr:cNvPr id="34" name="Straight Arrow Connector 33">
          <a:extLst>
            <a:ext uri="{FF2B5EF4-FFF2-40B4-BE49-F238E27FC236}">
              <a16:creationId xmlns:a16="http://schemas.microsoft.com/office/drawing/2014/main" id="{0941529B-2979-4DF0-8249-AA225FF39599}"/>
            </a:ext>
          </a:extLst>
        </xdr:cNvPr>
        <xdr:cNvCxnSpPr/>
      </xdr:nvCxnSpPr>
      <xdr:spPr>
        <a:xfrm flipV="1">
          <a:off x="9104811" y="2787334"/>
          <a:ext cx="1023757" cy="3657009"/>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486410</xdr:colOff>
      <xdr:row>27</xdr:row>
      <xdr:rowOff>60960</xdr:rowOff>
    </xdr:from>
    <xdr:to>
      <xdr:col>27</xdr:col>
      <xdr:colOff>297180</xdr:colOff>
      <xdr:row>46</xdr:row>
      <xdr:rowOff>172720</xdr:rowOff>
    </xdr:to>
    <xdr:cxnSp macro="">
      <xdr:nvCxnSpPr>
        <xdr:cNvPr id="42" name="Straight Arrow Connector 41">
          <a:extLst>
            <a:ext uri="{FF2B5EF4-FFF2-40B4-BE49-F238E27FC236}">
              <a16:creationId xmlns:a16="http://schemas.microsoft.com/office/drawing/2014/main" id="{7A4B25B5-50A7-400D-9344-933DB65E1A5F}"/>
            </a:ext>
          </a:extLst>
        </xdr:cNvPr>
        <xdr:cNvCxnSpPr/>
      </xdr:nvCxnSpPr>
      <xdr:spPr>
        <a:xfrm flipV="1">
          <a:off x="9630410" y="4998720"/>
          <a:ext cx="7125970" cy="35864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190500</xdr:colOff>
      <xdr:row>55</xdr:row>
      <xdr:rowOff>152810</xdr:rowOff>
    </xdr:from>
    <xdr:to>
      <xdr:col>13</xdr:col>
      <xdr:colOff>173803</xdr:colOff>
      <xdr:row>61</xdr:row>
      <xdr:rowOff>49208</xdr:rowOff>
    </xdr:to>
    <xdr:pic>
      <xdr:nvPicPr>
        <xdr:cNvPr id="2" name="Picture 1">
          <a:extLst>
            <a:ext uri="{FF2B5EF4-FFF2-40B4-BE49-F238E27FC236}">
              <a16:creationId xmlns:a16="http://schemas.microsoft.com/office/drawing/2014/main" id="{16CA9334-F5A1-4597-AE55-4FACDF50E4DA}"/>
            </a:ext>
          </a:extLst>
        </xdr:cNvPr>
        <xdr:cNvPicPr>
          <a:picLocks noChangeAspect="1"/>
        </xdr:cNvPicPr>
      </xdr:nvPicPr>
      <xdr:blipFill>
        <a:blip xmlns:r="http://schemas.openxmlformats.org/officeDocument/2006/relationships" r:embed="rId4"/>
        <a:stretch>
          <a:fillRect/>
        </a:stretch>
      </xdr:blipFill>
      <xdr:spPr>
        <a:xfrm>
          <a:off x="2019300" y="10013986"/>
          <a:ext cx="6079303" cy="972163"/>
        </a:xfrm>
        <a:prstGeom prst="rect">
          <a:avLst/>
        </a:prstGeom>
      </xdr:spPr>
    </xdr:pic>
    <xdr:clientData/>
  </xdr:twoCellAnchor>
  <xdr:twoCellAnchor editAs="oneCell">
    <xdr:from>
      <xdr:col>3</xdr:col>
      <xdr:colOff>203610</xdr:colOff>
      <xdr:row>99</xdr:row>
      <xdr:rowOff>151028</xdr:rowOff>
    </xdr:from>
    <xdr:to>
      <xdr:col>13</xdr:col>
      <xdr:colOff>203612</xdr:colOff>
      <xdr:row>122</xdr:row>
      <xdr:rowOff>143620</xdr:rowOff>
    </xdr:to>
    <xdr:pic>
      <xdr:nvPicPr>
        <xdr:cNvPr id="3" name="Picture 2">
          <a:extLst>
            <a:ext uri="{FF2B5EF4-FFF2-40B4-BE49-F238E27FC236}">
              <a16:creationId xmlns:a16="http://schemas.microsoft.com/office/drawing/2014/main" id="{06DA24C7-79D4-49D8-AD52-42A5D18F8427}"/>
            </a:ext>
          </a:extLst>
        </xdr:cNvPr>
        <xdr:cNvPicPr>
          <a:picLocks noChangeAspect="1"/>
        </xdr:cNvPicPr>
      </xdr:nvPicPr>
      <xdr:blipFill>
        <a:blip xmlns:r="http://schemas.openxmlformats.org/officeDocument/2006/relationships" r:embed="rId5"/>
        <a:stretch>
          <a:fillRect/>
        </a:stretch>
      </xdr:blipFill>
      <xdr:spPr>
        <a:xfrm>
          <a:off x="2032410" y="17981828"/>
          <a:ext cx="6096002" cy="4135101"/>
        </a:xfrm>
        <a:prstGeom prst="rect">
          <a:avLst/>
        </a:prstGeom>
      </xdr:spPr>
    </xdr:pic>
    <xdr:clientData/>
  </xdr:twoCellAnchor>
  <xdr:twoCellAnchor>
    <xdr:from>
      <xdr:col>4</xdr:col>
      <xdr:colOff>129615</xdr:colOff>
      <xdr:row>119</xdr:row>
      <xdr:rowOff>112981</xdr:rowOff>
    </xdr:from>
    <xdr:to>
      <xdr:col>10</xdr:col>
      <xdr:colOff>94093</xdr:colOff>
      <xdr:row>123</xdr:row>
      <xdr:rowOff>128409</xdr:rowOff>
    </xdr:to>
    <xdr:sp macro="" textlink="">
      <xdr:nvSpPr>
        <xdr:cNvPr id="61" name="Oval 60">
          <a:extLst>
            <a:ext uri="{FF2B5EF4-FFF2-40B4-BE49-F238E27FC236}">
              <a16:creationId xmlns:a16="http://schemas.microsoft.com/office/drawing/2014/main" id="{65BD0AC7-9A85-437A-B069-DC3B14961D12}"/>
            </a:ext>
          </a:extLst>
        </xdr:cNvPr>
        <xdr:cNvSpPr/>
      </xdr:nvSpPr>
      <xdr:spPr>
        <a:xfrm>
          <a:off x="2568015" y="21545963"/>
          <a:ext cx="3622078" cy="73586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377916</xdr:colOff>
      <xdr:row>8</xdr:row>
      <xdr:rowOff>19151</xdr:rowOff>
    </xdr:from>
    <xdr:to>
      <xdr:col>15</xdr:col>
      <xdr:colOff>24296</xdr:colOff>
      <xdr:row>10</xdr:row>
      <xdr:rowOff>56409</xdr:rowOff>
    </xdr:to>
    <xdr:sp macro="" textlink="">
      <xdr:nvSpPr>
        <xdr:cNvPr id="37" name="TextBox 36">
          <a:extLst>
            <a:ext uri="{FF2B5EF4-FFF2-40B4-BE49-F238E27FC236}">
              <a16:creationId xmlns:a16="http://schemas.microsoft.com/office/drawing/2014/main" id="{FEA08703-CBAA-4027-9D09-1200DFE006D3}"/>
            </a:ext>
          </a:extLst>
        </xdr:cNvPr>
        <xdr:cNvSpPr txBox="1"/>
      </xdr:nvSpPr>
      <xdr:spPr>
        <a:xfrm>
          <a:off x="377916" y="1472813"/>
          <a:ext cx="8790380" cy="400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Step One:</a:t>
          </a:r>
          <a:r>
            <a:rPr lang="en-US" sz="2000" b="1" baseline="0">
              <a:solidFill>
                <a:srgbClr val="FF0000"/>
              </a:solidFill>
            </a:rPr>
            <a:t> Specify Enabled Monitors and Set the Monitor's Nominal Input Voltage</a:t>
          </a:r>
          <a:endParaRPr lang="en-US" sz="2000" b="1">
            <a:solidFill>
              <a:srgbClr val="FF0000"/>
            </a:solidFill>
          </a:endParaRPr>
        </a:p>
      </xdr:txBody>
    </xdr:sp>
    <xdr:clientData/>
  </xdr:twoCellAnchor>
  <xdr:twoCellAnchor>
    <xdr:from>
      <xdr:col>0</xdr:col>
      <xdr:colOff>404738</xdr:colOff>
      <xdr:row>0</xdr:row>
      <xdr:rowOff>121543</xdr:rowOff>
    </xdr:from>
    <xdr:to>
      <xdr:col>8</xdr:col>
      <xdr:colOff>405981</xdr:colOff>
      <xdr:row>2</xdr:row>
      <xdr:rowOff>149286</xdr:rowOff>
    </xdr:to>
    <xdr:sp macro="" textlink="">
      <xdr:nvSpPr>
        <xdr:cNvPr id="45" name="TextBox 44">
          <a:extLst>
            <a:ext uri="{FF2B5EF4-FFF2-40B4-BE49-F238E27FC236}">
              <a16:creationId xmlns:a16="http://schemas.microsoft.com/office/drawing/2014/main" id="{BB4671B0-F256-4BF1-9328-FD1A08B05534}"/>
            </a:ext>
          </a:extLst>
        </xdr:cNvPr>
        <xdr:cNvSpPr txBox="1"/>
      </xdr:nvSpPr>
      <xdr:spPr>
        <a:xfrm>
          <a:off x="404738" y="121543"/>
          <a:ext cx="4878043" cy="393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Introduction</a:t>
          </a:r>
        </a:p>
      </xdr:txBody>
    </xdr:sp>
    <xdr:clientData/>
  </xdr:twoCellAnchor>
  <xdr:twoCellAnchor>
    <xdr:from>
      <xdr:col>0</xdr:col>
      <xdr:colOff>402695</xdr:colOff>
      <xdr:row>2</xdr:row>
      <xdr:rowOff>70229</xdr:rowOff>
    </xdr:from>
    <xdr:to>
      <xdr:col>15</xdr:col>
      <xdr:colOff>37611</xdr:colOff>
      <xdr:row>6</xdr:row>
      <xdr:rowOff>161887</xdr:rowOff>
    </xdr:to>
    <xdr:sp macro="" textlink="">
      <xdr:nvSpPr>
        <xdr:cNvPr id="46" name="TextBox 45">
          <a:extLst>
            <a:ext uri="{FF2B5EF4-FFF2-40B4-BE49-F238E27FC236}">
              <a16:creationId xmlns:a16="http://schemas.microsoft.com/office/drawing/2014/main" id="{01801D0E-1E37-4F92-95E2-646DAE87346C}"/>
            </a:ext>
          </a:extLst>
        </xdr:cNvPr>
        <xdr:cNvSpPr txBox="1"/>
      </xdr:nvSpPr>
      <xdr:spPr>
        <a:xfrm>
          <a:off x="402695" y="435989"/>
          <a:ext cx="8778916" cy="823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This tool is meant to assist</a:t>
          </a:r>
          <a:r>
            <a:rPr lang="en-US" sz="1400" baseline="0"/>
            <a:t> the user determine the potential OV and UV thresholds for each monitor by answering three questions. Based on the information provided the tool will recommend OV and UV thresholds and corresponding voltage range multiplier for the monitor. Follow the steps listed for greater clarification. </a:t>
          </a:r>
          <a:endParaRPr lang="en-US" sz="1400"/>
        </a:p>
      </xdr:txBody>
    </xdr:sp>
    <xdr:clientData/>
  </xdr:twoCellAnchor>
  <xdr:twoCellAnchor editAs="oneCell">
    <xdr:from>
      <xdr:col>1</xdr:col>
      <xdr:colOff>62774</xdr:colOff>
      <xdr:row>34</xdr:row>
      <xdr:rowOff>158658</xdr:rowOff>
    </xdr:from>
    <xdr:to>
      <xdr:col>14</xdr:col>
      <xdr:colOff>545953</xdr:colOff>
      <xdr:row>37</xdr:row>
      <xdr:rowOff>40549</xdr:rowOff>
    </xdr:to>
    <xdr:pic>
      <xdr:nvPicPr>
        <xdr:cNvPr id="25" name="Picture 24">
          <a:extLst>
            <a:ext uri="{FF2B5EF4-FFF2-40B4-BE49-F238E27FC236}">
              <a16:creationId xmlns:a16="http://schemas.microsoft.com/office/drawing/2014/main" id="{B4DA8591-A529-4A3D-B86B-9940C9E1EFDF}"/>
            </a:ext>
          </a:extLst>
        </xdr:cNvPr>
        <xdr:cNvPicPr>
          <a:picLocks noChangeAspect="1"/>
        </xdr:cNvPicPr>
      </xdr:nvPicPr>
      <xdr:blipFill>
        <a:blip xmlns:r="http://schemas.openxmlformats.org/officeDocument/2006/relationships" r:embed="rId6"/>
        <a:stretch>
          <a:fillRect/>
        </a:stretch>
      </xdr:blipFill>
      <xdr:spPr>
        <a:xfrm>
          <a:off x="672374" y="6376578"/>
          <a:ext cx="8407979" cy="430531"/>
        </a:xfrm>
        <a:prstGeom prst="rect">
          <a:avLst/>
        </a:prstGeom>
      </xdr:spPr>
    </xdr:pic>
    <xdr:clientData/>
  </xdr:twoCellAnchor>
  <xdr:twoCellAnchor editAs="oneCell">
    <xdr:from>
      <xdr:col>0</xdr:col>
      <xdr:colOff>367853</xdr:colOff>
      <xdr:row>13</xdr:row>
      <xdr:rowOff>15780</xdr:rowOff>
    </xdr:from>
    <xdr:to>
      <xdr:col>15</xdr:col>
      <xdr:colOff>58778</xdr:colOff>
      <xdr:row>20</xdr:row>
      <xdr:rowOff>16437</xdr:rowOff>
    </xdr:to>
    <xdr:pic>
      <xdr:nvPicPr>
        <xdr:cNvPr id="5" name="Picture 4">
          <a:extLst>
            <a:ext uri="{FF2B5EF4-FFF2-40B4-BE49-F238E27FC236}">
              <a16:creationId xmlns:a16="http://schemas.microsoft.com/office/drawing/2014/main" id="{01A158EC-9824-4486-9EE2-589377BF8D87}"/>
            </a:ext>
          </a:extLst>
        </xdr:cNvPr>
        <xdr:cNvPicPr>
          <a:picLocks noChangeAspect="1"/>
        </xdr:cNvPicPr>
      </xdr:nvPicPr>
      <xdr:blipFill>
        <a:blip xmlns:r="http://schemas.openxmlformats.org/officeDocument/2006/relationships" r:embed="rId7"/>
        <a:stretch>
          <a:fillRect/>
        </a:stretch>
      </xdr:blipFill>
      <xdr:spPr>
        <a:xfrm>
          <a:off x="367853" y="2393220"/>
          <a:ext cx="8834925" cy="1280817"/>
        </a:xfrm>
        <a:prstGeom prst="rect">
          <a:avLst/>
        </a:prstGeom>
      </xdr:spPr>
    </xdr:pic>
    <xdr:clientData/>
  </xdr:twoCellAnchor>
  <xdr:twoCellAnchor>
    <xdr:from>
      <xdr:col>14</xdr:col>
      <xdr:colOff>485274</xdr:colOff>
      <xdr:row>17</xdr:row>
      <xdr:rowOff>56147</xdr:rowOff>
    </xdr:from>
    <xdr:to>
      <xdr:col>16</xdr:col>
      <xdr:colOff>82233</xdr:colOff>
      <xdr:row>17</xdr:row>
      <xdr:rowOff>114300</xdr:rowOff>
    </xdr:to>
    <xdr:cxnSp macro="">
      <xdr:nvCxnSpPr>
        <xdr:cNvPr id="10" name="Connector: Elbow 9">
          <a:extLst>
            <a:ext uri="{FF2B5EF4-FFF2-40B4-BE49-F238E27FC236}">
              <a16:creationId xmlns:a16="http://schemas.microsoft.com/office/drawing/2014/main" id="{BA7CD1D9-D205-400A-A842-0A05320C2860}"/>
            </a:ext>
          </a:extLst>
        </xdr:cNvPr>
        <xdr:cNvCxnSpPr/>
      </xdr:nvCxnSpPr>
      <xdr:spPr>
        <a:xfrm>
          <a:off x="9019674" y="3192379"/>
          <a:ext cx="816159" cy="58153"/>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596900</xdr:colOff>
      <xdr:row>16</xdr:row>
      <xdr:rowOff>164466</xdr:rowOff>
    </xdr:from>
    <xdr:to>
      <xdr:col>14</xdr:col>
      <xdr:colOff>596265</xdr:colOff>
      <xdr:row>18</xdr:row>
      <xdr:rowOff>28576</xdr:rowOff>
    </xdr:to>
    <xdr:sp macro="" textlink="">
      <xdr:nvSpPr>
        <xdr:cNvPr id="9" name="Oval 8">
          <a:extLst>
            <a:ext uri="{FF2B5EF4-FFF2-40B4-BE49-F238E27FC236}">
              <a16:creationId xmlns:a16="http://schemas.microsoft.com/office/drawing/2014/main" id="{EC773562-E5C4-4BE8-8BA2-4F2FA84D8464}"/>
            </a:ext>
          </a:extLst>
        </xdr:cNvPr>
        <xdr:cNvSpPr/>
      </xdr:nvSpPr>
      <xdr:spPr>
        <a:xfrm>
          <a:off x="1816100" y="3060066"/>
          <a:ext cx="7314565" cy="226060"/>
        </a:xfrm>
        <a:prstGeom prst="ellipse">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176830</xdr:colOff>
      <xdr:row>4</xdr:row>
      <xdr:rowOff>268052</xdr:rowOff>
    </xdr:from>
    <xdr:to>
      <xdr:col>2</xdr:col>
      <xdr:colOff>1386840</xdr:colOff>
      <xdr:row>9</xdr:row>
      <xdr:rowOff>145674</xdr:rowOff>
    </xdr:to>
    <xdr:sp macro="" textlink="">
      <xdr:nvSpPr>
        <xdr:cNvPr id="8" name="TextBox 7">
          <a:extLst>
            <a:ext uri="{FF2B5EF4-FFF2-40B4-BE49-F238E27FC236}">
              <a16:creationId xmlns:a16="http://schemas.microsoft.com/office/drawing/2014/main" id="{9C1F8CCE-AFD7-4241-A8FE-04C22B9B8507}"/>
            </a:ext>
          </a:extLst>
        </xdr:cNvPr>
        <xdr:cNvSpPr txBox="1"/>
      </xdr:nvSpPr>
      <xdr:spPr>
        <a:xfrm>
          <a:off x="207310" y="1182452"/>
          <a:ext cx="1210010" cy="1249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FF0000"/>
              </a:solidFill>
            </a:rPr>
            <a:t>User</a:t>
          </a:r>
          <a:r>
            <a:rPr lang="en-US" sz="2400" b="1" baseline="0">
              <a:solidFill>
                <a:srgbClr val="FF0000"/>
              </a:solidFill>
            </a:rPr>
            <a:t> Input</a:t>
          </a:r>
          <a:endParaRPr lang="en-US" sz="2400" b="1">
            <a:solidFill>
              <a:srgbClr val="FF0000"/>
            </a:solidFill>
          </a:endParaRPr>
        </a:p>
      </xdr:txBody>
    </xdr:sp>
    <xdr:clientData/>
  </xdr:twoCellAnchor>
  <xdr:twoCellAnchor>
    <xdr:from>
      <xdr:col>15</xdr:col>
      <xdr:colOff>17236</xdr:colOff>
      <xdr:row>26</xdr:row>
      <xdr:rowOff>209673</xdr:rowOff>
    </xdr:from>
    <xdr:to>
      <xdr:col>30</xdr:col>
      <xdr:colOff>45232</xdr:colOff>
      <xdr:row>47</xdr:row>
      <xdr:rowOff>113960</xdr:rowOff>
    </xdr:to>
    <xdr:graphicFrame macro="">
      <xdr:nvGraphicFramePr>
        <xdr:cNvPr id="9" name="Chart 8">
          <a:extLst>
            <a:ext uri="{FF2B5EF4-FFF2-40B4-BE49-F238E27FC236}">
              <a16:creationId xmlns:a16="http://schemas.microsoft.com/office/drawing/2014/main" id="{BAB98E86-8527-4C07-85A0-DAA9DD4D3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297045</xdr:colOff>
      <xdr:row>17</xdr:row>
      <xdr:rowOff>231562</xdr:rowOff>
    </xdr:from>
    <xdr:to>
      <xdr:col>32</xdr:col>
      <xdr:colOff>247729</xdr:colOff>
      <xdr:row>22</xdr:row>
      <xdr:rowOff>0</xdr:rowOff>
    </xdr:to>
    <xdr:pic>
      <xdr:nvPicPr>
        <xdr:cNvPr id="5" name="Picture 4">
          <a:extLst>
            <a:ext uri="{FF2B5EF4-FFF2-40B4-BE49-F238E27FC236}">
              <a16:creationId xmlns:a16="http://schemas.microsoft.com/office/drawing/2014/main" id="{3EAF9378-99CA-46F9-84D3-9A5692638AF9}"/>
            </a:ext>
          </a:extLst>
        </xdr:cNvPr>
        <xdr:cNvPicPr>
          <a:picLocks noChangeAspect="1"/>
        </xdr:cNvPicPr>
      </xdr:nvPicPr>
      <xdr:blipFill rotWithShape="1">
        <a:blip xmlns:r="http://schemas.openxmlformats.org/officeDocument/2006/relationships" r:embed="rId2"/>
        <a:srcRect t="8547" b="2552"/>
        <a:stretch/>
      </xdr:blipFill>
      <xdr:spPr>
        <a:xfrm>
          <a:off x="17700581" y="4463383"/>
          <a:ext cx="7298541" cy="993081"/>
        </a:xfrm>
        <a:prstGeom prst="rect">
          <a:avLst/>
        </a:prstGeom>
      </xdr:spPr>
    </xdr:pic>
    <xdr:clientData/>
  </xdr:twoCellAnchor>
  <xdr:twoCellAnchor editAs="oneCell">
    <xdr:from>
      <xdr:col>30</xdr:col>
      <xdr:colOff>342142</xdr:colOff>
      <xdr:row>28</xdr:row>
      <xdr:rowOff>166704</xdr:rowOff>
    </xdr:from>
    <xdr:to>
      <xdr:col>32</xdr:col>
      <xdr:colOff>553254</xdr:colOff>
      <xdr:row>34</xdr:row>
      <xdr:rowOff>135146</xdr:rowOff>
    </xdr:to>
    <xdr:pic>
      <xdr:nvPicPr>
        <xdr:cNvPr id="11" name="Picture 10">
          <a:extLst>
            <a:ext uri="{FF2B5EF4-FFF2-40B4-BE49-F238E27FC236}">
              <a16:creationId xmlns:a16="http://schemas.microsoft.com/office/drawing/2014/main" id="{5DFE089D-5F7A-40A7-9D7F-7AB256AF4441}"/>
            </a:ext>
          </a:extLst>
        </xdr:cNvPr>
        <xdr:cNvPicPr>
          <a:picLocks noChangeAspect="1"/>
        </xdr:cNvPicPr>
      </xdr:nvPicPr>
      <xdr:blipFill>
        <a:blip xmlns:r="http://schemas.openxmlformats.org/officeDocument/2006/relationships" r:embed="rId3"/>
        <a:stretch>
          <a:fillRect/>
        </a:stretch>
      </xdr:blipFill>
      <xdr:spPr>
        <a:xfrm>
          <a:off x="24306490" y="6351052"/>
          <a:ext cx="1425895" cy="1368866"/>
        </a:xfrm>
        <a:prstGeom prst="rect">
          <a:avLst/>
        </a:prstGeom>
      </xdr:spPr>
    </xdr:pic>
    <xdr:clientData/>
  </xdr:twoCellAnchor>
  <xdr:twoCellAnchor>
    <xdr:from>
      <xdr:col>2</xdr:col>
      <xdr:colOff>256035</xdr:colOff>
      <xdr:row>12</xdr:row>
      <xdr:rowOff>177146</xdr:rowOff>
    </xdr:from>
    <xdr:to>
      <xdr:col>2</xdr:col>
      <xdr:colOff>1406979</xdr:colOff>
      <xdr:row>14</xdr:row>
      <xdr:rowOff>62216</xdr:rowOff>
    </xdr:to>
    <xdr:sp macro="" textlink="">
      <xdr:nvSpPr>
        <xdr:cNvPr id="10" name="TextBox 9">
          <a:extLst>
            <a:ext uri="{FF2B5EF4-FFF2-40B4-BE49-F238E27FC236}">
              <a16:creationId xmlns:a16="http://schemas.microsoft.com/office/drawing/2014/main" id="{E2F12958-C5D9-482D-90E3-7D2CB3879BDF}"/>
            </a:ext>
          </a:extLst>
        </xdr:cNvPr>
        <xdr:cNvSpPr txBox="1"/>
      </xdr:nvSpPr>
      <xdr:spPr>
        <a:xfrm>
          <a:off x="286515" y="3194666"/>
          <a:ext cx="1150944" cy="37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Results</a:t>
          </a:r>
          <a:endParaRPr lang="en-US" sz="2000" b="1">
            <a:solidFill>
              <a:srgbClr val="FF0000"/>
            </a:solidFill>
          </a:endParaRPr>
        </a:p>
      </xdr:txBody>
    </xdr:sp>
    <xdr:clientData/>
  </xdr:twoCellAnchor>
  <xdr:twoCellAnchor editAs="oneCell">
    <xdr:from>
      <xdr:col>15</xdr:col>
      <xdr:colOff>182987</xdr:colOff>
      <xdr:row>0</xdr:row>
      <xdr:rowOff>56096</xdr:rowOff>
    </xdr:from>
    <xdr:to>
      <xdr:col>33</xdr:col>
      <xdr:colOff>37312</xdr:colOff>
      <xdr:row>17</xdr:row>
      <xdr:rowOff>226309</xdr:rowOff>
    </xdr:to>
    <xdr:pic>
      <xdr:nvPicPr>
        <xdr:cNvPr id="2" name="Picture 1">
          <a:extLst>
            <a:ext uri="{FF2B5EF4-FFF2-40B4-BE49-F238E27FC236}">
              <a16:creationId xmlns:a16="http://schemas.microsoft.com/office/drawing/2014/main" id="{A8281609-1F88-41B0-BF75-319518034749}"/>
            </a:ext>
          </a:extLst>
        </xdr:cNvPr>
        <xdr:cNvPicPr>
          <a:picLocks noChangeAspect="1"/>
        </xdr:cNvPicPr>
      </xdr:nvPicPr>
      <xdr:blipFill>
        <a:blip xmlns:r="http://schemas.openxmlformats.org/officeDocument/2006/relationships" r:embed="rId4"/>
        <a:stretch>
          <a:fillRect/>
        </a:stretch>
      </xdr:blipFill>
      <xdr:spPr>
        <a:xfrm>
          <a:off x="17259951" y="56096"/>
          <a:ext cx="8141075" cy="4402034"/>
        </a:xfrm>
        <a:prstGeom prst="rect">
          <a:avLst/>
        </a:prstGeom>
      </xdr:spPr>
    </xdr:pic>
    <xdr:clientData/>
  </xdr:twoCellAnchor>
  <xdr:twoCellAnchor>
    <xdr:from>
      <xdr:col>2</xdr:col>
      <xdr:colOff>279774</xdr:colOff>
      <xdr:row>21</xdr:row>
      <xdr:rowOff>161926</xdr:rowOff>
    </xdr:from>
    <xdr:to>
      <xdr:col>2</xdr:col>
      <xdr:colOff>1225924</xdr:colOff>
      <xdr:row>22</xdr:row>
      <xdr:rowOff>206376</xdr:rowOff>
    </xdr:to>
    <xdr:sp macro="" textlink="">
      <xdr:nvSpPr>
        <xdr:cNvPr id="3" name="TextBox 2">
          <a:extLst>
            <a:ext uri="{FF2B5EF4-FFF2-40B4-BE49-F238E27FC236}">
              <a16:creationId xmlns:a16="http://schemas.microsoft.com/office/drawing/2014/main" id="{79A0674E-AFD1-4915-8578-E6FBEA07FA49}"/>
            </a:ext>
          </a:extLst>
        </xdr:cNvPr>
        <xdr:cNvSpPr txBox="1"/>
      </xdr:nvSpPr>
      <xdr:spPr>
        <a:xfrm>
          <a:off x="302186" y="4733926"/>
          <a:ext cx="946150" cy="279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MON1</a:t>
          </a:r>
          <a:endParaRPr lang="en-US" sz="1100"/>
        </a:p>
      </xdr:txBody>
    </xdr:sp>
    <xdr:clientData/>
  </xdr:twoCellAnchor>
  <xdr:twoCellAnchor>
    <xdr:from>
      <xdr:col>2</xdr:col>
      <xdr:colOff>282949</xdr:colOff>
      <xdr:row>26</xdr:row>
      <xdr:rowOff>29030</xdr:rowOff>
    </xdr:from>
    <xdr:to>
      <xdr:col>2</xdr:col>
      <xdr:colOff>1222749</xdr:colOff>
      <xdr:row>27</xdr:row>
      <xdr:rowOff>67130</xdr:rowOff>
    </xdr:to>
    <xdr:sp macro="" textlink="">
      <xdr:nvSpPr>
        <xdr:cNvPr id="12" name="TextBox 11">
          <a:extLst>
            <a:ext uri="{FF2B5EF4-FFF2-40B4-BE49-F238E27FC236}">
              <a16:creationId xmlns:a16="http://schemas.microsoft.com/office/drawing/2014/main" id="{F6C7C40C-1587-4B1C-87C9-9A45796136F8}"/>
            </a:ext>
          </a:extLst>
        </xdr:cNvPr>
        <xdr:cNvSpPr txBox="1"/>
      </xdr:nvSpPr>
      <xdr:spPr>
        <a:xfrm>
          <a:off x="305361" y="5777648"/>
          <a:ext cx="939800" cy="273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MON2</a:t>
          </a:r>
          <a:endParaRPr lang="en-US" sz="1100"/>
        </a:p>
      </xdr:txBody>
    </xdr:sp>
    <xdr:clientData/>
  </xdr:twoCellAnchor>
  <xdr:twoCellAnchor>
    <xdr:from>
      <xdr:col>2</xdr:col>
      <xdr:colOff>279774</xdr:colOff>
      <xdr:row>31</xdr:row>
      <xdr:rowOff>107497</xdr:rowOff>
    </xdr:from>
    <xdr:to>
      <xdr:col>2</xdr:col>
      <xdr:colOff>1225924</xdr:colOff>
      <xdr:row>32</xdr:row>
      <xdr:rowOff>145597</xdr:rowOff>
    </xdr:to>
    <xdr:sp macro="" textlink="">
      <xdr:nvSpPr>
        <xdr:cNvPr id="13" name="TextBox 12">
          <a:extLst>
            <a:ext uri="{FF2B5EF4-FFF2-40B4-BE49-F238E27FC236}">
              <a16:creationId xmlns:a16="http://schemas.microsoft.com/office/drawing/2014/main" id="{43A0D08B-06B4-4865-92A1-531941D699DF}"/>
            </a:ext>
          </a:extLst>
        </xdr:cNvPr>
        <xdr:cNvSpPr txBox="1"/>
      </xdr:nvSpPr>
      <xdr:spPr>
        <a:xfrm>
          <a:off x="302186" y="7032732"/>
          <a:ext cx="946150" cy="27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MON3</a:t>
          </a:r>
          <a:endParaRPr lang="en-US" sz="1100"/>
        </a:p>
      </xdr:txBody>
    </xdr:sp>
    <xdr:clientData/>
  </xdr:twoCellAnchor>
  <xdr:twoCellAnchor>
    <xdr:from>
      <xdr:col>2</xdr:col>
      <xdr:colOff>282949</xdr:colOff>
      <xdr:row>36</xdr:row>
      <xdr:rowOff>83457</xdr:rowOff>
    </xdr:from>
    <xdr:to>
      <xdr:col>2</xdr:col>
      <xdr:colOff>1222749</xdr:colOff>
      <xdr:row>37</xdr:row>
      <xdr:rowOff>121558</xdr:rowOff>
    </xdr:to>
    <xdr:sp macro="" textlink="">
      <xdr:nvSpPr>
        <xdr:cNvPr id="14" name="TextBox 13">
          <a:extLst>
            <a:ext uri="{FF2B5EF4-FFF2-40B4-BE49-F238E27FC236}">
              <a16:creationId xmlns:a16="http://schemas.microsoft.com/office/drawing/2014/main" id="{AC5D6B9C-F6B4-493E-BD70-F0926DA26DBC}"/>
            </a:ext>
          </a:extLst>
        </xdr:cNvPr>
        <xdr:cNvSpPr txBox="1"/>
      </xdr:nvSpPr>
      <xdr:spPr>
        <a:xfrm>
          <a:off x="305361" y="8185310"/>
          <a:ext cx="939800" cy="27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MON4</a:t>
          </a:r>
          <a:endParaRPr lang="en-US" sz="1100"/>
        </a:p>
      </xdr:txBody>
    </xdr:sp>
    <xdr:clientData/>
  </xdr:twoCellAnchor>
  <xdr:twoCellAnchor>
    <xdr:from>
      <xdr:col>2</xdr:col>
      <xdr:colOff>279774</xdr:colOff>
      <xdr:row>41</xdr:row>
      <xdr:rowOff>66675</xdr:rowOff>
    </xdr:from>
    <xdr:to>
      <xdr:col>2</xdr:col>
      <xdr:colOff>1225924</xdr:colOff>
      <xdr:row>42</xdr:row>
      <xdr:rowOff>104776</xdr:rowOff>
    </xdr:to>
    <xdr:sp macro="" textlink="">
      <xdr:nvSpPr>
        <xdr:cNvPr id="15" name="TextBox 14">
          <a:extLst>
            <a:ext uri="{FF2B5EF4-FFF2-40B4-BE49-F238E27FC236}">
              <a16:creationId xmlns:a16="http://schemas.microsoft.com/office/drawing/2014/main" id="{E8062ED2-245A-4E4D-9D79-D040DA56C0AE}"/>
            </a:ext>
          </a:extLst>
        </xdr:cNvPr>
        <xdr:cNvSpPr txBox="1"/>
      </xdr:nvSpPr>
      <xdr:spPr>
        <a:xfrm>
          <a:off x="302186" y="9345146"/>
          <a:ext cx="946150" cy="27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MON5</a:t>
          </a:r>
          <a:endParaRPr lang="en-US" sz="1100"/>
        </a:p>
      </xdr:txBody>
    </xdr:sp>
    <xdr:clientData/>
  </xdr:twoCellAnchor>
  <xdr:twoCellAnchor>
    <xdr:from>
      <xdr:col>2</xdr:col>
      <xdr:colOff>282949</xdr:colOff>
      <xdr:row>46</xdr:row>
      <xdr:rowOff>83457</xdr:rowOff>
    </xdr:from>
    <xdr:to>
      <xdr:col>2</xdr:col>
      <xdr:colOff>1222749</xdr:colOff>
      <xdr:row>47</xdr:row>
      <xdr:rowOff>121558</xdr:rowOff>
    </xdr:to>
    <xdr:sp macro="" textlink="">
      <xdr:nvSpPr>
        <xdr:cNvPr id="16" name="TextBox 15">
          <a:extLst>
            <a:ext uri="{FF2B5EF4-FFF2-40B4-BE49-F238E27FC236}">
              <a16:creationId xmlns:a16="http://schemas.microsoft.com/office/drawing/2014/main" id="{AB6BE099-0654-4BEE-9240-9004BE0476C4}"/>
            </a:ext>
          </a:extLst>
        </xdr:cNvPr>
        <xdr:cNvSpPr txBox="1"/>
      </xdr:nvSpPr>
      <xdr:spPr>
        <a:xfrm>
          <a:off x="305361" y="10538545"/>
          <a:ext cx="939800" cy="27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MON6</a:t>
          </a:r>
          <a:endParaRPr lang="en-US" sz="1100"/>
        </a:p>
      </xdr:txBody>
    </xdr:sp>
    <xdr:clientData/>
  </xdr:twoCellAnchor>
  <xdr:twoCellAnchor>
    <xdr:from>
      <xdr:col>2</xdr:col>
      <xdr:colOff>279774</xdr:colOff>
      <xdr:row>51</xdr:row>
      <xdr:rowOff>66675</xdr:rowOff>
    </xdr:from>
    <xdr:to>
      <xdr:col>2</xdr:col>
      <xdr:colOff>1225924</xdr:colOff>
      <xdr:row>52</xdr:row>
      <xdr:rowOff>104776</xdr:rowOff>
    </xdr:to>
    <xdr:sp macro="" textlink="">
      <xdr:nvSpPr>
        <xdr:cNvPr id="17" name="TextBox 16">
          <a:extLst>
            <a:ext uri="{FF2B5EF4-FFF2-40B4-BE49-F238E27FC236}">
              <a16:creationId xmlns:a16="http://schemas.microsoft.com/office/drawing/2014/main" id="{769E91EF-EBA2-48D0-A721-95B8985AB4A7}"/>
            </a:ext>
          </a:extLst>
        </xdr:cNvPr>
        <xdr:cNvSpPr txBox="1"/>
      </xdr:nvSpPr>
      <xdr:spPr>
        <a:xfrm>
          <a:off x="302186" y="11743204"/>
          <a:ext cx="946150" cy="27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MON7</a:t>
          </a:r>
          <a:endParaRPr lang="en-US" sz="1100"/>
        </a:p>
      </xdr:txBody>
    </xdr:sp>
    <xdr:clientData/>
  </xdr:twoCellAnchor>
  <xdr:twoCellAnchor>
    <xdr:from>
      <xdr:col>2</xdr:col>
      <xdr:colOff>282949</xdr:colOff>
      <xdr:row>56</xdr:row>
      <xdr:rowOff>93889</xdr:rowOff>
    </xdr:from>
    <xdr:to>
      <xdr:col>2</xdr:col>
      <xdr:colOff>1222749</xdr:colOff>
      <xdr:row>57</xdr:row>
      <xdr:rowOff>131990</xdr:rowOff>
    </xdr:to>
    <xdr:sp macro="" textlink="">
      <xdr:nvSpPr>
        <xdr:cNvPr id="18" name="TextBox 17">
          <a:extLst>
            <a:ext uri="{FF2B5EF4-FFF2-40B4-BE49-F238E27FC236}">
              <a16:creationId xmlns:a16="http://schemas.microsoft.com/office/drawing/2014/main" id="{8E965429-935E-4F9B-BA03-005E6B2F7B50}"/>
            </a:ext>
          </a:extLst>
        </xdr:cNvPr>
        <xdr:cNvSpPr txBox="1"/>
      </xdr:nvSpPr>
      <xdr:spPr>
        <a:xfrm>
          <a:off x="305361" y="12947036"/>
          <a:ext cx="939800" cy="27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MON8</a:t>
          </a:r>
          <a:endParaRPr lang="en-US" sz="1100"/>
        </a:p>
      </xdr:txBody>
    </xdr:sp>
    <xdr:clientData/>
  </xdr:twoCellAnchor>
  <xdr:twoCellAnchor>
    <xdr:from>
      <xdr:col>4</xdr:col>
      <xdr:colOff>68953</xdr:colOff>
      <xdr:row>62</xdr:row>
      <xdr:rowOff>126909</xdr:rowOff>
    </xdr:from>
    <xdr:to>
      <xdr:col>4</xdr:col>
      <xdr:colOff>1273174</xdr:colOff>
      <xdr:row>65</xdr:row>
      <xdr:rowOff>17780</xdr:rowOff>
    </xdr:to>
    <xdr:sp macro="" textlink="">
      <xdr:nvSpPr>
        <xdr:cNvPr id="19" name="TextBox 18">
          <a:extLst>
            <a:ext uri="{FF2B5EF4-FFF2-40B4-BE49-F238E27FC236}">
              <a16:creationId xmlns:a16="http://schemas.microsoft.com/office/drawing/2014/main" id="{CF288E5F-0133-444F-BC3E-94228206BF76}"/>
            </a:ext>
          </a:extLst>
        </xdr:cNvPr>
        <xdr:cNvSpPr txBox="1"/>
      </xdr:nvSpPr>
      <xdr:spPr>
        <a:xfrm>
          <a:off x="1535803" y="15128784"/>
          <a:ext cx="1204221" cy="605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Comparator Sense Path</a:t>
          </a:r>
          <a:endParaRPr lang="en-US" sz="1100"/>
        </a:p>
      </xdr:txBody>
    </xdr:sp>
    <xdr:clientData/>
  </xdr:twoCellAnchor>
  <xdr:twoCellAnchor>
    <xdr:from>
      <xdr:col>4</xdr:col>
      <xdr:colOff>67683</xdr:colOff>
      <xdr:row>70</xdr:row>
      <xdr:rowOff>234224</xdr:rowOff>
    </xdr:from>
    <xdr:to>
      <xdr:col>4</xdr:col>
      <xdr:colOff>1275714</xdr:colOff>
      <xdr:row>73</xdr:row>
      <xdr:rowOff>126365</xdr:rowOff>
    </xdr:to>
    <xdr:sp macro="" textlink="">
      <xdr:nvSpPr>
        <xdr:cNvPr id="20" name="TextBox 19">
          <a:extLst>
            <a:ext uri="{FF2B5EF4-FFF2-40B4-BE49-F238E27FC236}">
              <a16:creationId xmlns:a16="http://schemas.microsoft.com/office/drawing/2014/main" id="{8D223C67-A29F-4021-B593-0324A35DB0EF}"/>
            </a:ext>
          </a:extLst>
        </xdr:cNvPr>
        <xdr:cNvSpPr txBox="1"/>
      </xdr:nvSpPr>
      <xdr:spPr>
        <a:xfrm>
          <a:off x="1534533" y="17169674"/>
          <a:ext cx="1208031" cy="606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t>ADC Sense Path</a:t>
          </a:r>
          <a:endParaRPr lang="en-US" sz="1100"/>
        </a:p>
      </xdr:txBody>
    </xdr:sp>
    <xdr:clientData/>
  </xdr:twoCellAnchor>
  <xdr:twoCellAnchor>
    <xdr:from>
      <xdr:col>6</xdr:col>
      <xdr:colOff>754924</xdr:colOff>
      <xdr:row>10</xdr:row>
      <xdr:rowOff>41003</xdr:rowOff>
    </xdr:from>
    <xdr:to>
      <xdr:col>10</xdr:col>
      <xdr:colOff>1235166</xdr:colOff>
      <xdr:row>12</xdr:row>
      <xdr:rowOff>35197</xdr:rowOff>
    </xdr:to>
    <xdr:sp macro="" textlink="">
      <xdr:nvSpPr>
        <xdr:cNvPr id="4" name="TextBox 3">
          <a:extLst>
            <a:ext uri="{FF2B5EF4-FFF2-40B4-BE49-F238E27FC236}">
              <a16:creationId xmlns:a16="http://schemas.microsoft.com/office/drawing/2014/main" id="{B359762D-7C43-46E3-9E1F-B1A188CA6850}"/>
            </a:ext>
          </a:extLst>
        </xdr:cNvPr>
        <xdr:cNvSpPr txBox="1"/>
      </xdr:nvSpPr>
      <xdr:spPr>
        <a:xfrm>
          <a:off x="5000353" y="2544717"/>
          <a:ext cx="6674213" cy="473166"/>
        </a:xfrm>
        <a:prstGeom prst="rect">
          <a:avLst/>
        </a:prstGeom>
        <a:solidFill>
          <a:schemeClr val="lt1"/>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FF0000"/>
              </a:solidFill>
            </a:rPr>
            <a:t>Reference "Read Me" Sheet</a:t>
          </a:r>
          <a:r>
            <a:rPr lang="en-US" sz="2400" b="1" baseline="0">
              <a:solidFill>
                <a:srgbClr val="FF0000"/>
              </a:solidFill>
            </a:rPr>
            <a:t> </a:t>
          </a:r>
          <a:r>
            <a:rPr lang="en-US" sz="2400" b="1">
              <a:solidFill>
                <a:srgbClr val="FF0000"/>
              </a:solidFill>
            </a:rPr>
            <a:t>Tab for</a:t>
          </a:r>
          <a:r>
            <a:rPr lang="en-US" sz="2400" b="1" baseline="0">
              <a:solidFill>
                <a:srgbClr val="FF0000"/>
              </a:solidFill>
            </a:rPr>
            <a:t> a Tool Tutorial</a:t>
          </a:r>
          <a:endParaRPr lang="en-US" sz="2400" b="1">
            <a:solidFill>
              <a:srgbClr val="FF0000"/>
            </a:solidFill>
          </a:endParaRPr>
        </a:p>
      </xdr:txBody>
    </xdr:sp>
    <xdr:clientData/>
  </xdr:twoCellAnchor>
  <xdr:twoCellAnchor editAs="oneCell">
    <xdr:from>
      <xdr:col>16</xdr:col>
      <xdr:colOff>105682</xdr:colOff>
      <xdr:row>22</xdr:row>
      <xdr:rowOff>123600</xdr:rowOff>
    </xdr:from>
    <xdr:to>
      <xdr:col>39</xdr:col>
      <xdr:colOff>590887</xdr:colOff>
      <xdr:row>25</xdr:row>
      <xdr:rowOff>105682</xdr:rowOff>
    </xdr:to>
    <xdr:pic>
      <xdr:nvPicPr>
        <xdr:cNvPr id="6" name="Picture 5">
          <a:extLst>
            <a:ext uri="{FF2B5EF4-FFF2-40B4-BE49-F238E27FC236}">
              <a16:creationId xmlns:a16="http://schemas.microsoft.com/office/drawing/2014/main" id="{A504D2E5-0692-4A37-B543-2645E124D366}"/>
            </a:ext>
          </a:extLst>
        </xdr:cNvPr>
        <xdr:cNvPicPr>
          <a:picLocks noChangeAspect="1"/>
        </xdr:cNvPicPr>
      </xdr:nvPicPr>
      <xdr:blipFill>
        <a:blip xmlns:r="http://schemas.openxmlformats.org/officeDocument/2006/relationships" r:embed="rId5"/>
        <a:stretch>
          <a:fillRect/>
        </a:stretch>
      </xdr:blipFill>
      <xdr:spPr>
        <a:xfrm>
          <a:off x="17509218" y="5580064"/>
          <a:ext cx="12119312" cy="716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201612</xdr:colOff>
      <xdr:row>16</xdr:row>
      <xdr:rowOff>133631</xdr:rowOff>
    </xdr:from>
    <xdr:to>
      <xdr:col>11</xdr:col>
      <xdr:colOff>429769</xdr:colOff>
      <xdr:row>23</xdr:row>
      <xdr:rowOff>20863</xdr:rowOff>
    </xdr:to>
    <xdr:pic>
      <xdr:nvPicPr>
        <xdr:cNvPr id="5" name="Picture 4">
          <a:extLst>
            <a:ext uri="{FF2B5EF4-FFF2-40B4-BE49-F238E27FC236}">
              <a16:creationId xmlns:a16="http://schemas.microsoft.com/office/drawing/2014/main" id="{876E0864-837C-4A0C-A3B2-C75D52351226}"/>
            </a:ext>
          </a:extLst>
        </xdr:cNvPr>
        <xdr:cNvPicPr>
          <a:picLocks noChangeAspect="1"/>
        </xdr:cNvPicPr>
      </xdr:nvPicPr>
      <xdr:blipFill>
        <a:blip xmlns:r="http://schemas.openxmlformats.org/officeDocument/2006/relationships" r:embed="rId1"/>
        <a:stretch>
          <a:fillRect/>
        </a:stretch>
      </xdr:blipFill>
      <xdr:spPr>
        <a:xfrm>
          <a:off x="8583612" y="4896131"/>
          <a:ext cx="10447121" cy="1315982"/>
        </a:xfrm>
        <a:prstGeom prst="rect">
          <a:avLst/>
        </a:prstGeom>
      </xdr:spPr>
    </xdr:pic>
    <xdr:clientData/>
  </xdr:twoCellAnchor>
  <xdr:twoCellAnchor editAs="oneCell">
    <xdr:from>
      <xdr:col>5</xdr:col>
      <xdr:colOff>283827</xdr:colOff>
      <xdr:row>13</xdr:row>
      <xdr:rowOff>109320</xdr:rowOff>
    </xdr:from>
    <xdr:to>
      <xdr:col>11</xdr:col>
      <xdr:colOff>199880</xdr:colOff>
      <xdr:row>17</xdr:row>
      <xdr:rowOff>12283</xdr:rowOff>
    </xdr:to>
    <xdr:pic>
      <xdr:nvPicPr>
        <xdr:cNvPr id="4" name="Picture 3">
          <a:extLst>
            <a:ext uri="{FF2B5EF4-FFF2-40B4-BE49-F238E27FC236}">
              <a16:creationId xmlns:a16="http://schemas.microsoft.com/office/drawing/2014/main" id="{CB3E3F8A-600B-4257-A26E-2A458A904AD7}"/>
            </a:ext>
          </a:extLst>
        </xdr:cNvPr>
        <xdr:cNvPicPr>
          <a:picLocks noChangeAspect="1"/>
        </xdr:cNvPicPr>
      </xdr:nvPicPr>
      <xdr:blipFill rotWithShape="1">
        <a:blip xmlns:r="http://schemas.openxmlformats.org/officeDocument/2006/relationships" r:embed="rId2"/>
        <a:srcRect b="6558"/>
        <a:stretch/>
      </xdr:blipFill>
      <xdr:spPr>
        <a:xfrm>
          <a:off x="8654282" y="3630684"/>
          <a:ext cx="10133780" cy="1369235"/>
        </a:xfrm>
        <a:prstGeom prst="rect">
          <a:avLst/>
        </a:prstGeom>
      </xdr:spPr>
    </xdr:pic>
    <xdr:clientData/>
  </xdr:twoCellAnchor>
  <xdr:twoCellAnchor>
    <xdr:from>
      <xdr:col>5</xdr:col>
      <xdr:colOff>238158</xdr:colOff>
      <xdr:row>0</xdr:row>
      <xdr:rowOff>171255</xdr:rowOff>
    </xdr:from>
    <xdr:to>
      <xdr:col>11</xdr:col>
      <xdr:colOff>246529</xdr:colOff>
      <xdr:row>12</xdr:row>
      <xdr:rowOff>123265</xdr:rowOff>
    </xdr:to>
    <xdr:sp macro="" textlink="">
      <xdr:nvSpPr>
        <xdr:cNvPr id="6" name="TextBox 5">
          <a:extLst>
            <a:ext uri="{FF2B5EF4-FFF2-40B4-BE49-F238E27FC236}">
              <a16:creationId xmlns:a16="http://schemas.microsoft.com/office/drawing/2014/main" id="{EB9D6B21-C63A-4964-A8A2-69A68F9B0D80}"/>
            </a:ext>
          </a:extLst>
        </xdr:cNvPr>
        <xdr:cNvSpPr txBox="1"/>
      </xdr:nvSpPr>
      <xdr:spPr>
        <a:xfrm>
          <a:off x="8732217" y="171255"/>
          <a:ext cx="10194518" cy="3100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t>PEC Description: </a:t>
          </a:r>
        </a:p>
        <a:p>
          <a:pPr algn="l"/>
          <a:r>
            <a:rPr lang="en-US" sz="1600"/>
            <a:t>Packet Error Checking (PEC) as a way to implement Cyclic Redundancy Checking (CRC). PEC is a dynamic CRC that happens only during read or write transactions if enabled. With the initial value of CRC set to 0x00, the PEC uses a CRC-8 represented by the polynomial: </a:t>
          </a:r>
        </a:p>
        <a:p>
          <a:pPr algn="ctr"/>
          <a:endParaRPr lang="en-US" sz="1600"/>
        </a:p>
        <a:p>
          <a:pPr algn="ctr"/>
          <a:r>
            <a:rPr lang="en-US" sz="1600"/>
            <a:t>C (x) = x 8 + x 2 + x + 1</a:t>
          </a:r>
        </a:p>
        <a:p>
          <a:pPr algn="ctr"/>
          <a:endParaRPr lang="en-US" sz="1600"/>
        </a:p>
        <a:p>
          <a:pPr algn="l"/>
          <a:r>
            <a:rPr lang="en-US" sz="1600"/>
            <a:t>The polynomial is meant to catch any bit flips or noise in I2C communication which cause data and PEC byte to have a mismatch. The PEC calculation includes all bytes in the transmission, including address, command and data. The PEC calculation does not include ACK or NACK bits or START, STOP or REPEATED START conditions. If PEC is enabled, the TPS38900x-Q1 is responsible for sending the PEC byte during a read transaction. If PEC is enabled, and the MCU is responsible for sending the PEC byte during a write</a:t>
          </a:r>
          <a:r>
            <a:rPr lang="en-US" sz="1600" baseline="0"/>
            <a:t> transaction. </a:t>
          </a:r>
          <a:endParaRPr lang="en-US" sz="1600"/>
        </a:p>
      </xdr:txBody>
    </xdr:sp>
    <xdr:clientData/>
  </xdr:twoCellAnchor>
  <xdr:twoCellAnchor>
    <xdr:from>
      <xdr:col>1</xdr:col>
      <xdr:colOff>184246</xdr:colOff>
      <xdr:row>7</xdr:row>
      <xdr:rowOff>59533</xdr:rowOff>
    </xdr:from>
    <xdr:to>
      <xdr:col>1</xdr:col>
      <xdr:colOff>429022</xdr:colOff>
      <xdr:row>7</xdr:row>
      <xdr:rowOff>290146</xdr:rowOff>
    </xdr:to>
    <xdr:sp macro="" textlink="">
      <xdr:nvSpPr>
        <xdr:cNvPr id="10" name="Oval 9">
          <a:extLst>
            <a:ext uri="{FF2B5EF4-FFF2-40B4-BE49-F238E27FC236}">
              <a16:creationId xmlns:a16="http://schemas.microsoft.com/office/drawing/2014/main" id="{9C3495FA-CC12-42E2-A682-0A68743DF59F}"/>
            </a:ext>
          </a:extLst>
        </xdr:cNvPr>
        <xdr:cNvSpPr/>
      </xdr:nvSpPr>
      <xdr:spPr>
        <a:xfrm>
          <a:off x="1394654" y="1639218"/>
          <a:ext cx="244776" cy="230613"/>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1</a:t>
          </a:r>
        </a:p>
      </xdr:txBody>
    </xdr:sp>
    <xdr:clientData/>
  </xdr:twoCellAnchor>
  <xdr:twoCellAnchor>
    <xdr:from>
      <xdr:col>0</xdr:col>
      <xdr:colOff>608320</xdr:colOff>
      <xdr:row>16</xdr:row>
      <xdr:rowOff>85512</xdr:rowOff>
    </xdr:from>
    <xdr:to>
      <xdr:col>2</xdr:col>
      <xdr:colOff>284587</xdr:colOff>
      <xdr:row>18</xdr:row>
      <xdr:rowOff>11701</xdr:rowOff>
    </xdr:to>
    <xdr:grpSp>
      <xdr:nvGrpSpPr>
        <xdr:cNvPr id="17" name="Group 16">
          <a:extLst>
            <a:ext uri="{FF2B5EF4-FFF2-40B4-BE49-F238E27FC236}">
              <a16:creationId xmlns:a16="http://schemas.microsoft.com/office/drawing/2014/main" id="{0DE7D048-9D1C-4F7F-B5EC-4C309CB40F65}"/>
            </a:ext>
          </a:extLst>
        </xdr:cNvPr>
        <xdr:cNvGrpSpPr/>
      </xdr:nvGrpSpPr>
      <xdr:grpSpPr>
        <a:xfrm>
          <a:off x="608320" y="4873599"/>
          <a:ext cx="1345943" cy="323251"/>
          <a:chOff x="774978" y="3344524"/>
          <a:chExt cx="796530" cy="218658"/>
        </a:xfrm>
      </xdr:grpSpPr>
      <xdr:sp macro="" textlink="">
        <xdr:nvSpPr>
          <xdr:cNvPr id="18" name="TextBox 17">
            <a:extLst>
              <a:ext uri="{FF2B5EF4-FFF2-40B4-BE49-F238E27FC236}">
                <a16:creationId xmlns:a16="http://schemas.microsoft.com/office/drawing/2014/main" id="{46E49252-67FA-4BE6-8348-4FD0F0EF2CDA}"/>
              </a:ext>
            </a:extLst>
          </xdr:cNvPr>
          <xdr:cNvSpPr txBox="1"/>
        </xdr:nvSpPr>
        <xdr:spPr>
          <a:xfrm>
            <a:off x="902316" y="3344524"/>
            <a:ext cx="669192" cy="21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Step</a:t>
            </a:r>
            <a:r>
              <a:rPr lang="en-US" sz="1600" baseline="0"/>
              <a:t> One</a:t>
            </a:r>
            <a:endParaRPr lang="en-US" sz="1600"/>
          </a:p>
        </xdr:txBody>
      </xdr:sp>
      <xdr:sp macro="" textlink="">
        <xdr:nvSpPr>
          <xdr:cNvPr id="19" name="Oval 18">
            <a:extLst>
              <a:ext uri="{FF2B5EF4-FFF2-40B4-BE49-F238E27FC236}">
                <a16:creationId xmlns:a16="http://schemas.microsoft.com/office/drawing/2014/main" id="{98C0FB22-8187-4E1B-ACB7-872C9FA05DE2}"/>
              </a:ext>
            </a:extLst>
          </xdr:cNvPr>
          <xdr:cNvSpPr/>
        </xdr:nvSpPr>
        <xdr:spPr>
          <a:xfrm>
            <a:off x="774978" y="3370322"/>
            <a:ext cx="170152" cy="17019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1</a:t>
            </a:r>
          </a:p>
        </xdr:txBody>
      </xdr:sp>
    </xdr:grpSp>
    <xdr:clientData/>
  </xdr:twoCellAnchor>
  <xdr:twoCellAnchor>
    <xdr:from>
      <xdr:col>0</xdr:col>
      <xdr:colOff>571795</xdr:colOff>
      <xdr:row>31</xdr:row>
      <xdr:rowOff>16115</xdr:rowOff>
    </xdr:from>
    <xdr:to>
      <xdr:col>2</xdr:col>
      <xdr:colOff>297527</xdr:colOff>
      <xdr:row>32</xdr:row>
      <xdr:rowOff>135979</xdr:rowOff>
    </xdr:to>
    <xdr:grpSp>
      <xdr:nvGrpSpPr>
        <xdr:cNvPr id="20" name="Group 19">
          <a:extLst>
            <a:ext uri="{FF2B5EF4-FFF2-40B4-BE49-F238E27FC236}">
              <a16:creationId xmlns:a16="http://schemas.microsoft.com/office/drawing/2014/main" id="{355F9FF8-928D-4C3B-AE1B-BF3E22DB9A14}"/>
            </a:ext>
          </a:extLst>
        </xdr:cNvPr>
        <xdr:cNvGrpSpPr/>
      </xdr:nvGrpSpPr>
      <xdr:grpSpPr>
        <a:xfrm>
          <a:off x="571795" y="7826615"/>
          <a:ext cx="1392233" cy="321570"/>
          <a:chOff x="774978" y="3338013"/>
          <a:chExt cx="842637" cy="218658"/>
        </a:xfrm>
      </xdr:grpSpPr>
      <xdr:sp macro="" textlink="">
        <xdr:nvSpPr>
          <xdr:cNvPr id="21" name="TextBox 20">
            <a:extLst>
              <a:ext uri="{FF2B5EF4-FFF2-40B4-BE49-F238E27FC236}">
                <a16:creationId xmlns:a16="http://schemas.microsoft.com/office/drawing/2014/main" id="{3EDA58D5-C1DD-43F0-AACB-CB764ED53D05}"/>
              </a:ext>
            </a:extLst>
          </xdr:cNvPr>
          <xdr:cNvSpPr txBox="1"/>
        </xdr:nvSpPr>
        <xdr:spPr>
          <a:xfrm>
            <a:off x="948423" y="3338013"/>
            <a:ext cx="669192" cy="21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Step</a:t>
            </a:r>
            <a:r>
              <a:rPr lang="en-US" sz="1600" baseline="0"/>
              <a:t> Three</a:t>
            </a:r>
            <a:endParaRPr lang="en-US" sz="1600"/>
          </a:p>
        </xdr:txBody>
      </xdr:sp>
      <xdr:sp macro="" textlink="">
        <xdr:nvSpPr>
          <xdr:cNvPr id="22" name="Oval 21">
            <a:extLst>
              <a:ext uri="{FF2B5EF4-FFF2-40B4-BE49-F238E27FC236}">
                <a16:creationId xmlns:a16="http://schemas.microsoft.com/office/drawing/2014/main" id="{FD27A217-8F38-4433-AEB6-439AB4DEAE26}"/>
              </a:ext>
            </a:extLst>
          </xdr:cNvPr>
          <xdr:cNvSpPr/>
        </xdr:nvSpPr>
        <xdr:spPr>
          <a:xfrm>
            <a:off x="774978" y="3370322"/>
            <a:ext cx="170152" cy="17019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3</a:t>
            </a:r>
          </a:p>
        </xdr:txBody>
      </xdr:sp>
    </xdr:grpSp>
    <xdr:clientData/>
  </xdr:twoCellAnchor>
  <xdr:twoCellAnchor>
    <xdr:from>
      <xdr:col>0</xdr:col>
      <xdr:colOff>594712</xdr:colOff>
      <xdr:row>27</xdr:row>
      <xdr:rowOff>50055</xdr:rowOff>
    </xdr:from>
    <xdr:to>
      <xdr:col>2</xdr:col>
      <xdr:colOff>255077</xdr:colOff>
      <xdr:row>28</xdr:row>
      <xdr:rowOff>152550</xdr:rowOff>
    </xdr:to>
    <xdr:grpSp>
      <xdr:nvGrpSpPr>
        <xdr:cNvPr id="23" name="Group 22">
          <a:extLst>
            <a:ext uri="{FF2B5EF4-FFF2-40B4-BE49-F238E27FC236}">
              <a16:creationId xmlns:a16="http://schemas.microsoft.com/office/drawing/2014/main" id="{984FF081-CFB6-4887-91A7-6B61A9B7C28D}"/>
            </a:ext>
          </a:extLst>
        </xdr:cNvPr>
        <xdr:cNvGrpSpPr/>
      </xdr:nvGrpSpPr>
      <xdr:grpSpPr>
        <a:xfrm>
          <a:off x="597887" y="7050556"/>
          <a:ext cx="1330041" cy="307376"/>
          <a:chOff x="774978" y="3347162"/>
          <a:chExt cx="794624" cy="214694"/>
        </a:xfrm>
      </xdr:grpSpPr>
      <xdr:sp macro="" textlink="">
        <xdr:nvSpPr>
          <xdr:cNvPr id="24" name="TextBox 23">
            <a:extLst>
              <a:ext uri="{FF2B5EF4-FFF2-40B4-BE49-F238E27FC236}">
                <a16:creationId xmlns:a16="http://schemas.microsoft.com/office/drawing/2014/main" id="{4672657F-A619-42D1-8A81-6BD92719662B}"/>
              </a:ext>
            </a:extLst>
          </xdr:cNvPr>
          <xdr:cNvSpPr txBox="1"/>
        </xdr:nvSpPr>
        <xdr:spPr>
          <a:xfrm>
            <a:off x="900410" y="3347162"/>
            <a:ext cx="669192" cy="214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Step</a:t>
            </a:r>
            <a:r>
              <a:rPr lang="en-US" sz="1600" baseline="0"/>
              <a:t> Two</a:t>
            </a:r>
            <a:endParaRPr lang="en-US" sz="1600"/>
          </a:p>
        </xdr:txBody>
      </xdr:sp>
      <xdr:sp macro="" textlink="">
        <xdr:nvSpPr>
          <xdr:cNvPr id="25" name="Oval 24">
            <a:extLst>
              <a:ext uri="{FF2B5EF4-FFF2-40B4-BE49-F238E27FC236}">
                <a16:creationId xmlns:a16="http://schemas.microsoft.com/office/drawing/2014/main" id="{29D443CB-B42A-4DBA-8F17-8ADC4178A573}"/>
              </a:ext>
            </a:extLst>
          </xdr:cNvPr>
          <xdr:cNvSpPr/>
        </xdr:nvSpPr>
        <xdr:spPr>
          <a:xfrm>
            <a:off x="774978" y="3370322"/>
            <a:ext cx="170152" cy="17019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a:t>
            </a:r>
          </a:p>
        </xdr:txBody>
      </xdr:sp>
    </xdr:grpSp>
    <xdr:clientData/>
  </xdr:twoCellAnchor>
  <xdr:twoCellAnchor>
    <xdr:from>
      <xdr:col>0</xdr:col>
      <xdr:colOff>1038251</xdr:colOff>
      <xdr:row>17</xdr:row>
      <xdr:rowOff>181056</xdr:rowOff>
    </xdr:from>
    <xdr:to>
      <xdr:col>4</xdr:col>
      <xdr:colOff>3619285</xdr:colOff>
      <xdr:row>20</xdr:row>
      <xdr:rowOff>27333</xdr:rowOff>
    </xdr:to>
    <xdr:sp macro="" textlink="">
      <xdr:nvSpPr>
        <xdr:cNvPr id="26" name="TextBox 25">
          <a:extLst>
            <a:ext uri="{FF2B5EF4-FFF2-40B4-BE49-F238E27FC236}">
              <a16:creationId xmlns:a16="http://schemas.microsoft.com/office/drawing/2014/main" id="{102528BF-8434-41ED-ACB3-D7056567F7E4}"/>
            </a:ext>
          </a:extLst>
        </xdr:cNvPr>
        <xdr:cNvSpPr txBox="1"/>
      </xdr:nvSpPr>
      <xdr:spPr>
        <a:xfrm>
          <a:off x="1038251" y="5153106"/>
          <a:ext cx="6781559" cy="4463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slave ID corresponding to</a:t>
          </a:r>
          <a:r>
            <a:rPr lang="en-US" sz="1100" baseline="0"/>
            <a:t> the device is set by the address resistor at the ADDR pin. Provide the corresponding device address. </a:t>
          </a:r>
          <a:endParaRPr lang="en-US" sz="1100"/>
        </a:p>
      </xdr:txBody>
    </xdr:sp>
    <xdr:clientData/>
  </xdr:twoCellAnchor>
  <xdr:twoCellAnchor>
    <xdr:from>
      <xdr:col>0</xdr:col>
      <xdr:colOff>997591</xdr:colOff>
      <xdr:row>32</xdr:row>
      <xdr:rowOff>163341</xdr:rowOff>
    </xdr:from>
    <xdr:to>
      <xdr:col>4</xdr:col>
      <xdr:colOff>3593512</xdr:colOff>
      <xdr:row>35</xdr:row>
      <xdr:rowOff>114299</xdr:rowOff>
    </xdr:to>
    <xdr:sp macro="" textlink="">
      <xdr:nvSpPr>
        <xdr:cNvPr id="27" name="TextBox 26">
          <a:extLst>
            <a:ext uri="{FF2B5EF4-FFF2-40B4-BE49-F238E27FC236}">
              <a16:creationId xmlns:a16="http://schemas.microsoft.com/office/drawing/2014/main" id="{FC14188C-3247-45CD-8C63-8EF84D64C379}"/>
            </a:ext>
          </a:extLst>
        </xdr:cNvPr>
        <xdr:cNvSpPr txBox="1"/>
      </xdr:nvSpPr>
      <xdr:spPr>
        <a:xfrm>
          <a:off x="997591" y="8135766"/>
          <a:ext cx="6796446" cy="55103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Using</a:t>
          </a:r>
          <a:r>
            <a:rPr lang="en-US" sz="1100" baseline="0"/>
            <a:t> the PEC bite calculated by the sheet, write to the register in question following the provided I2C sequence. </a:t>
          </a:r>
          <a:endParaRPr lang="en-US" sz="1100"/>
        </a:p>
      </xdr:txBody>
    </xdr:sp>
    <xdr:clientData/>
  </xdr:twoCellAnchor>
  <xdr:twoCellAnchor>
    <xdr:from>
      <xdr:col>0</xdr:col>
      <xdr:colOff>1031448</xdr:colOff>
      <xdr:row>28</xdr:row>
      <xdr:rowOff>140289</xdr:rowOff>
    </xdr:from>
    <xdr:to>
      <xdr:col>4</xdr:col>
      <xdr:colOff>3630011</xdr:colOff>
      <xdr:row>31</xdr:row>
      <xdr:rowOff>0</xdr:rowOff>
    </xdr:to>
    <xdr:sp macro="" textlink="">
      <xdr:nvSpPr>
        <xdr:cNvPr id="28" name="TextBox 27">
          <a:extLst>
            <a:ext uri="{FF2B5EF4-FFF2-40B4-BE49-F238E27FC236}">
              <a16:creationId xmlns:a16="http://schemas.microsoft.com/office/drawing/2014/main" id="{18330A2E-5B94-4960-9769-81A1AA3C945A}"/>
            </a:ext>
          </a:extLst>
        </xdr:cNvPr>
        <xdr:cNvSpPr txBox="1"/>
      </xdr:nvSpPr>
      <xdr:spPr>
        <a:xfrm>
          <a:off x="1031448" y="7312614"/>
          <a:ext cx="6799088" cy="45978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Provide the register in question, reference BANK0 and BANK1 registers in the datasheet for register description. Once determined, p</a:t>
          </a:r>
          <a:r>
            <a:rPr lang="en-US" sz="1100">
              <a:solidFill>
                <a:schemeClr val="dk1"/>
              </a:solidFill>
              <a:effectLst/>
              <a:latin typeface="+mn-lt"/>
              <a:ea typeface="+mn-ea"/>
              <a:cs typeface="+mn-cs"/>
            </a:rPr>
            <a:t>rovide the determined data to be written to the cell. </a:t>
          </a:r>
          <a:endParaRPr lang="en-US">
            <a:effectLst/>
          </a:endParaRPr>
        </a:p>
        <a:p>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xdr:txBody>
    </xdr:sp>
    <xdr:clientData/>
  </xdr:twoCellAnchor>
  <xdr:twoCellAnchor>
    <xdr:from>
      <xdr:col>1</xdr:col>
      <xdr:colOff>149321</xdr:colOff>
      <xdr:row>8</xdr:row>
      <xdr:rowOff>235135</xdr:rowOff>
    </xdr:from>
    <xdr:to>
      <xdr:col>1</xdr:col>
      <xdr:colOff>400447</xdr:colOff>
      <xdr:row>9</xdr:row>
      <xdr:rowOff>97448</xdr:rowOff>
    </xdr:to>
    <xdr:sp macro="" textlink="">
      <xdr:nvSpPr>
        <xdr:cNvPr id="29" name="Oval 28">
          <a:extLst>
            <a:ext uri="{FF2B5EF4-FFF2-40B4-BE49-F238E27FC236}">
              <a16:creationId xmlns:a16="http://schemas.microsoft.com/office/drawing/2014/main" id="{3B387C96-B170-42FD-BA15-3EC3E5850561}"/>
            </a:ext>
          </a:extLst>
        </xdr:cNvPr>
        <xdr:cNvSpPr/>
      </xdr:nvSpPr>
      <xdr:spPr>
        <a:xfrm>
          <a:off x="1358996" y="2311585"/>
          <a:ext cx="251126" cy="233788"/>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a:t>
          </a:r>
        </a:p>
      </xdr:txBody>
    </xdr:sp>
    <xdr:clientData/>
  </xdr:twoCellAnchor>
  <xdr:twoCellAnchor>
    <xdr:from>
      <xdr:col>1</xdr:col>
      <xdr:colOff>162021</xdr:colOff>
      <xdr:row>14</xdr:row>
      <xdr:rowOff>153074</xdr:rowOff>
    </xdr:from>
    <xdr:to>
      <xdr:col>1</xdr:col>
      <xdr:colOff>406797</xdr:colOff>
      <xdr:row>14</xdr:row>
      <xdr:rowOff>390037</xdr:rowOff>
    </xdr:to>
    <xdr:sp macro="" textlink="">
      <xdr:nvSpPr>
        <xdr:cNvPr id="30" name="Oval 29">
          <a:extLst>
            <a:ext uri="{FF2B5EF4-FFF2-40B4-BE49-F238E27FC236}">
              <a16:creationId xmlns:a16="http://schemas.microsoft.com/office/drawing/2014/main" id="{C52A8CD7-6731-49EF-82B2-C8A29412246E}"/>
            </a:ext>
          </a:extLst>
        </xdr:cNvPr>
        <xdr:cNvSpPr/>
      </xdr:nvSpPr>
      <xdr:spPr>
        <a:xfrm>
          <a:off x="1371696" y="3924974"/>
          <a:ext cx="244776" cy="236963"/>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3</a:t>
          </a:r>
        </a:p>
      </xdr:txBody>
    </xdr:sp>
    <xdr:clientData/>
  </xdr:twoCellAnchor>
  <xdr:twoCellAnchor editAs="oneCell">
    <xdr:from>
      <xdr:col>1</xdr:col>
      <xdr:colOff>306440</xdr:colOff>
      <xdr:row>20</xdr:row>
      <xdr:rowOff>45416</xdr:rowOff>
    </xdr:from>
    <xdr:to>
      <xdr:col>4</xdr:col>
      <xdr:colOff>3586641</xdr:colOff>
      <xdr:row>27</xdr:row>
      <xdr:rowOff>112059</xdr:rowOff>
    </xdr:to>
    <xdr:pic>
      <xdr:nvPicPr>
        <xdr:cNvPr id="2" name="Picture 1">
          <a:extLst>
            <a:ext uri="{FF2B5EF4-FFF2-40B4-BE49-F238E27FC236}">
              <a16:creationId xmlns:a16="http://schemas.microsoft.com/office/drawing/2014/main" id="{3385593A-D9AF-4EBA-8FF7-3496C4150587}"/>
            </a:ext>
          </a:extLst>
        </xdr:cNvPr>
        <xdr:cNvPicPr>
          <a:picLocks noChangeAspect="1"/>
        </xdr:cNvPicPr>
      </xdr:nvPicPr>
      <xdr:blipFill>
        <a:blip xmlns:r="http://schemas.openxmlformats.org/officeDocument/2006/relationships" r:embed="rId3"/>
        <a:stretch>
          <a:fillRect/>
        </a:stretch>
      </xdr:blipFill>
      <xdr:spPr>
        <a:xfrm>
          <a:off x="1516675" y="5637151"/>
          <a:ext cx="6272172" cy="1478584"/>
        </a:xfrm>
        <a:prstGeom prst="rect">
          <a:avLst/>
        </a:prstGeom>
      </xdr:spPr>
    </xdr:pic>
    <xdr:clientData/>
  </xdr:twoCellAnchor>
  <xdr:twoCellAnchor>
    <xdr:from>
      <xdr:col>4</xdr:col>
      <xdr:colOff>3533775</xdr:colOff>
      <xdr:row>14</xdr:row>
      <xdr:rowOff>409575</xdr:rowOff>
    </xdr:from>
    <xdr:to>
      <xdr:col>5</xdr:col>
      <xdr:colOff>377825</xdr:colOff>
      <xdr:row>31</xdr:row>
      <xdr:rowOff>92075</xdr:rowOff>
    </xdr:to>
    <xdr:cxnSp macro="">
      <xdr:nvCxnSpPr>
        <xdr:cNvPr id="11" name="Straight Arrow Connector 10">
          <a:extLst>
            <a:ext uri="{FF2B5EF4-FFF2-40B4-BE49-F238E27FC236}">
              <a16:creationId xmlns:a16="http://schemas.microsoft.com/office/drawing/2014/main" id="{87EBFA07-DA7C-4DEA-B64A-2BA5CE245E7F}"/>
            </a:ext>
          </a:extLst>
        </xdr:cNvPr>
        <xdr:cNvCxnSpPr/>
      </xdr:nvCxnSpPr>
      <xdr:spPr>
        <a:xfrm flipV="1">
          <a:off x="7734300" y="4181475"/>
          <a:ext cx="1016000" cy="36830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588421</xdr:colOff>
      <xdr:row>0</xdr:row>
      <xdr:rowOff>145144</xdr:rowOff>
    </xdr:from>
    <xdr:to>
      <xdr:col>6</xdr:col>
      <xdr:colOff>502130</xdr:colOff>
      <xdr:row>2</xdr:row>
      <xdr:rowOff>167556</xdr:rowOff>
    </xdr:to>
    <xdr:sp macro="" textlink="">
      <xdr:nvSpPr>
        <xdr:cNvPr id="3" name="TextBox 2">
          <a:extLst>
            <a:ext uri="{FF2B5EF4-FFF2-40B4-BE49-F238E27FC236}">
              <a16:creationId xmlns:a16="http://schemas.microsoft.com/office/drawing/2014/main" id="{B30D4E8F-EBF6-4E35-BD97-E0319B8A5AA8}"/>
            </a:ext>
          </a:extLst>
        </xdr:cNvPr>
        <xdr:cNvSpPr txBox="1"/>
      </xdr:nvSpPr>
      <xdr:spPr>
        <a:xfrm>
          <a:off x="1268778" y="145144"/>
          <a:ext cx="5238638" cy="38526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rgbClr val="FF0000"/>
              </a:solidFill>
            </a:rPr>
            <a:t>ADC</a:t>
          </a:r>
          <a:r>
            <a:rPr lang="en-US" sz="1800" b="1" baseline="0">
              <a:solidFill>
                <a:srgbClr val="FF0000"/>
              </a:solidFill>
            </a:rPr>
            <a:t> HEX to Voltage Conversion</a:t>
          </a:r>
          <a:endParaRPr lang="en-US" sz="1800" b="1">
            <a:solidFill>
              <a:srgbClr val="FF0000"/>
            </a:solidFill>
          </a:endParaRPr>
        </a:p>
      </xdr:txBody>
    </xdr:sp>
    <xdr:clientData/>
  </xdr:twoCellAnchor>
  <xdr:twoCellAnchor>
    <xdr:from>
      <xdr:col>5</xdr:col>
      <xdr:colOff>162958</xdr:colOff>
      <xdr:row>5</xdr:row>
      <xdr:rowOff>104093</xdr:rowOff>
    </xdr:from>
    <xdr:to>
      <xdr:col>5</xdr:col>
      <xdr:colOff>832150</xdr:colOff>
      <xdr:row>6</xdr:row>
      <xdr:rowOff>128516</xdr:rowOff>
    </xdr:to>
    <xdr:sp macro="" textlink="">
      <xdr:nvSpPr>
        <xdr:cNvPr id="8" name="TextBox 7">
          <a:extLst>
            <a:ext uri="{FF2B5EF4-FFF2-40B4-BE49-F238E27FC236}">
              <a16:creationId xmlns:a16="http://schemas.microsoft.com/office/drawing/2014/main" id="{52795915-C400-4231-A077-6E84C1FADB9B}"/>
            </a:ext>
          </a:extLst>
        </xdr:cNvPr>
        <xdr:cNvSpPr txBox="1"/>
      </xdr:nvSpPr>
      <xdr:spPr>
        <a:xfrm>
          <a:off x="5234199" y="1041265"/>
          <a:ext cx="669192" cy="217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Step</a:t>
          </a:r>
          <a:r>
            <a:rPr lang="en-US" sz="1000" baseline="0"/>
            <a:t> Two</a:t>
          </a:r>
          <a:endParaRPr lang="en-US" sz="1000"/>
        </a:p>
      </xdr:txBody>
    </xdr:sp>
    <xdr:clientData/>
  </xdr:twoCellAnchor>
  <xdr:twoCellAnchor>
    <xdr:from>
      <xdr:col>6</xdr:col>
      <xdr:colOff>153076</xdr:colOff>
      <xdr:row>5</xdr:row>
      <xdr:rowOff>104093</xdr:rowOff>
    </xdr:from>
    <xdr:to>
      <xdr:col>6</xdr:col>
      <xdr:colOff>912249</xdr:colOff>
      <xdr:row>6</xdr:row>
      <xdr:rowOff>128516</xdr:rowOff>
    </xdr:to>
    <xdr:sp macro="" textlink="">
      <xdr:nvSpPr>
        <xdr:cNvPr id="9" name="TextBox 8">
          <a:extLst>
            <a:ext uri="{FF2B5EF4-FFF2-40B4-BE49-F238E27FC236}">
              <a16:creationId xmlns:a16="http://schemas.microsoft.com/office/drawing/2014/main" id="{FC9D6C95-4ADD-4B64-8BBC-22F82452FC63}"/>
            </a:ext>
          </a:extLst>
        </xdr:cNvPr>
        <xdr:cNvSpPr txBox="1"/>
      </xdr:nvSpPr>
      <xdr:spPr>
        <a:xfrm>
          <a:off x="6257835" y="1041265"/>
          <a:ext cx="759173" cy="217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Step</a:t>
          </a:r>
          <a:r>
            <a:rPr lang="en-US" sz="1000" baseline="0"/>
            <a:t> Three</a:t>
          </a:r>
          <a:endParaRPr lang="en-US" sz="1000"/>
        </a:p>
      </xdr:txBody>
    </xdr:sp>
    <xdr:clientData/>
  </xdr:twoCellAnchor>
  <xdr:twoCellAnchor>
    <xdr:from>
      <xdr:col>4</xdr:col>
      <xdr:colOff>155257</xdr:colOff>
      <xdr:row>5</xdr:row>
      <xdr:rowOff>108472</xdr:rowOff>
    </xdr:from>
    <xdr:to>
      <xdr:col>4</xdr:col>
      <xdr:colOff>824449</xdr:colOff>
      <xdr:row>6</xdr:row>
      <xdr:rowOff>132895</xdr:rowOff>
    </xdr:to>
    <xdr:sp macro="" textlink="">
      <xdr:nvSpPr>
        <xdr:cNvPr id="7" name="TextBox 6">
          <a:extLst>
            <a:ext uri="{FF2B5EF4-FFF2-40B4-BE49-F238E27FC236}">
              <a16:creationId xmlns:a16="http://schemas.microsoft.com/office/drawing/2014/main" id="{E434A338-280A-4211-BA8F-836375754A0B}"/>
            </a:ext>
          </a:extLst>
        </xdr:cNvPr>
        <xdr:cNvSpPr txBox="1"/>
      </xdr:nvSpPr>
      <xdr:spPr>
        <a:xfrm>
          <a:off x="3943360" y="1045644"/>
          <a:ext cx="669192" cy="217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Step</a:t>
          </a:r>
          <a:r>
            <a:rPr lang="en-US" sz="1000" baseline="0"/>
            <a:t> One</a:t>
          </a:r>
          <a:endParaRPr lang="en-US" sz="1000"/>
        </a:p>
      </xdr:txBody>
    </xdr:sp>
    <xdr:clientData/>
  </xdr:twoCellAnchor>
  <xdr:twoCellAnchor>
    <xdr:from>
      <xdr:col>3</xdr:col>
      <xdr:colOff>1168768</xdr:colOff>
      <xdr:row>5</xdr:row>
      <xdr:rowOff>95471</xdr:rowOff>
    </xdr:from>
    <xdr:to>
      <xdr:col>4</xdr:col>
      <xdr:colOff>198071</xdr:colOff>
      <xdr:row>6</xdr:row>
      <xdr:rowOff>163247</xdr:rowOff>
    </xdr:to>
    <xdr:sp macro="" textlink="">
      <xdr:nvSpPr>
        <xdr:cNvPr id="4" name="Oval 3">
          <a:extLst>
            <a:ext uri="{FF2B5EF4-FFF2-40B4-BE49-F238E27FC236}">
              <a16:creationId xmlns:a16="http://schemas.microsoft.com/office/drawing/2014/main" id="{B78EDD94-F06C-4AA6-8C6F-3FC668CE3A0A}"/>
            </a:ext>
          </a:extLst>
        </xdr:cNvPr>
        <xdr:cNvSpPr/>
      </xdr:nvSpPr>
      <xdr:spPr>
        <a:xfrm>
          <a:off x="3726285" y="1032643"/>
          <a:ext cx="259889" cy="260466"/>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1</a:t>
          </a:r>
        </a:p>
      </xdr:txBody>
    </xdr:sp>
    <xdr:clientData/>
  </xdr:twoCellAnchor>
  <xdr:twoCellAnchor>
    <xdr:from>
      <xdr:col>4</xdr:col>
      <xdr:colOff>1224072</xdr:colOff>
      <xdr:row>5</xdr:row>
      <xdr:rowOff>91092</xdr:rowOff>
    </xdr:from>
    <xdr:to>
      <xdr:col>5</xdr:col>
      <xdr:colOff>202575</xdr:colOff>
      <xdr:row>6</xdr:row>
      <xdr:rowOff>158868</xdr:rowOff>
    </xdr:to>
    <xdr:sp macro="" textlink="">
      <xdr:nvSpPr>
        <xdr:cNvPr id="5" name="Oval 4">
          <a:extLst>
            <a:ext uri="{FF2B5EF4-FFF2-40B4-BE49-F238E27FC236}">
              <a16:creationId xmlns:a16="http://schemas.microsoft.com/office/drawing/2014/main" id="{83108EAD-BAA8-46BF-B39D-2D4A89B3CD07}"/>
            </a:ext>
          </a:extLst>
        </xdr:cNvPr>
        <xdr:cNvSpPr/>
      </xdr:nvSpPr>
      <xdr:spPr>
        <a:xfrm>
          <a:off x="5012175" y="1028264"/>
          <a:ext cx="261641" cy="260466"/>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a:t>
          </a:r>
        </a:p>
      </xdr:txBody>
    </xdr:sp>
    <xdr:clientData/>
  </xdr:twoCellAnchor>
  <xdr:twoCellAnchor>
    <xdr:from>
      <xdr:col>5</xdr:col>
      <xdr:colOff>961563</xdr:colOff>
      <xdr:row>5</xdr:row>
      <xdr:rowOff>87463</xdr:rowOff>
    </xdr:from>
    <xdr:to>
      <xdr:col>6</xdr:col>
      <xdr:colOff>190437</xdr:colOff>
      <xdr:row>6</xdr:row>
      <xdr:rowOff>155239</xdr:rowOff>
    </xdr:to>
    <xdr:sp macro="" textlink="">
      <xdr:nvSpPr>
        <xdr:cNvPr id="6" name="Oval 5">
          <a:extLst>
            <a:ext uri="{FF2B5EF4-FFF2-40B4-BE49-F238E27FC236}">
              <a16:creationId xmlns:a16="http://schemas.microsoft.com/office/drawing/2014/main" id="{4B9FA697-D158-44E4-960A-F1F78B537BDD}"/>
            </a:ext>
          </a:extLst>
        </xdr:cNvPr>
        <xdr:cNvSpPr/>
      </xdr:nvSpPr>
      <xdr:spPr>
        <a:xfrm>
          <a:off x="6032804" y="1024635"/>
          <a:ext cx="262392" cy="260466"/>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3</a:t>
          </a:r>
        </a:p>
      </xdr:txBody>
    </xdr:sp>
    <xdr:clientData/>
  </xdr:twoCellAnchor>
  <xdr:twoCellAnchor>
    <xdr:from>
      <xdr:col>0</xdr:col>
      <xdr:colOff>149667</xdr:colOff>
      <xdr:row>16</xdr:row>
      <xdr:rowOff>101433</xdr:rowOff>
    </xdr:from>
    <xdr:to>
      <xdr:col>2</xdr:col>
      <xdr:colOff>171822</xdr:colOff>
      <xdr:row>18</xdr:row>
      <xdr:rowOff>62920</xdr:rowOff>
    </xdr:to>
    <xdr:grpSp>
      <xdr:nvGrpSpPr>
        <xdr:cNvPr id="13" name="Group 12">
          <a:extLst>
            <a:ext uri="{FF2B5EF4-FFF2-40B4-BE49-F238E27FC236}">
              <a16:creationId xmlns:a16="http://schemas.microsoft.com/office/drawing/2014/main" id="{87848A3F-A4B1-4FC1-944B-0832D0F5CF28}"/>
            </a:ext>
          </a:extLst>
        </xdr:cNvPr>
        <xdr:cNvGrpSpPr/>
      </xdr:nvGrpSpPr>
      <xdr:grpSpPr>
        <a:xfrm>
          <a:off x="149667" y="3069782"/>
          <a:ext cx="1339090" cy="325922"/>
          <a:chOff x="774978" y="3344524"/>
          <a:chExt cx="796530" cy="218658"/>
        </a:xfrm>
      </xdr:grpSpPr>
      <xdr:sp macro="" textlink="">
        <xdr:nvSpPr>
          <xdr:cNvPr id="10" name="TextBox 9">
            <a:extLst>
              <a:ext uri="{FF2B5EF4-FFF2-40B4-BE49-F238E27FC236}">
                <a16:creationId xmlns:a16="http://schemas.microsoft.com/office/drawing/2014/main" id="{FF40E92E-799C-400F-A256-68DE4135E770}"/>
              </a:ext>
            </a:extLst>
          </xdr:cNvPr>
          <xdr:cNvSpPr txBox="1"/>
        </xdr:nvSpPr>
        <xdr:spPr>
          <a:xfrm>
            <a:off x="902316" y="3344524"/>
            <a:ext cx="669192" cy="21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Step</a:t>
            </a:r>
            <a:r>
              <a:rPr lang="en-US" sz="1600" baseline="0"/>
              <a:t> One</a:t>
            </a:r>
            <a:endParaRPr lang="en-US" sz="1600"/>
          </a:p>
        </xdr:txBody>
      </xdr:sp>
      <xdr:sp macro="" textlink="">
        <xdr:nvSpPr>
          <xdr:cNvPr id="11" name="Oval 10">
            <a:extLst>
              <a:ext uri="{FF2B5EF4-FFF2-40B4-BE49-F238E27FC236}">
                <a16:creationId xmlns:a16="http://schemas.microsoft.com/office/drawing/2014/main" id="{1437B535-7935-4A39-A11D-28B08BC6AC22}"/>
              </a:ext>
            </a:extLst>
          </xdr:cNvPr>
          <xdr:cNvSpPr/>
        </xdr:nvSpPr>
        <xdr:spPr>
          <a:xfrm>
            <a:off x="774978" y="3370322"/>
            <a:ext cx="170152" cy="17019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1</a:t>
            </a:r>
          </a:p>
        </xdr:txBody>
      </xdr:sp>
    </xdr:grpSp>
    <xdr:clientData/>
  </xdr:twoCellAnchor>
  <xdr:twoCellAnchor>
    <xdr:from>
      <xdr:col>0</xdr:col>
      <xdr:colOff>428332</xdr:colOff>
      <xdr:row>18</xdr:row>
      <xdr:rowOff>7921</xdr:rowOff>
    </xdr:from>
    <xdr:to>
      <xdr:col>6</xdr:col>
      <xdr:colOff>1209888</xdr:colOff>
      <xdr:row>27</xdr:row>
      <xdr:rowOff>112059</xdr:rowOff>
    </xdr:to>
    <xdr:sp macro="" textlink="">
      <xdr:nvSpPr>
        <xdr:cNvPr id="12" name="TextBox 11">
          <a:extLst>
            <a:ext uri="{FF2B5EF4-FFF2-40B4-BE49-F238E27FC236}">
              <a16:creationId xmlns:a16="http://schemas.microsoft.com/office/drawing/2014/main" id="{5EA01ECB-BA9A-4F19-A2E9-14EB98EA0BFE}"/>
            </a:ext>
          </a:extLst>
        </xdr:cNvPr>
        <xdr:cNvSpPr txBox="1"/>
      </xdr:nvSpPr>
      <xdr:spPr>
        <a:xfrm>
          <a:off x="428332" y="3302450"/>
          <a:ext cx="6799115" cy="171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TPS38900x-Q1 family operate in two voltage ranges, 0.2 V to 1.475 V with</a:t>
          </a:r>
          <a:r>
            <a:rPr lang="en-US" sz="1100" baseline="0"/>
            <a:t> a granularity of</a:t>
          </a:r>
          <a:r>
            <a:rPr lang="en-US" sz="1100">
              <a:solidFill>
                <a:schemeClr val="dk1"/>
              </a:solidFill>
              <a:effectLst/>
              <a:latin typeface="+mn-lt"/>
              <a:ea typeface="+mn-ea"/>
              <a:cs typeface="+mn-cs"/>
            </a:rPr>
            <a:t> 5 mV steps and</a:t>
          </a:r>
          <a:r>
            <a:rPr lang="en-US" sz="1100" baseline="0">
              <a:solidFill>
                <a:schemeClr val="dk1"/>
              </a:solidFill>
              <a:effectLst/>
              <a:latin typeface="+mn-lt"/>
              <a:ea typeface="+mn-ea"/>
              <a:cs typeface="+mn-cs"/>
            </a:rPr>
            <a:t> a </a:t>
          </a:r>
          <a:r>
            <a:rPr lang="en-US" sz="1100"/>
            <a:t>0.8 V to 5.5 V range with</a:t>
          </a:r>
          <a:r>
            <a:rPr lang="en-US" sz="1100" baseline="0"/>
            <a:t> granularity of </a:t>
          </a:r>
          <a:r>
            <a:rPr lang="en-US" sz="1100">
              <a:solidFill>
                <a:schemeClr val="dk1"/>
              </a:solidFill>
              <a:effectLst/>
              <a:latin typeface="+mn-lt"/>
              <a:ea typeface="+mn-ea"/>
              <a:cs typeface="+mn-cs"/>
            </a:rPr>
            <a:t>20 mV step.</a:t>
          </a:r>
          <a:r>
            <a:rPr lang="en-US" sz="1100" baseline="0">
              <a:solidFill>
                <a:schemeClr val="dk1"/>
              </a:solidFill>
              <a:effectLst/>
              <a:latin typeface="+mn-lt"/>
              <a:ea typeface="+mn-ea"/>
              <a:cs typeface="+mn-cs"/>
            </a:rPr>
            <a:t> When operating in the 0.2 V to 1.475 V range the internal monitor is operating in 1x MON Scaling. When operating in the </a:t>
          </a:r>
          <a:r>
            <a:rPr lang="en-US" sz="1100">
              <a:solidFill>
                <a:schemeClr val="dk1"/>
              </a:solidFill>
              <a:effectLst/>
              <a:latin typeface="+mn-lt"/>
              <a:ea typeface="+mn-ea"/>
              <a:cs typeface="+mn-cs"/>
            </a:rPr>
            <a:t>0.8 V to 5.5 V </a:t>
          </a:r>
          <a:r>
            <a:rPr lang="en-US" sz="1100" baseline="0">
              <a:solidFill>
                <a:schemeClr val="dk1"/>
              </a:solidFill>
              <a:effectLst/>
              <a:latin typeface="+mn-lt"/>
              <a:ea typeface="+mn-ea"/>
              <a:cs typeface="+mn-cs"/>
            </a:rPr>
            <a:t>range the internal monitor is operating in 1x MON Scaling.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scaling corresponding to a monitoring channel can be read from register 0x1F of BANK 1. Where each bit in the register corresponds to the setting for a monitoring channel. For example if bit 0 of register 0x1F returns a 1 it is set to a 4x MON Scaling, while a setting of 0 corresponds to a 1x MON Scaling. Use the data stored in register 0x1F to fill out column "Vonn Multiplier". </a:t>
          </a:r>
          <a:endParaRPr lang="en-US" sz="1100"/>
        </a:p>
      </xdr:txBody>
    </xdr:sp>
    <xdr:clientData/>
  </xdr:twoCellAnchor>
  <xdr:twoCellAnchor>
    <xdr:from>
      <xdr:col>0</xdr:col>
      <xdr:colOff>112316</xdr:colOff>
      <xdr:row>34</xdr:row>
      <xdr:rowOff>156396</xdr:rowOff>
    </xdr:from>
    <xdr:to>
      <xdr:col>2</xdr:col>
      <xdr:colOff>104588</xdr:colOff>
      <xdr:row>36</xdr:row>
      <xdr:rowOff>117882</xdr:rowOff>
    </xdr:to>
    <xdr:grpSp>
      <xdr:nvGrpSpPr>
        <xdr:cNvPr id="15" name="Group 14">
          <a:extLst>
            <a:ext uri="{FF2B5EF4-FFF2-40B4-BE49-F238E27FC236}">
              <a16:creationId xmlns:a16="http://schemas.microsoft.com/office/drawing/2014/main" id="{096B6D1D-0E3F-47E3-AACA-F06904F30710}"/>
            </a:ext>
          </a:extLst>
        </xdr:cNvPr>
        <xdr:cNvGrpSpPr/>
      </xdr:nvGrpSpPr>
      <xdr:grpSpPr>
        <a:xfrm>
          <a:off x="112316" y="6404658"/>
          <a:ext cx="1312382" cy="325921"/>
          <a:chOff x="774978" y="3344524"/>
          <a:chExt cx="796530" cy="218658"/>
        </a:xfrm>
      </xdr:grpSpPr>
      <xdr:sp macro="" textlink="">
        <xdr:nvSpPr>
          <xdr:cNvPr id="16" name="TextBox 15">
            <a:extLst>
              <a:ext uri="{FF2B5EF4-FFF2-40B4-BE49-F238E27FC236}">
                <a16:creationId xmlns:a16="http://schemas.microsoft.com/office/drawing/2014/main" id="{873FBA96-CF2C-476D-BC31-B2653E9A37B6}"/>
              </a:ext>
            </a:extLst>
          </xdr:cNvPr>
          <xdr:cNvSpPr txBox="1"/>
        </xdr:nvSpPr>
        <xdr:spPr>
          <a:xfrm>
            <a:off x="902316" y="3344524"/>
            <a:ext cx="669192" cy="21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Step</a:t>
            </a:r>
            <a:r>
              <a:rPr lang="en-US" sz="1600" baseline="0"/>
              <a:t> Three</a:t>
            </a:r>
            <a:endParaRPr lang="en-US" sz="1600"/>
          </a:p>
        </xdr:txBody>
      </xdr:sp>
      <xdr:sp macro="" textlink="">
        <xdr:nvSpPr>
          <xdr:cNvPr id="17" name="Oval 16">
            <a:extLst>
              <a:ext uri="{FF2B5EF4-FFF2-40B4-BE49-F238E27FC236}">
                <a16:creationId xmlns:a16="http://schemas.microsoft.com/office/drawing/2014/main" id="{6B7D8F31-EC4E-46D6-B819-BE611756B1DB}"/>
              </a:ext>
            </a:extLst>
          </xdr:cNvPr>
          <xdr:cNvSpPr/>
        </xdr:nvSpPr>
        <xdr:spPr>
          <a:xfrm>
            <a:off x="774978" y="3370322"/>
            <a:ext cx="170152" cy="17019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3</a:t>
            </a:r>
          </a:p>
        </xdr:txBody>
      </xdr:sp>
    </xdr:grpSp>
    <xdr:clientData/>
  </xdr:twoCellAnchor>
  <xdr:twoCellAnchor>
    <xdr:from>
      <xdr:col>0</xdr:col>
      <xdr:colOff>459790</xdr:colOff>
      <xdr:row>36</xdr:row>
      <xdr:rowOff>179186</xdr:rowOff>
    </xdr:from>
    <xdr:to>
      <xdr:col>7</xdr:col>
      <xdr:colOff>10886</xdr:colOff>
      <xdr:row>40</xdr:row>
      <xdr:rowOff>168623</xdr:rowOff>
    </xdr:to>
    <xdr:sp macro="" textlink="">
      <xdr:nvSpPr>
        <xdr:cNvPr id="18" name="TextBox 17">
          <a:extLst>
            <a:ext uri="{FF2B5EF4-FFF2-40B4-BE49-F238E27FC236}">
              <a16:creationId xmlns:a16="http://schemas.microsoft.com/office/drawing/2014/main" id="{04DF4A43-2446-43F3-BD1F-B25F27B73172}"/>
            </a:ext>
          </a:extLst>
        </xdr:cNvPr>
        <xdr:cNvSpPr txBox="1"/>
      </xdr:nvSpPr>
      <xdr:spPr>
        <a:xfrm>
          <a:off x="459790" y="6765043"/>
          <a:ext cx="6781025" cy="71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"Result: Voltage (V)" colum is the result of the calculation based on the provided information. The equation used is as follows: </a:t>
          </a: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Vlvl = ((ADC[7:0] * 5mV) + 0.2) * (VRANGE_MULT)</a:t>
          </a:r>
          <a:endParaRPr lang="en-US" b="1">
            <a:effectLst/>
          </a:endParaRPr>
        </a:p>
        <a:p>
          <a:endParaRPr lang="en-US" sz="1100"/>
        </a:p>
      </xdr:txBody>
    </xdr:sp>
    <xdr:clientData/>
  </xdr:twoCellAnchor>
  <xdr:twoCellAnchor>
    <xdr:from>
      <xdr:col>0</xdr:col>
      <xdr:colOff>104843</xdr:colOff>
      <xdr:row>27</xdr:row>
      <xdr:rowOff>138786</xdr:rowOff>
    </xdr:from>
    <xdr:to>
      <xdr:col>2</xdr:col>
      <xdr:colOff>126998</xdr:colOff>
      <xdr:row>29</xdr:row>
      <xdr:rowOff>100273</xdr:rowOff>
    </xdr:to>
    <xdr:grpSp>
      <xdr:nvGrpSpPr>
        <xdr:cNvPr id="20" name="Group 19">
          <a:extLst>
            <a:ext uri="{FF2B5EF4-FFF2-40B4-BE49-F238E27FC236}">
              <a16:creationId xmlns:a16="http://schemas.microsoft.com/office/drawing/2014/main" id="{86972E1E-A4C6-4BFB-BD0F-1B7FCB028F9D}"/>
            </a:ext>
          </a:extLst>
        </xdr:cNvPr>
        <xdr:cNvGrpSpPr/>
      </xdr:nvGrpSpPr>
      <xdr:grpSpPr>
        <a:xfrm>
          <a:off x="101668" y="5111526"/>
          <a:ext cx="1339090" cy="325922"/>
          <a:chOff x="774978" y="3344524"/>
          <a:chExt cx="796530" cy="218658"/>
        </a:xfrm>
      </xdr:grpSpPr>
      <xdr:sp macro="" textlink="">
        <xdr:nvSpPr>
          <xdr:cNvPr id="21" name="TextBox 20">
            <a:extLst>
              <a:ext uri="{FF2B5EF4-FFF2-40B4-BE49-F238E27FC236}">
                <a16:creationId xmlns:a16="http://schemas.microsoft.com/office/drawing/2014/main" id="{52045AA9-27D6-47D6-A364-C9FD7F4DFC0B}"/>
              </a:ext>
            </a:extLst>
          </xdr:cNvPr>
          <xdr:cNvSpPr txBox="1"/>
        </xdr:nvSpPr>
        <xdr:spPr>
          <a:xfrm>
            <a:off x="902316" y="3344524"/>
            <a:ext cx="669192" cy="21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Step</a:t>
            </a:r>
            <a:r>
              <a:rPr lang="en-US" sz="1600" baseline="0"/>
              <a:t> Two</a:t>
            </a:r>
            <a:endParaRPr lang="en-US" sz="1600"/>
          </a:p>
        </xdr:txBody>
      </xdr:sp>
      <xdr:sp macro="" textlink="">
        <xdr:nvSpPr>
          <xdr:cNvPr id="22" name="Oval 21">
            <a:extLst>
              <a:ext uri="{FF2B5EF4-FFF2-40B4-BE49-F238E27FC236}">
                <a16:creationId xmlns:a16="http://schemas.microsoft.com/office/drawing/2014/main" id="{98893242-E138-4748-8B7F-F61C8E2F379B}"/>
              </a:ext>
            </a:extLst>
          </xdr:cNvPr>
          <xdr:cNvSpPr/>
        </xdr:nvSpPr>
        <xdr:spPr>
          <a:xfrm>
            <a:off x="774978" y="3370322"/>
            <a:ext cx="170152" cy="17019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a:t>
            </a:r>
          </a:p>
        </xdr:txBody>
      </xdr:sp>
    </xdr:grpSp>
    <xdr:clientData/>
  </xdr:twoCellAnchor>
  <xdr:twoCellAnchor>
    <xdr:from>
      <xdr:col>0</xdr:col>
      <xdr:colOff>449650</xdr:colOff>
      <xdr:row>29</xdr:row>
      <xdr:rowOff>122623</xdr:rowOff>
    </xdr:from>
    <xdr:to>
      <xdr:col>7</xdr:col>
      <xdr:colOff>213</xdr:colOff>
      <xdr:row>34</xdr:row>
      <xdr:rowOff>149411</xdr:rowOff>
    </xdr:to>
    <xdr:sp macro="" textlink="">
      <xdr:nvSpPr>
        <xdr:cNvPr id="23" name="TextBox 22">
          <a:extLst>
            <a:ext uri="{FF2B5EF4-FFF2-40B4-BE49-F238E27FC236}">
              <a16:creationId xmlns:a16="http://schemas.microsoft.com/office/drawing/2014/main" id="{08C9A19E-48CF-4FEB-8B9E-4C566E571719}"/>
            </a:ext>
          </a:extLst>
        </xdr:cNvPr>
        <xdr:cNvSpPr txBox="1"/>
      </xdr:nvSpPr>
      <xdr:spPr>
        <a:xfrm>
          <a:off x="449650" y="5583623"/>
          <a:ext cx="6789563" cy="960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TPS38900x-Q1 provides</a:t>
          </a:r>
          <a:r>
            <a:rPr lang="en-US" sz="1100" baseline="0"/>
            <a:t> the intial ADC reading in a Hex value for each channel independently. The data stored can be found in register 0x40 through 0x47 of BANK 0. Where each register corresponds to a monitoring channel. For example if the user is intreseted in the ADC reading of MON1 the user would read register 0x40 which whould return a Hex value. The obatained Hex value would then need to be transaled to a decimal voltage. To do so input the read data value into the corresponding register of column "Register Data" .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532572</xdr:colOff>
      <xdr:row>1</xdr:row>
      <xdr:rowOff>19050</xdr:rowOff>
    </xdr:from>
    <xdr:to>
      <xdr:col>6</xdr:col>
      <xdr:colOff>257451</xdr:colOff>
      <xdr:row>3</xdr:row>
      <xdr:rowOff>16426</xdr:rowOff>
    </xdr:to>
    <xdr:sp macro="" textlink="">
      <xdr:nvSpPr>
        <xdr:cNvPr id="4" name="TextBox 3">
          <a:extLst>
            <a:ext uri="{FF2B5EF4-FFF2-40B4-BE49-F238E27FC236}">
              <a16:creationId xmlns:a16="http://schemas.microsoft.com/office/drawing/2014/main" id="{3C24080F-D511-4A58-8609-AC2CECC9DB0C}"/>
            </a:ext>
          </a:extLst>
        </xdr:cNvPr>
        <xdr:cNvSpPr txBox="1"/>
      </xdr:nvSpPr>
      <xdr:spPr>
        <a:xfrm>
          <a:off x="532572" y="201267"/>
          <a:ext cx="5299075" cy="3618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FF0000"/>
              </a:solidFill>
            </a:rPr>
            <a:t>Sequence Time Stamp</a:t>
          </a:r>
          <a:r>
            <a:rPr lang="en-US" sz="1600" b="1" baseline="0">
              <a:solidFill>
                <a:srgbClr val="FF0000"/>
              </a:solidFill>
            </a:rPr>
            <a:t> HEX to Time Conversion</a:t>
          </a:r>
          <a:endParaRPr lang="en-US" sz="1600" b="1">
            <a:solidFill>
              <a:srgbClr val="FF0000"/>
            </a:solidFill>
          </a:endParaRPr>
        </a:p>
      </xdr:txBody>
    </xdr:sp>
    <xdr:clientData/>
  </xdr:twoCellAnchor>
  <xdr:twoCellAnchor editAs="oneCell">
    <xdr:from>
      <xdr:col>8</xdr:col>
      <xdr:colOff>46354</xdr:colOff>
      <xdr:row>9</xdr:row>
      <xdr:rowOff>36591</xdr:rowOff>
    </xdr:from>
    <xdr:to>
      <xdr:col>17</xdr:col>
      <xdr:colOff>610583</xdr:colOff>
      <xdr:row>29</xdr:row>
      <xdr:rowOff>47625</xdr:rowOff>
    </xdr:to>
    <xdr:pic>
      <xdr:nvPicPr>
        <xdr:cNvPr id="5" name="Picture 4">
          <a:extLst>
            <a:ext uri="{FF2B5EF4-FFF2-40B4-BE49-F238E27FC236}">
              <a16:creationId xmlns:a16="http://schemas.microsoft.com/office/drawing/2014/main" id="{EB63536D-FE1B-478F-9109-0AEE5ACD1613}"/>
            </a:ext>
          </a:extLst>
        </xdr:cNvPr>
        <xdr:cNvPicPr>
          <a:picLocks noChangeAspect="1"/>
        </xdr:cNvPicPr>
      </xdr:nvPicPr>
      <xdr:blipFill>
        <a:blip xmlns:r="http://schemas.openxmlformats.org/officeDocument/2006/relationships" r:embed="rId1"/>
        <a:stretch>
          <a:fillRect/>
        </a:stretch>
      </xdr:blipFill>
      <xdr:spPr>
        <a:xfrm>
          <a:off x="7209154" y="1779666"/>
          <a:ext cx="6545929" cy="4163934"/>
        </a:xfrm>
        <a:prstGeom prst="rect">
          <a:avLst/>
        </a:prstGeom>
      </xdr:spPr>
    </xdr:pic>
    <xdr:clientData/>
  </xdr:twoCellAnchor>
  <xdr:twoCellAnchor>
    <xdr:from>
      <xdr:col>3</xdr:col>
      <xdr:colOff>1314450</xdr:colOff>
      <xdr:row>4</xdr:row>
      <xdr:rowOff>86929</xdr:rowOff>
    </xdr:from>
    <xdr:to>
      <xdr:col>4</xdr:col>
      <xdr:colOff>249250</xdr:colOff>
      <xdr:row>5</xdr:row>
      <xdr:rowOff>151530</xdr:rowOff>
    </xdr:to>
    <xdr:sp macro="" textlink="">
      <xdr:nvSpPr>
        <xdr:cNvPr id="6" name="Oval 5">
          <a:extLst>
            <a:ext uri="{FF2B5EF4-FFF2-40B4-BE49-F238E27FC236}">
              <a16:creationId xmlns:a16="http://schemas.microsoft.com/office/drawing/2014/main" id="{3D185875-3EF4-4C66-BD88-933309F5D7A2}"/>
            </a:ext>
          </a:extLst>
        </xdr:cNvPr>
        <xdr:cNvSpPr/>
      </xdr:nvSpPr>
      <xdr:spPr>
        <a:xfrm>
          <a:off x="3600450" y="820354"/>
          <a:ext cx="258775" cy="25510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1</a:t>
          </a:r>
        </a:p>
      </xdr:txBody>
    </xdr:sp>
    <xdr:clientData/>
  </xdr:twoCellAnchor>
  <xdr:twoCellAnchor>
    <xdr:from>
      <xdr:col>5</xdr:col>
      <xdr:colOff>40176</xdr:colOff>
      <xdr:row>4</xdr:row>
      <xdr:rowOff>76200</xdr:rowOff>
    </xdr:from>
    <xdr:to>
      <xdr:col>5</xdr:col>
      <xdr:colOff>297831</xdr:colOff>
      <xdr:row>5</xdr:row>
      <xdr:rowOff>153501</xdr:rowOff>
    </xdr:to>
    <xdr:sp macro="" textlink="">
      <xdr:nvSpPr>
        <xdr:cNvPr id="7" name="Oval 6">
          <a:extLst>
            <a:ext uri="{FF2B5EF4-FFF2-40B4-BE49-F238E27FC236}">
              <a16:creationId xmlns:a16="http://schemas.microsoft.com/office/drawing/2014/main" id="{91A0A13D-6F0A-43A9-8DFC-8A4D945DDCEA}"/>
            </a:ext>
          </a:extLst>
        </xdr:cNvPr>
        <xdr:cNvSpPr/>
      </xdr:nvSpPr>
      <xdr:spPr>
        <a:xfrm>
          <a:off x="4888401" y="809625"/>
          <a:ext cx="257655" cy="26780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a:t>
          </a:r>
        </a:p>
      </xdr:txBody>
    </xdr:sp>
    <xdr:clientData/>
  </xdr:twoCellAnchor>
  <xdr:twoCellAnchor>
    <xdr:from>
      <xdr:col>0</xdr:col>
      <xdr:colOff>44824</xdr:colOff>
      <xdr:row>23</xdr:row>
      <xdr:rowOff>157370</xdr:rowOff>
    </xdr:from>
    <xdr:to>
      <xdr:col>2</xdr:col>
      <xdr:colOff>57267</xdr:colOff>
      <xdr:row>25</xdr:row>
      <xdr:rowOff>117427</xdr:rowOff>
    </xdr:to>
    <xdr:grpSp>
      <xdr:nvGrpSpPr>
        <xdr:cNvPr id="8" name="Group 7">
          <a:extLst>
            <a:ext uri="{FF2B5EF4-FFF2-40B4-BE49-F238E27FC236}">
              <a16:creationId xmlns:a16="http://schemas.microsoft.com/office/drawing/2014/main" id="{6654FDB8-A3F2-4831-85C9-38D2AF17390D}"/>
            </a:ext>
          </a:extLst>
        </xdr:cNvPr>
        <xdr:cNvGrpSpPr/>
      </xdr:nvGrpSpPr>
      <xdr:grpSpPr>
        <a:xfrm>
          <a:off x="47999" y="5046310"/>
          <a:ext cx="1331562" cy="315470"/>
          <a:chOff x="774978" y="3344524"/>
          <a:chExt cx="796530" cy="218658"/>
        </a:xfrm>
      </xdr:grpSpPr>
      <xdr:sp macro="" textlink="">
        <xdr:nvSpPr>
          <xdr:cNvPr id="9" name="TextBox 8">
            <a:extLst>
              <a:ext uri="{FF2B5EF4-FFF2-40B4-BE49-F238E27FC236}">
                <a16:creationId xmlns:a16="http://schemas.microsoft.com/office/drawing/2014/main" id="{1B9DEB17-D038-4620-99D8-92F32E00184A}"/>
              </a:ext>
            </a:extLst>
          </xdr:cNvPr>
          <xdr:cNvSpPr txBox="1"/>
        </xdr:nvSpPr>
        <xdr:spPr>
          <a:xfrm>
            <a:off x="902316" y="3344524"/>
            <a:ext cx="669192" cy="21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Step</a:t>
            </a:r>
            <a:r>
              <a:rPr lang="en-US" sz="1600" baseline="0"/>
              <a:t> One</a:t>
            </a:r>
            <a:endParaRPr lang="en-US" sz="1600"/>
          </a:p>
        </xdr:txBody>
      </xdr:sp>
      <xdr:sp macro="" textlink="">
        <xdr:nvSpPr>
          <xdr:cNvPr id="10" name="Oval 9">
            <a:extLst>
              <a:ext uri="{FF2B5EF4-FFF2-40B4-BE49-F238E27FC236}">
                <a16:creationId xmlns:a16="http://schemas.microsoft.com/office/drawing/2014/main" id="{EC199420-A64D-48B3-85C3-BCFE9DA0A472}"/>
              </a:ext>
            </a:extLst>
          </xdr:cNvPr>
          <xdr:cNvSpPr/>
        </xdr:nvSpPr>
        <xdr:spPr>
          <a:xfrm>
            <a:off x="774978" y="3370322"/>
            <a:ext cx="170152" cy="17019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1</a:t>
            </a:r>
          </a:p>
        </xdr:txBody>
      </xdr:sp>
    </xdr:grpSp>
    <xdr:clientData/>
  </xdr:twoCellAnchor>
  <xdr:twoCellAnchor>
    <xdr:from>
      <xdr:col>0</xdr:col>
      <xdr:colOff>336189</xdr:colOff>
      <xdr:row>25</xdr:row>
      <xdr:rowOff>65602</xdr:rowOff>
    </xdr:from>
    <xdr:to>
      <xdr:col>7</xdr:col>
      <xdr:colOff>417004</xdr:colOff>
      <xdr:row>28</xdr:row>
      <xdr:rowOff>161924</xdr:rowOff>
    </xdr:to>
    <xdr:sp macro="" textlink="">
      <xdr:nvSpPr>
        <xdr:cNvPr id="11" name="TextBox 10">
          <a:extLst>
            <a:ext uri="{FF2B5EF4-FFF2-40B4-BE49-F238E27FC236}">
              <a16:creationId xmlns:a16="http://schemas.microsoft.com/office/drawing/2014/main" id="{2DF72254-DF60-4AA0-B635-B164741269AD}"/>
            </a:ext>
          </a:extLst>
        </xdr:cNvPr>
        <xdr:cNvSpPr txBox="1"/>
      </xdr:nvSpPr>
      <xdr:spPr>
        <a:xfrm>
          <a:off x="336189" y="5237677"/>
          <a:ext cx="6634015" cy="639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a:t>
          </a:r>
          <a:r>
            <a:rPr lang="en-US" sz="1100" baseline="0"/>
            <a:t> monitor has a corresponding register where the timestamp is logged upon the voltage crossing </a:t>
          </a:r>
          <a:r>
            <a:rPr lang="en-US" sz="1100">
              <a:solidFill>
                <a:schemeClr val="dk1"/>
              </a:solidFill>
              <a:effectLst/>
              <a:latin typeface="+mn-lt"/>
              <a:ea typeface="+mn-ea"/>
              <a:cs typeface="+mn-cs"/>
            </a:rPr>
            <a:t>UVLF or OFF threshold.</a:t>
          </a:r>
          <a:r>
            <a:rPr lang="en-US" sz="1100" baseline="0">
              <a:solidFill>
                <a:schemeClr val="dk1"/>
              </a:solidFill>
              <a:effectLst/>
              <a:latin typeface="+mn-lt"/>
              <a:ea typeface="+mn-ea"/>
              <a:cs typeface="+mn-cs"/>
            </a:rPr>
            <a:t> For example the registers applying to MON1 are 0x90 and 0x91. Using the data read from the corresponding registers fill in the corresponding cellss in the "Register Data" column. </a:t>
          </a:r>
          <a:endParaRPr lang="en-US" sz="1100"/>
        </a:p>
      </xdr:txBody>
    </xdr:sp>
    <xdr:clientData/>
  </xdr:twoCellAnchor>
  <xdr:twoCellAnchor>
    <xdr:from>
      <xdr:col>0</xdr:col>
      <xdr:colOff>0</xdr:colOff>
      <xdr:row>29</xdr:row>
      <xdr:rowOff>102274</xdr:rowOff>
    </xdr:from>
    <xdr:to>
      <xdr:col>2</xdr:col>
      <xdr:colOff>12443</xdr:colOff>
      <xdr:row>31</xdr:row>
      <xdr:rowOff>65508</xdr:rowOff>
    </xdr:to>
    <xdr:grpSp>
      <xdr:nvGrpSpPr>
        <xdr:cNvPr id="12" name="Group 11">
          <a:extLst>
            <a:ext uri="{FF2B5EF4-FFF2-40B4-BE49-F238E27FC236}">
              <a16:creationId xmlns:a16="http://schemas.microsoft.com/office/drawing/2014/main" id="{00E1B305-8AF6-4F35-B8FE-F52B6D42CE3F}"/>
            </a:ext>
          </a:extLst>
        </xdr:cNvPr>
        <xdr:cNvGrpSpPr/>
      </xdr:nvGrpSpPr>
      <xdr:grpSpPr>
        <a:xfrm>
          <a:off x="0" y="6066978"/>
          <a:ext cx="1331562" cy="321823"/>
          <a:chOff x="774978" y="3344524"/>
          <a:chExt cx="796530" cy="218658"/>
        </a:xfrm>
      </xdr:grpSpPr>
      <xdr:sp macro="" textlink="">
        <xdr:nvSpPr>
          <xdr:cNvPr id="13" name="TextBox 12">
            <a:extLst>
              <a:ext uri="{FF2B5EF4-FFF2-40B4-BE49-F238E27FC236}">
                <a16:creationId xmlns:a16="http://schemas.microsoft.com/office/drawing/2014/main" id="{4E5E3957-2B0D-4C0B-B06F-EF27993B85BA}"/>
              </a:ext>
            </a:extLst>
          </xdr:cNvPr>
          <xdr:cNvSpPr txBox="1"/>
        </xdr:nvSpPr>
        <xdr:spPr>
          <a:xfrm>
            <a:off x="902316" y="3344524"/>
            <a:ext cx="669192" cy="21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Step</a:t>
            </a:r>
            <a:r>
              <a:rPr lang="en-US" sz="1600" baseline="0"/>
              <a:t> Two</a:t>
            </a:r>
            <a:endParaRPr lang="en-US" sz="1600"/>
          </a:p>
        </xdr:txBody>
      </xdr:sp>
      <xdr:sp macro="" textlink="">
        <xdr:nvSpPr>
          <xdr:cNvPr id="14" name="Oval 13">
            <a:extLst>
              <a:ext uri="{FF2B5EF4-FFF2-40B4-BE49-F238E27FC236}">
                <a16:creationId xmlns:a16="http://schemas.microsoft.com/office/drawing/2014/main" id="{8DA653C1-58B9-467D-91F9-71FE2074FD4E}"/>
              </a:ext>
            </a:extLst>
          </xdr:cNvPr>
          <xdr:cNvSpPr/>
        </xdr:nvSpPr>
        <xdr:spPr>
          <a:xfrm>
            <a:off x="774978" y="3370322"/>
            <a:ext cx="170152" cy="170191"/>
          </a:xfrm>
          <a:prstGeom prst="ellipse">
            <a:avLst/>
          </a:prstGeom>
          <a:solidFill>
            <a:srgbClr val="C00000"/>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a:t>
            </a:r>
          </a:p>
        </xdr:txBody>
      </xdr:sp>
    </xdr:grpSp>
    <xdr:clientData/>
  </xdr:twoCellAnchor>
  <xdr:twoCellAnchor>
    <xdr:from>
      <xdr:col>0</xdr:col>
      <xdr:colOff>344807</xdr:colOff>
      <xdr:row>31</xdr:row>
      <xdr:rowOff>125023</xdr:rowOff>
    </xdr:from>
    <xdr:to>
      <xdr:col>7</xdr:col>
      <xdr:colOff>446326</xdr:colOff>
      <xdr:row>35</xdr:row>
      <xdr:rowOff>19706</xdr:rowOff>
    </xdr:to>
    <xdr:sp macro="" textlink="">
      <xdr:nvSpPr>
        <xdr:cNvPr id="15" name="TextBox 14">
          <a:extLst>
            <a:ext uri="{FF2B5EF4-FFF2-40B4-BE49-F238E27FC236}">
              <a16:creationId xmlns:a16="http://schemas.microsoft.com/office/drawing/2014/main" id="{F6AFF0FD-9825-4646-9410-67F3B2F75813}"/>
            </a:ext>
          </a:extLst>
        </xdr:cNvPr>
        <xdr:cNvSpPr txBox="1"/>
      </xdr:nvSpPr>
      <xdr:spPr>
        <a:xfrm>
          <a:off x="344807" y="6378678"/>
          <a:ext cx="6663916" cy="630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"Time Stamp (S)" column is the correspoinding time in secconds. The equation used to translate the hex values to the time domain is as follows: </a:t>
          </a:r>
        </a:p>
        <a:p>
          <a:pPr algn="ctr"/>
          <a:r>
            <a:rPr lang="en-US" sz="1100" baseline="0">
              <a:solidFill>
                <a:schemeClr val="dk1"/>
              </a:solidFill>
              <a:effectLst/>
              <a:latin typeface="+mn-lt"/>
              <a:ea typeface="+mn-ea"/>
              <a:cs typeface="+mn-cs"/>
            </a:rPr>
            <a:t>tstamp = 50</a:t>
          </a:r>
          <a:r>
            <a:rPr lang="el-GR" sz="1100" baseline="0">
              <a:solidFill>
                <a:schemeClr val="dk1"/>
              </a:solidFill>
              <a:effectLst/>
              <a:latin typeface="+mn-lt"/>
              <a:ea typeface="+mn-ea"/>
              <a:cs typeface="+mn-cs"/>
            </a:rPr>
            <a:t>μ</a:t>
          </a:r>
          <a:r>
            <a:rPr lang="en-US" sz="1100" baseline="0">
              <a:solidFill>
                <a:schemeClr val="dk1"/>
              </a:solidFill>
              <a:effectLst/>
              <a:latin typeface="+mn-lt"/>
              <a:ea typeface="+mn-ea"/>
              <a:cs typeface="+mn-cs"/>
            </a:rPr>
            <a:t>s*CLOCK[15:0]</a:t>
          </a:r>
        </a:p>
        <a:p>
          <a:endParaRPr lang="en-US" sz="1100" baseline="0">
            <a:solidFill>
              <a:schemeClr val="dk1"/>
            </a:solidFill>
            <a:effectLst/>
            <a:latin typeface="+mn-lt"/>
            <a:ea typeface="+mn-ea"/>
            <a:cs typeface="+mn-cs"/>
          </a:endParaRPr>
        </a:p>
      </xdr:txBody>
    </xdr:sp>
    <xdr:clientData/>
  </xdr:twoCellAnchor>
  <xdr:twoCellAnchor>
    <xdr:from>
      <xdr:col>7</xdr:col>
      <xdr:colOff>598220</xdr:colOff>
      <xdr:row>0</xdr:row>
      <xdr:rowOff>153942</xdr:rowOff>
    </xdr:from>
    <xdr:to>
      <xdr:col>17</xdr:col>
      <xdr:colOff>817054</xdr:colOff>
      <xdr:row>8</xdr:row>
      <xdr:rowOff>171450</xdr:rowOff>
    </xdr:to>
    <xdr:sp macro="" textlink="">
      <xdr:nvSpPr>
        <xdr:cNvPr id="16" name="TextBox 15">
          <a:extLst>
            <a:ext uri="{FF2B5EF4-FFF2-40B4-BE49-F238E27FC236}">
              <a16:creationId xmlns:a16="http://schemas.microsoft.com/office/drawing/2014/main" id="{E1CF3FE7-6EB8-4912-96AD-DE01ADDAAF93}"/>
            </a:ext>
          </a:extLst>
        </xdr:cNvPr>
        <xdr:cNvSpPr txBox="1"/>
      </xdr:nvSpPr>
      <xdr:spPr>
        <a:xfrm>
          <a:off x="7151420" y="153942"/>
          <a:ext cx="6810134" cy="154150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Sequence</a:t>
          </a:r>
          <a:r>
            <a:rPr lang="en-US" sz="1100" b="1" baseline="0"/>
            <a:t> Time Stamp Description: </a:t>
          </a:r>
        </a:p>
        <a:p>
          <a:endParaRPr lang="en-US" sz="1100" b="1" baseline="0"/>
        </a:p>
        <a:p>
          <a:r>
            <a:rPr lang="en-US"/>
            <a:t>Upon detection of the ACT rising/falling edge, the TPS38900x-Q1 device starts the sequence timeout timer and the monitoring of the power ON sequence. As each rail passes the UVLF or OFF threshold (depending on SEQ_UP_THLD.OFF_UV[N] register setting), the rail is tagged with a counter corresponding to the order of rising edge transition</a:t>
          </a:r>
          <a:r>
            <a:rPr lang="en-US" baseline="0"/>
            <a:t> and</a:t>
          </a:r>
          <a:r>
            <a:rPr lang="en-US"/>
            <a:t> timestamp is also logged.The time stamps are used for sequence logging purposes to determine the order and time in which the rails are turned on or off. The figure shown below is an example of the sequence</a:t>
          </a:r>
          <a:r>
            <a:rPr lang="en-US" baseline="0"/>
            <a:t> logging in action. </a:t>
          </a:r>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448421</xdr:colOff>
      <xdr:row>4</xdr:row>
      <xdr:rowOff>0</xdr:rowOff>
    </xdr:from>
    <xdr:to>
      <xdr:col>18</xdr:col>
      <xdr:colOff>283321</xdr:colOff>
      <xdr:row>6</xdr:row>
      <xdr:rowOff>44824</xdr:rowOff>
    </xdr:to>
    <xdr:sp macro="" textlink="">
      <xdr:nvSpPr>
        <xdr:cNvPr id="2" name="TextBox 1">
          <a:extLst>
            <a:ext uri="{FF2B5EF4-FFF2-40B4-BE49-F238E27FC236}">
              <a16:creationId xmlns:a16="http://schemas.microsoft.com/office/drawing/2014/main" id="{9E17D3F5-1684-4D90-9B9F-B32E4EFDC9EC}"/>
            </a:ext>
          </a:extLst>
        </xdr:cNvPr>
        <xdr:cNvSpPr txBox="1"/>
      </xdr:nvSpPr>
      <xdr:spPr>
        <a:xfrm>
          <a:off x="13962715" y="549088"/>
          <a:ext cx="1403724" cy="414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User</a:t>
          </a:r>
          <a:r>
            <a:rPr lang="en-US" sz="2000" b="1" baseline="0">
              <a:solidFill>
                <a:srgbClr val="FF0000"/>
              </a:solidFill>
            </a:rPr>
            <a:t> Input</a:t>
          </a:r>
          <a:endParaRPr lang="en-US" sz="2000" b="1">
            <a:solidFill>
              <a:srgbClr val="FF0000"/>
            </a:solidFill>
          </a:endParaRPr>
        </a:p>
      </xdr:txBody>
    </xdr:sp>
    <xdr:clientData/>
  </xdr:twoCellAnchor>
  <xdr:twoCellAnchor>
    <xdr:from>
      <xdr:col>16</xdr:col>
      <xdr:colOff>187512</xdr:colOff>
      <xdr:row>8</xdr:row>
      <xdr:rowOff>494</xdr:rowOff>
    </xdr:from>
    <xdr:to>
      <xdr:col>19</xdr:col>
      <xdr:colOff>389031</xdr:colOff>
      <xdr:row>9</xdr:row>
      <xdr:rowOff>179295</xdr:rowOff>
    </xdr:to>
    <xdr:sp macro="" textlink="">
      <xdr:nvSpPr>
        <xdr:cNvPr id="3" name="TextBox 2">
          <a:extLst>
            <a:ext uri="{FF2B5EF4-FFF2-40B4-BE49-F238E27FC236}">
              <a16:creationId xmlns:a16="http://schemas.microsoft.com/office/drawing/2014/main" id="{AB795F39-2F1C-46C2-9CDD-DFA4CE3752DE}"/>
            </a:ext>
          </a:extLst>
        </xdr:cNvPr>
        <xdr:cNvSpPr txBox="1"/>
      </xdr:nvSpPr>
      <xdr:spPr>
        <a:xfrm>
          <a:off x="13735424" y="1289170"/>
          <a:ext cx="2140136" cy="369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Calculated Results</a:t>
          </a:r>
        </a:p>
      </xdr:txBody>
    </xdr:sp>
    <xdr:clientData/>
  </xdr:twoCellAnchor>
  <xdr:twoCellAnchor>
    <xdr:from>
      <xdr:col>16</xdr:col>
      <xdr:colOff>301103</xdr:colOff>
      <xdr:row>23</xdr:row>
      <xdr:rowOff>175970</xdr:rowOff>
    </xdr:from>
    <xdr:to>
      <xdr:col>19</xdr:col>
      <xdr:colOff>115234</xdr:colOff>
      <xdr:row>26</xdr:row>
      <xdr:rowOff>24617</xdr:rowOff>
    </xdr:to>
    <xdr:sp macro="" textlink="">
      <xdr:nvSpPr>
        <xdr:cNvPr id="4" name="TextBox 3">
          <a:extLst>
            <a:ext uri="{FF2B5EF4-FFF2-40B4-BE49-F238E27FC236}">
              <a16:creationId xmlns:a16="http://schemas.microsoft.com/office/drawing/2014/main" id="{C19C8BA7-FB16-4FB7-A4D1-62A0E9880772}"/>
            </a:ext>
          </a:extLst>
        </xdr:cNvPr>
        <xdr:cNvSpPr txBox="1"/>
      </xdr:nvSpPr>
      <xdr:spPr>
        <a:xfrm>
          <a:off x="13815397" y="4781588"/>
          <a:ext cx="1752749" cy="39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GL</a:t>
          </a:r>
          <a:r>
            <a:rPr lang="en-US" sz="2000" b="1" baseline="0">
              <a:solidFill>
                <a:srgbClr val="FF0000"/>
              </a:solidFill>
            </a:rPr>
            <a:t> Thresholds </a:t>
          </a:r>
          <a:endParaRPr lang="en-US" sz="2000" b="1">
            <a:solidFill>
              <a:srgbClr val="FF0000"/>
            </a:solidFill>
          </a:endParaRPr>
        </a:p>
      </xdr:txBody>
    </xdr:sp>
    <xdr:clientData/>
  </xdr:twoCellAnchor>
  <xdr:twoCellAnchor>
    <xdr:from>
      <xdr:col>32</xdr:col>
      <xdr:colOff>185992</xdr:colOff>
      <xdr:row>4</xdr:row>
      <xdr:rowOff>182763</xdr:rowOff>
    </xdr:from>
    <xdr:to>
      <xdr:col>44</xdr:col>
      <xdr:colOff>558111</xdr:colOff>
      <xdr:row>29</xdr:row>
      <xdr:rowOff>139528</xdr:rowOff>
    </xdr:to>
    <xdr:graphicFrame macro="">
      <xdr:nvGraphicFramePr>
        <xdr:cNvPr id="6" name="Chart 5">
          <a:extLst>
            <a:ext uri="{FF2B5EF4-FFF2-40B4-BE49-F238E27FC236}">
              <a16:creationId xmlns:a16="http://schemas.microsoft.com/office/drawing/2014/main" id="{93FCE314-7AFC-4F8A-8017-2D3E1C90E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500956/Documents/Copy%20of%20OTP_TPS389008_mobiley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S389008"/>
      <sheetName val="Lists"/>
    </sheetNames>
    <sheetDataSet>
      <sheetData sheetId="0"/>
      <sheetData sheetId="1">
        <row r="3">
          <cell r="AD3" t="str">
            <v>WRK regs W</v>
          </cell>
        </row>
        <row r="4">
          <cell r="AD4" t="str">
            <v>WRK regs no W</v>
          </cell>
        </row>
        <row r="5">
          <cell r="AD5">
            <v>0</v>
          </cell>
        </row>
        <row r="6">
          <cell r="AD6">
            <v>0</v>
          </cell>
        </row>
        <row r="7">
          <cell r="AD7">
            <v>0</v>
          </cell>
        </row>
        <row r="8">
          <cell r="AD8">
            <v>0</v>
          </cell>
        </row>
        <row r="9">
          <cell r="AD9">
            <v>0</v>
          </cell>
        </row>
        <row r="10">
          <cell r="AD10">
            <v>0</v>
          </cell>
        </row>
        <row r="11">
          <cell r="AD11">
            <v>0</v>
          </cell>
        </row>
        <row r="12">
          <cell r="AD12">
            <v>0</v>
          </cell>
        </row>
        <row r="13">
          <cell r="AD13">
            <v>0</v>
          </cell>
        </row>
        <row r="14">
          <cell r="AD14">
            <v>0</v>
          </cell>
        </row>
        <row r="15">
          <cell r="AD15">
            <v>0</v>
          </cell>
        </row>
        <row r="16">
          <cell r="AD16">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9D16E-C397-4969-88EF-8DB69BC8A7D3}" name="Table2" displayName="Table2" ref="D15:D23" totalsRowShown="0" headerRowDxfId="9" dataDxfId="7" headerRowBorderDxfId="8" tableBorderDxfId="6" totalsRowBorderDxfId="5">
  <autoFilter ref="D15:D23" xr:uid="{E1913B53-D73C-4CC0-8214-732BAE826F1D}"/>
  <tableColumns count="1">
    <tableColumn id="1" xr3:uid="{2B74DE92-661D-4760-8843-8F9EEDDEF5C2}" name="Monitors"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1FCF0-5AE9-42C5-A157-0B0ABD3C6A00}" name="Table1" displayName="Table1" ref="E15:E17" totalsRowShown="0" headerRowDxfId="3" headerRowBorderDxfId="2" tableBorderDxfId="1" totalsRowBorderDxfId="0">
  <autoFilter ref="E15:E17" xr:uid="{7732A70F-61EC-488B-8C02-4D7B1C699EA4}"/>
  <tableColumns count="1">
    <tableColumn id="1" xr3:uid="{9997D29D-BB50-4570-9458-E69A3568B507}" name=" Vmon CH Enable"/>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4053A1-D424-499C-9C40-438C876DD66E}" name="Table4" displayName="Table4" ref="D26:D28" totalsRowShown="0">
  <autoFilter ref="D26:D28" xr:uid="{4C9AFA16-8620-4FC8-8F03-2DF91D82C655}"/>
  <tableColumns count="1">
    <tableColumn id="1" xr3:uid="{20AC58D2-3D60-4341-BD42-422BA98F4633}" name="Column1"/>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A581-581F-4705-9C3A-5E174D762CD3}">
  <sheetPr codeName="Sheet1"/>
  <dimension ref="A1:K28"/>
  <sheetViews>
    <sheetView workbookViewId="0">
      <selection activeCell="O23" sqref="O23"/>
    </sheetView>
  </sheetViews>
  <sheetFormatPr defaultColWidth="12" defaultRowHeight="15.5" x14ac:dyDescent="0.35"/>
  <cols>
    <col min="1" max="1" width="24.54296875" style="202" customWidth="1"/>
    <col min="2" max="2" width="13.6328125" style="206" customWidth="1"/>
    <col min="3" max="3" width="12" style="202"/>
    <col min="4" max="4" width="12.54296875" style="202" customWidth="1"/>
    <col min="5" max="5" width="12.6328125" style="202" customWidth="1"/>
    <col min="6" max="16384" width="12" style="202"/>
  </cols>
  <sheetData>
    <row r="1" spans="1:11" ht="16" thickBot="1" x14ac:dyDescent="0.4">
      <c r="B1" s="206" t="s">
        <v>560</v>
      </c>
      <c r="E1" s="202" t="s">
        <v>560</v>
      </c>
    </row>
    <row r="2" spans="1:11" x14ac:dyDescent="0.35">
      <c r="A2" s="207" t="s">
        <v>561</v>
      </c>
      <c r="B2" s="208">
        <v>0</v>
      </c>
      <c r="D2" s="209" t="s">
        <v>562</v>
      </c>
      <c r="E2" s="210" t="str">
        <f>DEC2HEX(128*D16+64*E16+32*F16+16*G16+8*H16+4*I16+2*J16+1*K16)</f>
        <v>5E</v>
      </c>
    </row>
    <row r="3" spans="1:11" ht="15" customHeight="1" x14ac:dyDescent="0.35">
      <c r="A3" s="211" t="s">
        <v>563</v>
      </c>
      <c r="B3" s="212">
        <f>PEC_CALC_Tool!D8</f>
        <v>33</v>
      </c>
      <c r="D3" s="209" t="s">
        <v>564</v>
      </c>
      <c r="E3" s="210" t="str">
        <f>DEC2HEX(128*D27+64*E27+32*F27+16*G27+8*H27+4*I27+2*J27+1*K27)</f>
        <v>36</v>
      </c>
    </row>
    <row r="4" spans="1:11" x14ac:dyDescent="0.35">
      <c r="A4" s="211" t="s">
        <v>565</v>
      </c>
      <c r="B4" s="212">
        <f>PEC_CALC_Tool!D9</f>
        <v>23</v>
      </c>
    </row>
    <row r="5" spans="1:11" ht="16" thickBot="1" x14ac:dyDescent="0.4">
      <c r="A5" s="213" t="s">
        <v>566</v>
      </c>
      <c r="B5" s="214">
        <f>PEC_CALC_Tool!D10</f>
        <v>11</v>
      </c>
    </row>
    <row r="6" spans="1:11" x14ac:dyDescent="0.35">
      <c r="A6" s="215"/>
      <c r="B6" s="216"/>
    </row>
    <row r="7" spans="1:11" x14ac:dyDescent="0.35">
      <c r="A7" s="217"/>
      <c r="B7" s="218"/>
      <c r="C7" s="219" t="s">
        <v>567</v>
      </c>
      <c r="D7" s="219">
        <v>7</v>
      </c>
      <c r="E7" s="219">
        <v>6</v>
      </c>
      <c r="F7" s="219">
        <v>5</v>
      </c>
      <c r="G7" s="219">
        <v>4</v>
      </c>
      <c r="H7" s="219">
        <v>3</v>
      </c>
      <c r="I7" s="219">
        <v>2</v>
      </c>
      <c r="J7" s="219">
        <v>1</v>
      </c>
      <c r="K7" s="219">
        <v>0</v>
      </c>
    </row>
    <row r="8" spans="1:11" x14ac:dyDescent="0.35">
      <c r="A8" s="220" t="s">
        <v>561</v>
      </c>
      <c r="B8" s="218">
        <f>B2</f>
        <v>0</v>
      </c>
      <c r="C8" s="218" t="str">
        <f>HEX2BIN(B8,8)</f>
        <v>00000000</v>
      </c>
      <c r="D8" s="221" t="str">
        <f>MID($C8,COLUMN()-3,1)</f>
        <v>0</v>
      </c>
      <c r="E8" s="221" t="str">
        <f t="shared" ref="E8:K8" si="0">MID($C8,COLUMN()-3,1)</f>
        <v>0</v>
      </c>
      <c r="F8" s="221" t="str">
        <f t="shared" si="0"/>
        <v>0</v>
      </c>
      <c r="G8" s="221" t="str">
        <f t="shared" si="0"/>
        <v>0</v>
      </c>
      <c r="H8" s="221" t="str">
        <f t="shared" si="0"/>
        <v>0</v>
      </c>
      <c r="I8" s="221" t="str">
        <f t="shared" si="0"/>
        <v>0</v>
      </c>
      <c r="J8" s="221" t="str">
        <f t="shared" si="0"/>
        <v>0</v>
      </c>
      <c r="K8" s="221" t="str">
        <f t="shared" si="0"/>
        <v>0</v>
      </c>
    </row>
    <row r="9" spans="1:11" x14ac:dyDescent="0.35">
      <c r="A9" s="220"/>
      <c r="B9" s="218"/>
      <c r="C9" s="218"/>
      <c r="D9" s="221"/>
      <c r="E9" s="221"/>
      <c r="F9" s="221"/>
      <c r="G9" s="221"/>
      <c r="H9" s="221"/>
      <c r="I9" s="221"/>
      <c r="J9" s="221"/>
      <c r="K9" s="221"/>
    </row>
    <row r="10" spans="1:11" x14ac:dyDescent="0.35">
      <c r="A10" s="222" t="s">
        <v>568</v>
      </c>
      <c r="B10" s="218" t="str">
        <f>DEC2HEX(_xlfn.BITLSHIFT(HEX2DEC(B3),1),2)</f>
        <v>66</v>
      </c>
      <c r="C10" s="218" t="str">
        <f>HEX2BIN(B10,8)</f>
        <v>01100110</v>
      </c>
      <c r="D10" s="221" t="str">
        <f>MID($C10,COLUMN()-3,1)</f>
        <v>0</v>
      </c>
      <c r="E10" s="221" t="str">
        <f t="shared" ref="E10:K12" si="1">MID($C10,COLUMN()-3,1)</f>
        <v>1</v>
      </c>
      <c r="F10" s="221" t="str">
        <f t="shared" si="1"/>
        <v>1</v>
      </c>
      <c r="G10" s="221" t="str">
        <f t="shared" si="1"/>
        <v>0</v>
      </c>
      <c r="H10" s="221" t="str">
        <f t="shared" si="1"/>
        <v>0</v>
      </c>
      <c r="I10" s="221" t="str">
        <f t="shared" si="1"/>
        <v>1</v>
      </c>
      <c r="J10" s="221" t="str">
        <f t="shared" si="1"/>
        <v>1</v>
      </c>
      <c r="K10" s="221" t="str">
        <f t="shared" si="1"/>
        <v>0</v>
      </c>
    </row>
    <row r="11" spans="1:11" x14ac:dyDescent="0.35">
      <c r="A11" s="222" t="s">
        <v>542</v>
      </c>
      <c r="B11" s="218">
        <f>B4</f>
        <v>23</v>
      </c>
      <c r="C11" s="218" t="str">
        <f>HEX2BIN(B11,8)</f>
        <v>00100011</v>
      </c>
      <c r="D11" s="221" t="str">
        <f t="shared" ref="D11:D12" si="2">MID($C11,COLUMN()-3,1)</f>
        <v>0</v>
      </c>
      <c r="E11" s="221" t="str">
        <f t="shared" si="1"/>
        <v>0</v>
      </c>
      <c r="F11" s="221" t="str">
        <f t="shared" si="1"/>
        <v>1</v>
      </c>
      <c r="G11" s="221" t="str">
        <f t="shared" si="1"/>
        <v>0</v>
      </c>
      <c r="H11" s="221" t="str">
        <f t="shared" si="1"/>
        <v>0</v>
      </c>
      <c r="I11" s="221" t="str">
        <f t="shared" si="1"/>
        <v>0</v>
      </c>
      <c r="J11" s="221" t="str">
        <f t="shared" si="1"/>
        <v>1</v>
      </c>
      <c r="K11" s="221" t="str">
        <f t="shared" si="1"/>
        <v>1</v>
      </c>
    </row>
    <row r="12" spans="1:11" x14ac:dyDescent="0.35">
      <c r="A12" s="222" t="s">
        <v>544</v>
      </c>
      <c r="B12" s="218">
        <f>B5</f>
        <v>11</v>
      </c>
      <c r="C12" s="218" t="str">
        <f>HEX2BIN(B12,8)</f>
        <v>00010001</v>
      </c>
      <c r="D12" s="221" t="str">
        <f t="shared" si="2"/>
        <v>0</v>
      </c>
      <c r="E12" s="221" t="str">
        <f t="shared" si="1"/>
        <v>0</v>
      </c>
      <c r="F12" s="221" t="str">
        <f t="shared" si="1"/>
        <v>0</v>
      </c>
      <c r="G12" s="221" t="str">
        <f t="shared" si="1"/>
        <v>1</v>
      </c>
      <c r="H12" s="221" t="str">
        <f t="shared" si="1"/>
        <v>0</v>
      </c>
      <c r="I12" s="221" t="str">
        <f t="shared" si="1"/>
        <v>0</v>
      </c>
      <c r="J12" s="221" t="str">
        <f t="shared" si="1"/>
        <v>0</v>
      </c>
      <c r="K12" s="221" t="str">
        <f t="shared" si="1"/>
        <v>1</v>
      </c>
    </row>
    <row r="13" spans="1:11" x14ac:dyDescent="0.35">
      <c r="A13" s="223"/>
      <c r="B13" s="218"/>
      <c r="C13" s="218"/>
      <c r="D13" s="218"/>
      <c r="E13" s="218"/>
      <c r="F13" s="218"/>
      <c r="G13" s="218"/>
      <c r="H13" s="218"/>
      <c r="I13" s="218"/>
      <c r="J13" s="218"/>
      <c r="K13" s="218"/>
    </row>
    <row r="14" spans="1:11" x14ac:dyDescent="0.35">
      <c r="A14" s="224" t="s">
        <v>546</v>
      </c>
      <c r="B14" s="218"/>
      <c r="C14" s="218"/>
      <c r="D14" s="221">
        <f>MOD((D10+E10+F10+$F$8+$E$8+$D$8),2)</f>
        <v>0</v>
      </c>
      <c r="E14" s="221">
        <f>MOD((E10+F10+G10+$G$8+$F$8+$E$8),2)</f>
        <v>0</v>
      </c>
      <c r="F14" s="221">
        <f>MOD((F10+G10+H10+$H$8+$G$8+$F$8),2)</f>
        <v>1</v>
      </c>
      <c r="G14" s="221">
        <f>MOD((G10+H10+I10+$I$8+$H$8+$G$8),2)</f>
        <v>1</v>
      </c>
      <c r="H14" s="221">
        <f>MOD((D10+H10+I10+J10+$J$8+$I$8+$H$8+$D$8),2)</f>
        <v>0</v>
      </c>
      <c r="I14" s="221">
        <f>MOD((E10+I10+J10+K10+$K$8+$J$8+$I$8+$E$8),2)</f>
        <v>1</v>
      </c>
      <c r="J14" s="221">
        <f>MOD((E10+J10+K10+$K$8+$J$8+$E$8),2)</f>
        <v>0</v>
      </c>
      <c r="K14" s="221">
        <f>MOD((D10+E10+K10+$K$8+$E$8+$D$8),2)</f>
        <v>1</v>
      </c>
    </row>
    <row r="15" spans="1:11" x14ac:dyDescent="0.35">
      <c r="A15" s="224" t="s">
        <v>547</v>
      </c>
      <c r="B15" s="218"/>
      <c r="C15" s="218"/>
      <c r="D15" s="221">
        <f>MOD((D11+E11+F11+$F$14+$E$14+$D$14),2)</f>
        <v>0</v>
      </c>
      <c r="E15" s="221">
        <f>MOD((E11+F11+G11+$G$14+$F$14+$E$14),2)</f>
        <v>1</v>
      </c>
      <c r="F15" s="221">
        <f>MOD((F11+G11+H11+$H$14+$G$14+$F$14),2)</f>
        <v>1</v>
      </c>
      <c r="G15" s="221">
        <f>MOD((G11+H11+I11+$I$14+$H$14+$G$14),2)</f>
        <v>0</v>
      </c>
      <c r="H15" s="221">
        <f>MOD((D11+H11+I11+J11+$J$14+$I$14+$H$14+$D$14),2)</f>
        <v>0</v>
      </c>
      <c r="I15" s="221">
        <f>MOD((E11+I11+J11+K11+$K$14+$J$14+$I$14+$E$14),2)</f>
        <v>0</v>
      </c>
      <c r="J15" s="221">
        <f>MOD((E11+J11+K11+$K$14+$J$14+$E$14),2)</f>
        <v>1</v>
      </c>
      <c r="K15" s="221">
        <f>MOD((D11+E11+K11+$K$14+$E$14+$D$14),2)</f>
        <v>0</v>
      </c>
    </row>
    <row r="16" spans="1:11" x14ac:dyDescent="0.35">
      <c r="A16" s="225" t="s">
        <v>562</v>
      </c>
      <c r="B16" s="218"/>
      <c r="C16" s="218"/>
      <c r="D16" s="221">
        <f>MOD((D12+E12+F12+$F$15+$E$15+$D$15),2)</f>
        <v>0</v>
      </c>
      <c r="E16" s="221">
        <f>MOD((E12+F12+G12+$G$15+$F$15+$E$15),2)</f>
        <v>1</v>
      </c>
      <c r="F16" s="221">
        <f>MOD((F12+G12+H12+$H$15+$G$15+$F$15),2)</f>
        <v>0</v>
      </c>
      <c r="G16" s="221">
        <f>MOD((G12+H12+I12+$I$15+$H$15+$G$15),2)</f>
        <v>1</v>
      </c>
      <c r="H16" s="221">
        <f>MOD((D12+H12+I12+J12+$J$15+$I$15+$H$15+$D$15),2)</f>
        <v>1</v>
      </c>
      <c r="I16" s="221">
        <f>MOD((E12+I12+J12+K12+$K$15+$J$15+$I$15+$E$15),2)</f>
        <v>1</v>
      </c>
      <c r="J16" s="221">
        <f>MOD((E12+J12+K12+$K$15+$J$15+$E$15),2)</f>
        <v>1</v>
      </c>
      <c r="K16" s="221">
        <f>MOD((D12+E12+K12+$K$15+$E$15+$D$15),2)</f>
        <v>0</v>
      </c>
    </row>
    <row r="17" spans="1:11" x14ac:dyDescent="0.35">
      <c r="A17" s="224"/>
      <c r="B17" s="218"/>
      <c r="C17" s="218"/>
      <c r="D17" s="218"/>
      <c r="E17" s="218"/>
      <c r="F17" s="218"/>
      <c r="G17" s="218"/>
      <c r="H17" s="218"/>
      <c r="I17" s="218"/>
      <c r="J17" s="218"/>
      <c r="K17" s="218"/>
    </row>
    <row r="18" spans="1:11" x14ac:dyDescent="0.35">
      <c r="A18" s="224"/>
      <c r="B18" s="218"/>
      <c r="C18" s="218"/>
      <c r="D18" s="218"/>
      <c r="E18" s="218"/>
      <c r="F18" s="218"/>
      <c r="G18" s="218"/>
      <c r="H18" s="218"/>
      <c r="I18" s="218"/>
      <c r="J18" s="218"/>
      <c r="K18" s="218"/>
    </row>
    <row r="19" spans="1:11" x14ac:dyDescent="0.35">
      <c r="A19" s="224" t="s">
        <v>568</v>
      </c>
      <c r="B19" s="218" t="str">
        <f>DEC2HEX(_xlfn.BITLSHIFT(HEX2DEC(B3),1),2)</f>
        <v>66</v>
      </c>
      <c r="C19" s="218" t="str">
        <f>HEX2BIN(B19,8)</f>
        <v>01100110</v>
      </c>
      <c r="D19" s="221" t="str">
        <f>MID($C19,COLUMN()-3,1)</f>
        <v>0</v>
      </c>
      <c r="E19" s="221" t="str">
        <f t="shared" ref="E19:K22" si="3">MID($C19,COLUMN()-3,1)</f>
        <v>1</v>
      </c>
      <c r="F19" s="221" t="str">
        <f t="shared" si="3"/>
        <v>1</v>
      </c>
      <c r="G19" s="221" t="str">
        <f t="shared" si="3"/>
        <v>0</v>
      </c>
      <c r="H19" s="221" t="str">
        <f t="shared" si="3"/>
        <v>0</v>
      </c>
      <c r="I19" s="221" t="str">
        <f t="shared" si="3"/>
        <v>1</v>
      </c>
      <c r="J19" s="221" t="str">
        <f t="shared" si="3"/>
        <v>1</v>
      </c>
      <c r="K19" s="221" t="str">
        <f t="shared" si="3"/>
        <v>0</v>
      </c>
    </row>
    <row r="20" spans="1:11" x14ac:dyDescent="0.35">
      <c r="A20" s="224" t="s">
        <v>542</v>
      </c>
      <c r="B20" s="218">
        <f>B4</f>
        <v>23</v>
      </c>
      <c r="C20" s="218" t="str">
        <f t="shared" ref="C20:C22" si="4">HEX2BIN(B20,8)</f>
        <v>00100011</v>
      </c>
      <c r="D20" s="221" t="str">
        <f t="shared" ref="D20:D22" si="5">MID($C20,COLUMN()-3,1)</f>
        <v>0</v>
      </c>
      <c r="E20" s="221" t="str">
        <f t="shared" si="3"/>
        <v>0</v>
      </c>
      <c r="F20" s="221" t="str">
        <f t="shared" si="3"/>
        <v>1</v>
      </c>
      <c r="G20" s="221" t="str">
        <f t="shared" si="3"/>
        <v>0</v>
      </c>
      <c r="H20" s="221" t="str">
        <f t="shared" si="3"/>
        <v>0</v>
      </c>
      <c r="I20" s="221" t="str">
        <f t="shared" si="3"/>
        <v>0</v>
      </c>
      <c r="J20" s="221" t="str">
        <f t="shared" si="3"/>
        <v>1</v>
      </c>
      <c r="K20" s="221" t="str">
        <f t="shared" si="3"/>
        <v>1</v>
      </c>
    </row>
    <row r="21" spans="1:11" x14ac:dyDescent="0.35">
      <c r="A21" s="224" t="s">
        <v>569</v>
      </c>
      <c r="B21" s="218" t="str">
        <f>DEC2HEX(_xlfn.BITLSHIFT(HEX2DEC(B3),1)+1,2)</f>
        <v>67</v>
      </c>
      <c r="C21" s="218" t="str">
        <f t="shared" si="4"/>
        <v>01100111</v>
      </c>
      <c r="D21" s="221" t="str">
        <f t="shared" si="5"/>
        <v>0</v>
      </c>
      <c r="E21" s="221" t="str">
        <f t="shared" si="3"/>
        <v>1</v>
      </c>
      <c r="F21" s="221" t="str">
        <f t="shared" si="3"/>
        <v>1</v>
      </c>
      <c r="G21" s="221" t="str">
        <f t="shared" si="3"/>
        <v>0</v>
      </c>
      <c r="H21" s="221" t="str">
        <f t="shared" si="3"/>
        <v>0</v>
      </c>
      <c r="I21" s="221" t="str">
        <f t="shared" si="3"/>
        <v>1</v>
      </c>
      <c r="J21" s="221" t="str">
        <f t="shared" si="3"/>
        <v>1</v>
      </c>
      <c r="K21" s="221" t="str">
        <f t="shared" si="3"/>
        <v>1</v>
      </c>
    </row>
    <row r="22" spans="1:11" x14ac:dyDescent="0.35">
      <c r="A22" s="224" t="s">
        <v>555</v>
      </c>
      <c r="B22" s="218">
        <f>B5</f>
        <v>11</v>
      </c>
      <c r="C22" s="218" t="str">
        <f t="shared" si="4"/>
        <v>00010001</v>
      </c>
      <c r="D22" s="221" t="str">
        <f t="shared" si="5"/>
        <v>0</v>
      </c>
      <c r="E22" s="221" t="str">
        <f t="shared" si="3"/>
        <v>0</v>
      </c>
      <c r="F22" s="221" t="str">
        <f t="shared" si="3"/>
        <v>0</v>
      </c>
      <c r="G22" s="221" t="str">
        <f t="shared" si="3"/>
        <v>1</v>
      </c>
      <c r="H22" s="221" t="str">
        <f t="shared" si="3"/>
        <v>0</v>
      </c>
      <c r="I22" s="221" t="str">
        <f t="shared" si="3"/>
        <v>0</v>
      </c>
      <c r="J22" s="221" t="str">
        <f t="shared" si="3"/>
        <v>0</v>
      </c>
      <c r="K22" s="221" t="str">
        <f t="shared" si="3"/>
        <v>1</v>
      </c>
    </row>
    <row r="23" spans="1:11" x14ac:dyDescent="0.35">
      <c r="A23" s="224"/>
      <c r="B23" s="218"/>
      <c r="C23" s="218"/>
      <c r="D23" s="218"/>
      <c r="E23" s="218"/>
      <c r="F23" s="218"/>
      <c r="G23" s="218"/>
      <c r="H23" s="218"/>
      <c r="I23" s="218"/>
      <c r="J23" s="218"/>
      <c r="K23" s="218"/>
    </row>
    <row r="24" spans="1:11" x14ac:dyDescent="0.35">
      <c r="A24" s="224" t="s">
        <v>546</v>
      </c>
      <c r="B24" s="218"/>
      <c r="C24" s="218"/>
      <c r="D24" s="221">
        <f>MOD((D19+E19+F19+$F$8+$E$8+$D$8),2)</f>
        <v>0</v>
      </c>
      <c r="E24" s="221">
        <f>MOD((E19+F19+G19+$G$8+$F$8+$E$8),2)</f>
        <v>0</v>
      </c>
      <c r="F24" s="221">
        <f>MOD((F19+G19+H19+$H$8+$G$8+$F$8),2)</f>
        <v>1</v>
      </c>
      <c r="G24" s="221">
        <f>MOD((G19+H19+I19+$I$8+$H$8+$G$8),2)</f>
        <v>1</v>
      </c>
      <c r="H24" s="221">
        <f>MOD((D19+H19+I19+J19+$J$8+$I$8+$H$8+$D$8),2)</f>
        <v>0</v>
      </c>
      <c r="I24" s="221">
        <f>MOD((E19+I19+J19+K19+$K$8+$J$8+$I$8+$E$8),2)</f>
        <v>1</v>
      </c>
      <c r="J24" s="221">
        <f>MOD((E19+J19+K19+$K$8+$J$8+$E$8),2)</f>
        <v>0</v>
      </c>
      <c r="K24" s="221">
        <f>MOD((D19+E19+K19+$K$8+$E$8+$D$8),2)</f>
        <v>1</v>
      </c>
    </row>
    <row r="25" spans="1:11" x14ac:dyDescent="0.35">
      <c r="A25" s="224" t="s">
        <v>547</v>
      </c>
      <c r="B25" s="218"/>
      <c r="C25" s="218"/>
      <c r="D25" s="221">
        <f>MOD((D20+E20+F20+$F$24+$E$24+$D$24),2)</f>
        <v>0</v>
      </c>
      <c r="E25" s="221">
        <f>MOD((E20+F20+G20+$G$24+$F$24+$E$24),2)</f>
        <v>1</v>
      </c>
      <c r="F25" s="221">
        <f>MOD((F20+G20+H20+$H$24+$G$24+$F$24),2)</f>
        <v>1</v>
      </c>
      <c r="G25" s="221">
        <f>MOD((G20+H20+I20+$I$24+$H$24+$G$24),2)</f>
        <v>0</v>
      </c>
      <c r="H25" s="221">
        <f>MOD((D20+H20+I20+J20+$J$24+$I$24+$H$24+$D$24),2)</f>
        <v>0</v>
      </c>
      <c r="I25" s="221">
        <f>MOD((E20+I20+J20+K20+$K$24+$J$24+$I$24+$E$24),2)</f>
        <v>0</v>
      </c>
      <c r="J25" s="221">
        <f>MOD((E20+J20+K20+$K$24+$J$24+$E$24),2)</f>
        <v>1</v>
      </c>
      <c r="K25" s="221">
        <f>MOD((D20+E20+K20+$K$24+$E$24+$D$24),2)</f>
        <v>0</v>
      </c>
    </row>
    <row r="26" spans="1:11" x14ac:dyDescent="0.35">
      <c r="A26" s="224" t="s">
        <v>557</v>
      </c>
      <c r="B26" s="218"/>
      <c r="C26" s="218"/>
      <c r="D26" s="221">
        <f>MOD((D21+E21+F21+$F$25+$E$25+$D$25),2)</f>
        <v>0</v>
      </c>
      <c r="E26" s="221">
        <f>MOD((E21+F21+G21+$G$25+$F$25+$E$25),2)</f>
        <v>0</v>
      </c>
      <c r="F26" s="221">
        <f>MOD((F21+G21+H21+$H$25+$G$25+$F$25),2)</f>
        <v>0</v>
      </c>
      <c r="G26" s="221">
        <f>MOD((G21+H21+I21+$I$25+$H$25+$G$25),2)</f>
        <v>1</v>
      </c>
      <c r="H26" s="221">
        <f>MOD((D21+H21+I21+J21+$J$25+$I$25+$H$25+$D$25),2)</f>
        <v>1</v>
      </c>
      <c r="I26" s="221">
        <f>MOD((E21+I21+J21+K21+$K$25+$J$25+$I$25+$E$25),2)</f>
        <v>0</v>
      </c>
      <c r="J26" s="221">
        <f>MOD((E21+J21+K21+$K$25+$J$25+$E$25),2)</f>
        <v>1</v>
      </c>
      <c r="K26" s="221">
        <f>MOD((D21+E21+K21+$K$25+$E$25+$D$25),2)</f>
        <v>1</v>
      </c>
    </row>
    <row r="27" spans="1:11" x14ac:dyDescent="0.35">
      <c r="A27" s="225" t="s">
        <v>564</v>
      </c>
      <c r="B27" s="218"/>
      <c r="C27" s="218"/>
      <c r="D27" s="221">
        <f>MOD((D22+E22+F22+$F$26+$E$26+$D$26),2)</f>
        <v>0</v>
      </c>
      <c r="E27" s="221">
        <f>MOD((E22+F22+G22+$G$26+$F$26+$E$26),2)</f>
        <v>0</v>
      </c>
      <c r="F27" s="221">
        <f>MOD((F22+G22+H22+$H$26+$G$26+$F$26),2)</f>
        <v>1</v>
      </c>
      <c r="G27" s="221">
        <f>MOD((G22+H22+I22+$I$26+$H$26+$G$26),2)</f>
        <v>1</v>
      </c>
      <c r="H27" s="221">
        <f>MOD((D22+H22+I22+J22+$J$26+$I$26+$H$26+$D$26),2)</f>
        <v>0</v>
      </c>
      <c r="I27" s="221">
        <f>MOD((E22+I22+J22+K22+$K$26+$J$26+$I$26+$E$26),2)</f>
        <v>1</v>
      </c>
      <c r="J27" s="221">
        <f>MOD((E22+J22+K22+$K$26+$J$26+$E$26),2)</f>
        <v>1</v>
      </c>
      <c r="K27" s="221">
        <f>MOD((D22+E22+K22+$K$26+$E$26+$D$26),2)</f>
        <v>0</v>
      </c>
    </row>
    <row r="28" spans="1:11" x14ac:dyDescent="0.35">
      <c r="C28" s="206"/>
      <c r="D28" s="206"/>
      <c r="E28" s="206"/>
      <c r="F28" s="206"/>
      <c r="G28" s="206"/>
      <c r="H28" s="206"/>
      <c r="I28" s="206"/>
      <c r="J28" s="206"/>
      <c r="K28" s="206"/>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6E386-575B-434A-9282-7B5BCA732734}">
  <sheetPr codeName="Sheet2"/>
  <dimension ref="A1:K28"/>
  <sheetViews>
    <sheetView workbookViewId="0">
      <selection activeCell="H6" sqref="H6"/>
    </sheetView>
  </sheetViews>
  <sheetFormatPr defaultColWidth="12" defaultRowHeight="15.5" x14ac:dyDescent="0.35"/>
  <cols>
    <col min="1" max="1" width="24.54296875" style="202" customWidth="1"/>
    <col min="2" max="9" width="12" style="202"/>
    <col min="10" max="10" width="33.81640625" style="202" customWidth="1"/>
    <col min="11" max="16384" width="12" style="202"/>
  </cols>
  <sheetData>
    <row r="1" spans="1:11" x14ac:dyDescent="0.35">
      <c r="J1" s="202" t="s">
        <v>536</v>
      </c>
    </row>
    <row r="2" spans="1:11" x14ac:dyDescent="0.35">
      <c r="A2" s="202" t="s">
        <v>537</v>
      </c>
      <c r="K2" s="202" t="s">
        <v>538</v>
      </c>
    </row>
    <row r="3" spans="1:11" x14ac:dyDescent="0.35">
      <c r="A3" s="203" t="s">
        <v>539</v>
      </c>
      <c r="B3" s="203">
        <v>7</v>
      </c>
      <c r="C3" s="203">
        <v>6</v>
      </c>
      <c r="D3" s="203">
        <v>5</v>
      </c>
      <c r="E3" s="203">
        <v>4</v>
      </c>
      <c r="F3" s="203">
        <v>3</v>
      </c>
      <c r="G3" s="203">
        <v>2</v>
      </c>
      <c r="H3" s="203">
        <v>1</v>
      </c>
      <c r="I3" s="203">
        <v>0</v>
      </c>
    </row>
    <row r="4" spans="1:11" x14ac:dyDescent="0.35">
      <c r="A4" s="202" t="s">
        <v>540</v>
      </c>
      <c r="B4" s="202">
        <v>0</v>
      </c>
      <c r="C4" s="202">
        <v>1</v>
      </c>
      <c r="D4" s="202">
        <v>1</v>
      </c>
      <c r="E4" s="202">
        <v>0</v>
      </c>
      <c r="F4" s="202">
        <v>1</v>
      </c>
      <c r="G4" s="202">
        <v>0</v>
      </c>
      <c r="H4" s="202">
        <v>0</v>
      </c>
      <c r="I4" s="204">
        <v>0</v>
      </c>
      <c r="J4" s="202" t="s">
        <v>541</v>
      </c>
    </row>
    <row r="5" spans="1:11" x14ac:dyDescent="0.35">
      <c r="A5" s="202" t="s">
        <v>542</v>
      </c>
      <c r="B5" s="202">
        <v>1</v>
      </c>
      <c r="C5" s="202">
        <v>1</v>
      </c>
      <c r="D5" s="202">
        <v>1</v>
      </c>
      <c r="E5" s="202">
        <v>1</v>
      </c>
      <c r="F5" s="202">
        <v>0</v>
      </c>
      <c r="G5" s="202">
        <v>0</v>
      </c>
      <c r="H5" s="202">
        <v>0</v>
      </c>
      <c r="I5" s="202">
        <v>0</v>
      </c>
      <c r="J5" s="202" t="s">
        <v>543</v>
      </c>
    </row>
    <row r="6" spans="1:11" x14ac:dyDescent="0.35">
      <c r="A6" s="202" t="s">
        <v>544</v>
      </c>
      <c r="B6" s="202">
        <v>0</v>
      </c>
      <c r="C6" s="202">
        <v>0</v>
      </c>
      <c r="D6" s="202">
        <v>0</v>
      </c>
      <c r="E6" s="202">
        <v>0</v>
      </c>
      <c r="F6" s="202">
        <v>0</v>
      </c>
      <c r="G6" s="202">
        <v>0</v>
      </c>
      <c r="H6" s="202">
        <v>0</v>
      </c>
      <c r="I6" s="202">
        <v>0</v>
      </c>
      <c r="J6" s="202" t="s">
        <v>545</v>
      </c>
    </row>
    <row r="11" spans="1:11" x14ac:dyDescent="0.35">
      <c r="A11" s="202" t="s">
        <v>546</v>
      </c>
      <c r="B11" s="202">
        <f>MOD((B4+C4+D4),2)</f>
        <v>0</v>
      </c>
      <c r="C11" s="202">
        <f>MOD((C4+D4+E4),2)</f>
        <v>0</v>
      </c>
      <c r="D11" s="202">
        <f>MOD((D4+E4+F4),2)</f>
        <v>0</v>
      </c>
      <c r="E11" s="202">
        <f>MOD((E4+F4+G4),2)</f>
        <v>1</v>
      </c>
      <c r="F11" s="202">
        <f>MOD((B4+F4+G4+H4),2)</f>
        <v>1</v>
      </c>
      <c r="G11" s="202">
        <f>MOD((C4+G4+H4+I4),2)</f>
        <v>1</v>
      </c>
      <c r="H11" s="202">
        <f>MOD((C4+H4+I4),2)</f>
        <v>1</v>
      </c>
      <c r="I11" s="202">
        <f>MOD((B4+C4+I4),2)</f>
        <v>1</v>
      </c>
    </row>
    <row r="12" spans="1:11" x14ac:dyDescent="0.35">
      <c r="A12" s="202" t="s">
        <v>547</v>
      </c>
      <c r="B12" s="202">
        <f t="shared" ref="B12:D13" si="0">MOD((B5+C5+D5+B11+C11+D11),2)</f>
        <v>1</v>
      </c>
      <c r="C12" s="202">
        <f t="shared" si="0"/>
        <v>0</v>
      </c>
      <c r="D12" s="202">
        <f t="shared" si="0"/>
        <v>0</v>
      </c>
      <c r="E12" s="202">
        <f>MOD((E5+F5+G5+ E11+F11+G11),2)</f>
        <v>0</v>
      </c>
      <c r="F12" s="202">
        <f>MOD((B5+F5+G5+H5+B11+F11+G11+H11),2)</f>
        <v>0</v>
      </c>
      <c r="G12" s="202">
        <f>MOD((C5+G5+H5+I5+ C11+G11+H11+I11),2)</f>
        <v>0</v>
      </c>
      <c r="H12" s="202">
        <f>MOD((C5+H5+I5+C11+H11+I11),2)</f>
        <v>1</v>
      </c>
      <c r="I12" s="202">
        <f>MOD((B5+C5+I5+B11+C11+I11),2)</f>
        <v>1</v>
      </c>
    </row>
    <row r="13" spans="1:11" x14ac:dyDescent="0.35">
      <c r="A13" s="205" t="s">
        <v>548</v>
      </c>
      <c r="B13" s="205">
        <f t="shared" si="0"/>
        <v>1</v>
      </c>
      <c r="C13" s="205">
        <f t="shared" si="0"/>
        <v>0</v>
      </c>
      <c r="D13" s="205">
        <f t="shared" si="0"/>
        <v>0</v>
      </c>
      <c r="E13" s="205">
        <f>MOD((E6+F6+G6+ E12+F12+G12),2)</f>
        <v>0</v>
      </c>
      <c r="F13" s="205">
        <f>MOD((B6+F6+G6+H6+B12+F12+G12+H12),2)</f>
        <v>0</v>
      </c>
      <c r="G13" s="205">
        <f>MOD((C6+G6+H6+I6+ C12+G12+H12+I12),2)</f>
        <v>0</v>
      </c>
      <c r="H13" s="205">
        <f>MOD((C6+H6+I6+C12+H12+I12),2)</f>
        <v>0</v>
      </c>
      <c r="I13" s="205">
        <f>MOD((B6+C6+I6+B12+C12+I12),2)</f>
        <v>0</v>
      </c>
      <c r="J13" s="202" t="s">
        <v>549</v>
      </c>
    </row>
    <row r="16" spans="1:11" x14ac:dyDescent="0.35">
      <c r="A16" s="202" t="s">
        <v>550</v>
      </c>
    </row>
    <row r="17" spans="1:10" x14ac:dyDescent="0.35">
      <c r="A17" s="203" t="s">
        <v>539</v>
      </c>
      <c r="B17" s="203">
        <v>7</v>
      </c>
      <c r="C17" s="203">
        <v>6</v>
      </c>
      <c r="D17" s="203">
        <v>5</v>
      </c>
      <c r="E17" s="203">
        <v>4</v>
      </c>
      <c r="F17" s="203">
        <v>3</v>
      </c>
      <c r="G17" s="203">
        <v>2</v>
      </c>
      <c r="H17" s="203">
        <v>1</v>
      </c>
      <c r="I17" s="203">
        <v>0</v>
      </c>
    </row>
    <row r="18" spans="1:10" x14ac:dyDescent="0.35">
      <c r="A18" s="202" t="s">
        <v>540</v>
      </c>
      <c r="B18" s="202">
        <v>0</v>
      </c>
      <c r="C18" s="202">
        <v>1</v>
      </c>
      <c r="D18" s="202">
        <v>1</v>
      </c>
      <c r="E18" s="202">
        <v>0</v>
      </c>
      <c r="F18" s="202">
        <v>1</v>
      </c>
      <c r="G18" s="202">
        <v>0</v>
      </c>
      <c r="H18" s="202">
        <v>0</v>
      </c>
      <c r="I18" s="204">
        <v>0</v>
      </c>
      <c r="J18" s="202" t="s">
        <v>551</v>
      </c>
    </row>
    <row r="19" spans="1:10" x14ac:dyDescent="0.35">
      <c r="A19" s="202" t="s">
        <v>542</v>
      </c>
      <c r="B19" s="202">
        <v>1</v>
      </c>
      <c r="C19" s="202">
        <v>1</v>
      </c>
      <c r="D19" s="202">
        <v>1</v>
      </c>
      <c r="E19" s="202">
        <v>1</v>
      </c>
      <c r="F19" s="202">
        <v>0</v>
      </c>
      <c r="G19" s="202">
        <v>0</v>
      </c>
      <c r="H19" s="202">
        <v>0</v>
      </c>
      <c r="I19" s="202">
        <v>0</v>
      </c>
      <c r="J19" s="202" t="s">
        <v>552</v>
      </c>
    </row>
    <row r="20" spans="1:10" x14ac:dyDescent="0.35">
      <c r="A20" s="202" t="s">
        <v>553</v>
      </c>
      <c r="B20" s="202">
        <v>0</v>
      </c>
      <c r="C20" s="202">
        <v>1</v>
      </c>
      <c r="D20" s="202">
        <v>1</v>
      </c>
      <c r="E20" s="202">
        <v>0</v>
      </c>
      <c r="F20" s="202">
        <v>1</v>
      </c>
      <c r="G20" s="202">
        <v>0</v>
      </c>
      <c r="H20" s="202">
        <v>0</v>
      </c>
      <c r="I20" s="204">
        <v>1</v>
      </c>
      <c r="J20" s="202" t="s">
        <v>554</v>
      </c>
    </row>
    <row r="21" spans="1:10" x14ac:dyDescent="0.35">
      <c r="A21" s="202" t="s">
        <v>555</v>
      </c>
      <c r="B21" s="202">
        <v>0</v>
      </c>
      <c r="C21" s="202">
        <v>0</v>
      </c>
      <c r="D21" s="202">
        <v>0</v>
      </c>
      <c r="E21" s="202">
        <v>0</v>
      </c>
      <c r="F21" s="202">
        <v>0</v>
      </c>
      <c r="G21" s="202">
        <v>0</v>
      </c>
      <c r="H21" s="202">
        <v>0</v>
      </c>
      <c r="I21" s="202">
        <v>0</v>
      </c>
      <c r="J21" s="202" t="s">
        <v>556</v>
      </c>
    </row>
    <row r="25" spans="1:10" x14ac:dyDescent="0.35">
      <c r="A25" s="202" t="s">
        <v>546</v>
      </c>
      <c r="B25" s="202">
        <f>MOD((B18+C18+D18),2)</f>
        <v>0</v>
      </c>
      <c r="C25" s="202">
        <f>MOD((C18+D18+E18),2)</f>
        <v>0</v>
      </c>
      <c r="D25" s="202">
        <f>MOD((D18+E18+F18),2)</f>
        <v>0</v>
      </c>
      <c r="E25" s="202">
        <f>MOD((E18+F18+G18),2)</f>
        <v>1</v>
      </c>
      <c r="F25" s="202">
        <f>MOD((B18+F18+G18+H18),2)</f>
        <v>1</v>
      </c>
      <c r="G25" s="202">
        <f>MOD((C18+G18+H18+I18),2)</f>
        <v>1</v>
      </c>
      <c r="H25" s="202">
        <f>MOD((C18+H18+I18),2)</f>
        <v>1</v>
      </c>
      <c r="I25" s="202">
        <f>MOD((B18+C18+I18),2)</f>
        <v>1</v>
      </c>
    </row>
    <row r="26" spans="1:10" x14ac:dyDescent="0.35">
      <c r="A26" s="202" t="s">
        <v>547</v>
      </c>
      <c r="B26" s="202">
        <f t="shared" ref="B26:D28" si="1">MOD((B19+C19+D19+B25+C25+D25),2)</f>
        <v>1</v>
      </c>
      <c r="C26" s="202">
        <f t="shared" si="1"/>
        <v>0</v>
      </c>
      <c r="D26" s="202">
        <f t="shared" si="1"/>
        <v>0</v>
      </c>
      <c r="E26" s="202">
        <f>MOD((E19+F19+G19+ E25+F25+G25),2)</f>
        <v>0</v>
      </c>
      <c r="F26" s="202">
        <f>MOD((B19+F19+G19+H19+B25+F25+G25+H25),2)</f>
        <v>0</v>
      </c>
      <c r="G26" s="202">
        <f>MOD((C19+G19+H19+I19+ C25+G25+H25+I25),2)</f>
        <v>0</v>
      </c>
      <c r="H26" s="202">
        <f>MOD((C19+H19+I19+C25+H25+I25),2)</f>
        <v>1</v>
      </c>
      <c r="I26" s="202">
        <f>MOD((B19+C19+I19+B25+C25+I25),2)</f>
        <v>1</v>
      </c>
    </row>
    <row r="27" spans="1:10" x14ac:dyDescent="0.35">
      <c r="A27" s="202" t="s">
        <v>557</v>
      </c>
      <c r="B27" s="202">
        <f t="shared" si="1"/>
        <v>1</v>
      </c>
      <c r="C27" s="202">
        <f t="shared" si="1"/>
        <v>0</v>
      </c>
      <c r="D27" s="202">
        <f t="shared" si="1"/>
        <v>0</v>
      </c>
      <c r="E27" s="202">
        <f>MOD((E20+F20+G20+ E26+F26+G26),2)</f>
        <v>1</v>
      </c>
      <c r="F27" s="202">
        <f>MOD((B20+F20+G20+H20+B26+F26+G26+H26),2)</f>
        <v>1</v>
      </c>
      <c r="G27" s="202">
        <f>MOD((C20+G20+H20+I20+ C26+G26+H26+I26),2)</f>
        <v>0</v>
      </c>
      <c r="H27" s="202">
        <f>MOD((C20+H20+I20+C26+H26+I26),2)</f>
        <v>0</v>
      </c>
      <c r="I27" s="202">
        <f>MOD((B20+C20+I20+B26+C26+I26),2)</f>
        <v>0</v>
      </c>
    </row>
    <row r="28" spans="1:10" x14ac:dyDescent="0.35">
      <c r="A28" s="205" t="s">
        <v>558</v>
      </c>
      <c r="B28" s="205">
        <f t="shared" si="1"/>
        <v>1</v>
      </c>
      <c r="C28" s="205">
        <f t="shared" si="1"/>
        <v>1</v>
      </c>
      <c r="D28" s="205">
        <f t="shared" si="1"/>
        <v>0</v>
      </c>
      <c r="E28" s="205">
        <f>MOD((E21+F21+G21+ E27+F27+G27),2)</f>
        <v>0</v>
      </c>
      <c r="F28" s="205">
        <f>MOD((B21+F21+G21+H21+B27+F27+G27+H27),2)</f>
        <v>0</v>
      </c>
      <c r="G28" s="205">
        <f>MOD((C21+G21+H21+I21+ C27+G27+H27+I27),2)</f>
        <v>0</v>
      </c>
      <c r="H28" s="205">
        <f>MOD((C21+H21+I21+C27+H27+I27),2)</f>
        <v>0</v>
      </c>
      <c r="I28" s="205">
        <f>MOD((B21+C21+I21+B27+C27+I27),2)</f>
        <v>1</v>
      </c>
      <c r="J28" s="202" t="s">
        <v>559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7F07-6661-49D7-A5E1-068DACE38D83}">
  <sheetPr codeName="Sheet3"/>
  <dimension ref="A1"/>
  <sheetViews>
    <sheetView topLeftCell="A7" zoomScale="40" zoomScaleNormal="40" workbookViewId="0">
      <selection activeCell="U68" sqref="U68"/>
    </sheetView>
  </sheetViews>
  <sheetFormatPr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5AA0-7649-4480-A97C-FE459A7B733B}">
  <sheetPr codeName="Sheet4"/>
  <dimension ref="A1:AM118"/>
  <sheetViews>
    <sheetView tabSelected="1" zoomScale="55" zoomScaleNormal="55" workbookViewId="0">
      <selection activeCell="AJ21" sqref="AJ21"/>
    </sheetView>
  </sheetViews>
  <sheetFormatPr defaultRowHeight="14.5" x14ac:dyDescent="0.35"/>
  <cols>
    <col min="1" max="1" width="0.26953125" customWidth="1"/>
    <col min="2" max="2" width="5.26953125" hidden="1" customWidth="1"/>
    <col min="3" max="3" width="20.54296875" customWidth="1"/>
    <col min="4" max="4" width="0.1796875" customWidth="1"/>
    <col min="5" max="5" width="19.36328125" style="1" customWidth="1"/>
    <col min="6" max="6" width="20.26953125" style="1" bestFit="1" customWidth="1"/>
    <col min="7" max="7" width="22.6328125" style="1" bestFit="1" customWidth="1"/>
    <col min="8" max="12" width="21.90625" style="1" bestFit="1" customWidth="1"/>
    <col min="13" max="13" width="21.90625" bestFit="1" customWidth="1"/>
    <col min="14" max="14" width="22.36328125" bestFit="1" customWidth="1"/>
    <col min="15" max="15" width="6.81640625" bestFit="1" customWidth="1"/>
    <col min="16" max="20" width="4.6328125" customWidth="1"/>
    <col min="21" max="21" width="5" style="1" customWidth="1"/>
    <col min="22" max="22" width="1.90625" style="2" customWidth="1"/>
    <col min="23" max="24" width="3.81640625" style="2" customWidth="1"/>
    <col min="25" max="25" width="5.26953125" style="2" customWidth="1"/>
    <col min="26" max="26" width="10.81640625" customWidth="1"/>
    <col min="28" max="28" width="11.81640625" bestFit="1" customWidth="1"/>
  </cols>
  <sheetData>
    <row r="1" spans="1:39" x14ac:dyDescent="0.35">
      <c r="A1" s="9"/>
      <c r="B1" s="43"/>
      <c r="C1" s="43"/>
      <c r="D1" s="17"/>
      <c r="E1" s="17"/>
      <c r="F1" s="70"/>
      <c r="G1" s="70"/>
      <c r="H1" s="70"/>
      <c r="I1" s="70"/>
      <c r="J1" s="70"/>
      <c r="K1" s="70"/>
      <c r="L1" s="70"/>
      <c r="M1" s="43"/>
      <c r="N1" s="43"/>
      <c r="O1" s="43"/>
      <c r="P1" s="43"/>
      <c r="Q1" s="43"/>
      <c r="R1" s="43"/>
      <c r="S1" s="43"/>
      <c r="T1" s="43"/>
      <c r="U1" s="70"/>
      <c r="V1" s="70"/>
      <c r="W1" s="70"/>
      <c r="X1" s="70"/>
      <c r="Y1" s="70"/>
      <c r="Z1" s="9"/>
      <c r="AA1" s="9"/>
      <c r="AB1" s="9"/>
      <c r="AC1" s="9"/>
      <c r="AD1" s="9"/>
      <c r="AE1" s="9"/>
      <c r="AF1" s="9"/>
      <c r="AG1" s="9"/>
      <c r="AH1" s="9"/>
      <c r="AI1" s="9"/>
      <c r="AJ1" s="9"/>
      <c r="AK1" s="9"/>
      <c r="AL1" s="9"/>
      <c r="AM1" s="9"/>
    </row>
    <row r="2" spans="1:39" ht="19" thickBot="1" x14ac:dyDescent="0.5">
      <c r="A2" s="17"/>
      <c r="B2" s="9"/>
      <c r="C2" s="9"/>
      <c r="D2" s="9"/>
      <c r="E2" s="114"/>
      <c r="F2" s="114"/>
      <c r="G2" s="114"/>
      <c r="H2" s="114"/>
      <c r="I2" s="114"/>
      <c r="J2" s="114"/>
      <c r="K2" s="114"/>
      <c r="L2" s="114"/>
      <c r="M2" s="115"/>
      <c r="N2" s="115"/>
      <c r="O2" s="115"/>
      <c r="P2" s="43"/>
      <c r="Q2" s="43"/>
      <c r="R2" s="43"/>
      <c r="S2" s="43"/>
      <c r="T2" s="43"/>
      <c r="U2" s="44"/>
      <c r="V2" s="45"/>
      <c r="W2" s="45"/>
      <c r="X2" s="45"/>
      <c r="Y2" s="46"/>
      <c r="Z2" s="9"/>
      <c r="AA2" s="9"/>
      <c r="AB2" s="9"/>
      <c r="AC2" s="9"/>
      <c r="AD2" s="9"/>
      <c r="AE2" s="9"/>
      <c r="AF2" s="9"/>
      <c r="AG2" s="9"/>
      <c r="AH2" s="9"/>
      <c r="AI2" s="9"/>
      <c r="AJ2" s="9"/>
      <c r="AK2" s="9"/>
      <c r="AL2" s="9"/>
      <c r="AM2" s="9"/>
    </row>
    <row r="3" spans="1:39" ht="19" thickBot="1" x14ac:dyDescent="0.5">
      <c r="A3" s="17"/>
      <c r="B3" s="9"/>
      <c r="C3" s="44"/>
      <c r="D3" s="43"/>
      <c r="E3" s="116"/>
      <c r="F3" s="117" t="s">
        <v>506</v>
      </c>
      <c r="G3" s="118"/>
      <c r="H3" s="118"/>
      <c r="I3" s="118"/>
      <c r="J3" s="118"/>
      <c r="K3" s="118"/>
      <c r="L3" s="118"/>
      <c r="M3" s="119"/>
      <c r="N3" s="115"/>
      <c r="O3" s="115"/>
      <c r="P3" s="43"/>
      <c r="Q3" s="43"/>
      <c r="R3" s="43"/>
      <c r="S3" s="43"/>
      <c r="T3" s="43"/>
      <c r="U3" s="44"/>
      <c r="V3" s="45"/>
      <c r="W3" s="45"/>
      <c r="X3" s="45"/>
      <c r="Y3" s="46"/>
      <c r="Z3" s="9"/>
      <c r="AA3" s="9"/>
      <c r="AB3" s="9"/>
      <c r="AC3" s="9"/>
      <c r="AD3" s="9"/>
      <c r="AE3" s="9"/>
      <c r="AF3" s="9"/>
      <c r="AG3" s="9"/>
      <c r="AH3" s="9"/>
      <c r="AI3" s="9"/>
      <c r="AJ3" s="9"/>
      <c r="AK3" s="9"/>
      <c r="AL3" s="9"/>
      <c r="AM3" s="9"/>
    </row>
    <row r="4" spans="1:39" ht="19" thickBot="1" x14ac:dyDescent="0.5">
      <c r="A4" s="30"/>
      <c r="B4" s="9"/>
      <c r="C4" s="44"/>
      <c r="D4" s="43"/>
      <c r="E4" s="115"/>
      <c r="F4" s="118"/>
      <c r="G4" s="118"/>
      <c r="H4" s="120"/>
      <c r="I4" s="120"/>
      <c r="J4" s="120"/>
      <c r="K4" s="120"/>
      <c r="L4" s="120"/>
      <c r="M4" s="119"/>
      <c r="N4" s="115"/>
      <c r="O4" s="115"/>
      <c r="P4" s="43"/>
      <c r="Q4" s="43"/>
      <c r="R4" s="43"/>
      <c r="S4" s="43"/>
      <c r="T4" s="43"/>
      <c r="U4" s="44"/>
      <c r="V4" s="70"/>
      <c r="W4" s="70"/>
      <c r="X4" s="70"/>
      <c r="Y4" s="46"/>
      <c r="Z4" s="43"/>
      <c r="AA4" s="43"/>
      <c r="AB4" s="9"/>
      <c r="AC4" s="9"/>
      <c r="AD4" s="9"/>
      <c r="AE4" s="9"/>
      <c r="AF4" s="9"/>
      <c r="AG4" s="9"/>
      <c r="AH4" s="9"/>
      <c r="AI4" s="9"/>
      <c r="AJ4" s="9"/>
      <c r="AK4" s="9"/>
      <c r="AL4" s="9"/>
      <c r="AM4" s="9"/>
    </row>
    <row r="5" spans="1:39" ht="21" x14ac:dyDescent="0.5">
      <c r="A5" s="30"/>
      <c r="B5" s="9"/>
      <c r="C5" s="42"/>
      <c r="D5" s="43"/>
      <c r="E5" s="193"/>
      <c r="F5" s="189" t="s">
        <v>477</v>
      </c>
      <c r="G5" s="189" t="s">
        <v>478</v>
      </c>
      <c r="H5" s="189" t="s">
        <v>479</v>
      </c>
      <c r="I5" s="189" t="s">
        <v>480</v>
      </c>
      <c r="J5" s="189" t="s">
        <v>481</v>
      </c>
      <c r="K5" s="189" t="s">
        <v>482</v>
      </c>
      <c r="L5" s="189" t="s">
        <v>483</v>
      </c>
      <c r="M5" s="189" t="s">
        <v>484</v>
      </c>
      <c r="N5" s="115"/>
      <c r="O5" s="115"/>
      <c r="P5" s="43"/>
      <c r="Q5" s="43"/>
      <c r="R5" s="43"/>
      <c r="S5" s="43"/>
      <c r="T5" s="43"/>
      <c r="U5" s="44"/>
      <c r="V5" s="70"/>
      <c r="W5" s="70"/>
      <c r="X5" s="70"/>
      <c r="Y5" s="46"/>
      <c r="Z5" s="43"/>
      <c r="AA5" s="43"/>
      <c r="AB5" s="9"/>
      <c r="AC5" s="9"/>
      <c r="AD5" s="9"/>
      <c r="AE5" s="9"/>
      <c r="AF5" s="9"/>
      <c r="AG5" s="9"/>
      <c r="AH5" s="9"/>
      <c r="AI5" s="9"/>
      <c r="AJ5" s="9"/>
      <c r="AK5" s="9"/>
      <c r="AL5" s="9"/>
      <c r="AM5" s="9"/>
    </row>
    <row r="6" spans="1:39" s="28" customFormat="1" ht="21" x14ac:dyDescent="0.5">
      <c r="A6" s="30"/>
      <c r="B6" s="9"/>
      <c r="C6" s="42"/>
      <c r="D6" s="43"/>
      <c r="E6" s="194" t="s">
        <v>534</v>
      </c>
      <c r="F6" s="154" t="s">
        <v>322</v>
      </c>
      <c r="G6" s="154" t="s">
        <v>322</v>
      </c>
      <c r="H6" s="154" t="s">
        <v>322</v>
      </c>
      <c r="I6" s="154" t="s">
        <v>322</v>
      </c>
      <c r="J6" s="154" t="s">
        <v>322</v>
      </c>
      <c r="K6" s="154" t="s">
        <v>322</v>
      </c>
      <c r="L6" s="154" t="s">
        <v>322</v>
      </c>
      <c r="M6" s="154" t="s">
        <v>322</v>
      </c>
      <c r="N6" s="115"/>
      <c r="O6" s="115"/>
      <c r="P6" s="43"/>
      <c r="Q6" s="43"/>
      <c r="R6" s="43"/>
      <c r="S6" s="43"/>
      <c r="T6" s="43"/>
      <c r="U6" s="44"/>
      <c r="V6" s="83"/>
      <c r="W6" s="83"/>
      <c r="X6" s="83"/>
      <c r="Y6" s="46"/>
      <c r="Z6" s="43"/>
      <c r="AA6" s="43"/>
      <c r="AB6" s="9"/>
      <c r="AC6" s="9"/>
      <c r="AD6" s="9"/>
      <c r="AE6" s="9"/>
      <c r="AF6" s="9"/>
      <c r="AG6" s="9"/>
      <c r="AH6" s="9"/>
      <c r="AI6" s="9"/>
      <c r="AJ6" s="9"/>
      <c r="AK6" s="9"/>
      <c r="AL6" s="9"/>
      <c r="AM6" s="9"/>
    </row>
    <row r="7" spans="1:39" ht="21" x14ac:dyDescent="0.5">
      <c r="A7" s="21"/>
      <c r="B7" s="9"/>
      <c r="C7" s="42"/>
      <c r="D7" s="43"/>
      <c r="E7" s="195" t="s">
        <v>523</v>
      </c>
      <c r="F7" s="154">
        <v>3.3</v>
      </c>
      <c r="G7" s="154">
        <v>1.8</v>
      </c>
      <c r="H7" s="154">
        <v>3.3</v>
      </c>
      <c r="I7" s="154">
        <v>2.1</v>
      </c>
      <c r="J7" s="154">
        <v>0.5</v>
      </c>
      <c r="K7" s="154">
        <v>1.2450000000000001</v>
      </c>
      <c r="L7" s="154">
        <v>2.2000000000000002</v>
      </c>
      <c r="M7" s="154">
        <v>4.5999999999999996</v>
      </c>
      <c r="N7" s="115"/>
      <c r="O7" s="115"/>
      <c r="P7" s="43"/>
      <c r="Q7" s="43"/>
      <c r="R7" s="43"/>
      <c r="S7" s="43"/>
      <c r="T7" s="43"/>
      <c r="U7" s="44"/>
      <c r="V7" s="70"/>
      <c r="W7" s="70"/>
      <c r="X7" s="70"/>
      <c r="Y7" s="46"/>
      <c r="Z7" s="43"/>
      <c r="AA7" s="43"/>
      <c r="AB7" s="9"/>
      <c r="AC7" s="9"/>
      <c r="AD7" s="9"/>
      <c r="AE7" s="9"/>
      <c r="AF7" s="9"/>
      <c r="AG7" s="9"/>
      <c r="AH7" s="9"/>
      <c r="AI7" s="9"/>
      <c r="AJ7" s="9"/>
      <c r="AK7" s="9"/>
      <c r="AL7" s="9"/>
      <c r="AM7" s="9"/>
    </row>
    <row r="8" spans="1:39" s="28" customFormat="1" ht="21" x14ac:dyDescent="0.5">
      <c r="A8" s="21"/>
      <c r="B8" s="9"/>
      <c r="C8" s="42"/>
      <c r="D8" s="43"/>
      <c r="E8" s="196" t="s">
        <v>510</v>
      </c>
      <c r="F8" s="154">
        <v>3</v>
      </c>
      <c r="G8" s="154">
        <v>4</v>
      </c>
      <c r="H8" s="154">
        <v>5</v>
      </c>
      <c r="I8" s="154">
        <v>4</v>
      </c>
      <c r="J8" s="154">
        <v>2</v>
      </c>
      <c r="K8" s="154">
        <v>4</v>
      </c>
      <c r="L8" s="154">
        <v>2</v>
      </c>
      <c r="M8" s="154">
        <v>5</v>
      </c>
      <c r="N8" s="115"/>
      <c r="O8" s="115"/>
      <c r="P8" s="43"/>
      <c r="Q8" s="43"/>
      <c r="R8" s="43"/>
      <c r="S8" s="43"/>
      <c r="T8" s="43"/>
      <c r="U8" s="44"/>
      <c r="V8" s="83"/>
      <c r="W8" s="83"/>
      <c r="X8" s="83"/>
      <c r="Y8" s="46"/>
      <c r="Z8" s="43"/>
      <c r="AA8" s="43"/>
      <c r="AB8" s="9"/>
      <c r="AC8" s="9"/>
      <c r="AD8" s="9"/>
      <c r="AE8" s="9"/>
      <c r="AF8" s="9"/>
      <c r="AG8" s="9"/>
      <c r="AH8" s="9"/>
      <c r="AI8" s="9"/>
      <c r="AJ8" s="9"/>
      <c r="AK8" s="9"/>
      <c r="AL8" s="9"/>
      <c r="AM8" s="9"/>
    </row>
    <row r="9" spans="1:39" ht="21.5" thickBot="1" x14ac:dyDescent="0.55000000000000004">
      <c r="A9" s="17"/>
      <c r="B9" s="9"/>
      <c r="C9" s="42"/>
      <c r="D9" s="43"/>
      <c r="E9" s="197" t="s">
        <v>511</v>
      </c>
      <c r="F9" s="155">
        <v>3</v>
      </c>
      <c r="G9" s="155">
        <v>4</v>
      </c>
      <c r="H9" s="155">
        <v>5</v>
      </c>
      <c r="I9" s="155">
        <v>4</v>
      </c>
      <c r="J9" s="155">
        <v>2</v>
      </c>
      <c r="K9" s="155">
        <v>4</v>
      </c>
      <c r="L9" s="155">
        <v>3</v>
      </c>
      <c r="M9" s="155">
        <v>5</v>
      </c>
      <c r="N9" s="115"/>
      <c r="O9" s="115"/>
      <c r="P9" s="43"/>
      <c r="Q9" s="43"/>
      <c r="R9" s="43"/>
      <c r="S9" s="43"/>
      <c r="T9" s="43"/>
      <c r="U9" s="70"/>
      <c r="V9" s="45"/>
      <c r="W9" s="45"/>
      <c r="X9" s="45"/>
      <c r="Y9" s="46"/>
      <c r="Z9" s="43"/>
      <c r="AA9" s="43"/>
      <c r="AB9" s="9"/>
      <c r="AC9" s="9"/>
      <c r="AD9" s="9"/>
      <c r="AE9" s="9"/>
      <c r="AF9" s="9"/>
      <c r="AG9" s="9"/>
      <c r="AH9" s="9"/>
      <c r="AI9" s="9"/>
      <c r="AJ9" s="9"/>
      <c r="AK9" s="9"/>
      <c r="AL9" s="9"/>
      <c r="AM9" s="9"/>
    </row>
    <row r="10" spans="1:39" ht="18.5" x14ac:dyDescent="0.45">
      <c r="A10" s="21"/>
      <c r="B10" s="9"/>
      <c r="C10" s="44"/>
      <c r="D10" s="43"/>
      <c r="E10" s="121"/>
      <c r="F10" s="121"/>
      <c r="G10" s="121"/>
      <c r="H10" s="121"/>
      <c r="I10" s="121"/>
      <c r="J10" s="121"/>
      <c r="K10" s="121"/>
      <c r="L10" s="121"/>
      <c r="M10" s="119"/>
      <c r="N10" s="122"/>
      <c r="O10" s="115"/>
      <c r="P10" s="43"/>
      <c r="Q10" s="43"/>
      <c r="R10" s="43"/>
      <c r="S10" s="43"/>
      <c r="T10" s="43"/>
      <c r="U10" s="48"/>
      <c r="V10" s="70"/>
      <c r="W10" s="70"/>
      <c r="X10" s="70"/>
      <c r="Y10" s="46"/>
      <c r="Z10" s="43"/>
      <c r="AA10" s="43"/>
      <c r="AB10" s="9"/>
      <c r="AC10" s="9"/>
      <c r="AD10" s="9"/>
      <c r="AE10" s="9"/>
      <c r="AF10" s="9"/>
      <c r="AG10" s="9"/>
      <c r="AH10" s="9"/>
      <c r="AI10" s="9"/>
      <c r="AJ10" s="9"/>
      <c r="AK10" s="9"/>
      <c r="AL10" s="9"/>
      <c r="AM10" s="9"/>
    </row>
    <row r="11" spans="1:39" ht="18.5" x14ac:dyDescent="0.45">
      <c r="A11" s="21"/>
      <c r="B11" s="9"/>
      <c r="C11" s="52"/>
      <c r="D11" s="52"/>
      <c r="E11" s="121"/>
      <c r="F11" s="121"/>
      <c r="G11" s="121"/>
      <c r="H11" s="121"/>
      <c r="I11" s="121"/>
      <c r="J11" s="121"/>
      <c r="K11" s="121"/>
      <c r="L11" s="121"/>
      <c r="M11" s="122"/>
      <c r="N11" s="122"/>
      <c r="O11" s="122"/>
      <c r="P11" s="43"/>
      <c r="Q11" s="43"/>
      <c r="R11" s="43"/>
      <c r="S11" s="43"/>
      <c r="T11" s="43"/>
      <c r="U11" s="44"/>
      <c r="V11" s="70"/>
      <c r="W11" s="70"/>
      <c r="X11" s="70"/>
      <c r="Y11" s="46"/>
      <c r="Z11" s="43"/>
      <c r="AA11" s="43"/>
      <c r="AB11" s="9"/>
      <c r="AC11" s="9"/>
      <c r="AD11" s="9"/>
      <c r="AE11" s="9"/>
      <c r="AF11" s="9"/>
      <c r="AG11" s="9"/>
      <c r="AH11" s="9"/>
      <c r="AI11" s="9"/>
      <c r="AJ11" s="9"/>
      <c r="AK11" s="9"/>
      <c r="AL11" s="9"/>
      <c r="AM11" s="9"/>
    </row>
    <row r="12" spans="1:39" ht="18.5" x14ac:dyDescent="0.45">
      <c r="A12" s="21"/>
      <c r="B12" s="79"/>
      <c r="C12" s="52"/>
      <c r="D12" s="52"/>
      <c r="E12" s="123"/>
      <c r="F12" s="123"/>
      <c r="G12" s="123"/>
      <c r="H12" s="123"/>
      <c r="I12" s="123"/>
      <c r="J12" s="123"/>
      <c r="K12" s="123"/>
      <c r="L12" s="123"/>
      <c r="M12" s="124"/>
      <c r="N12" s="124"/>
      <c r="O12" s="122"/>
      <c r="P12" s="43"/>
      <c r="Q12" s="43"/>
      <c r="R12" s="43"/>
      <c r="S12" s="43"/>
      <c r="T12" s="43"/>
      <c r="U12" s="44"/>
      <c r="V12" s="70"/>
      <c r="W12" s="70"/>
      <c r="X12" s="70"/>
      <c r="Y12" s="46"/>
      <c r="Z12" s="43"/>
      <c r="AA12" s="43"/>
      <c r="AB12" s="9"/>
      <c r="AC12" s="9"/>
      <c r="AD12" s="9"/>
      <c r="AE12" s="9"/>
      <c r="AF12" s="9"/>
      <c r="AG12" s="9"/>
      <c r="AH12" s="9"/>
      <c r="AI12" s="9"/>
      <c r="AJ12" s="9"/>
      <c r="AK12" s="9"/>
      <c r="AL12" s="9"/>
      <c r="AM12" s="9"/>
    </row>
    <row r="13" spans="1:39" ht="18.5" x14ac:dyDescent="0.45">
      <c r="A13" s="21"/>
      <c r="B13" s="51"/>
      <c r="E13" s="121"/>
      <c r="F13" s="121"/>
      <c r="G13" s="121"/>
      <c r="H13" s="121"/>
      <c r="I13" s="121"/>
      <c r="J13" s="121"/>
      <c r="K13" s="121"/>
      <c r="L13" s="121"/>
      <c r="M13" s="122"/>
      <c r="N13" s="122"/>
      <c r="O13" s="122"/>
      <c r="P13" s="43"/>
      <c r="Q13" s="43"/>
      <c r="R13" s="43"/>
      <c r="S13" s="43"/>
      <c r="T13" s="43"/>
      <c r="U13" s="44"/>
      <c r="V13" s="70"/>
      <c r="W13" s="70"/>
      <c r="X13" s="70"/>
      <c r="Y13" s="46"/>
      <c r="Z13" s="43"/>
      <c r="AA13" s="43"/>
      <c r="AB13" s="9"/>
      <c r="AC13" s="9"/>
      <c r="AD13" s="9"/>
      <c r="AE13" s="9"/>
      <c r="AF13" s="9"/>
      <c r="AG13" s="9"/>
      <c r="AH13" s="9"/>
      <c r="AI13" s="9"/>
      <c r="AJ13" s="9"/>
      <c r="AK13" s="9"/>
      <c r="AL13" s="9"/>
      <c r="AM13" s="9"/>
    </row>
    <row r="14" spans="1:39" ht="18.5" x14ac:dyDescent="0.45">
      <c r="A14" s="30"/>
      <c r="B14" s="51"/>
      <c r="C14" s="52"/>
      <c r="D14" s="52"/>
      <c r="E14" s="114"/>
      <c r="F14" s="114"/>
      <c r="G14" s="114"/>
      <c r="H14" s="114"/>
      <c r="I14" s="114"/>
      <c r="J14" s="114"/>
      <c r="K14" s="114"/>
      <c r="L14" s="114"/>
      <c r="M14" s="122"/>
      <c r="N14" s="122"/>
      <c r="O14" s="122"/>
      <c r="P14" s="43"/>
      <c r="Q14" s="43"/>
      <c r="R14" s="43"/>
      <c r="S14" s="43"/>
      <c r="T14" s="43"/>
      <c r="U14" s="44"/>
      <c r="V14" s="70"/>
      <c r="W14" s="70"/>
      <c r="X14" s="70"/>
      <c r="Y14" s="46"/>
      <c r="Z14" s="43"/>
      <c r="AA14" s="43"/>
      <c r="AB14" s="9"/>
      <c r="AC14" s="9"/>
      <c r="AD14" s="9"/>
      <c r="AE14" s="9"/>
      <c r="AF14" s="9"/>
      <c r="AG14" s="9"/>
      <c r="AH14" s="9"/>
      <c r="AI14" s="9"/>
      <c r="AJ14" s="9"/>
      <c r="AK14" s="9"/>
      <c r="AL14" s="9"/>
      <c r="AM14" s="9"/>
    </row>
    <row r="15" spans="1:39" ht="19" thickBot="1" x14ac:dyDescent="0.5">
      <c r="A15" s="30"/>
      <c r="B15" s="51"/>
      <c r="C15" s="9"/>
      <c r="D15" s="9"/>
      <c r="E15" s="114"/>
      <c r="F15" s="114"/>
      <c r="G15" s="114"/>
      <c r="H15" s="114"/>
      <c r="I15" s="114"/>
      <c r="J15" s="114"/>
      <c r="K15" s="114"/>
      <c r="L15" s="114"/>
      <c r="M15" s="122"/>
      <c r="N15" s="122"/>
      <c r="O15" s="122"/>
      <c r="P15" s="43"/>
      <c r="Q15" s="43"/>
      <c r="R15" s="43"/>
      <c r="S15" s="43"/>
      <c r="T15" s="43"/>
      <c r="U15" s="44"/>
      <c r="V15" s="70"/>
      <c r="W15" s="70"/>
      <c r="X15" s="70"/>
      <c r="Y15" s="46"/>
      <c r="Z15" s="43"/>
      <c r="AA15" s="43"/>
      <c r="AB15" s="9"/>
      <c r="AC15" s="9"/>
      <c r="AD15" s="9"/>
      <c r="AE15" s="9"/>
      <c r="AF15" s="9"/>
      <c r="AG15" s="9"/>
      <c r="AH15" s="9"/>
      <c r="AI15" s="9"/>
      <c r="AJ15" s="9"/>
      <c r="AK15" s="9"/>
      <c r="AL15" s="9"/>
      <c r="AM15" s="9"/>
    </row>
    <row r="16" spans="1:39" ht="18.5" x14ac:dyDescent="0.45">
      <c r="A16" s="30"/>
      <c r="B16" s="51"/>
      <c r="C16" s="9"/>
      <c r="D16" s="9"/>
      <c r="E16" s="125" t="s">
        <v>0</v>
      </c>
      <c r="F16" s="126" t="s">
        <v>1</v>
      </c>
      <c r="G16" s="126" t="s">
        <v>507</v>
      </c>
      <c r="H16" s="126"/>
      <c r="I16" s="126"/>
      <c r="J16" s="126"/>
      <c r="K16" s="126"/>
      <c r="L16" s="126"/>
      <c r="M16" s="126"/>
      <c r="N16" s="126"/>
      <c r="O16" s="127" t="s">
        <v>25</v>
      </c>
      <c r="P16" s="43"/>
      <c r="Q16" s="43"/>
      <c r="R16" s="43"/>
      <c r="S16" s="43"/>
      <c r="T16" s="43"/>
      <c r="U16" s="44"/>
      <c r="V16" s="70"/>
      <c r="W16" s="70"/>
      <c r="X16" s="70"/>
      <c r="Y16" s="46"/>
      <c r="Z16" s="43"/>
      <c r="AA16" s="43"/>
      <c r="AB16" s="9"/>
      <c r="AC16" s="9"/>
      <c r="AD16" s="9"/>
      <c r="AE16" s="9"/>
      <c r="AF16" s="9"/>
      <c r="AG16" s="9"/>
      <c r="AH16" s="9"/>
      <c r="AI16" s="9"/>
      <c r="AJ16" s="9"/>
      <c r="AK16" s="9"/>
      <c r="AL16" s="9"/>
      <c r="AM16" s="9"/>
    </row>
    <row r="17" spans="1:39" ht="18.5" x14ac:dyDescent="0.45">
      <c r="A17" s="30"/>
      <c r="B17" s="51"/>
      <c r="C17" s="9"/>
      <c r="D17" s="9"/>
      <c r="E17" s="186"/>
      <c r="F17" s="187"/>
      <c r="G17" s="187" t="s">
        <v>2</v>
      </c>
      <c r="H17" s="187" t="s">
        <v>3</v>
      </c>
      <c r="I17" s="187" t="s">
        <v>4</v>
      </c>
      <c r="J17" s="187" t="s">
        <v>5</v>
      </c>
      <c r="K17" s="187" t="s">
        <v>6</v>
      </c>
      <c r="L17" s="187" t="s">
        <v>7</v>
      </c>
      <c r="M17" s="187" t="s">
        <v>8</v>
      </c>
      <c r="N17" s="187" t="s">
        <v>9</v>
      </c>
      <c r="O17" s="188"/>
      <c r="P17" s="43"/>
      <c r="Q17" s="43"/>
      <c r="R17" s="43"/>
      <c r="S17" s="43"/>
      <c r="T17" s="43"/>
      <c r="U17" s="44"/>
      <c r="V17" s="70"/>
      <c r="W17" s="70"/>
      <c r="X17" s="70"/>
      <c r="Y17" s="46"/>
      <c r="Z17" s="43"/>
      <c r="AA17" s="43"/>
      <c r="AB17" s="9"/>
      <c r="AC17" s="9"/>
      <c r="AD17" s="9"/>
      <c r="AE17" s="9"/>
      <c r="AF17" s="9"/>
      <c r="AG17" s="9"/>
      <c r="AH17" s="9"/>
      <c r="AI17" s="9"/>
      <c r="AJ17" s="9"/>
      <c r="AK17" s="9"/>
      <c r="AL17" s="9"/>
      <c r="AM17" s="9"/>
    </row>
    <row r="18" spans="1:39" s="28" customFormat="1" ht="18.5" x14ac:dyDescent="0.45">
      <c r="A18" s="30"/>
      <c r="B18" s="51"/>
      <c r="C18" s="9"/>
      <c r="D18" s="9"/>
      <c r="E18" s="128" t="s">
        <v>205</v>
      </c>
      <c r="F18" s="129" t="s">
        <v>285</v>
      </c>
      <c r="G18" s="129" t="str">
        <f>Threshold_Calculation!J35</f>
        <v>VIN Ch Enabled</v>
      </c>
      <c r="H18" s="129" t="str">
        <f>Threshold_Calculation!K35</f>
        <v>VIN Ch Enabled</v>
      </c>
      <c r="I18" s="129" t="str">
        <f>Threshold_Calculation!L35</f>
        <v>VIN Ch Enabled</v>
      </c>
      <c r="J18" s="129" t="str">
        <f>Threshold_Calculation!M35</f>
        <v>VIN Ch Enabled</v>
      </c>
      <c r="K18" s="129" t="str">
        <f>Threshold_Calculation!N35</f>
        <v>VIN Ch Enabled</v>
      </c>
      <c r="L18" s="129" t="str">
        <f>Threshold_Calculation!O35</f>
        <v>VIN Ch Enabled</v>
      </c>
      <c r="M18" s="129" t="str">
        <f>Threshold_Calculation!P35</f>
        <v>VIN Ch Enabled</v>
      </c>
      <c r="N18" s="129" t="str">
        <f>Threshold_Calculation!Q35</f>
        <v>VIN Ch Enabled</v>
      </c>
      <c r="O18" s="201" t="str">
        <f>Threshold_Calculation!Z35</f>
        <v>0xFF</v>
      </c>
      <c r="P18" s="43"/>
      <c r="Q18" s="43"/>
      <c r="R18" s="43"/>
      <c r="S18" s="43"/>
      <c r="T18" s="43"/>
      <c r="U18" s="44"/>
      <c r="V18" s="83"/>
      <c r="W18" s="83"/>
      <c r="X18" s="83"/>
      <c r="Y18" s="46"/>
      <c r="Z18" s="43"/>
      <c r="AA18" s="43"/>
      <c r="AB18" s="9"/>
      <c r="AC18" s="9"/>
      <c r="AD18" s="9"/>
      <c r="AE18" s="9"/>
      <c r="AF18" s="9"/>
      <c r="AG18" s="9"/>
      <c r="AH18" s="9"/>
      <c r="AI18" s="9"/>
      <c r="AJ18" s="9"/>
      <c r="AK18" s="9"/>
      <c r="AL18" s="9"/>
      <c r="AM18" s="9"/>
    </row>
    <row r="19" spans="1:39" ht="19" thickBot="1" x14ac:dyDescent="0.5">
      <c r="A19" s="21"/>
      <c r="B19" s="51"/>
      <c r="C19" s="52"/>
      <c r="E19" s="130" t="s">
        <v>132</v>
      </c>
      <c r="F19" s="131" t="s">
        <v>286</v>
      </c>
      <c r="G19" s="132" t="str">
        <f>Threshold_Calculation!J36</f>
        <v>Set Ch to 4x Scaling</v>
      </c>
      <c r="H19" s="132" t="str">
        <f>Threshold_Calculation!K36</f>
        <v>Set Ch to 4x Scaling</v>
      </c>
      <c r="I19" s="132" t="str">
        <f>Threshold_Calculation!L36</f>
        <v>Set Ch to 1x Scaling</v>
      </c>
      <c r="J19" s="132" t="str">
        <f>Threshold_Calculation!M36</f>
        <v>Set Ch to 1x Scaling</v>
      </c>
      <c r="K19" s="132" t="str">
        <f>Threshold_Calculation!N36</f>
        <v>Set Ch to 4x Scaling</v>
      </c>
      <c r="L19" s="132" t="str">
        <f>Threshold_Calculation!O36</f>
        <v>Set Ch to 4x Scaling</v>
      </c>
      <c r="M19" s="132" t="str">
        <f>Threshold_Calculation!P36</f>
        <v>Set Ch to 4x Scaling</v>
      </c>
      <c r="N19" s="132" t="str">
        <f>Threshold_Calculation!Q36</f>
        <v>Set Ch to 4x Scaling</v>
      </c>
      <c r="O19" s="133" t="str">
        <f>Threshold_Calculation!Z36</f>
        <v>0xCF</v>
      </c>
      <c r="P19" s="43"/>
      <c r="Q19" s="43"/>
      <c r="R19" s="43"/>
      <c r="S19" s="43"/>
      <c r="T19" s="43"/>
      <c r="U19" s="44"/>
      <c r="V19" s="70"/>
      <c r="W19" s="70"/>
      <c r="X19" s="70"/>
      <c r="Y19" s="46"/>
      <c r="Z19" s="43"/>
      <c r="AA19" s="43"/>
      <c r="AB19" s="9"/>
      <c r="AC19" s="9"/>
      <c r="AD19" s="9"/>
      <c r="AE19" s="9"/>
      <c r="AF19" s="9"/>
      <c r="AG19" s="9"/>
      <c r="AH19" s="9"/>
      <c r="AI19" s="9"/>
      <c r="AJ19" s="9"/>
      <c r="AK19" s="9"/>
      <c r="AL19" s="9"/>
      <c r="AM19" s="9"/>
    </row>
    <row r="20" spans="1:39" ht="19" thickBot="1" x14ac:dyDescent="0.5">
      <c r="A20" s="21"/>
      <c r="B20" s="51"/>
      <c r="C20" s="52"/>
      <c r="D20" s="98"/>
      <c r="E20" s="134"/>
      <c r="F20" s="134"/>
      <c r="G20" s="135"/>
      <c r="H20" s="135"/>
      <c r="I20" s="135"/>
      <c r="J20" s="135"/>
      <c r="K20" s="135"/>
      <c r="L20" s="135"/>
      <c r="M20" s="135"/>
      <c r="N20" s="135"/>
      <c r="O20" s="134"/>
      <c r="P20" s="43"/>
      <c r="Q20" s="43"/>
      <c r="R20" s="43"/>
      <c r="S20" s="43"/>
      <c r="T20" s="43"/>
      <c r="U20" s="44"/>
      <c r="V20" s="70"/>
      <c r="W20" s="70"/>
      <c r="X20" s="70"/>
      <c r="Y20" s="46"/>
      <c r="Z20" s="43"/>
      <c r="AA20" s="43"/>
      <c r="AB20" s="9"/>
      <c r="AC20" s="9"/>
      <c r="AD20" s="9"/>
      <c r="AE20" s="9"/>
      <c r="AF20" s="9"/>
      <c r="AG20" s="9"/>
      <c r="AH20" s="9"/>
      <c r="AI20" s="9"/>
      <c r="AJ20" s="9"/>
      <c r="AK20" s="9"/>
      <c r="AL20" s="9"/>
      <c r="AM20" s="9"/>
    </row>
    <row r="21" spans="1:39" ht="18.5" x14ac:dyDescent="0.45">
      <c r="A21" s="79"/>
      <c r="B21" s="51"/>
      <c r="C21" s="52"/>
      <c r="D21" s="98"/>
      <c r="E21" s="145" t="s">
        <v>125</v>
      </c>
      <c r="F21" s="156" t="s">
        <v>325</v>
      </c>
      <c r="G21" s="309">
        <f>Threshold_Calculation!J38</f>
        <v>3.21999999999999</v>
      </c>
      <c r="H21" s="309"/>
      <c r="I21" s="309"/>
      <c r="J21" s="309"/>
      <c r="K21" s="309"/>
      <c r="L21" s="309"/>
      <c r="M21" s="309"/>
      <c r="N21" s="309"/>
      <c r="O21" s="146" t="str">
        <f>Threshold_Calculation!Z38</f>
        <v>0x79</v>
      </c>
      <c r="P21" s="52"/>
      <c r="Q21" s="52"/>
      <c r="R21" s="52"/>
      <c r="S21" s="52"/>
      <c r="T21" s="52"/>
      <c r="U21" s="53"/>
      <c r="V21" s="80"/>
      <c r="W21" s="80"/>
      <c r="X21" s="80"/>
      <c r="Y21" s="80"/>
      <c r="Z21" s="52"/>
      <c r="AA21" s="9"/>
      <c r="AB21" s="9"/>
      <c r="AC21" s="9"/>
      <c r="AD21" s="9"/>
      <c r="AE21" s="9"/>
      <c r="AF21" s="9"/>
      <c r="AG21" s="9"/>
      <c r="AH21" s="9"/>
      <c r="AI21" s="9"/>
      <c r="AJ21" s="9"/>
      <c r="AK21" s="9"/>
      <c r="AL21" s="9"/>
      <c r="AM21" s="9"/>
    </row>
    <row r="22" spans="1:39" ht="18.5" x14ac:dyDescent="0.45">
      <c r="A22" s="50"/>
      <c r="B22" s="51"/>
      <c r="C22" s="52"/>
      <c r="D22" s="98"/>
      <c r="E22" s="141" t="s">
        <v>212</v>
      </c>
      <c r="F22" s="158" t="s">
        <v>326</v>
      </c>
      <c r="G22" s="306">
        <f>Threshold_Calculation!J39</f>
        <v>3.3799999999999901</v>
      </c>
      <c r="H22" s="306"/>
      <c r="I22" s="306"/>
      <c r="J22" s="306"/>
      <c r="K22" s="306"/>
      <c r="L22" s="306"/>
      <c r="M22" s="306"/>
      <c r="N22" s="306"/>
      <c r="O22" s="142" t="str">
        <f>Threshold_Calculation!Z39</f>
        <v>0x81</v>
      </c>
      <c r="P22" s="52"/>
      <c r="Q22" s="52"/>
      <c r="R22" s="52"/>
      <c r="S22" s="52"/>
      <c r="T22" s="52"/>
      <c r="U22" s="53"/>
      <c r="V22" s="71"/>
      <c r="W22" s="71"/>
      <c r="X22" s="71"/>
      <c r="Y22" s="49"/>
      <c r="Z22" s="52"/>
      <c r="AA22" s="9"/>
      <c r="AB22" s="9"/>
      <c r="AC22" s="9"/>
      <c r="AD22" s="9"/>
      <c r="AE22" s="9"/>
      <c r="AF22" s="9"/>
      <c r="AG22" s="9"/>
      <c r="AH22" s="9"/>
      <c r="AI22" s="9"/>
      <c r="AJ22" s="9"/>
      <c r="AK22" s="9"/>
      <c r="AL22" s="9"/>
      <c r="AM22" s="9"/>
    </row>
    <row r="23" spans="1:39" ht="18.5" x14ac:dyDescent="0.45">
      <c r="A23" s="50"/>
      <c r="B23" s="51"/>
      <c r="C23" s="52"/>
      <c r="D23" s="98" t="s">
        <v>477</v>
      </c>
      <c r="E23" s="140" t="s">
        <v>240</v>
      </c>
      <c r="F23" s="157" t="s">
        <v>327</v>
      </c>
      <c r="G23" s="307">
        <f>Threshold_Calculation!J40</f>
        <v>3.23999999999999</v>
      </c>
      <c r="H23" s="307"/>
      <c r="I23" s="307"/>
      <c r="J23" s="307"/>
      <c r="K23" s="307"/>
      <c r="L23" s="307"/>
      <c r="M23" s="307"/>
      <c r="N23" s="307"/>
      <c r="O23" s="147" t="str">
        <f>Threshold_Calculation!Z40</f>
        <v>0x7A</v>
      </c>
      <c r="P23" s="52"/>
      <c r="Q23" s="52"/>
      <c r="R23" s="52"/>
      <c r="S23" s="52"/>
      <c r="T23" s="52"/>
      <c r="U23" s="53"/>
      <c r="V23" s="71"/>
      <c r="W23" s="71"/>
      <c r="X23" s="71"/>
      <c r="Y23" s="49"/>
      <c r="Z23" s="52"/>
      <c r="AA23" s="9"/>
      <c r="AB23" s="9"/>
      <c r="AC23" s="9"/>
      <c r="AD23" s="9"/>
      <c r="AE23" s="9"/>
      <c r="AF23" s="9"/>
      <c r="AG23" s="9"/>
      <c r="AH23" s="9"/>
      <c r="AI23" s="9"/>
      <c r="AJ23" s="9"/>
      <c r="AK23" s="9"/>
      <c r="AL23" s="9"/>
      <c r="AM23" s="9"/>
    </row>
    <row r="24" spans="1:39" ht="19" thickBot="1" x14ac:dyDescent="0.5">
      <c r="A24" s="50"/>
      <c r="B24" s="51"/>
      <c r="C24" s="52"/>
      <c r="D24" s="52"/>
      <c r="E24" s="150" t="s">
        <v>41</v>
      </c>
      <c r="F24" s="151" t="s">
        <v>328</v>
      </c>
      <c r="G24" s="308">
        <f>Threshold_Calculation!J41</f>
        <v>3.3599999999999901</v>
      </c>
      <c r="H24" s="308"/>
      <c r="I24" s="308"/>
      <c r="J24" s="308"/>
      <c r="K24" s="308"/>
      <c r="L24" s="308"/>
      <c r="M24" s="308"/>
      <c r="N24" s="308"/>
      <c r="O24" s="136" t="str">
        <f>Threshold_Calculation!Z41</f>
        <v>0x80</v>
      </c>
      <c r="P24" s="52"/>
      <c r="Q24" s="52"/>
      <c r="R24" s="52"/>
      <c r="S24" s="77"/>
      <c r="T24" s="77"/>
      <c r="U24" s="53"/>
      <c r="V24" s="71"/>
      <c r="W24" s="71"/>
      <c r="X24" s="71"/>
      <c r="Y24" s="49"/>
      <c r="Z24" s="52"/>
      <c r="AA24" s="9"/>
      <c r="AB24" s="9"/>
      <c r="AC24" s="9"/>
      <c r="AD24" s="9"/>
      <c r="AE24" s="9"/>
      <c r="AF24" s="9"/>
      <c r="AG24" s="9"/>
      <c r="AH24" s="9"/>
      <c r="AI24" s="9"/>
      <c r="AJ24" s="9"/>
      <c r="AK24" s="9"/>
      <c r="AL24" s="9"/>
      <c r="AM24" s="9"/>
    </row>
    <row r="25" spans="1:39" ht="19" thickBot="1" x14ac:dyDescent="0.5">
      <c r="A25" s="50"/>
      <c r="B25" s="51"/>
      <c r="C25" s="52"/>
      <c r="D25" s="52"/>
      <c r="E25" s="137"/>
      <c r="F25" s="137"/>
      <c r="G25" s="138"/>
      <c r="H25" s="138"/>
      <c r="I25" s="138"/>
      <c r="J25" s="138"/>
      <c r="K25" s="138"/>
      <c r="L25" s="138"/>
      <c r="M25" s="138"/>
      <c r="N25" s="138"/>
      <c r="O25" s="139"/>
      <c r="P25" s="52"/>
      <c r="Q25" s="52"/>
      <c r="R25" s="52"/>
      <c r="S25" s="52"/>
      <c r="T25" s="52"/>
      <c r="U25" s="53"/>
      <c r="V25" s="71"/>
      <c r="W25" s="71"/>
      <c r="X25" s="71"/>
      <c r="Y25" s="49"/>
      <c r="Z25" s="78"/>
      <c r="AA25" s="9"/>
      <c r="AB25" s="9"/>
      <c r="AC25" s="9"/>
      <c r="AD25" s="9"/>
      <c r="AE25" s="9"/>
      <c r="AF25" s="9"/>
      <c r="AG25" s="9"/>
      <c r="AH25" s="9"/>
      <c r="AI25" s="9"/>
      <c r="AJ25" s="9"/>
      <c r="AK25" s="9"/>
      <c r="AL25" s="9"/>
      <c r="AM25" s="9"/>
    </row>
    <row r="26" spans="1:39" ht="18.5" x14ac:dyDescent="0.45">
      <c r="A26" s="50"/>
      <c r="B26" s="51"/>
      <c r="C26" s="52"/>
      <c r="D26" s="52"/>
      <c r="E26" s="145" t="s">
        <v>238</v>
      </c>
      <c r="F26" s="156" t="s">
        <v>329</v>
      </c>
      <c r="G26" s="309">
        <f>Threshold_Calculation!J44</f>
        <v>1.74</v>
      </c>
      <c r="H26" s="309"/>
      <c r="I26" s="309"/>
      <c r="J26" s="309"/>
      <c r="K26" s="309"/>
      <c r="L26" s="309"/>
      <c r="M26" s="309"/>
      <c r="N26" s="309"/>
      <c r="O26" s="146" t="str">
        <f>Threshold_Calculation!Z44</f>
        <v>0x2F</v>
      </c>
      <c r="P26" s="52"/>
      <c r="Q26" s="52"/>
      <c r="R26" s="52"/>
      <c r="S26" s="52"/>
      <c r="T26" s="52"/>
      <c r="U26" s="53"/>
      <c r="V26" s="71"/>
      <c r="W26" s="71"/>
      <c r="X26" s="71"/>
      <c r="Y26" s="49"/>
      <c r="Z26" s="52"/>
      <c r="AA26" s="9"/>
      <c r="AB26" s="9"/>
      <c r="AC26" s="9"/>
      <c r="AD26" s="9"/>
      <c r="AE26" s="9"/>
      <c r="AF26" s="9"/>
      <c r="AG26" s="9"/>
      <c r="AH26" s="9"/>
      <c r="AI26" s="9"/>
      <c r="AJ26" s="9"/>
      <c r="AK26" s="9"/>
      <c r="AL26" s="9"/>
      <c r="AM26" s="9"/>
    </row>
    <row r="27" spans="1:39" ht="18.5" x14ac:dyDescent="0.45">
      <c r="A27" s="50"/>
      <c r="B27" s="51"/>
      <c r="C27" s="52"/>
      <c r="D27" s="52"/>
      <c r="E27" s="141" t="s">
        <v>39</v>
      </c>
      <c r="F27" s="158" t="s">
        <v>330</v>
      </c>
      <c r="G27" s="306">
        <f>Threshold_Calculation!J45</f>
        <v>1.86</v>
      </c>
      <c r="H27" s="306"/>
      <c r="I27" s="306"/>
      <c r="J27" s="306"/>
      <c r="K27" s="306"/>
      <c r="L27" s="306"/>
      <c r="M27" s="306"/>
      <c r="N27" s="306"/>
      <c r="O27" s="142" t="str">
        <f>Threshold_Calculation!Z45</f>
        <v>0x35</v>
      </c>
      <c r="P27" s="52"/>
      <c r="Q27" s="52"/>
      <c r="R27" s="52"/>
      <c r="S27" s="52"/>
      <c r="T27" s="52"/>
      <c r="U27" s="53"/>
      <c r="V27" s="71"/>
      <c r="W27" s="71"/>
      <c r="X27" s="71"/>
      <c r="Y27" s="49"/>
      <c r="Z27" s="52"/>
      <c r="AA27" s="9"/>
      <c r="AB27" s="9"/>
      <c r="AC27" s="9"/>
      <c r="AD27" s="9"/>
      <c r="AE27" s="9"/>
      <c r="AF27" s="9"/>
      <c r="AG27" s="9"/>
      <c r="AH27" s="9"/>
      <c r="AI27" s="9"/>
      <c r="AJ27" s="9"/>
      <c r="AK27" s="9"/>
      <c r="AL27" s="9"/>
      <c r="AM27" s="9"/>
    </row>
    <row r="28" spans="1:39" s="28" customFormat="1" ht="18.5" x14ac:dyDescent="0.45">
      <c r="A28" s="50"/>
      <c r="B28" s="51"/>
      <c r="C28" s="52"/>
      <c r="D28" s="52"/>
      <c r="E28" s="140" t="s">
        <v>131</v>
      </c>
      <c r="F28" s="157" t="s">
        <v>331</v>
      </c>
      <c r="G28" s="307">
        <f>Threshold_Calculation!J46</f>
        <v>1.76</v>
      </c>
      <c r="H28" s="307"/>
      <c r="I28" s="307"/>
      <c r="J28" s="307"/>
      <c r="K28" s="307"/>
      <c r="L28" s="307"/>
      <c r="M28" s="307"/>
      <c r="N28" s="307"/>
      <c r="O28" s="147" t="str">
        <f>Threshold_Calculation!Z46</f>
        <v>0x30</v>
      </c>
      <c r="P28" s="52"/>
      <c r="Q28" s="52"/>
      <c r="R28" s="52"/>
      <c r="S28" s="52"/>
      <c r="T28" s="52"/>
      <c r="U28" s="53"/>
      <c r="V28" s="72"/>
      <c r="W28" s="72"/>
      <c r="X28" s="72"/>
      <c r="Y28" s="49"/>
      <c r="Z28" s="52"/>
      <c r="AA28" s="9"/>
      <c r="AB28" s="9"/>
      <c r="AC28" s="9"/>
      <c r="AD28" s="9"/>
      <c r="AE28" s="9"/>
      <c r="AF28" s="9"/>
      <c r="AG28" s="9"/>
      <c r="AH28" s="9"/>
      <c r="AI28" s="9"/>
      <c r="AJ28" s="9"/>
      <c r="AK28" s="9"/>
      <c r="AL28" s="9"/>
      <c r="AM28" s="9"/>
    </row>
    <row r="29" spans="1:39" ht="19" thickBot="1" x14ac:dyDescent="0.5">
      <c r="A29" s="50"/>
      <c r="B29" s="51"/>
      <c r="C29" s="52"/>
      <c r="D29" s="98" t="s">
        <v>478</v>
      </c>
      <c r="E29" s="150" t="s">
        <v>218</v>
      </c>
      <c r="F29" s="151" t="s">
        <v>332</v>
      </c>
      <c r="G29" s="308">
        <f>Threshold_Calculation!J47</f>
        <v>1.84</v>
      </c>
      <c r="H29" s="308"/>
      <c r="I29" s="308"/>
      <c r="J29" s="308"/>
      <c r="K29" s="308"/>
      <c r="L29" s="308"/>
      <c r="M29" s="308"/>
      <c r="N29" s="308"/>
      <c r="O29" s="136" t="str">
        <f>Threshold_Calculation!Z47</f>
        <v>0x34</v>
      </c>
      <c r="P29" s="52"/>
      <c r="Q29" s="52"/>
      <c r="R29" s="52"/>
      <c r="S29" s="52"/>
      <c r="T29" s="52"/>
      <c r="U29" s="53"/>
      <c r="V29" s="71"/>
      <c r="W29" s="71"/>
      <c r="X29" s="71"/>
      <c r="Y29" s="49"/>
      <c r="Z29" s="52"/>
      <c r="AA29" s="9"/>
      <c r="AB29" s="9"/>
      <c r="AC29" s="9"/>
      <c r="AD29" s="9"/>
      <c r="AE29" s="9"/>
      <c r="AF29" s="9"/>
      <c r="AG29" s="9"/>
      <c r="AH29" s="9"/>
      <c r="AI29" s="9"/>
      <c r="AJ29" s="9"/>
      <c r="AK29" s="9"/>
      <c r="AL29" s="9"/>
      <c r="AM29" s="9"/>
    </row>
    <row r="30" spans="1:39" ht="19" thickBot="1" x14ac:dyDescent="0.5">
      <c r="A30" s="50"/>
      <c r="B30" s="51"/>
      <c r="C30" s="52"/>
      <c r="D30" s="52"/>
      <c r="E30" s="143"/>
      <c r="F30" s="143"/>
      <c r="G30" s="143"/>
      <c r="H30" s="143"/>
      <c r="I30" s="143"/>
      <c r="J30" s="143"/>
      <c r="K30" s="143"/>
      <c r="L30" s="143"/>
      <c r="M30" s="144"/>
      <c r="N30" s="144"/>
      <c r="O30" s="144"/>
      <c r="P30" s="52"/>
      <c r="Q30" s="52"/>
      <c r="R30" s="52"/>
      <c r="S30" s="52"/>
      <c r="T30" s="52"/>
      <c r="U30" s="53"/>
      <c r="V30" s="71"/>
      <c r="W30" s="71"/>
      <c r="X30" s="71"/>
      <c r="Y30" s="49"/>
      <c r="Z30" s="52"/>
      <c r="AA30" s="9"/>
      <c r="AB30" s="9"/>
      <c r="AC30" s="9"/>
      <c r="AD30" s="9"/>
      <c r="AE30" s="9"/>
      <c r="AF30" s="9"/>
      <c r="AG30" s="9"/>
      <c r="AH30" s="9"/>
      <c r="AI30" s="9"/>
      <c r="AJ30" s="9"/>
      <c r="AK30" s="9"/>
      <c r="AL30" s="9"/>
      <c r="AM30" s="9"/>
    </row>
    <row r="31" spans="1:39" ht="18.5" x14ac:dyDescent="0.45">
      <c r="A31" s="50"/>
      <c r="B31" s="51"/>
      <c r="C31" s="52"/>
      <c r="D31" s="52"/>
      <c r="E31" s="145" t="s">
        <v>222</v>
      </c>
      <c r="F31" s="156" t="s">
        <v>333</v>
      </c>
      <c r="G31" s="309">
        <f>Threshold_Calculation!J50</f>
        <v>3.1599999999999899</v>
      </c>
      <c r="H31" s="309"/>
      <c r="I31" s="309"/>
      <c r="J31" s="309"/>
      <c r="K31" s="309"/>
      <c r="L31" s="309"/>
      <c r="M31" s="309"/>
      <c r="N31" s="309"/>
      <c r="O31" s="146" t="str">
        <f>Threshold_Calculation!Z50</f>
        <v>0x76</v>
      </c>
      <c r="P31" s="52"/>
      <c r="Q31" s="52"/>
      <c r="R31" s="52"/>
      <c r="S31" s="52"/>
      <c r="T31" s="52"/>
      <c r="U31" s="53"/>
      <c r="V31" s="71"/>
      <c r="W31" s="71"/>
      <c r="X31" s="71"/>
      <c r="Y31" s="49"/>
      <c r="Z31" s="52"/>
      <c r="AA31" s="9"/>
      <c r="AB31" s="9"/>
      <c r="AC31" s="9"/>
      <c r="AD31" s="9"/>
      <c r="AE31" s="9"/>
      <c r="AF31" s="9"/>
      <c r="AG31" s="9"/>
      <c r="AH31" s="9"/>
      <c r="AI31" s="9"/>
      <c r="AJ31" s="9"/>
      <c r="AK31" s="9"/>
      <c r="AL31" s="9"/>
      <c r="AM31" s="9"/>
    </row>
    <row r="32" spans="1:39" ht="18.5" x14ac:dyDescent="0.45">
      <c r="A32" s="50"/>
      <c r="B32" s="51"/>
      <c r="C32" s="52"/>
      <c r="D32" s="52"/>
      <c r="E32" s="141" t="s">
        <v>55</v>
      </c>
      <c r="F32" s="158" t="s">
        <v>334</v>
      </c>
      <c r="G32" s="306">
        <f>Threshold_Calculation!J51</f>
        <v>3.4399999999999902</v>
      </c>
      <c r="H32" s="306"/>
      <c r="I32" s="306"/>
      <c r="J32" s="306"/>
      <c r="K32" s="306"/>
      <c r="L32" s="306"/>
      <c r="M32" s="306"/>
      <c r="N32" s="306"/>
      <c r="O32" s="142" t="str">
        <f>Threshold_Calculation!Z51</f>
        <v>0x84</v>
      </c>
      <c r="P32" s="52"/>
      <c r="Q32" s="52"/>
      <c r="R32" s="52"/>
      <c r="S32" s="52"/>
      <c r="T32" s="52"/>
      <c r="U32" s="53"/>
      <c r="V32" s="71"/>
      <c r="W32" s="71"/>
      <c r="X32" s="71"/>
      <c r="Y32" s="49"/>
      <c r="Z32" s="52"/>
      <c r="AA32" s="9"/>
      <c r="AB32" s="9"/>
      <c r="AC32" s="9"/>
      <c r="AD32" s="9"/>
      <c r="AE32" s="9"/>
      <c r="AF32" s="9"/>
      <c r="AG32" s="9"/>
      <c r="AH32" s="9"/>
      <c r="AI32" s="9"/>
      <c r="AJ32" s="9"/>
      <c r="AK32" s="9"/>
      <c r="AL32" s="9"/>
      <c r="AM32" s="9"/>
    </row>
    <row r="33" spans="1:39" ht="18.5" x14ac:dyDescent="0.45">
      <c r="A33" s="50"/>
      <c r="B33" s="51"/>
      <c r="C33" s="52"/>
      <c r="D33" s="52" t="s">
        <v>479</v>
      </c>
      <c r="E33" s="140" t="s">
        <v>147</v>
      </c>
      <c r="F33" s="157" t="s">
        <v>335</v>
      </c>
      <c r="G33" s="307">
        <f>Threshold_Calculation!J52</f>
        <v>3.1799999999999899</v>
      </c>
      <c r="H33" s="307"/>
      <c r="I33" s="307"/>
      <c r="J33" s="307"/>
      <c r="K33" s="307"/>
      <c r="L33" s="307"/>
      <c r="M33" s="307"/>
      <c r="N33" s="307"/>
      <c r="O33" s="147" t="str">
        <f>Threshold_Calculation!Z52</f>
        <v>0x77</v>
      </c>
      <c r="P33" s="52"/>
      <c r="Q33" s="52"/>
      <c r="R33" s="52"/>
      <c r="S33" s="52"/>
      <c r="T33" s="52"/>
      <c r="U33" s="53"/>
      <c r="V33" s="71"/>
      <c r="W33" s="71"/>
      <c r="X33" s="71"/>
      <c r="Y33" s="49"/>
      <c r="Z33" s="52"/>
      <c r="AA33" s="9"/>
      <c r="AB33" s="9"/>
      <c r="AC33" s="9"/>
      <c r="AD33" s="9"/>
      <c r="AE33" s="9"/>
      <c r="AF33" s="9"/>
      <c r="AG33" s="9"/>
      <c r="AH33" s="9"/>
      <c r="AI33" s="9"/>
      <c r="AJ33" s="9"/>
      <c r="AK33" s="9"/>
      <c r="AL33" s="9"/>
      <c r="AM33" s="9"/>
    </row>
    <row r="34" spans="1:39" ht="19" thickBot="1" x14ac:dyDescent="0.5">
      <c r="A34" s="50"/>
      <c r="B34" s="51"/>
      <c r="C34" s="52"/>
      <c r="D34" s="52"/>
      <c r="E34" s="150" t="s">
        <v>202</v>
      </c>
      <c r="F34" s="151" t="s">
        <v>336</v>
      </c>
      <c r="G34" s="308">
        <f>Threshold_Calculation!J53</f>
        <v>3.4199999999999902</v>
      </c>
      <c r="H34" s="308"/>
      <c r="I34" s="308"/>
      <c r="J34" s="308"/>
      <c r="K34" s="308"/>
      <c r="L34" s="308"/>
      <c r="M34" s="308"/>
      <c r="N34" s="308"/>
      <c r="O34" s="136" t="str">
        <f>Threshold_Calculation!Z53</f>
        <v>0x83</v>
      </c>
      <c r="P34" s="52"/>
      <c r="Q34" s="52"/>
      <c r="R34" s="52"/>
      <c r="S34" s="52"/>
      <c r="T34" s="52"/>
      <c r="U34" s="53"/>
      <c r="V34" s="71"/>
      <c r="W34" s="71"/>
      <c r="X34" s="71"/>
      <c r="Y34" s="49"/>
      <c r="Z34" s="52"/>
      <c r="AA34" s="9"/>
      <c r="AB34" s="9"/>
      <c r="AC34" s="9"/>
      <c r="AD34" s="9"/>
      <c r="AE34" s="9"/>
      <c r="AF34" s="9"/>
      <c r="AG34" s="9"/>
      <c r="AH34" s="9"/>
      <c r="AI34" s="9"/>
      <c r="AJ34" s="9"/>
      <c r="AK34" s="9"/>
      <c r="AL34" s="9"/>
      <c r="AM34" s="9"/>
    </row>
    <row r="35" spans="1:39" ht="19" thickBot="1" x14ac:dyDescent="0.5">
      <c r="A35" s="50"/>
      <c r="B35" s="51"/>
      <c r="C35" s="52"/>
      <c r="D35" s="52"/>
      <c r="E35" s="138"/>
      <c r="F35" s="138"/>
      <c r="G35" s="138"/>
      <c r="H35" s="138"/>
      <c r="I35" s="138"/>
      <c r="J35" s="138"/>
      <c r="K35" s="138"/>
      <c r="L35" s="138"/>
      <c r="M35" s="148"/>
      <c r="N35" s="148"/>
      <c r="O35" s="148"/>
      <c r="P35" s="52"/>
      <c r="Q35" s="52"/>
      <c r="R35" s="52"/>
      <c r="S35" s="52"/>
      <c r="T35" s="52"/>
      <c r="U35" s="53"/>
      <c r="V35" s="71"/>
      <c r="W35" s="71"/>
      <c r="X35" s="71"/>
      <c r="Y35" s="49"/>
      <c r="Z35" s="52"/>
      <c r="AA35" s="9"/>
      <c r="AB35" s="9"/>
      <c r="AC35" s="9"/>
      <c r="AD35" s="9"/>
      <c r="AE35" s="9"/>
      <c r="AF35" s="9"/>
      <c r="AG35" s="9"/>
      <c r="AH35" s="9"/>
      <c r="AI35" s="9"/>
      <c r="AJ35" s="9"/>
      <c r="AK35" s="9"/>
      <c r="AL35" s="9"/>
      <c r="AM35" s="9"/>
    </row>
    <row r="36" spans="1:39" ht="18.5" x14ac:dyDescent="0.45">
      <c r="A36" s="50"/>
      <c r="B36" s="51"/>
      <c r="C36" s="52"/>
      <c r="D36" s="52"/>
      <c r="E36" s="145" t="s">
        <v>141</v>
      </c>
      <c r="F36" s="156" t="s">
        <v>337</v>
      </c>
      <c r="G36" s="309">
        <f>Threshold_Calculation!J56</f>
        <v>2.0199999999999898</v>
      </c>
      <c r="H36" s="309"/>
      <c r="I36" s="309"/>
      <c r="J36" s="309"/>
      <c r="K36" s="309"/>
      <c r="L36" s="309"/>
      <c r="M36" s="309"/>
      <c r="N36" s="309"/>
      <c r="O36" s="146" t="str">
        <f>Threshold_Calculation!Z56</f>
        <v>0x3D</v>
      </c>
      <c r="P36" s="52"/>
      <c r="Q36" s="52"/>
      <c r="R36" s="52"/>
      <c r="S36" s="52"/>
      <c r="T36" s="52"/>
      <c r="U36" s="53"/>
      <c r="V36" s="71"/>
      <c r="W36" s="71"/>
      <c r="X36" s="71"/>
      <c r="Y36" s="49"/>
      <c r="Z36" s="52"/>
      <c r="AA36" s="9"/>
      <c r="AB36" s="9"/>
      <c r="AC36" s="9"/>
      <c r="AD36" s="9"/>
      <c r="AE36" s="9"/>
      <c r="AF36" s="9"/>
      <c r="AG36" s="9"/>
      <c r="AH36" s="9"/>
      <c r="AI36" s="9"/>
      <c r="AJ36" s="9"/>
      <c r="AK36" s="9"/>
      <c r="AL36" s="9"/>
      <c r="AM36" s="9"/>
    </row>
    <row r="37" spans="1:39" ht="18.5" x14ac:dyDescent="0.45">
      <c r="A37" s="50"/>
      <c r="B37" s="51"/>
      <c r="C37" s="52"/>
      <c r="D37" s="52"/>
      <c r="E37" s="141" t="s">
        <v>196</v>
      </c>
      <c r="F37" s="158" t="s">
        <v>338</v>
      </c>
      <c r="G37" s="306">
        <f>Threshold_Calculation!J57</f>
        <v>2.1799999999999899</v>
      </c>
      <c r="H37" s="306"/>
      <c r="I37" s="306"/>
      <c r="J37" s="306"/>
      <c r="K37" s="306"/>
      <c r="L37" s="306"/>
      <c r="M37" s="306"/>
      <c r="N37" s="306"/>
      <c r="O37" s="142" t="str">
        <f>Threshold_Calculation!Z57</f>
        <v>0x45</v>
      </c>
      <c r="P37" s="52"/>
      <c r="Q37" s="52"/>
      <c r="R37" s="52"/>
      <c r="S37" s="52"/>
      <c r="T37" s="52"/>
      <c r="U37" s="53"/>
      <c r="V37" s="71"/>
      <c r="W37" s="71"/>
      <c r="X37" s="71"/>
      <c r="Y37" s="49"/>
      <c r="Z37" s="52"/>
      <c r="AB37" s="9"/>
      <c r="AC37" s="9"/>
      <c r="AD37" s="9"/>
      <c r="AE37" s="9"/>
      <c r="AF37" s="9"/>
      <c r="AG37" s="9"/>
    </row>
    <row r="38" spans="1:39" ht="18.5" x14ac:dyDescent="0.45">
      <c r="A38" s="50"/>
      <c r="B38" s="51"/>
      <c r="C38" s="52"/>
      <c r="D38" s="52" t="s">
        <v>480</v>
      </c>
      <c r="E38" s="140" t="s">
        <v>224</v>
      </c>
      <c r="F38" s="157" t="s">
        <v>339</v>
      </c>
      <c r="G38" s="307">
        <f>Threshold_Calculation!J58</f>
        <v>2.0599999999999898</v>
      </c>
      <c r="H38" s="307"/>
      <c r="I38" s="307"/>
      <c r="J38" s="307"/>
      <c r="K38" s="307"/>
      <c r="L38" s="307"/>
      <c r="M38" s="307"/>
      <c r="N38" s="307"/>
      <c r="O38" s="147" t="str">
        <f>Threshold_Calculation!Z58</f>
        <v>0x3F</v>
      </c>
      <c r="P38" s="52"/>
      <c r="Q38" s="52"/>
      <c r="R38" s="52"/>
      <c r="S38" s="52"/>
      <c r="T38" s="52"/>
      <c r="U38" s="53"/>
      <c r="V38" s="71"/>
      <c r="W38" s="71"/>
      <c r="X38" s="71"/>
      <c r="Y38" s="49"/>
      <c r="Z38" s="52"/>
      <c r="AB38" s="9"/>
      <c r="AC38" s="9"/>
      <c r="AD38" s="9"/>
      <c r="AE38" s="9"/>
      <c r="AF38" s="9"/>
      <c r="AG38" s="9"/>
    </row>
    <row r="39" spans="1:39" ht="19" thickBot="1" x14ac:dyDescent="0.5">
      <c r="A39" s="50"/>
      <c r="B39" s="51"/>
      <c r="C39" s="52"/>
      <c r="D39" s="52"/>
      <c r="E39" s="150" t="s">
        <v>57</v>
      </c>
      <c r="F39" s="151" t="s">
        <v>340</v>
      </c>
      <c r="G39" s="308">
        <f>Threshold_Calculation!J59</f>
        <v>2.1399999999999899</v>
      </c>
      <c r="H39" s="308"/>
      <c r="I39" s="308"/>
      <c r="J39" s="308"/>
      <c r="K39" s="308"/>
      <c r="L39" s="308"/>
      <c r="M39" s="308"/>
      <c r="N39" s="308"/>
      <c r="O39" s="136" t="str">
        <f>Threshold_Calculation!Z59</f>
        <v>0x43</v>
      </c>
      <c r="P39" s="52"/>
      <c r="Q39" s="52"/>
      <c r="R39" s="52"/>
      <c r="S39" s="52"/>
      <c r="T39" s="52"/>
      <c r="U39" s="53"/>
      <c r="V39" s="71"/>
      <c r="W39" s="71"/>
      <c r="X39" s="71"/>
      <c r="Y39" s="49"/>
      <c r="Z39" s="52"/>
      <c r="AB39" s="9"/>
      <c r="AC39" s="9"/>
      <c r="AD39" s="9"/>
      <c r="AE39" s="9"/>
      <c r="AF39" s="9"/>
      <c r="AG39" s="9"/>
    </row>
    <row r="40" spans="1:39" ht="19" thickBot="1" x14ac:dyDescent="0.5">
      <c r="A40" s="50"/>
      <c r="B40" s="51"/>
      <c r="C40" s="52"/>
      <c r="D40" s="52"/>
      <c r="E40" s="149"/>
      <c r="F40" s="149"/>
      <c r="G40" s="149"/>
      <c r="H40" s="149"/>
      <c r="I40" s="149"/>
      <c r="J40" s="149"/>
      <c r="K40" s="149"/>
      <c r="L40" s="149"/>
      <c r="M40" s="149"/>
      <c r="N40" s="149"/>
      <c r="O40" s="149"/>
      <c r="P40" s="52"/>
      <c r="Q40" s="52"/>
      <c r="R40" s="52"/>
      <c r="S40" s="52"/>
      <c r="T40" s="52"/>
      <c r="U40" s="53"/>
      <c r="V40" s="71"/>
      <c r="W40" s="71"/>
      <c r="X40" s="71"/>
      <c r="Y40" s="49"/>
      <c r="Z40" s="52"/>
      <c r="AB40" s="9"/>
      <c r="AC40" s="9"/>
      <c r="AD40" s="9"/>
      <c r="AE40" s="9"/>
      <c r="AF40" s="9"/>
      <c r="AG40" s="9"/>
    </row>
    <row r="41" spans="1:39" s="69" customFormat="1" ht="18.5" x14ac:dyDescent="0.45">
      <c r="A41" s="50"/>
      <c r="B41" s="51"/>
      <c r="C41" s="52"/>
      <c r="D41" s="52"/>
      <c r="E41" s="145" t="s">
        <v>191</v>
      </c>
      <c r="F41" s="156" t="s">
        <v>341</v>
      </c>
      <c r="G41" s="309">
        <f>Threshold_Calculation!J62</f>
        <v>0.494999999999999</v>
      </c>
      <c r="H41" s="309"/>
      <c r="I41" s="309"/>
      <c r="J41" s="309"/>
      <c r="K41" s="309"/>
      <c r="L41" s="309"/>
      <c r="M41" s="309"/>
      <c r="N41" s="309"/>
      <c r="O41" s="146" t="str">
        <f>Threshold_Calculation!Z62</f>
        <v>0x3B</v>
      </c>
      <c r="P41" s="52"/>
      <c r="Q41" s="52"/>
      <c r="R41" s="52"/>
      <c r="S41" s="52"/>
      <c r="T41" s="52"/>
      <c r="U41" s="53"/>
      <c r="V41" s="71"/>
      <c r="W41" s="71"/>
      <c r="X41" s="71"/>
      <c r="Y41" s="49"/>
      <c r="Z41" s="52"/>
      <c r="AB41" s="43"/>
      <c r="AC41" s="43"/>
      <c r="AD41" s="43"/>
      <c r="AE41" s="43"/>
      <c r="AF41" s="43"/>
      <c r="AG41" s="43"/>
    </row>
    <row r="42" spans="1:39" ht="18.5" x14ac:dyDescent="0.45">
      <c r="A42" s="50"/>
      <c r="B42" s="51"/>
      <c r="C42" s="52"/>
      <c r="D42" s="52"/>
      <c r="E42" s="141" t="s">
        <v>150</v>
      </c>
      <c r="F42" s="158" t="s">
        <v>342</v>
      </c>
      <c r="G42" s="306">
        <f>Threshold_Calculation!J63</f>
        <v>0.50499999999999901</v>
      </c>
      <c r="H42" s="306"/>
      <c r="I42" s="306"/>
      <c r="J42" s="306"/>
      <c r="K42" s="306"/>
      <c r="L42" s="306"/>
      <c r="M42" s="306"/>
      <c r="N42" s="306"/>
      <c r="O42" s="142" t="str">
        <f>Threshold_Calculation!Z63</f>
        <v>0x3D</v>
      </c>
      <c r="P42" s="52"/>
      <c r="Q42" s="52"/>
      <c r="R42" s="52"/>
      <c r="S42" s="52"/>
      <c r="T42" s="52"/>
      <c r="U42" s="53"/>
      <c r="V42" s="71"/>
      <c r="W42" s="71"/>
      <c r="X42" s="71"/>
      <c r="Y42" s="49"/>
      <c r="Z42" s="52"/>
      <c r="AB42" s="9"/>
      <c r="AC42" s="9"/>
      <c r="AD42" s="9"/>
      <c r="AE42" s="9"/>
      <c r="AF42" s="9"/>
      <c r="AG42" s="9"/>
    </row>
    <row r="43" spans="1:39" ht="18.5" x14ac:dyDescent="0.45">
      <c r="A43" s="50"/>
      <c r="B43" s="51"/>
      <c r="C43" s="52"/>
      <c r="D43" s="52" t="s">
        <v>481</v>
      </c>
      <c r="E43" s="140" t="s">
        <v>50</v>
      </c>
      <c r="F43" s="157" t="s">
        <v>343</v>
      </c>
      <c r="G43" s="307">
        <f>Threshold_Calculation!J64</f>
        <v>0.499999999999999</v>
      </c>
      <c r="H43" s="307"/>
      <c r="I43" s="307"/>
      <c r="J43" s="307"/>
      <c r="K43" s="307"/>
      <c r="L43" s="307"/>
      <c r="M43" s="307"/>
      <c r="N43" s="307"/>
      <c r="O43" s="147" t="str">
        <f>Threshold_Calculation!Z64</f>
        <v>0x3C</v>
      </c>
      <c r="P43" s="52"/>
      <c r="Q43" s="52"/>
      <c r="R43" s="52"/>
      <c r="S43" s="52"/>
      <c r="T43" s="52"/>
      <c r="U43" s="53"/>
      <c r="V43" s="71"/>
      <c r="W43" s="71"/>
      <c r="X43" s="71"/>
      <c r="Y43" s="49"/>
      <c r="Z43" s="52"/>
      <c r="AB43" s="9"/>
      <c r="AC43" s="9"/>
      <c r="AD43" s="9"/>
      <c r="AE43" s="9"/>
      <c r="AF43" s="9"/>
      <c r="AG43" s="9"/>
    </row>
    <row r="44" spans="1:39" ht="19" thickBot="1" x14ac:dyDescent="0.5">
      <c r="A44" s="50"/>
      <c r="B44" s="51"/>
      <c r="C44" s="52"/>
      <c r="D44" s="52"/>
      <c r="E44" s="150" t="s">
        <v>235</v>
      </c>
      <c r="F44" s="151" t="s">
        <v>344</v>
      </c>
      <c r="G44" s="308">
        <f>Threshold_Calculation!J65</f>
        <v>0.499999999999999</v>
      </c>
      <c r="H44" s="308"/>
      <c r="I44" s="308"/>
      <c r="J44" s="308"/>
      <c r="K44" s="308"/>
      <c r="L44" s="308"/>
      <c r="M44" s="308"/>
      <c r="N44" s="308"/>
      <c r="O44" s="136" t="str">
        <f>Threshold_Calculation!Z65</f>
        <v>0x3C</v>
      </c>
      <c r="P44" s="52"/>
      <c r="Q44" s="52"/>
      <c r="R44" s="52"/>
      <c r="S44" s="52"/>
      <c r="T44" s="52"/>
      <c r="U44" s="53"/>
      <c r="V44" s="71"/>
      <c r="W44" s="71"/>
      <c r="X44" s="71"/>
      <c r="Y44" s="49"/>
      <c r="Z44" s="52"/>
      <c r="AB44" s="9"/>
      <c r="AC44" s="9"/>
      <c r="AD44" s="9"/>
      <c r="AE44" s="9"/>
      <c r="AF44" s="9"/>
      <c r="AG44" s="9"/>
    </row>
    <row r="45" spans="1:39" ht="19" thickBot="1" x14ac:dyDescent="0.5">
      <c r="A45" s="50"/>
      <c r="B45" s="51"/>
      <c r="C45" s="52"/>
      <c r="D45" s="52"/>
      <c r="E45" s="148"/>
      <c r="F45" s="148"/>
      <c r="G45" s="148"/>
      <c r="H45" s="148"/>
      <c r="I45" s="148"/>
      <c r="J45" s="148"/>
      <c r="K45" s="148"/>
      <c r="L45" s="148"/>
      <c r="M45" s="148"/>
      <c r="N45" s="148"/>
      <c r="O45" s="148"/>
      <c r="P45" s="52"/>
      <c r="Q45" s="52"/>
      <c r="R45" s="52"/>
      <c r="S45" s="52"/>
      <c r="T45" s="52"/>
      <c r="U45" s="53"/>
      <c r="V45" s="71"/>
      <c r="W45" s="71"/>
      <c r="X45" s="71"/>
      <c r="Y45" s="49"/>
      <c r="Z45" s="52"/>
      <c r="AB45" s="9"/>
      <c r="AC45" s="9"/>
      <c r="AD45" s="9"/>
      <c r="AE45" s="9"/>
      <c r="AF45" s="9"/>
      <c r="AG45" s="9"/>
    </row>
    <row r="46" spans="1:39" ht="18.5" x14ac:dyDescent="0.45">
      <c r="A46" s="50"/>
      <c r="B46" s="51"/>
      <c r="C46" s="52"/>
      <c r="D46" s="52"/>
      <c r="E46" s="145" t="s">
        <v>44</v>
      </c>
      <c r="F46" s="156" t="s">
        <v>345</v>
      </c>
      <c r="G46" s="309">
        <f>Threshold_Calculation!J68</f>
        <v>1.2050000000000001</v>
      </c>
      <c r="H46" s="309"/>
      <c r="I46" s="309"/>
      <c r="J46" s="309"/>
      <c r="K46" s="309"/>
      <c r="L46" s="309"/>
      <c r="M46" s="309"/>
      <c r="N46" s="309"/>
      <c r="O46" s="146" t="str">
        <f>Threshold_Calculation!Z68</f>
        <v>0xC9</v>
      </c>
      <c r="P46" s="52"/>
      <c r="Q46" s="52"/>
      <c r="R46" s="52"/>
      <c r="S46" s="52"/>
      <c r="T46" s="52"/>
      <c r="U46" s="53"/>
      <c r="V46" s="71"/>
      <c r="W46" s="71"/>
      <c r="X46" s="71"/>
      <c r="Y46" s="49"/>
      <c r="Z46" s="52"/>
      <c r="AB46" s="9"/>
      <c r="AC46" s="9"/>
      <c r="AD46" s="9"/>
      <c r="AE46" s="9"/>
      <c r="AF46" s="9"/>
      <c r="AG46" s="9"/>
    </row>
    <row r="47" spans="1:39" ht="18.5" x14ac:dyDescent="0.45">
      <c r="A47" s="50"/>
      <c r="B47" s="51"/>
      <c r="C47" s="52"/>
      <c r="D47" s="52"/>
      <c r="E47" s="141" t="s">
        <v>229</v>
      </c>
      <c r="F47" s="158" t="s">
        <v>346</v>
      </c>
      <c r="G47" s="306">
        <f>Threshold_Calculation!J69</f>
        <v>1.2849999999999899</v>
      </c>
      <c r="H47" s="306"/>
      <c r="I47" s="306"/>
      <c r="J47" s="306"/>
      <c r="K47" s="306"/>
      <c r="L47" s="306"/>
      <c r="M47" s="306"/>
      <c r="N47" s="306"/>
      <c r="O47" s="142" t="str">
        <f>Threshold_Calculation!Z69</f>
        <v>0xD9</v>
      </c>
      <c r="P47" s="52"/>
      <c r="Q47" s="52"/>
      <c r="R47" s="52"/>
      <c r="S47" s="52"/>
      <c r="T47" s="52"/>
      <c r="U47" s="53"/>
      <c r="V47" s="71"/>
      <c r="W47" s="71"/>
      <c r="X47" s="71"/>
      <c r="Y47" s="49"/>
      <c r="Z47" s="52"/>
      <c r="AB47" s="9"/>
      <c r="AC47" s="9"/>
      <c r="AD47" s="9"/>
      <c r="AE47" s="9"/>
      <c r="AF47" s="9"/>
      <c r="AG47" s="9"/>
    </row>
    <row r="48" spans="1:39" ht="19" thickBot="1" x14ac:dyDescent="0.5">
      <c r="A48" s="50"/>
      <c r="B48" s="51"/>
      <c r="C48" s="52"/>
      <c r="D48" s="52" t="s">
        <v>482</v>
      </c>
      <c r="E48" s="140" t="s">
        <v>193</v>
      </c>
      <c r="F48" s="157" t="s">
        <v>347</v>
      </c>
      <c r="G48" s="307">
        <f>Threshold_Calculation!J70</f>
        <v>1.2050000000000001</v>
      </c>
      <c r="H48" s="307"/>
      <c r="I48" s="307"/>
      <c r="J48" s="307"/>
      <c r="K48" s="307"/>
      <c r="L48" s="307"/>
      <c r="M48" s="307"/>
      <c r="N48" s="307"/>
      <c r="O48" s="147" t="str">
        <f>Threshold_Calculation!Z70</f>
        <v>0xC9</v>
      </c>
      <c r="P48" s="52"/>
      <c r="Q48" s="52"/>
      <c r="R48" s="52"/>
      <c r="S48" s="52"/>
      <c r="AC48" s="9"/>
      <c r="AD48" s="9"/>
      <c r="AE48" s="9"/>
      <c r="AF48" s="9"/>
      <c r="AG48" s="9"/>
    </row>
    <row r="49" spans="1:33" ht="21.5" thickBot="1" x14ac:dyDescent="0.55000000000000004">
      <c r="A49" s="50"/>
      <c r="B49" s="51"/>
      <c r="C49" s="52"/>
      <c r="D49" s="52"/>
      <c r="E49" s="150" t="s">
        <v>152</v>
      </c>
      <c r="F49" s="151" t="s">
        <v>348</v>
      </c>
      <c r="G49" s="308">
        <f>Threshold_Calculation!J71</f>
        <v>1.2849999999999899</v>
      </c>
      <c r="H49" s="308"/>
      <c r="I49" s="308"/>
      <c r="J49" s="308"/>
      <c r="K49" s="308"/>
      <c r="L49" s="308"/>
      <c r="M49" s="308"/>
      <c r="N49" s="308"/>
      <c r="O49" s="136" t="str">
        <f>Threshold_Calculation!Z71</f>
        <v>0xD9</v>
      </c>
      <c r="P49" s="52"/>
      <c r="Q49" s="52"/>
      <c r="R49" s="52"/>
      <c r="S49" s="52"/>
      <c r="T49" s="310" t="s">
        <v>477</v>
      </c>
      <c r="U49" s="311"/>
      <c r="V49" s="311"/>
      <c r="W49" s="311"/>
      <c r="X49" s="311"/>
      <c r="Y49" s="311"/>
      <c r="Z49" s="311"/>
      <c r="AA49" s="311"/>
      <c r="AB49" s="312"/>
      <c r="AC49" s="9"/>
      <c r="AD49" s="9"/>
      <c r="AE49" s="9"/>
      <c r="AF49" s="9"/>
      <c r="AG49" s="9"/>
    </row>
    <row r="50" spans="1:33" ht="19" thickBot="1" x14ac:dyDescent="0.5">
      <c r="A50" s="50"/>
      <c r="B50" s="51"/>
      <c r="C50" s="52"/>
      <c r="D50" s="52"/>
      <c r="E50" s="152"/>
      <c r="F50" s="152"/>
      <c r="G50" s="152"/>
      <c r="H50" s="152"/>
      <c r="I50" s="152"/>
      <c r="J50" s="152"/>
      <c r="K50" s="152"/>
      <c r="L50" s="152"/>
      <c r="M50" s="153"/>
      <c r="N50" s="153"/>
      <c r="O50" s="153"/>
      <c r="P50" s="52"/>
      <c r="Q50" s="52"/>
      <c r="R50" s="52"/>
      <c r="S50" s="52"/>
      <c r="T50" s="52"/>
      <c r="U50" s="53"/>
      <c r="V50" s="71"/>
      <c r="W50" s="71"/>
      <c r="X50" s="71"/>
      <c r="Y50" s="49"/>
      <c r="Z50" s="52"/>
      <c r="AB50" s="9"/>
      <c r="AC50" s="9"/>
      <c r="AD50" s="9"/>
      <c r="AE50" s="9"/>
      <c r="AF50" s="9"/>
      <c r="AG50" s="9"/>
    </row>
    <row r="51" spans="1:33" ht="18.5" x14ac:dyDescent="0.45">
      <c r="A51" s="50"/>
      <c r="B51" s="51"/>
      <c r="C51" s="52"/>
      <c r="D51" s="52"/>
      <c r="E51" s="145" t="s">
        <v>159</v>
      </c>
      <c r="F51" s="156" t="s">
        <v>491</v>
      </c>
      <c r="G51" s="309">
        <f>Threshold_Calculation!J74</f>
        <v>2.1599999999999899</v>
      </c>
      <c r="H51" s="309"/>
      <c r="I51" s="309"/>
      <c r="J51" s="309"/>
      <c r="K51" s="309"/>
      <c r="L51" s="309"/>
      <c r="M51" s="309"/>
      <c r="N51" s="309"/>
      <c r="O51" s="146" t="str">
        <f>Threshold_Calculation!Z74</f>
        <v>0x44</v>
      </c>
      <c r="P51" s="52"/>
      <c r="Q51" s="52"/>
      <c r="R51" s="52"/>
      <c r="S51" s="52"/>
      <c r="T51" s="52"/>
      <c r="U51" s="53"/>
      <c r="V51" s="71"/>
      <c r="W51" s="71"/>
      <c r="X51" s="71"/>
      <c r="Y51" s="49"/>
      <c r="Z51" s="52"/>
      <c r="AB51" s="9"/>
      <c r="AC51" s="9"/>
      <c r="AD51" s="9"/>
      <c r="AE51" s="9"/>
      <c r="AF51" s="9"/>
      <c r="AG51" s="9"/>
    </row>
    <row r="52" spans="1:33" ht="18.5" x14ac:dyDescent="0.45">
      <c r="A52" s="50"/>
      <c r="B52" s="51"/>
      <c r="C52" s="52"/>
      <c r="D52" s="52"/>
      <c r="E52" s="141" t="s">
        <v>118</v>
      </c>
      <c r="F52" s="158" t="s">
        <v>492</v>
      </c>
      <c r="G52" s="306">
        <f>Threshold_Calculation!J75</f>
        <v>2.23999999999999</v>
      </c>
      <c r="H52" s="306"/>
      <c r="I52" s="306"/>
      <c r="J52" s="306"/>
      <c r="K52" s="306"/>
      <c r="L52" s="306"/>
      <c r="M52" s="306"/>
      <c r="N52" s="306"/>
      <c r="O52" s="142" t="str">
        <f>Threshold_Calculation!Z75</f>
        <v>0x48</v>
      </c>
      <c r="P52" s="52"/>
      <c r="Q52" s="52"/>
      <c r="R52" s="52"/>
      <c r="S52" s="52"/>
      <c r="T52" s="52"/>
      <c r="U52" s="53"/>
      <c r="V52" s="71"/>
      <c r="W52" s="71"/>
      <c r="X52" s="71"/>
      <c r="Y52" s="49"/>
      <c r="Z52" s="52"/>
      <c r="AB52" s="9"/>
      <c r="AC52" s="9"/>
      <c r="AD52" s="9"/>
      <c r="AE52" s="9"/>
      <c r="AF52" s="9"/>
      <c r="AG52" s="9"/>
    </row>
    <row r="53" spans="1:33" s="69" customFormat="1" ht="18.5" x14ac:dyDescent="0.45">
      <c r="A53" s="50"/>
      <c r="B53" s="51"/>
      <c r="C53" s="52"/>
      <c r="D53" s="52" t="s">
        <v>483</v>
      </c>
      <c r="E53" s="140" t="s">
        <v>82</v>
      </c>
      <c r="F53" s="157" t="s">
        <v>493</v>
      </c>
      <c r="G53" s="307">
        <f>Threshold_Calculation!J76</f>
        <v>2.1799999999999899</v>
      </c>
      <c r="H53" s="307"/>
      <c r="I53" s="307"/>
      <c r="J53" s="307"/>
      <c r="K53" s="307"/>
      <c r="L53" s="307"/>
      <c r="M53" s="307"/>
      <c r="N53" s="307"/>
      <c r="O53" s="147" t="str">
        <f>Threshold_Calculation!Z76</f>
        <v>0x45</v>
      </c>
      <c r="P53" s="52"/>
      <c r="Q53" s="52"/>
      <c r="R53" s="52"/>
      <c r="S53" s="52"/>
      <c r="T53" s="52"/>
      <c r="U53" s="53"/>
      <c r="V53" s="71"/>
      <c r="W53" s="71"/>
      <c r="X53" s="71"/>
      <c r="Y53" s="49"/>
      <c r="Z53" s="52"/>
    </row>
    <row r="54" spans="1:33" ht="19" thickBot="1" x14ac:dyDescent="0.5">
      <c r="A54" s="50"/>
      <c r="B54" s="51"/>
      <c r="C54" s="52"/>
      <c r="D54" s="52"/>
      <c r="E54" s="150" t="s">
        <v>267</v>
      </c>
      <c r="F54" s="151" t="s">
        <v>494</v>
      </c>
      <c r="G54" s="308">
        <f>Threshold_Calculation!J77</f>
        <v>2.21999999999999</v>
      </c>
      <c r="H54" s="308"/>
      <c r="I54" s="308"/>
      <c r="J54" s="308"/>
      <c r="K54" s="308"/>
      <c r="L54" s="308"/>
      <c r="M54" s="308"/>
      <c r="N54" s="308"/>
      <c r="O54" s="136" t="str">
        <f>Threshold_Calculation!Z77</f>
        <v>0x47</v>
      </c>
      <c r="P54" s="52"/>
      <c r="Q54" s="52"/>
      <c r="R54" s="52"/>
      <c r="S54" s="52"/>
      <c r="T54" s="52"/>
      <c r="U54" s="53"/>
      <c r="V54" s="71"/>
      <c r="W54" s="71"/>
      <c r="X54" s="71"/>
      <c r="Y54" s="49"/>
      <c r="Z54" s="52"/>
    </row>
    <row r="55" spans="1:33" ht="19" thickBot="1" x14ac:dyDescent="0.5">
      <c r="A55" s="50"/>
      <c r="B55" s="51"/>
      <c r="C55" s="52"/>
      <c r="D55" s="52"/>
      <c r="E55" s="304"/>
      <c r="F55" s="304"/>
      <c r="G55" s="304"/>
      <c r="H55" s="304"/>
      <c r="I55" s="304"/>
      <c r="J55" s="304"/>
      <c r="K55" s="304"/>
      <c r="L55" s="304"/>
      <c r="M55" s="153"/>
      <c r="N55" s="153"/>
      <c r="O55" s="153"/>
      <c r="P55" s="52"/>
      <c r="Q55" s="52"/>
      <c r="R55" s="52"/>
      <c r="S55" s="52"/>
      <c r="T55" s="52"/>
      <c r="U55" s="53"/>
      <c r="V55" s="71"/>
      <c r="W55" s="71"/>
      <c r="X55" s="71"/>
      <c r="Y55" s="49"/>
      <c r="Z55" s="52"/>
    </row>
    <row r="56" spans="1:33" ht="18.5" x14ac:dyDescent="0.45">
      <c r="A56" s="50"/>
      <c r="B56" s="51"/>
      <c r="C56" s="52"/>
      <c r="D56" s="52"/>
      <c r="E56" s="145" t="s">
        <v>76</v>
      </c>
      <c r="F56" s="156" t="s">
        <v>486</v>
      </c>
      <c r="G56" s="309">
        <f>Threshold_Calculation!J80</f>
        <v>4.3999999999999799</v>
      </c>
      <c r="H56" s="309"/>
      <c r="I56" s="309"/>
      <c r="J56" s="309"/>
      <c r="K56" s="309"/>
      <c r="L56" s="309"/>
      <c r="M56" s="309"/>
      <c r="N56" s="309"/>
      <c r="O56" s="146" t="str">
        <f>Threshold_Calculation!Z80</f>
        <v>0xB4</v>
      </c>
      <c r="P56" s="52"/>
      <c r="Q56" s="52"/>
      <c r="R56" s="52"/>
      <c r="S56" s="52"/>
      <c r="T56" s="52"/>
      <c r="U56" s="53"/>
      <c r="V56" s="71"/>
      <c r="W56" s="71"/>
      <c r="X56" s="71"/>
      <c r="Y56" s="49"/>
      <c r="Z56" s="52"/>
    </row>
    <row r="57" spans="1:33" ht="18.5" x14ac:dyDescent="0.45">
      <c r="A57" s="50"/>
      <c r="B57" s="51"/>
      <c r="C57" s="52"/>
      <c r="D57" s="52"/>
      <c r="E57" s="141" t="s">
        <v>261</v>
      </c>
      <c r="F57" s="158" t="s">
        <v>487</v>
      </c>
      <c r="G57" s="306">
        <f>Threshold_Calculation!J81</f>
        <v>4.7999999999999803</v>
      </c>
      <c r="H57" s="306"/>
      <c r="I57" s="306"/>
      <c r="J57" s="306"/>
      <c r="K57" s="306"/>
      <c r="L57" s="306"/>
      <c r="M57" s="306"/>
      <c r="N57" s="306"/>
      <c r="O57" s="142" t="str">
        <f>Threshold_Calculation!Z81</f>
        <v>0xC8</v>
      </c>
      <c r="P57" s="52"/>
      <c r="Q57" s="52"/>
      <c r="R57" s="52"/>
      <c r="S57" s="52"/>
      <c r="T57" s="52"/>
      <c r="U57" s="53"/>
      <c r="V57" s="71"/>
      <c r="W57" s="71"/>
      <c r="X57" s="71"/>
      <c r="Y57" s="49"/>
      <c r="Z57" s="52"/>
    </row>
    <row r="58" spans="1:33" ht="18.5" x14ac:dyDescent="0.45">
      <c r="A58" s="50"/>
      <c r="B58" s="51"/>
      <c r="C58" s="52"/>
      <c r="D58" s="52" t="s">
        <v>484</v>
      </c>
      <c r="E58" s="140" t="s">
        <v>161</v>
      </c>
      <c r="F58" s="157" t="s">
        <v>488</v>
      </c>
      <c r="G58" s="307">
        <f>Threshold_Calculation!J82</f>
        <v>4.4199999999999804</v>
      </c>
      <c r="H58" s="307"/>
      <c r="I58" s="307"/>
      <c r="J58" s="307"/>
      <c r="K58" s="307"/>
      <c r="L58" s="307"/>
      <c r="M58" s="307"/>
      <c r="N58" s="307"/>
      <c r="O58" s="147" t="str">
        <f>Threshold_Calculation!Z82</f>
        <v>0xB5</v>
      </c>
      <c r="P58" s="52"/>
      <c r="Q58" s="52"/>
      <c r="R58" s="52"/>
      <c r="S58" s="52"/>
      <c r="T58" s="52"/>
      <c r="U58" s="53"/>
      <c r="V58" s="71"/>
      <c r="W58" s="71"/>
      <c r="X58" s="71"/>
      <c r="Y58" s="49"/>
      <c r="Z58" s="52"/>
    </row>
    <row r="59" spans="1:33" s="69" customFormat="1" ht="19" thickBot="1" x14ac:dyDescent="0.5">
      <c r="A59" s="50"/>
      <c r="B59" s="51"/>
      <c r="C59" s="52"/>
      <c r="D59" s="52"/>
      <c r="E59" s="150" t="s">
        <v>120</v>
      </c>
      <c r="F59" s="151" t="s">
        <v>489</v>
      </c>
      <c r="G59" s="308">
        <f>Threshold_Calculation!J83</f>
        <v>4.7999999999999803</v>
      </c>
      <c r="H59" s="308"/>
      <c r="I59" s="308"/>
      <c r="J59" s="308"/>
      <c r="K59" s="308"/>
      <c r="L59" s="308"/>
      <c r="M59" s="308"/>
      <c r="N59" s="308"/>
      <c r="O59" s="136" t="str">
        <f>Threshold_Calculation!Z83</f>
        <v>0xC8</v>
      </c>
      <c r="P59" s="52"/>
      <c r="Q59" s="52"/>
      <c r="R59" s="52"/>
      <c r="S59" s="52"/>
      <c r="T59" s="52"/>
      <c r="U59" s="53"/>
      <c r="V59" s="71"/>
      <c r="W59" s="71"/>
      <c r="X59" s="71"/>
      <c r="Y59" s="49"/>
      <c r="Z59" s="52"/>
    </row>
    <row r="60" spans="1:33" x14ac:dyDescent="0.35">
      <c r="A60" s="50"/>
      <c r="B60" s="51"/>
      <c r="C60" s="52"/>
      <c r="D60" s="52"/>
      <c r="E60" s="305"/>
      <c r="F60" s="305"/>
      <c r="G60" s="305"/>
      <c r="H60" s="305"/>
      <c r="I60" s="305"/>
      <c r="J60" s="305"/>
      <c r="K60" s="305"/>
      <c r="L60" s="305"/>
      <c r="M60" s="52"/>
      <c r="N60" s="52"/>
      <c r="O60" s="52"/>
      <c r="P60" s="52"/>
      <c r="Q60" s="52"/>
      <c r="R60" s="52"/>
      <c r="S60" s="52"/>
      <c r="T60" s="52"/>
      <c r="U60" s="53"/>
      <c r="V60" s="71"/>
      <c r="W60" s="71"/>
      <c r="X60" s="71"/>
      <c r="Y60" s="49"/>
      <c r="Z60" s="52"/>
    </row>
    <row r="61" spans="1:33" ht="15" thickBot="1" x14ac:dyDescent="0.4">
      <c r="A61" s="50"/>
      <c r="B61" s="51"/>
      <c r="C61" s="52"/>
      <c r="D61" s="52"/>
      <c r="E61" s="160"/>
      <c r="F61" s="160"/>
      <c r="G61" s="160"/>
      <c r="H61" s="160"/>
      <c r="I61" s="160"/>
      <c r="J61" s="160"/>
      <c r="K61" s="160"/>
      <c r="L61" s="160"/>
      <c r="M61" s="52"/>
      <c r="N61" s="52"/>
      <c r="O61" s="52"/>
      <c r="P61" s="52"/>
      <c r="Q61" s="52"/>
      <c r="R61" s="52"/>
      <c r="S61" s="52"/>
      <c r="T61" s="52"/>
      <c r="U61" s="53"/>
      <c r="V61" s="71"/>
      <c r="W61" s="71"/>
      <c r="X61" s="71"/>
      <c r="Y61" s="49"/>
      <c r="Z61" s="52"/>
    </row>
    <row r="62" spans="1:33" ht="19" thickBot="1" x14ac:dyDescent="0.5">
      <c r="A62" s="50"/>
      <c r="B62" s="51"/>
      <c r="C62" s="52"/>
      <c r="D62" s="52"/>
      <c r="F62" s="164" t="s">
        <v>525</v>
      </c>
      <c r="G62" s="165" t="s">
        <v>477</v>
      </c>
      <c r="H62" s="166" t="s">
        <v>524</v>
      </c>
      <c r="I62" s="165" t="s">
        <v>479</v>
      </c>
      <c r="J62" s="166" t="s">
        <v>480</v>
      </c>
      <c r="K62" s="165" t="s">
        <v>481</v>
      </c>
      <c r="L62" s="166" t="s">
        <v>482</v>
      </c>
      <c r="M62" s="165" t="s">
        <v>483</v>
      </c>
      <c r="N62" s="167" t="s">
        <v>484</v>
      </c>
      <c r="O62" s="52"/>
      <c r="P62" s="52"/>
      <c r="Q62" s="52"/>
      <c r="R62" s="52"/>
      <c r="S62" s="52"/>
      <c r="T62" s="52"/>
      <c r="U62" s="53"/>
      <c r="V62" s="71"/>
      <c r="W62" s="71"/>
      <c r="X62" s="71"/>
      <c r="Y62" s="49"/>
      <c r="Z62" s="52"/>
    </row>
    <row r="63" spans="1:33" ht="18.5" x14ac:dyDescent="0.35">
      <c r="A63" s="50"/>
      <c r="B63" s="51"/>
      <c r="C63" s="52"/>
      <c r="D63" s="52"/>
      <c r="F63" s="168" t="s">
        <v>527</v>
      </c>
      <c r="G63" s="169">
        <f>Threshold_Calculation!I24</f>
        <v>3.3799999999999901</v>
      </c>
      <c r="H63" s="170">
        <f>Threshold_Calculation!J24</f>
        <v>1.86</v>
      </c>
      <c r="I63" s="169">
        <f>Threshold_Calculation!K24</f>
        <v>3.4399999999999902</v>
      </c>
      <c r="J63" s="170">
        <f>Threshold_Calculation!L24</f>
        <v>2.1799999999999899</v>
      </c>
      <c r="K63" s="169">
        <f>Threshold_Calculation!M24</f>
        <v>0.50499999999999901</v>
      </c>
      <c r="L63" s="170">
        <f>Threshold_Calculation!N24</f>
        <v>1.2849999999999899</v>
      </c>
      <c r="M63" s="169">
        <f>Threshold_Calculation!O24</f>
        <v>2.23999999999999</v>
      </c>
      <c r="N63" s="171">
        <f>Threshold_Calculation!P24</f>
        <v>4.7999999999999803</v>
      </c>
      <c r="O63" s="52"/>
      <c r="P63" s="52"/>
      <c r="Q63" s="52"/>
      <c r="R63" s="52"/>
      <c r="S63" s="52"/>
      <c r="T63" s="52"/>
      <c r="U63" s="53"/>
      <c r="V63" s="71"/>
      <c r="W63" s="71"/>
      <c r="X63" s="71"/>
      <c r="Y63" s="49"/>
      <c r="Z63" s="52"/>
    </row>
    <row r="64" spans="1:33" ht="18.5" x14ac:dyDescent="0.35">
      <c r="A64" s="50"/>
      <c r="B64" s="51"/>
      <c r="C64" s="52"/>
      <c r="D64" s="52"/>
      <c r="F64" s="172" t="s">
        <v>532</v>
      </c>
      <c r="G64" s="173">
        <f>(G63-G65)*1000</f>
        <v>79.999999999990308</v>
      </c>
      <c r="H64" s="174">
        <f t="shared" ref="H64:N64" si="0">(H63-H65)*1000</f>
        <v>60.000000000000057</v>
      </c>
      <c r="I64" s="173">
        <f t="shared" si="0"/>
        <v>139.99999999999037</v>
      </c>
      <c r="J64" s="174">
        <f t="shared" si="0"/>
        <v>79.999999999989853</v>
      </c>
      <c r="K64" s="173">
        <f t="shared" si="0"/>
        <v>4.9999999999990052</v>
      </c>
      <c r="L64" s="174">
        <f t="shared" si="0"/>
        <v>39.999999999989825</v>
      </c>
      <c r="M64" s="173">
        <f t="shared" si="0"/>
        <v>39.999999999989825</v>
      </c>
      <c r="N64" s="175">
        <f t="shared" si="0"/>
        <v>199.99999999998064</v>
      </c>
      <c r="O64" s="52"/>
      <c r="P64" s="52"/>
      <c r="Q64" s="52"/>
      <c r="R64" s="52"/>
      <c r="S64" s="52"/>
      <c r="T64" s="52"/>
      <c r="U64" s="53"/>
      <c r="V64" s="71"/>
      <c r="W64" s="71"/>
      <c r="X64" s="71"/>
      <c r="Y64" s="49"/>
      <c r="Z64" s="52"/>
    </row>
    <row r="65" spans="1:26" s="69" customFormat="1" ht="18.5" x14ac:dyDescent="0.35">
      <c r="A65" s="50"/>
      <c r="B65" s="51"/>
      <c r="C65" s="52"/>
      <c r="D65" s="52"/>
      <c r="F65" s="176" t="s">
        <v>523</v>
      </c>
      <c r="G65" s="177">
        <f t="shared" ref="G65:N65" si="1">F7</f>
        <v>3.3</v>
      </c>
      <c r="H65" s="178">
        <f t="shared" si="1"/>
        <v>1.8</v>
      </c>
      <c r="I65" s="177">
        <f t="shared" si="1"/>
        <v>3.3</v>
      </c>
      <c r="J65" s="178">
        <f t="shared" si="1"/>
        <v>2.1</v>
      </c>
      <c r="K65" s="177">
        <f t="shared" si="1"/>
        <v>0.5</v>
      </c>
      <c r="L65" s="178">
        <f t="shared" si="1"/>
        <v>1.2450000000000001</v>
      </c>
      <c r="M65" s="177">
        <f t="shared" si="1"/>
        <v>2.2000000000000002</v>
      </c>
      <c r="N65" s="179">
        <f t="shared" si="1"/>
        <v>4.5999999999999996</v>
      </c>
      <c r="O65" s="52"/>
      <c r="P65" s="52"/>
      <c r="Q65" s="52"/>
      <c r="R65" s="52"/>
      <c r="S65" s="52"/>
      <c r="T65" s="52"/>
      <c r="U65" s="53"/>
      <c r="V65" s="71"/>
      <c r="W65" s="71"/>
      <c r="X65" s="71"/>
      <c r="Y65" s="49"/>
      <c r="Z65" s="52"/>
    </row>
    <row r="66" spans="1:26" ht="18.5" x14ac:dyDescent="0.35">
      <c r="A66" s="50"/>
      <c r="B66" s="51"/>
      <c r="C66" s="52"/>
      <c r="D66" s="52"/>
      <c r="F66" s="172" t="s">
        <v>533</v>
      </c>
      <c r="G66" s="173">
        <f>(G65-G67)*1000</f>
        <v>80.000000000009834</v>
      </c>
      <c r="H66" s="174">
        <f t="shared" ref="H66:N66" si="2">(H65-H67)*1000</f>
        <v>60.000000000000057</v>
      </c>
      <c r="I66" s="173">
        <f t="shared" si="2"/>
        <v>140.00000000000989</v>
      </c>
      <c r="J66" s="174">
        <f t="shared" si="2"/>
        <v>80.000000000010289</v>
      </c>
      <c r="K66" s="173">
        <f t="shared" si="2"/>
        <v>5.0000000000010036</v>
      </c>
      <c r="L66" s="174">
        <f t="shared" si="2"/>
        <v>40.000000000000036</v>
      </c>
      <c r="M66" s="173">
        <f t="shared" si="2"/>
        <v>40.000000000010246</v>
      </c>
      <c r="N66" s="175">
        <f t="shared" si="2"/>
        <v>200.00000000001972</v>
      </c>
      <c r="O66" s="52"/>
      <c r="P66" s="52"/>
      <c r="Q66" s="52"/>
      <c r="R66" s="52"/>
      <c r="S66" s="52"/>
      <c r="T66" s="52"/>
      <c r="U66" s="53"/>
      <c r="V66" s="71"/>
      <c r="W66" s="71"/>
      <c r="X66" s="71"/>
      <c r="Y66" s="49"/>
      <c r="Z66" s="52"/>
    </row>
    <row r="67" spans="1:26" ht="19" thickBot="1" x14ac:dyDescent="0.4">
      <c r="A67" s="50"/>
      <c r="B67" s="51"/>
      <c r="C67" s="52"/>
      <c r="D67" s="52"/>
      <c r="F67" s="180" t="s">
        <v>526</v>
      </c>
      <c r="G67" s="181">
        <f>Threshold_Calculation!I25</f>
        <v>3.21999999999999</v>
      </c>
      <c r="H67" s="182">
        <f>Threshold_Calculation!J25</f>
        <v>1.74</v>
      </c>
      <c r="I67" s="181">
        <f>Threshold_Calculation!K25</f>
        <v>3.1599999999999899</v>
      </c>
      <c r="J67" s="182">
        <f>Threshold_Calculation!L25</f>
        <v>2.0199999999999898</v>
      </c>
      <c r="K67" s="181">
        <f>Threshold_Calculation!M25</f>
        <v>0.494999999999999</v>
      </c>
      <c r="L67" s="182">
        <f>Threshold_Calculation!N25</f>
        <v>1.2050000000000001</v>
      </c>
      <c r="M67" s="181">
        <f>Threshold_Calculation!O25</f>
        <v>2.1599999999999899</v>
      </c>
      <c r="N67" s="183">
        <f>Threshold_Calculation!P25</f>
        <v>4.3999999999999799</v>
      </c>
      <c r="O67" s="52"/>
      <c r="P67" s="52"/>
      <c r="Q67" s="52"/>
      <c r="R67" s="52"/>
      <c r="S67" s="52"/>
      <c r="T67" s="52"/>
      <c r="U67" s="53"/>
      <c r="V67" s="71"/>
      <c r="W67" s="71"/>
      <c r="X67" s="71"/>
      <c r="Y67" s="49"/>
      <c r="Z67" s="52"/>
    </row>
    <row r="68" spans="1:26" ht="18.5" x14ac:dyDescent="0.45">
      <c r="A68" s="50"/>
      <c r="B68" s="51"/>
      <c r="C68" s="52"/>
      <c r="D68" s="52"/>
      <c r="E68" s="159"/>
      <c r="F68" s="153"/>
      <c r="G68" s="153"/>
      <c r="H68" s="153"/>
      <c r="I68" s="153"/>
      <c r="J68" s="153"/>
      <c r="K68" s="153"/>
      <c r="L68" s="153"/>
      <c r="M68" s="122"/>
      <c r="N68" s="122"/>
      <c r="O68" s="52"/>
      <c r="P68" s="52"/>
      <c r="Q68" s="52"/>
      <c r="R68" s="52"/>
      <c r="S68" s="52"/>
      <c r="T68" s="52"/>
      <c r="U68" s="53"/>
      <c r="V68" s="71"/>
      <c r="W68" s="71"/>
      <c r="X68" s="71"/>
      <c r="Y68" s="49"/>
      <c r="Z68" s="52"/>
    </row>
    <row r="69" spans="1:26" ht="19" thickBot="1" x14ac:dyDescent="0.5">
      <c r="A69" s="50"/>
      <c r="B69" s="51"/>
      <c r="C69" s="52"/>
      <c r="D69" s="52"/>
      <c r="E69" s="162"/>
      <c r="F69" s="184"/>
      <c r="G69" s="184"/>
      <c r="H69" s="184"/>
      <c r="I69" s="184"/>
      <c r="J69" s="184"/>
      <c r="K69" s="184"/>
      <c r="L69" s="184"/>
      <c r="M69" s="122"/>
      <c r="N69" s="122"/>
      <c r="O69" s="52"/>
      <c r="P69" s="52"/>
      <c r="Q69" s="52"/>
      <c r="R69" s="52"/>
      <c r="S69" s="52"/>
      <c r="T69" s="52"/>
      <c r="U69" s="53"/>
      <c r="V69" s="71"/>
      <c r="W69" s="71"/>
      <c r="X69" s="71"/>
      <c r="Y69" s="49"/>
      <c r="Z69" s="52"/>
    </row>
    <row r="70" spans="1:26" ht="19" thickBot="1" x14ac:dyDescent="0.5">
      <c r="A70" s="50"/>
      <c r="B70" s="51"/>
      <c r="C70" s="52"/>
      <c r="D70" s="52"/>
      <c r="E70" s="162"/>
      <c r="F70" s="164" t="s">
        <v>525</v>
      </c>
      <c r="G70" s="165" t="s">
        <v>477</v>
      </c>
      <c r="H70" s="166" t="s">
        <v>524</v>
      </c>
      <c r="I70" s="165" t="s">
        <v>479</v>
      </c>
      <c r="J70" s="166" t="s">
        <v>480</v>
      </c>
      <c r="K70" s="165" t="s">
        <v>481</v>
      </c>
      <c r="L70" s="166" t="s">
        <v>482</v>
      </c>
      <c r="M70" s="165" t="s">
        <v>483</v>
      </c>
      <c r="N70" s="167" t="s">
        <v>484</v>
      </c>
      <c r="O70" s="52"/>
      <c r="P70" s="52"/>
      <c r="Q70" s="52"/>
      <c r="R70" s="52"/>
      <c r="S70" s="52"/>
      <c r="T70" s="52"/>
      <c r="U70" s="53"/>
      <c r="V70" s="71"/>
      <c r="W70" s="71"/>
      <c r="X70" s="71"/>
      <c r="Y70" s="49"/>
      <c r="Z70" s="52"/>
    </row>
    <row r="71" spans="1:26" ht="18.5" x14ac:dyDescent="0.35">
      <c r="A71" s="50"/>
      <c r="B71" s="51"/>
      <c r="C71" s="52"/>
      <c r="D71" s="52"/>
      <c r="E71" s="163"/>
      <c r="F71" s="168" t="s">
        <v>530</v>
      </c>
      <c r="G71" s="169">
        <f>Threshold_Calculation!I26</f>
        <v>3.3599999999999901</v>
      </c>
      <c r="H71" s="169">
        <f>Threshold_Calculation!J26</f>
        <v>1.84</v>
      </c>
      <c r="I71" s="169">
        <f>Threshold_Calculation!K26</f>
        <v>3.4199999999999902</v>
      </c>
      <c r="J71" s="169">
        <f>Threshold_Calculation!L26</f>
        <v>2.1399999999999899</v>
      </c>
      <c r="K71" s="169">
        <f>Threshold_Calculation!M26</f>
        <v>0.499999999999999</v>
      </c>
      <c r="L71" s="169">
        <f>Threshold_Calculation!N26</f>
        <v>1.2849999999999899</v>
      </c>
      <c r="M71" s="169">
        <f>Threshold_Calculation!O26</f>
        <v>2.21999999999999</v>
      </c>
      <c r="N71" s="169">
        <f>Threshold_Calculation!P26</f>
        <v>4.7999999999999803</v>
      </c>
      <c r="O71" s="52"/>
      <c r="P71" s="52"/>
      <c r="Q71" s="52"/>
      <c r="R71" s="52"/>
      <c r="S71" s="52"/>
      <c r="T71" s="52"/>
      <c r="U71" s="53"/>
      <c r="V71" s="71"/>
      <c r="W71" s="71"/>
      <c r="X71" s="71"/>
      <c r="Y71" s="49"/>
      <c r="Z71" s="52"/>
    </row>
    <row r="72" spans="1:26" ht="18.5" x14ac:dyDescent="0.35">
      <c r="A72" s="50"/>
      <c r="B72" s="51"/>
      <c r="C72" s="52"/>
      <c r="D72" s="52"/>
      <c r="E72" s="159"/>
      <c r="F72" s="172" t="s">
        <v>522</v>
      </c>
      <c r="G72" s="173">
        <f>(G71-G73)*1000</f>
        <v>59.99999999999028</v>
      </c>
      <c r="H72" s="174">
        <f t="shared" ref="H72" si="3">(H71-H73)*1000</f>
        <v>40.000000000000036</v>
      </c>
      <c r="I72" s="173">
        <f t="shared" ref="I72" si="4">(I71-I73)*1000</f>
        <v>119.99999999999034</v>
      </c>
      <c r="J72" s="174">
        <f t="shared" ref="J72" si="5">(J71-J73)*1000</f>
        <v>39.999999999989825</v>
      </c>
      <c r="K72" s="173">
        <f t="shared" ref="K72" si="6">(K71-K73)*1000</f>
        <v>-9.9920072216264089E-13</v>
      </c>
      <c r="L72" s="174">
        <f t="shared" ref="L72" si="7">(L71-L73)*1000</f>
        <v>39.999999999989825</v>
      </c>
      <c r="M72" s="173">
        <f t="shared" ref="M72" si="8">(M71-M73)*1000</f>
        <v>19.999999999989804</v>
      </c>
      <c r="N72" s="175">
        <f t="shared" ref="N72" si="9">(N71-N73)*1000</f>
        <v>199.99999999998064</v>
      </c>
      <c r="O72" s="52"/>
      <c r="P72" s="52"/>
      <c r="Q72" s="52"/>
      <c r="R72" s="52"/>
      <c r="S72" s="52"/>
      <c r="T72" s="52"/>
      <c r="U72" s="53"/>
      <c r="V72" s="38"/>
      <c r="W72" s="38"/>
      <c r="X72" s="38"/>
      <c r="Y72" s="49"/>
    </row>
    <row r="73" spans="1:26" ht="18.5" x14ac:dyDescent="0.35">
      <c r="A73" s="50"/>
      <c r="B73" s="51"/>
      <c r="C73" s="52"/>
      <c r="D73" s="52"/>
      <c r="E73" s="159"/>
      <c r="F73" s="176" t="s">
        <v>523</v>
      </c>
      <c r="G73" s="177">
        <f t="shared" ref="G73:N73" si="10">F7</f>
        <v>3.3</v>
      </c>
      <c r="H73" s="177">
        <f t="shared" si="10"/>
        <v>1.8</v>
      </c>
      <c r="I73" s="177">
        <f t="shared" si="10"/>
        <v>3.3</v>
      </c>
      <c r="J73" s="177">
        <f t="shared" si="10"/>
        <v>2.1</v>
      </c>
      <c r="K73" s="177">
        <f t="shared" si="10"/>
        <v>0.5</v>
      </c>
      <c r="L73" s="177">
        <f t="shared" si="10"/>
        <v>1.2450000000000001</v>
      </c>
      <c r="M73" s="177">
        <f t="shared" si="10"/>
        <v>2.2000000000000002</v>
      </c>
      <c r="N73" s="177">
        <f t="shared" si="10"/>
        <v>4.5999999999999996</v>
      </c>
      <c r="O73" s="52"/>
      <c r="P73" s="52"/>
      <c r="Q73" s="52"/>
      <c r="R73" s="52"/>
      <c r="S73" s="52"/>
      <c r="T73" s="52"/>
      <c r="U73" s="53"/>
      <c r="V73" s="38"/>
      <c r="W73" s="38"/>
      <c r="X73" s="38"/>
      <c r="Y73" s="49"/>
    </row>
    <row r="74" spans="1:26" ht="18.5" x14ac:dyDescent="0.35">
      <c r="A74" s="50"/>
      <c r="B74" s="51"/>
      <c r="C74" s="52"/>
      <c r="D74" s="52"/>
      <c r="E74" s="159"/>
      <c r="F74" s="172" t="s">
        <v>522</v>
      </c>
      <c r="G74" s="173">
        <f>(G73-G75)*1000</f>
        <v>60.00000000000982</v>
      </c>
      <c r="H74" s="174">
        <f t="shared" ref="H74" si="11">(H73-H75)*1000</f>
        <v>40.000000000000036</v>
      </c>
      <c r="I74" s="173">
        <f t="shared" ref="I74" si="12">(I73-I75)*1000</f>
        <v>120.00000000000988</v>
      </c>
      <c r="J74" s="174">
        <f t="shared" ref="J74" si="13">(J73-J75)*1000</f>
        <v>40.000000000010246</v>
      </c>
      <c r="K74" s="173">
        <f t="shared" ref="K74" si="14">(K73-K75)*1000</f>
        <v>9.9920072216264089E-13</v>
      </c>
      <c r="L74" s="174">
        <f t="shared" ref="L74" si="15">(L73-L75)*1000</f>
        <v>40.000000000000036</v>
      </c>
      <c r="M74" s="173">
        <f t="shared" ref="M74" si="16">(M73-M75)*1000</f>
        <v>20.000000000010232</v>
      </c>
      <c r="N74" s="175">
        <f t="shared" ref="N74" si="17">(N73-N75)*1000</f>
        <v>180.00000000001927</v>
      </c>
      <c r="O74" s="52"/>
      <c r="P74" s="52"/>
      <c r="Q74" s="52"/>
      <c r="R74" s="52"/>
      <c r="S74" s="52"/>
      <c r="T74" s="52"/>
      <c r="U74" s="53"/>
      <c r="V74" s="38"/>
      <c r="W74" s="38"/>
      <c r="X74" s="38"/>
      <c r="Y74" s="49"/>
    </row>
    <row r="75" spans="1:26" ht="19" thickBot="1" x14ac:dyDescent="0.4">
      <c r="A75" s="50"/>
      <c r="B75" s="51"/>
      <c r="C75" s="52"/>
      <c r="D75" s="52"/>
      <c r="E75" s="161"/>
      <c r="F75" s="180" t="s">
        <v>531</v>
      </c>
      <c r="G75" s="181">
        <f>Threshold_Calculation!I27</f>
        <v>3.23999999999999</v>
      </c>
      <c r="H75" s="181">
        <f>Threshold_Calculation!J27</f>
        <v>1.76</v>
      </c>
      <c r="I75" s="181">
        <f>Threshold_Calculation!K27</f>
        <v>3.1799999999999899</v>
      </c>
      <c r="J75" s="181">
        <f>Threshold_Calculation!L27</f>
        <v>2.0599999999999898</v>
      </c>
      <c r="K75" s="181">
        <f>Threshold_Calculation!M27</f>
        <v>0.499999999999999</v>
      </c>
      <c r="L75" s="181">
        <f>Threshold_Calculation!N27</f>
        <v>1.2050000000000001</v>
      </c>
      <c r="M75" s="181">
        <f>Threshold_Calculation!O27</f>
        <v>2.1799999999999899</v>
      </c>
      <c r="N75" s="181">
        <f>Threshold_Calculation!P27</f>
        <v>4.4199999999999804</v>
      </c>
      <c r="O75" s="52"/>
      <c r="P75" s="52"/>
      <c r="Q75" s="52"/>
      <c r="R75" s="52"/>
      <c r="S75" s="52"/>
      <c r="T75" s="52"/>
      <c r="U75" s="53"/>
      <c r="V75" s="38"/>
      <c r="W75" s="38"/>
      <c r="X75" s="38"/>
      <c r="Y75" s="49"/>
    </row>
    <row r="76" spans="1:26" x14ac:dyDescent="0.35">
      <c r="A76" s="50"/>
      <c r="B76" s="51"/>
      <c r="C76" s="52"/>
      <c r="D76" s="52"/>
      <c r="E76" s="161"/>
      <c r="F76" s="161"/>
      <c r="G76" s="161"/>
      <c r="H76" s="161"/>
      <c r="I76" s="161"/>
      <c r="J76" s="161"/>
      <c r="K76" s="161"/>
      <c r="L76" s="161"/>
      <c r="M76" s="52"/>
      <c r="N76" s="52"/>
      <c r="O76" s="52"/>
      <c r="P76" s="52"/>
      <c r="Q76" s="52"/>
      <c r="R76" s="52"/>
      <c r="S76" s="52"/>
      <c r="T76" s="52"/>
      <c r="U76" s="53"/>
      <c r="V76" s="38"/>
      <c r="W76" s="38"/>
      <c r="X76" s="38"/>
      <c r="Y76" s="49"/>
    </row>
    <row r="77" spans="1:26" x14ac:dyDescent="0.35">
      <c r="A77" s="50"/>
      <c r="B77" s="51"/>
      <c r="C77" s="52"/>
      <c r="D77" s="52"/>
      <c r="E77" s="161"/>
      <c r="F77" s="161"/>
      <c r="G77" s="161"/>
      <c r="H77" s="161"/>
      <c r="I77" s="161"/>
      <c r="J77" s="161"/>
      <c r="K77" s="161"/>
      <c r="L77" s="161"/>
      <c r="M77" s="52"/>
      <c r="N77" s="52"/>
      <c r="O77" s="52"/>
      <c r="P77" s="52"/>
      <c r="Q77" s="52"/>
      <c r="R77" s="52"/>
      <c r="S77" s="52"/>
      <c r="T77" s="52"/>
      <c r="U77" s="53"/>
      <c r="V77" s="38"/>
      <c r="W77" s="38"/>
      <c r="X77" s="38"/>
      <c r="Y77" s="49"/>
    </row>
    <row r="78" spans="1:26" x14ac:dyDescent="0.35">
      <c r="A78" s="50"/>
      <c r="B78" s="51"/>
      <c r="C78" s="52"/>
      <c r="D78" s="52"/>
      <c r="E78" s="161"/>
      <c r="F78" s="161"/>
      <c r="G78" s="161"/>
      <c r="H78" s="161"/>
      <c r="I78" s="161"/>
      <c r="J78" s="161"/>
      <c r="K78" s="161"/>
      <c r="L78" s="161"/>
      <c r="M78" s="52"/>
      <c r="N78" s="52"/>
      <c r="O78" s="52"/>
      <c r="P78" s="52"/>
      <c r="Q78" s="52"/>
      <c r="R78" s="52"/>
      <c r="S78" s="52"/>
      <c r="T78" s="52"/>
      <c r="U78" s="53"/>
      <c r="V78" s="38"/>
      <c r="W78" s="38"/>
      <c r="X78" s="38"/>
      <c r="Y78" s="49"/>
    </row>
    <row r="79" spans="1:26" x14ac:dyDescent="0.35">
      <c r="A79" s="50"/>
      <c r="B79" s="51"/>
      <c r="C79" s="52"/>
      <c r="D79" s="52"/>
      <c r="E79" s="161"/>
      <c r="F79" s="161"/>
      <c r="G79" s="161"/>
      <c r="H79" s="161"/>
      <c r="I79" s="161"/>
      <c r="J79" s="161"/>
      <c r="K79" s="161"/>
      <c r="L79" s="161"/>
      <c r="M79" s="52"/>
      <c r="N79" s="52"/>
      <c r="O79" s="52"/>
      <c r="P79" s="52"/>
      <c r="Q79" s="52"/>
      <c r="R79" s="52"/>
      <c r="S79" s="52"/>
      <c r="T79" s="52"/>
      <c r="U79" s="53"/>
      <c r="V79" s="38"/>
      <c r="W79" s="38"/>
      <c r="X79" s="38"/>
      <c r="Y79" s="49"/>
    </row>
    <row r="80" spans="1:26" x14ac:dyDescent="0.35">
      <c r="A80" s="50"/>
      <c r="B80" s="51"/>
      <c r="C80" s="52"/>
      <c r="D80" s="52"/>
      <c r="E80" s="161"/>
      <c r="F80" s="161"/>
      <c r="G80" s="161"/>
      <c r="H80" s="161"/>
      <c r="I80" s="161"/>
      <c r="J80" s="161"/>
      <c r="K80" s="161"/>
      <c r="L80" s="161"/>
      <c r="M80" s="52"/>
      <c r="N80" s="52"/>
      <c r="O80" s="52"/>
      <c r="P80" s="52"/>
      <c r="Q80" s="52"/>
      <c r="R80" s="52"/>
      <c r="S80" s="52"/>
      <c r="T80" s="52"/>
      <c r="U80" s="53"/>
      <c r="V80" s="38"/>
      <c r="W80" s="38"/>
      <c r="X80" s="38"/>
      <c r="Y80" s="49"/>
    </row>
    <row r="81" spans="1:25" x14ac:dyDescent="0.35">
      <c r="A81" s="50"/>
      <c r="B81" s="51"/>
      <c r="C81" s="52"/>
      <c r="D81" s="52"/>
      <c r="E81" s="159"/>
      <c r="F81" s="159"/>
      <c r="G81" s="159"/>
      <c r="H81" s="159"/>
      <c r="I81" s="159"/>
      <c r="J81" s="159"/>
      <c r="K81" s="159"/>
      <c r="L81" s="159"/>
      <c r="M81" s="52"/>
      <c r="N81" s="52"/>
      <c r="O81" s="52"/>
      <c r="P81" s="52"/>
      <c r="Q81" s="52"/>
      <c r="R81" s="52"/>
      <c r="S81" s="52"/>
      <c r="T81" s="52"/>
      <c r="U81" s="53"/>
      <c r="V81" s="38"/>
      <c r="W81" s="38"/>
      <c r="X81" s="38"/>
      <c r="Y81" s="49"/>
    </row>
    <row r="82" spans="1:25" x14ac:dyDescent="0.35">
      <c r="A82" s="50"/>
      <c r="B82" s="51"/>
      <c r="C82" s="52"/>
      <c r="D82" s="52"/>
      <c r="E82" s="161"/>
      <c r="F82" s="161"/>
      <c r="G82" s="161"/>
      <c r="H82" s="161"/>
      <c r="I82" s="161"/>
      <c r="J82" s="161"/>
      <c r="K82" s="161"/>
      <c r="L82" s="161"/>
      <c r="M82" s="52"/>
      <c r="N82" s="52"/>
      <c r="O82" s="52"/>
      <c r="P82" s="52"/>
      <c r="Q82" s="52"/>
      <c r="R82" s="52"/>
      <c r="S82" s="52"/>
      <c r="T82" s="52"/>
      <c r="U82" s="53"/>
      <c r="V82" s="38"/>
      <c r="W82" s="38"/>
      <c r="X82" s="38"/>
      <c r="Y82" s="49"/>
    </row>
    <row r="83" spans="1:25" x14ac:dyDescent="0.35">
      <c r="A83" s="50"/>
      <c r="B83" s="51"/>
      <c r="C83" s="52"/>
      <c r="D83" s="52"/>
      <c r="E83" s="161"/>
      <c r="F83" s="161"/>
      <c r="G83" s="161"/>
      <c r="H83" s="161"/>
      <c r="I83" s="161"/>
      <c r="J83" s="161"/>
      <c r="K83" s="161"/>
      <c r="L83" s="161"/>
      <c r="M83" s="52"/>
      <c r="N83" s="52"/>
      <c r="O83" s="52"/>
      <c r="P83" s="52"/>
      <c r="Q83" s="52"/>
      <c r="R83" s="52"/>
      <c r="S83" s="52"/>
      <c r="T83" s="52"/>
      <c r="U83" s="53"/>
      <c r="V83" s="38"/>
      <c r="W83" s="38"/>
      <c r="X83" s="38"/>
      <c r="Y83" s="49"/>
    </row>
    <row r="84" spans="1:25" x14ac:dyDescent="0.35">
      <c r="A84" s="50"/>
      <c r="B84" s="51"/>
      <c r="C84" s="52"/>
      <c r="D84" s="52"/>
      <c r="E84" s="161"/>
      <c r="F84" s="161"/>
      <c r="G84" s="161"/>
      <c r="H84" s="161"/>
      <c r="I84" s="161"/>
      <c r="J84" s="161"/>
      <c r="K84" s="161"/>
      <c r="L84" s="161"/>
      <c r="M84" s="52"/>
      <c r="N84" s="52"/>
      <c r="O84" s="52"/>
      <c r="P84" s="52"/>
      <c r="Q84" s="52"/>
      <c r="R84" s="52"/>
      <c r="S84" s="52"/>
      <c r="T84" s="52"/>
      <c r="U84" s="53"/>
      <c r="V84" s="38"/>
      <c r="W84" s="38"/>
      <c r="X84" s="38"/>
      <c r="Y84" s="49"/>
    </row>
    <row r="85" spans="1:25" x14ac:dyDescent="0.35">
      <c r="A85" s="50"/>
      <c r="B85" s="51"/>
      <c r="C85" s="52"/>
      <c r="D85" s="52"/>
      <c r="E85" s="161"/>
      <c r="F85" s="161"/>
      <c r="G85" s="161"/>
      <c r="H85" s="161"/>
      <c r="I85" s="161"/>
      <c r="J85" s="161"/>
      <c r="K85" s="161"/>
      <c r="L85" s="161"/>
      <c r="M85" s="52"/>
      <c r="N85" s="52"/>
      <c r="O85" s="52"/>
      <c r="P85" s="52"/>
      <c r="Q85" s="52"/>
      <c r="R85" s="52"/>
      <c r="S85" s="52"/>
      <c r="T85" s="52"/>
      <c r="U85" s="53"/>
      <c r="V85" s="38"/>
      <c r="W85" s="38"/>
      <c r="X85" s="38"/>
      <c r="Y85" s="49"/>
    </row>
    <row r="86" spans="1:25" x14ac:dyDescent="0.35">
      <c r="A86" s="50"/>
      <c r="B86" s="51"/>
      <c r="C86" s="52"/>
      <c r="D86" s="52"/>
      <c r="E86" s="161"/>
      <c r="F86" s="161"/>
      <c r="G86" s="161"/>
      <c r="H86" s="161"/>
      <c r="I86" s="161"/>
      <c r="J86" s="161"/>
      <c r="K86" s="161"/>
      <c r="L86" s="161"/>
      <c r="M86" s="52"/>
      <c r="N86" s="52"/>
      <c r="O86" s="52"/>
      <c r="P86" s="52"/>
      <c r="Q86" s="52"/>
      <c r="R86" s="52"/>
      <c r="S86" s="52"/>
      <c r="T86" s="52"/>
      <c r="U86" s="53"/>
      <c r="V86" s="38"/>
      <c r="W86" s="38"/>
      <c r="X86" s="38"/>
      <c r="Y86" s="49"/>
    </row>
    <row r="87" spans="1:25" x14ac:dyDescent="0.35">
      <c r="A87" s="50"/>
      <c r="B87" s="51"/>
      <c r="C87" s="52"/>
      <c r="D87" s="52"/>
      <c r="E87" s="161"/>
      <c r="F87" s="161"/>
      <c r="G87" s="161"/>
      <c r="H87" s="161"/>
      <c r="I87" s="161"/>
      <c r="J87" s="161"/>
      <c r="K87" s="161"/>
      <c r="L87" s="161"/>
      <c r="M87" s="52"/>
      <c r="N87" s="52"/>
      <c r="O87" s="52"/>
      <c r="P87" s="52"/>
      <c r="Q87" s="52"/>
      <c r="R87" s="52"/>
      <c r="S87" s="52"/>
      <c r="T87" s="52"/>
      <c r="U87" s="53"/>
      <c r="V87" s="38"/>
      <c r="W87" s="38"/>
      <c r="X87" s="38"/>
      <c r="Y87" s="49"/>
    </row>
    <row r="88" spans="1:25" x14ac:dyDescent="0.35">
      <c r="A88" s="50"/>
      <c r="B88" s="51"/>
      <c r="C88" s="52"/>
      <c r="D88" s="52"/>
      <c r="E88" s="159"/>
      <c r="F88" s="159"/>
      <c r="G88" s="159"/>
      <c r="H88" s="159"/>
      <c r="I88" s="159"/>
      <c r="J88" s="159"/>
      <c r="K88" s="159"/>
      <c r="L88" s="159"/>
      <c r="M88" s="52"/>
      <c r="N88" s="52"/>
      <c r="O88" s="52"/>
      <c r="P88" s="52"/>
      <c r="Q88" s="52"/>
      <c r="R88" s="52"/>
      <c r="S88" s="52"/>
      <c r="T88" s="52"/>
      <c r="U88" s="53"/>
      <c r="V88" s="38"/>
      <c r="W88" s="38"/>
      <c r="X88" s="38"/>
      <c r="Y88" s="49"/>
    </row>
    <row r="89" spans="1:25" x14ac:dyDescent="0.35">
      <c r="A89" s="50"/>
      <c r="B89" s="51"/>
      <c r="C89" s="52"/>
      <c r="D89" s="52"/>
      <c r="E89" s="161"/>
      <c r="F89" s="161"/>
      <c r="G89" s="161"/>
      <c r="H89" s="161"/>
      <c r="I89" s="161"/>
      <c r="J89" s="161"/>
      <c r="K89" s="161"/>
      <c r="L89" s="161"/>
      <c r="M89" s="52"/>
      <c r="N89" s="52"/>
      <c r="O89" s="52"/>
      <c r="P89" s="52"/>
      <c r="Q89" s="52"/>
      <c r="R89" s="52"/>
      <c r="S89" s="52"/>
      <c r="T89" s="52"/>
      <c r="U89" s="53"/>
      <c r="V89" s="38"/>
      <c r="W89" s="38"/>
      <c r="X89" s="38"/>
      <c r="Y89" s="49"/>
    </row>
    <row r="90" spans="1:25" x14ac:dyDescent="0.35">
      <c r="A90" s="50"/>
      <c r="B90" s="51"/>
      <c r="C90" s="52"/>
      <c r="D90" s="52"/>
      <c r="E90" s="161"/>
      <c r="F90" s="161"/>
      <c r="G90" s="161"/>
      <c r="H90" s="161"/>
      <c r="I90" s="161"/>
      <c r="J90" s="161"/>
      <c r="K90" s="161"/>
      <c r="L90" s="161"/>
      <c r="M90" s="52"/>
      <c r="N90" s="52"/>
      <c r="O90" s="52"/>
      <c r="P90" s="52"/>
      <c r="Q90" s="52"/>
      <c r="R90" s="52"/>
      <c r="S90" s="52"/>
      <c r="T90" s="52"/>
      <c r="U90" s="53"/>
      <c r="V90" s="38"/>
      <c r="W90" s="38"/>
      <c r="X90" s="38"/>
      <c r="Y90" s="49"/>
    </row>
    <row r="91" spans="1:25" x14ac:dyDescent="0.35">
      <c r="A91" s="50"/>
      <c r="B91" s="51"/>
      <c r="C91" s="52"/>
      <c r="D91" s="52"/>
      <c r="E91" s="161"/>
      <c r="F91" s="161"/>
      <c r="G91" s="161"/>
      <c r="H91" s="161"/>
      <c r="I91" s="161"/>
      <c r="J91" s="161"/>
      <c r="K91" s="161"/>
      <c r="L91" s="161"/>
      <c r="M91" s="52"/>
      <c r="N91" s="52"/>
      <c r="O91" s="52"/>
      <c r="P91" s="52"/>
      <c r="Q91" s="52"/>
      <c r="R91" s="52"/>
      <c r="S91" s="52"/>
      <c r="T91" s="52"/>
      <c r="U91" s="53"/>
      <c r="V91" s="38"/>
      <c r="W91" s="38"/>
      <c r="X91" s="38"/>
      <c r="Y91" s="49"/>
    </row>
    <row r="92" spans="1:25" x14ac:dyDescent="0.35">
      <c r="A92" s="50"/>
      <c r="B92" s="51"/>
      <c r="C92" s="52"/>
      <c r="D92" s="52"/>
      <c r="E92" s="161"/>
      <c r="F92" s="161"/>
      <c r="G92" s="161"/>
      <c r="H92" s="161"/>
      <c r="I92" s="161"/>
      <c r="J92" s="161"/>
      <c r="K92" s="161"/>
      <c r="L92" s="161"/>
      <c r="M92" s="52"/>
      <c r="N92" s="52"/>
      <c r="O92" s="52"/>
      <c r="P92" s="52"/>
      <c r="Q92" s="52"/>
      <c r="R92" s="52"/>
      <c r="S92" s="52"/>
      <c r="T92" s="52"/>
      <c r="U92" s="53"/>
      <c r="V92" s="38"/>
      <c r="W92" s="38"/>
      <c r="X92" s="38"/>
      <c r="Y92" s="49"/>
    </row>
    <row r="93" spans="1:25" x14ac:dyDescent="0.35">
      <c r="A93" s="50"/>
      <c r="B93" s="51"/>
      <c r="C93" s="52"/>
      <c r="D93" s="52"/>
      <c r="E93" s="161"/>
      <c r="F93" s="161"/>
      <c r="G93" s="161"/>
      <c r="H93" s="161"/>
      <c r="I93" s="161"/>
      <c r="J93" s="161"/>
      <c r="K93" s="161"/>
      <c r="L93" s="161"/>
      <c r="M93" s="52"/>
      <c r="N93" s="52"/>
      <c r="O93" s="52"/>
      <c r="P93" s="52"/>
      <c r="Q93" s="52"/>
      <c r="R93" s="52"/>
      <c r="S93" s="52"/>
      <c r="T93" s="52"/>
      <c r="U93" s="53"/>
      <c r="V93" s="38"/>
      <c r="W93" s="38"/>
      <c r="X93" s="38"/>
      <c r="Y93" s="49"/>
    </row>
    <row r="94" spans="1:25" x14ac:dyDescent="0.35">
      <c r="A94" s="50"/>
      <c r="B94" s="51"/>
      <c r="C94" s="52"/>
      <c r="D94" s="52"/>
      <c r="E94" s="161"/>
      <c r="F94" s="161"/>
      <c r="G94" s="161"/>
      <c r="H94" s="161"/>
      <c r="I94" s="161"/>
      <c r="J94" s="161"/>
      <c r="K94" s="161"/>
      <c r="L94" s="161"/>
      <c r="M94" s="52"/>
      <c r="N94" s="52"/>
      <c r="O94" s="52"/>
      <c r="P94" s="52"/>
      <c r="Q94" s="52"/>
      <c r="R94" s="52"/>
      <c r="S94" s="52"/>
      <c r="T94" s="52"/>
      <c r="U94" s="53"/>
      <c r="V94" s="38"/>
      <c r="W94" s="38"/>
      <c r="X94" s="38"/>
      <c r="Y94" s="49"/>
    </row>
    <row r="95" spans="1:25" x14ac:dyDescent="0.35">
      <c r="A95" s="50"/>
      <c r="B95" s="51"/>
      <c r="C95" s="52"/>
      <c r="D95" s="52"/>
      <c r="E95" s="159"/>
      <c r="F95" s="159"/>
      <c r="G95" s="159"/>
      <c r="H95" s="159"/>
      <c r="I95" s="159"/>
      <c r="J95" s="159"/>
      <c r="K95" s="159"/>
      <c r="L95" s="159"/>
      <c r="M95" s="52"/>
      <c r="N95" s="52"/>
      <c r="O95" s="52"/>
      <c r="P95" s="52"/>
      <c r="Q95" s="52"/>
      <c r="R95" s="52"/>
      <c r="S95" s="52"/>
      <c r="T95" s="52"/>
      <c r="U95" s="53"/>
      <c r="V95" s="38"/>
      <c r="W95" s="38"/>
      <c r="X95" s="38"/>
      <c r="Y95" s="49"/>
    </row>
    <row r="96" spans="1:25" x14ac:dyDescent="0.35">
      <c r="A96" s="50"/>
      <c r="B96" s="51"/>
      <c r="C96" s="52"/>
      <c r="D96" s="52"/>
      <c r="E96" s="161"/>
      <c r="F96" s="161"/>
      <c r="G96" s="161"/>
      <c r="H96" s="161"/>
      <c r="I96" s="161"/>
      <c r="J96" s="161"/>
      <c r="K96" s="161"/>
      <c r="L96" s="161"/>
      <c r="M96" s="52"/>
      <c r="N96" s="52"/>
      <c r="O96" s="52"/>
      <c r="P96" s="52"/>
      <c r="Q96" s="52"/>
      <c r="R96" s="52"/>
      <c r="S96" s="52"/>
      <c r="T96" s="52"/>
      <c r="U96" s="53"/>
      <c r="V96" s="38"/>
      <c r="W96" s="38"/>
      <c r="X96" s="38"/>
      <c r="Y96" s="49"/>
    </row>
    <row r="97" spans="1:25" x14ac:dyDescent="0.35">
      <c r="A97" s="50"/>
      <c r="B97" s="51"/>
      <c r="C97" s="52"/>
      <c r="D97" s="52"/>
      <c r="E97" s="161"/>
      <c r="F97" s="161"/>
      <c r="G97" s="161"/>
      <c r="H97" s="161"/>
      <c r="I97" s="161"/>
      <c r="J97" s="161"/>
      <c r="K97" s="161"/>
      <c r="L97" s="161"/>
      <c r="M97" s="52"/>
      <c r="N97" s="52"/>
      <c r="O97" s="52"/>
      <c r="P97" s="52"/>
      <c r="Q97" s="52"/>
      <c r="R97" s="52"/>
      <c r="S97" s="52"/>
      <c r="T97" s="52"/>
      <c r="U97" s="53"/>
      <c r="V97" s="38"/>
      <c r="W97" s="38"/>
      <c r="X97" s="38"/>
      <c r="Y97" s="49"/>
    </row>
    <row r="98" spans="1:25" x14ac:dyDescent="0.35">
      <c r="A98" s="50"/>
      <c r="B98" s="51"/>
      <c r="C98" s="52"/>
      <c r="D98" s="52"/>
      <c r="E98" s="161"/>
      <c r="F98" s="161"/>
      <c r="G98" s="161"/>
      <c r="H98" s="161"/>
      <c r="I98" s="161"/>
      <c r="J98" s="161"/>
      <c r="K98" s="161"/>
      <c r="L98" s="161"/>
      <c r="M98" s="52"/>
      <c r="N98" s="52"/>
      <c r="O98" s="52"/>
      <c r="P98" s="52"/>
      <c r="Q98" s="52"/>
      <c r="R98" s="52"/>
      <c r="S98" s="52"/>
      <c r="T98" s="52"/>
      <c r="U98" s="53"/>
      <c r="V98" s="38"/>
      <c r="W98" s="38"/>
      <c r="X98" s="38"/>
      <c r="Y98" s="49"/>
    </row>
    <row r="99" spans="1:25" x14ac:dyDescent="0.35">
      <c r="A99" s="50"/>
      <c r="B99" s="51"/>
      <c r="C99" s="52"/>
      <c r="D99" s="52"/>
      <c r="E99" s="161"/>
      <c r="F99" s="161"/>
      <c r="G99" s="161"/>
      <c r="H99" s="161"/>
      <c r="I99" s="161"/>
      <c r="J99" s="161"/>
      <c r="K99" s="161"/>
      <c r="L99" s="161"/>
      <c r="M99" s="52"/>
      <c r="N99" s="52"/>
      <c r="O99" s="52"/>
      <c r="P99" s="52"/>
      <c r="Q99" s="52"/>
      <c r="R99" s="52"/>
      <c r="S99" s="52"/>
      <c r="T99" s="52"/>
      <c r="U99" s="53"/>
      <c r="V99" s="38"/>
      <c r="W99" s="38"/>
      <c r="X99" s="38"/>
      <c r="Y99" s="49"/>
    </row>
    <row r="100" spans="1:25" x14ac:dyDescent="0.35">
      <c r="A100" s="50"/>
      <c r="B100" s="51"/>
      <c r="C100" s="52"/>
      <c r="D100" s="52"/>
      <c r="E100" s="161"/>
      <c r="F100" s="161"/>
      <c r="G100" s="161"/>
      <c r="H100" s="161"/>
      <c r="I100" s="161"/>
      <c r="J100" s="161"/>
      <c r="K100" s="161"/>
      <c r="L100" s="161"/>
      <c r="M100" s="52"/>
      <c r="N100" s="52"/>
      <c r="O100" s="52"/>
      <c r="P100" s="52"/>
      <c r="Q100" s="52"/>
      <c r="R100" s="52"/>
      <c r="S100" s="52"/>
      <c r="T100" s="52"/>
      <c r="U100" s="53"/>
      <c r="V100" s="38"/>
      <c r="W100" s="38"/>
      <c r="X100" s="38"/>
      <c r="Y100" s="49"/>
    </row>
    <row r="101" spans="1:25" x14ac:dyDescent="0.35">
      <c r="A101" s="50"/>
      <c r="B101" s="51"/>
      <c r="C101" s="52"/>
      <c r="D101" s="52"/>
      <c r="E101" s="161"/>
      <c r="F101" s="161"/>
      <c r="G101" s="161"/>
      <c r="H101" s="161"/>
      <c r="I101" s="161"/>
      <c r="J101" s="161"/>
      <c r="K101" s="161"/>
      <c r="L101" s="161"/>
      <c r="M101" s="52"/>
      <c r="N101" s="52"/>
      <c r="O101" s="52"/>
      <c r="P101" s="52"/>
      <c r="Q101" s="52"/>
      <c r="R101" s="52"/>
      <c r="S101" s="52"/>
      <c r="T101" s="52"/>
      <c r="U101" s="53"/>
      <c r="V101" s="38"/>
      <c r="W101" s="38"/>
      <c r="X101" s="38"/>
      <c r="Y101" s="49"/>
    </row>
    <row r="102" spans="1:25" x14ac:dyDescent="0.35">
      <c r="A102" s="50"/>
      <c r="B102" s="51"/>
      <c r="C102" s="52"/>
      <c r="D102" s="52"/>
      <c r="E102" s="159"/>
      <c r="F102" s="159"/>
      <c r="G102" s="159"/>
      <c r="H102" s="159"/>
      <c r="I102" s="159"/>
      <c r="J102" s="159"/>
      <c r="K102" s="159"/>
      <c r="L102" s="159"/>
      <c r="M102" s="52"/>
      <c r="N102" s="52"/>
      <c r="O102" s="52"/>
      <c r="P102" s="52"/>
      <c r="Q102" s="52"/>
      <c r="R102" s="52"/>
      <c r="S102" s="52"/>
      <c r="T102" s="52"/>
      <c r="U102" s="53"/>
      <c r="V102" s="38"/>
      <c r="W102" s="38"/>
      <c r="X102" s="38"/>
      <c r="Y102" s="49"/>
    </row>
    <row r="103" spans="1:25" x14ac:dyDescent="0.35">
      <c r="A103" s="50"/>
      <c r="B103" s="51"/>
      <c r="C103" s="52"/>
      <c r="D103" s="52"/>
      <c r="E103" s="38"/>
      <c r="F103" s="38"/>
      <c r="G103" s="38"/>
      <c r="H103" s="38"/>
      <c r="I103" s="38"/>
      <c r="J103" s="38"/>
      <c r="K103" s="38"/>
      <c r="L103" s="38"/>
      <c r="M103" s="52"/>
      <c r="N103" s="52"/>
      <c r="O103" s="52"/>
      <c r="P103" s="52"/>
      <c r="Q103" s="52"/>
      <c r="R103" s="52"/>
      <c r="S103" s="52"/>
      <c r="T103" s="52"/>
      <c r="U103" s="53"/>
      <c r="V103" s="38"/>
      <c r="W103" s="38"/>
      <c r="X103" s="38"/>
      <c r="Y103" s="49"/>
    </row>
    <row r="104" spans="1:25" x14ac:dyDescent="0.35">
      <c r="A104" s="50"/>
      <c r="B104" s="51"/>
      <c r="C104" s="52"/>
      <c r="D104" s="52"/>
      <c r="E104" s="38"/>
      <c r="F104" s="38"/>
      <c r="G104" s="38"/>
      <c r="H104" s="38"/>
      <c r="I104" s="38"/>
      <c r="J104" s="38"/>
      <c r="K104" s="38"/>
      <c r="L104" s="38"/>
      <c r="M104" s="52"/>
      <c r="N104" s="52"/>
      <c r="O104" s="52"/>
      <c r="P104" s="52"/>
      <c r="Q104" s="52"/>
      <c r="R104" s="52"/>
      <c r="S104" s="52"/>
      <c r="T104" s="52"/>
      <c r="U104" s="53"/>
      <c r="V104" s="38"/>
      <c r="W104" s="38"/>
      <c r="X104" s="38"/>
      <c r="Y104" s="49"/>
    </row>
    <row r="105" spans="1:25" x14ac:dyDescent="0.35">
      <c r="A105" s="50"/>
      <c r="B105" s="51"/>
      <c r="C105" s="52"/>
      <c r="D105" s="52"/>
      <c r="E105" s="38"/>
      <c r="F105" s="38"/>
      <c r="G105" s="38"/>
      <c r="H105" s="38"/>
      <c r="I105" s="38"/>
      <c r="J105" s="38"/>
      <c r="K105" s="38"/>
      <c r="L105" s="38"/>
      <c r="M105" s="52"/>
      <c r="N105" s="52"/>
      <c r="O105" s="52"/>
      <c r="P105" s="52"/>
      <c r="Q105" s="52"/>
      <c r="R105" s="52"/>
      <c r="S105" s="52"/>
      <c r="T105" s="52"/>
      <c r="U105" s="53"/>
      <c r="V105" s="38"/>
      <c r="W105" s="38"/>
      <c r="X105" s="38"/>
      <c r="Y105" s="49"/>
    </row>
    <row r="106" spans="1:25" x14ac:dyDescent="0.35">
      <c r="A106" s="50"/>
      <c r="B106" s="51"/>
      <c r="C106" s="52"/>
      <c r="D106" s="52"/>
      <c r="E106" s="38"/>
      <c r="F106" s="38"/>
      <c r="G106" s="38"/>
      <c r="H106" s="38"/>
      <c r="I106" s="38"/>
      <c r="J106" s="38"/>
      <c r="K106" s="38"/>
      <c r="L106" s="38"/>
      <c r="M106" s="52"/>
      <c r="N106" s="52"/>
      <c r="O106" s="52"/>
      <c r="P106" s="52"/>
      <c r="Q106" s="52"/>
      <c r="R106" s="52"/>
      <c r="S106" s="52"/>
      <c r="T106" s="52"/>
      <c r="U106" s="53"/>
      <c r="V106" s="38"/>
      <c r="W106" s="38"/>
      <c r="X106" s="38"/>
      <c r="Y106" s="49"/>
    </row>
    <row r="107" spans="1:25" x14ac:dyDescent="0.35">
      <c r="A107" s="50"/>
      <c r="B107" s="51"/>
      <c r="C107" s="52"/>
      <c r="D107" s="52"/>
      <c r="E107" s="38"/>
      <c r="F107" s="38"/>
      <c r="G107" s="38"/>
      <c r="H107" s="38"/>
      <c r="I107" s="38"/>
      <c r="J107" s="38"/>
      <c r="K107" s="38"/>
      <c r="L107" s="38"/>
      <c r="M107" s="52"/>
      <c r="N107" s="52"/>
      <c r="O107" s="52"/>
      <c r="P107" s="52"/>
      <c r="Q107" s="52"/>
      <c r="R107" s="52"/>
      <c r="S107" s="52"/>
      <c r="T107" s="52"/>
      <c r="U107" s="53"/>
      <c r="V107" s="38"/>
      <c r="W107" s="38"/>
      <c r="X107" s="38"/>
      <c r="Y107" s="49"/>
    </row>
    <row r="108" spans="1:25" x14ac:dyDescent="0.35">
      <c r="A108" s="50"/>
      <c r="B108" s="51"/>
      <c r="C108" s="52"/>
      <c r="D108" s="52"/>
      <c r="E108" s="54"/>
      <c r="F108" s="303"/>
      <c r="G108" s="303"/>
      <c r="H108" s="303"/>
      <c r="I108" s="303"/>
      <c r="J108" s="303"/>
      <c r="K108" s="303"/>
      <c r="L108" s="303"/>
      <c r="M108" s="52"/>
      <c r="N108" s="52"/>
      <c r="O108" s="52"/>
      <c r="P108" s="52"/>
      <c r="Q108" s="52"/>
      <c r="R108" s="52"/>
      <c r="S108" s="52"/>
      <c r="T108" s="52"/>
      <c r="U108" s="53"/>
      <c r="V108" s="38"/>
      <c r="W108" s="38"/>
      <c r="X108" s="38"/>
      <c r="Y108" s="49"/>
    </row>
    <row r="109" spans="1:25" x14ac:dyDescent="0.35">
      <c r="A109" s="50"/>
      <c r="B109" s="51"/>
      <c r="C109" s="52"/>
      <c r="D109" s="52"/>
      <c r="E109" s="38"/>
      <c r="F109" s="38"/>
      <c r="G109" s="38"/>
      <c r="H109" s="38"/>
      <c r="I109" s="38"/>
      <c r="J109" s="38"/>
      <c r="K109" s="38"/>
      <c r="L109" s="38"/>
      <c r="M109" s="52"/>
      <c r="N109" s="52"/>
      <c r="O109" s="52"/>
      <c r="P109" s="52"/>
      <c r="Q109" s="52"/>
      <c r="R109" s="52"/>
      <c r="S109" s="52"/>
      <c r="T109" s="52"/>
      <c r="U109" s="53"/>
      <c r="V109" s="38"/>
      <c r="W109" s="38"/>
      <c r="X109" s="38"/>
      <c r="Y109" s="49"/>
    </row>
    <row r="110" spans="1:25" x14ac:dyDescent="0.35">
      <c r="A110" s="52"/>
      <c r="B110" s="52"/>
      <c r="C110" s="52"/>
      <c r="D110" s="52"/>
      <c r="E110" s="38"/>
      <c r="F110" s="38"/>
      <c r="G110" s="38"/>
      <c r="H110" s="38"/>
      <c r="I110" s="38"/>
      <c r="J110" s="38"/>
      <c r="K110" s="38"/>
      <c r="L110" s="38"/>
      <c r="M110" s="52"/>
      <c r="N110" s="52"/>
      <c r="O110" s="52"/>
      <c r="P110" s="52"/>
      <c r="Q110" s="52"/>
      <c r="R110" s="52"/>
      <c r="S110" s="52"/>
      <c r="T110" s="52"/>
      <c r="U110" s="53"/>
      <c r="V110" s="38"/>
      <c r="W110" s="38"/>
      <c r="X110" s="38"/>
      <c r="Y110" s="49"/>
    </row>
    <row r="111" spans="1:25" x14ac:dyDescent="0.35">
      <c r="A111" s="50"/>
      <c r="P111" s="52"/>
      <c r="Q111" s="52"/>
      <c r="R111" s="52"/>
      <c r="S111" s="52"/>
      <c r="T111" s="52"/>
      <c r="U111" s="53"/>
      <c r="V111" s="38"/>
      <c r="W111" s="38"/>
      <c r="X111" s="38"/>
      <c r="Y111" s="49"/>
    </row>
    <row r="112" spans="1:25" x14ac:dyDescent="0.35">
      <c r="A112" s="50"/>
      <c r="P112" s="52"/>
      <c r="Q112" s="52"/>
      <c r="R112" s="52"/>
      <c r="S112" s="52"/>
      <c r="T112" s="52"/>
      <c r="U112" s="53"/>
      <c r="V112" s="38"/>
      <c r="W112" s="38"/>
      <c r="X112" s="38"/>
      <c r="Y112" s="49"/>
    </row>
    <row r="113" spans="1:25" x14ac:dyDescent="0.35">
      <c r="A113" s="50"/>
      <c r="P113" s="52"/>
      <c r="Q113" s="52"/>
      <c r="R113" s="52"/>
      <c r="S113" s="52"/>
      <c r="T113" s="52"/>
      <c r="U113" s="53"/>
      <c r="V113" s="38"/>
      <c r="W113" s="38"/>
      <c r="X113" s="38"/>
      <c r="Y113" s="49"/>
    </row>
    <row r="114" spans="1:25" x14ac:dyDescent="0.35">
      <c r="A114" s="50"/>
      <c r="P114" s="52"/>
      <c r="Q114" s="52"/>
      <c r="R114" s="52"/>
      <c r="S114" s="52"/>
      <c r="T114" s="52"/>
      <c r="U114" s="53"/>
      <c r="V114" s="38"/>
      <c r="W114" s="38"/>
      <c r="X114" s="38"/>
      <c r="Y114" s="49"/>
    </row>
    <row r="115" spans="1:25" x14ac:dyDescent="0.35">
      <c r="A115" s="52"/>
      <c r="P115" s="52"/>
      <c r="Q115" s="52"/>
      <c r="R115" s="52"/>
      <c r="S115" s="52"/>
      <c r="T115" s="52"/>
      <c r="U115" s="53"/>
      <c r="V115" s="38"/>
      <c r="W115" s="38"/>
      <c r="X115" s="38"/>
      <c r="Y115" s="49"/>
    </row>
    <row r="116" spans="1:25" x14ac:dyDescent="0.35">
      <c r="A116" s="52"/>
      <c r="P116" s="52"/>
      <c r="Q116" s="52"/>
      <c r="R116" s="52"/>
      <c r="S116" s="52"/>
      <c r="T116" s="52"/>
      <c r="U116" s="53"/>
      <c r="V116" s="38"/>
      <c r="W116" s="38"/>
      <c r="X116" s="38"/>
      <c r="Y116" s="49"/>
    </row>
    <row r="117" spans="1:25" x14ac:dyDescent="0.35">
      <c r="A117" s="52"/>
      <c r="P117" s="52"/>
      <c r="Q117" s="52"/>
      <c r="R117" s="52"/>
      <c r="S117" s="52"/>
      <c r="T117" s="52"/>
      <c r="U117" s="53"/>
      <c r="V117" s="38"/>
      <c r="W117" s="38"/>
      <c r="X117" s="38"/>
      <c r="Y117" s="49"/>
    </row>
    <row r="118" spans="1:25" x14ac:dyDescent="0.35">
      <c r="A118" s="52"/>
      <c r="P118" s="52"/>
      <c r="Q118" s="52"/>
      <c r="R118" s="52"/>
      <c r="S118" s="52"/>
      <c r="T118" s="52"/>
      <c r="U118" s="38"/>
      <c r="V118" s="38"/>
      <c r="W118" s="38"/>
      <c r="X118" s="38"/>
      <c r="Y118" s="38"/>
    </row>
  </sheetData>
  <mergeCells count="37">
    <mergeCell ref="G54:N54"/>
    <mergeCell ref="G53:N53"/>
    <mergeCell ref="G52:N52"/>
    <mergeCell ref="G51:N51"/>
    <mergeCell ref="G49:N49"/>
    <mergeCell ref="T49:AB49"/>
    <mergeCell ref="G34:N34"/>
    <mergeCell ref="G36:N36"/>
    <mergeCell ref="G37:N37"/>
    <mergeCell ref="G38:N38"/>
    <mergeCell ref="G39:N39"/>
    <mergeCell ref="G42:N42"/>
    <mergeCell ref="G41:N41"/>
    <mergeCell ref="G48:N48"/>
    <mergeCell ref="G47:N47"/>
    <mergeCell ref="G46:N46"/>
    <mergeCell ref="G44:N44"/>
    <mergeCell ref="G43:N43"/>
    <mergeCell ref="G21:N21"/>
    <mergeCell ref="G22:N22"/>
    <mergeCell ref="G23:N23"/>
    <mergeCell ref="G24:N24"/>
    <mergeCell ref="G33:N33"/>
    <mergeCell ref="G29:N29"/>
    <mergeCell ref="G31:N31"/>
    <mergeCell ref="G32:N32"/>
    <mergeCell ref="G26:N26"/>
    <mergeCell ref="G27:N27"/>
    <mergeCell ref="G28:N28"/>
    <mergeCell ref="F108:I108"/>
    <mergeCell ref="J108:L108"/>
    <mergeCell ref="E55:L55"/>
    <mergeCell ref="E60:L60"/>
    <mergeCell ref="G57:N57"/>
    <mergeCell ref="G58:N58"/>
    <mergeCell ref="G59:N59"/>
    <mergeCell ref="G56:N56"/>
  </mergeCells>
  <phoneticPr fontId="2" type="noConversion"/>
  <conditionalFormatting sqref="E107:L107 E105 E110:L1048576 E81:L81 E74:E75 E88:L88 E95:L95 E102:L102 E40:L40 E104:L104 F3:F4 E23 G64:N64 E60:E61 F62:F63 E5:M7">
    <cfRule type="cellIs" dxfId="159" priority="5766" operator="equal">
      <formula>"RSVD"</formula>
    </cfRule>
  </conditionalFormatting>
  <conditionalFormatting sqref="F105:L105">
    <cfRule type="cellIs" dxfId="158" priority="5730" operator="equal">
      <formula>"RSVD"</formula>
    </cfRule>
  </conditionalFormatting>
  <conditionalFormatting sqref="E8:M9">
    <cfRule type="cellIs" dxfId="157" priority="227" operator="equal">
      <formula>"RSVD"</formula>
    </cfRule>
  </conditionalFormatting>
  <conditionalFormatting sqref="E10">
    <cfRule type="cellIs" dxfId="156" priority="206" operator="equal">
      <formula>"RSVD"</formula>
    </cfRule>
  </conditionalFormatting>
  <conditionalFormatting sqref="E22">
    <cfRule type="cellIs" dxfId="155" priority="202" operator="equal">
      <formula>"RSVD"</formula>
    </cfRule>
  </conditionalFormatting>
  <conditionalFormatting sqref="E45 I45">
    <cfRule type="cellIs" dxfId="154" priority="142" operator="equal">
      <formula>"RSVD"</formula>
    </cfRule>
  </conditionalFormatting>
  <conditionalFormatting sqref="E11">
    <cfRule type="cellIs" dxfId="153" priority="161" operator="equal">
      <formula>"RSVD"</formula>
    </cfRule>
  </conditionalFormatting>
  <conditionalFormatting sqref="E13">
    <cfRule type="cellIs" dxfId="152" priority="160" operator="equal">
      <formula>"RSVD"</formula>
    </cfRule>
  </conditionalFormatting>
  <conditionalFormatting sqref="E21">
    <cfRule type="cellIs" dxfId="151" priority="159" operator="equal">
      <formula>"RSVD"</formula>
    </cfRule>
  </conditionalFormatting>
  <conditionalFormatting sqref="E24">
    <cfRule type="cellIs" dxfId="150" priority="158" operator="equal">
      <formula>"RSVD"</formula>
    </cfRule>
  </conditionalFormatting>
  <conditionalFormatting sqref="E50">
    <cfRule type="cellIs" dxfId="149" priority="138" operator="equal">
      <formula>"RSVD"</formula>
    </cfRule>
  </conditionalFormatting>
  <conditionalFormatting sqref="E25">
    <cfRule type="cellIs" dxfId="148" priority="154" operator="equal">
      <formula>"RSVD"</formula>
    </cfRule>
  </conditionalFormatting>
  <conditionalFormatting sqref="E30">
    <cfRule type="cellIs" dxfId="147" priority="152" operator="equal">
      <formula>"RSVD"</formula>
    </cfRule>
  </conditionalFormatting>
  <conditionalFormatting sqref="E35">
    <cfRule type="cellIs" dxfId="146" priority="149" operator="equal">
      <formula>"RSVD"</formula>
    </cfRule>
  </conditionalFormatting>
  <conditionalFormatting sqref="E68:G68 G67:N67 F65:N66">
    <cfRule type="cellIs" dxfId="145" priority="136" operator="equal">
      <formula>"RSVD"</formula>
    </cfRule>
  </conditionalFormatting>
  <conditionalFormatting sqref="E69 E71:E73">
    <cfRule type="cellIs" dxfId="144" priority="135" operator="equal">
      <formula>"RSVD"</formula>
    </cfRule>
  </conditionalFormatting>
  <conditionalFormatting sqref="H68:L68">
    <cfRule type="cellIs" dxfId="143" priority="132" operator="equal">
      <formula>"RSVD"</formula>
    </cfRule>
  </conditionalFormatting>
  <conditionalFormatting sqref="E76">
    <cfRule type="cellIs" dxfId="142" priority="131" operator="equal">
      <formula>"RSVD"</formula>
    </cfRule>
  </conditionalFormatting>
  <conditionalFormatting sqref="E77">
    <cfRule type="cellIs" dxfId="141" priority="130" operator="equal">
      <formula>"RSVD"</formula>
    </cfRule>
  </conditionalFormatting>
  <conditionalFormatting sqref="E78">
    <cfRule type="cellIs" dxfId="140" priority="129" operator="equal">
      <formula>"RSVD"</formula>
    </cfRule>
  </conditionalFormatting>
  <conditionalFormatting sqref="E79">
    <cfRule type="cellIs" dxfId="139" priority="128" operator="equal">
      <formula>"RSVD"</formula>
    </cfRule>
  </conditionalFormatting>
  <conditionalFormatting sqref="E80">
    <cfRule type="cellIs" dxfId="138" priority="127" operator="equal">
      <formula>"RSVD"</formula>
    </cfRule>
  </conditionalFormatting>
  <conditionalFormatting sqref="E82">
    <cfRule type="cellIs" dxfId="137" priority="126" operator="equal">
      <formula>"RSVD"</formula>
    </cfRule>
  </conditionalFormatting>
  <conditionalFormatting sqref="E83">
    <cfRule type="cellIs" dxfId="136" priority="125" operator="equal">
      <formula>"RSVD"</formula>
    </cfRule>
  </conditionalFormatting>
  <conditionalFormatting sqref="E84">
    <cfRule type="cellIs" dxfId="135" priority="124" operator="equal">
      <formula>"RSVD"</formula>
    </cfRule>
  </conditionalFormatting>
  <conditionalFormatting sqref="E85">
    <cfRule type="cellIs" dxfId="134" priority="123" operator="equal">
      <formula>"RSVD"</formula>
    </cfRule>
  </conditionalFormatting>
  <conditionalFormatting sqref="E86">
    <cfRule type="cellIs" dxfId="133" priority="122" operator="equal">
      <formula>"RSVD"</formula>
    </cfRule>
  </conditionalFormatting>
  <conditionalFormatting sqref="E87">
    <cfRule type="cellIs" dxfId="132" priority="121" operator="equal">
      <formula>"RSVD"</formula>
    </cfRule>
  </conditionalFormatting>
  <conditionalFormatting sqref="E89">
    <cfRule type="cellIs" dxfId="131" priority="120" operator="equal">
      <formula>"RSVD"</formula>
    </cfRule>
  </conditionalFormatting>
  <conditionalFormatting sqref="E90">
    <cfRule type="cellIs" dxfId="130" priority="119" operator="equal">
      <formula>"RSVD"</formula>
    </cfRule>
  </conditionalFormatting>
  <conditionalFormatting sqref="E91">
    <cfRule type="cellIs" dxfId="129" priority="118" operator="equal">
      <formula>"RSVD"</formula>
    </cfRule>
  </conditionalFormatting>
  <conditionalFormatting sqref="E92">
    <cfRule type="cellIs" dxfId="128" priority="117" operator="equal">
      <formula>"RSVD"</formula>
    </cfRule>
  </conditionalFormatting>
  <conditionalFormatting sqref="E93">
    <cfRule type="cellIs" dxfId="127" priority="116" operator="equal">
      <formula>"RSVD"</formula>
    </cfRule>
  </conditionalFormatting>
  <conditionalFormatting sqref="E94">
    <cfRule type="cellIs" dxfId="126" priority="115" operator="equal">
      <formula>"RSVD"</formula>
    </cfRule>
  </conditionalFormatting>
  <conditionalFormatting sqref="E96">
    <cfRule type="cellIs" dxfId="125" priority="114" operator="equal">
      <formula>"RSVD"</formula>
    </cfRule>
  </conditionalFormatting>
  <conditionalFormatting sqref="E97">
    <cfRule type="cellIs" dxfId="124" priority="113" operator="equal">
      <formula>"RSVD"</formula>
    </cfRule>
  </conditionalFormatting>
  <conditionalFormatting sqref="E98">
    <cfRule type="cellIs" dxfId="123" priority="112" operator="equal">
      <formula>"RSVD"</formula>
    </cfRule>
  </conditionalFormatting>
  <conditionalFormatting sqref="E99">
    <cfRule type="cellIs" dxfId="122" priority="111" operator="equal">
      <formula>"RSVD"</formula>
    </cfRule>
  </conditionalFormatting>
  <conditionalFormatting sqref="E100">
    <cfRule type="cellIs" dxfId="121" priority="110" operator="equal">
      <formula>"RSVD"</formula>
    </cfRule>
  </conditionalFormatting>
  <conditionalFormatting sqref="E101">
    <cfRule type="cellIs" dxfId="120" priority="109" operator="equal">
      <formula>"RSVD"</formula>
    </cfRule>
  </conditionalFormatting>
  <conditionalFormatting sqref="E103:L103">
    <cfRule type="cellIs" dxfId="119" priority="108" operator="equal">
      <formula>"RSVD"</formula>
    </cfRule>
  </conditionalFormatting>
  <conditionalFormatting sqref="E106:L106">
    <cfRule type="cellIs" dxfId="118" priority="107" operator="equal">
      <formula>"RSVD"</formula>
    </cfRule>
  </conditionalFormatting>
  <conditionalFormatting sqref="E108:L108">
    <cfRule type="cellIs" dxfId="117" priority="105" operator="equal">
      <formula>"RSVD"</formula>
    </cfRule>
  </conditionalFormatting>
  <conditionalFormatting sqref="E109:L109">
    <cfRule type="cellIs" dxfId="116" priority="104" operator="equal">
      <formula>"RSVD"</formula>
    </cfRule>
  </conditionalFormatting>
  <conditionalFormatting sqref="K3 H4 E9">
    <cfRule type="cellIs" dxfId="115" priority="103" operator="equal">
      <formula>"RSVD"</formula>
    </cfRule>
  </conditionalFormatting>
  <conditionalFormatting sqref="F63:N63">
    <cfRule type="cellIs" dxfId="114" priority="102" operator="equal">
      <formula>"RSVD"</formula>
    </cfRule>
  </conditionalFormatting>
  <conditionalFormatting sqref="E55">
    <cfRule type="cellIs" dxfId="113" priority="100" operator="equal">
      <formula>"RSVD"</formula>
    </cfRule>
  </conditionalFormatting>
  <conditionalFormatting sqref="F67">
    <cfRule type="cellIs" dxfId="112" priority="85" operator="equal">
      <formula>"RSVD"</formula>
    </cfRule>
  </conditionalFormatting>
  <conditionalFormatting sqref="F67">
    <cfRule type="cellIs" dxfId="111" priority="84" operator="equal">
      <formula>"RSVD"</formula>
    </cfRule>
  </conditionalFormatting>
  <conditionalFormatting sqref="G72:N72 F70:F71">
    <cfRule type="cellIs" dxfId="110" priority="83" operator="equal">
      <formula>"RSVD"</formula>
    </cfRule>
  </conditionalFormatting>
  <conditionalFormatting sqref="F73:N74 G75:N75">
    <cfRule type="cellIs" dxfId="109" priority="82" operator="equal">
      <formula>"RSVD"</formula>
    </cfRule>
  </conditionalFormatting>
  <conditionalFormatting sqref="F71:N71">
    <cfRule type="cellIs" dxfId="108" priority="81" operator="equal">
      <formula>"RSVD"</formula>
    </cfRule>
  </conditionalFormatting>
  <conditionalFormatting sqref="F75">
    <cfRule type="cellIs" dxfId="107" priority="80" operator="equal">
      <formula>"RSVD"</formula>
    </cfRule>
  </conditionalFormatting>
  <conditionalFormatting sqref="F75">
    <cfRule type="cellIs" dxfId="106" priority="79" operator="equal">
      <formula>"RSVD"</formula>
    </cfRule>
  </conditionalFormatting>
  <conditionalFormatting sqref="G21">
    <cfRule type="cellIs" dxfId="105" priority="78" operator="equal">
      <formula>"RSVD"</formula>
    </cfRule>
  </conditionalFormatting>
  <conditionalFormatting sqref="G22">
    <cfRule type="cellIs" dxfId="104" priority="77" operator="equal">
      <formula>"RSVD"</formula>
    </cfRule>
  </conditionalFormatting>
  <conditionalFormatting sqref="G23">
    <cfRule type="cellIs" dxfId="103" priority="76" operator="equal">
      <formula>"RSVD"</formula>
    </cfRule>
  </conditionalFormatting>
  <conditionalFormatting sqref="G24">
    <cfRule type="cellIs" dxfId="102" priority="75" operator="equal">
      <formula>"RSVD"</formula>
    </cfRule>
  </conditionalFormatting>
  <conditionalFormatting sqref="F7:M9">
    <cfRule type="expression" dxfId="101" priority="66">
      <formula>F$6="VIN Ch Disabled"</formula>
    </cfRule>
  </conditionalFormatting>
  <conditionalFormatting sqref="E21:O24">
    <cfRule type="expression" dxfId="100" priority="65">
      <formula>$F$6="VIN Ch Disabled"</formula>
    </cfRule>
  </conditionalFormatting>
  <conditionalFormatting sqref="E28">
    <cfRule type="cellIs" dxfId="99" priority="63" operator="equal">
      <formula>"RSVD"</formula>
    </cfRule>
  </conditionalFormatting>
  <conditionalFormatting sqref="E27">
    <cfRule type="cellIs" dxfId="98" priority="62" operator="equal">
      <formula>"RSVD"</formula>
    </cfRule>
  </conditionalFormatting>
  <conditionalFormatting sqref="E26">
    <cfRule type="cellIs" dxfId="97" priority="61" operator="equal">
      <formula>"RSVD"</formula>
    </cfRule>
  </conditionalFormatting>
  <conditionalFormatting sqref="E29">
    <cfRule type="cellIs" dxfId="96" priority="60" operator="equal">
      <formula>"RSVD"</formula>
    </cfRule>
  </conditionalFormatting>
  <conditionalFormatting sqref="G26">
    <cfRule type="cellIs" dxfId="95" priority="59" operator="equal">
      <formula>"RSVD"</formula>
    </cfRule>
  </conditionalFormatting>
  <conditionalFormatting sqref="G27">
    <cfRule type="cellIs" dxfId="94" priority="58" operator="equal">
      <formula>"RSVD"</formula>
    </cfRule>
  </conditionalFormatting>
  <conditionalFormatting sqref="G28">
    <cfRule type="cellIs" dxfId="93" priority="57" operator="equal">
      <formula>"RSVD"</formula>
    </cfRule>
  </conditionalFormatting>
  <conditionalFormatting sqref="G29">
    <cfRule type="cellIs" dxfId="92" priority="56" operator="equal">
      <formula>"RSVD"</formula>
    </cfRule>
  </conditionalFormatting>
  <conditionalFormatting sqref="E26:O29">
    <cfRule type="expression" dxfId="91" priority="55">
      <formula>$G$6="VIN Ch Disabled"</formula>
    </cfRule>
  </conditionalFormatting>
  <conditionalFormatting sqref="E33">
    <cfRule type="cellIs" dxfId="90" priority="54" operator="equal">
      <formula>"RSVD"</formula>
    </cfRule>
  </conditionalFormatting>
  <conditionalFormatting sqref="E32">
    <cfRule type="cellIs" dxfId="89" priority="53" operator="equal">
      <formula>"RSVD"</formula>
    </cfRule>
  </conditionalFormatting>
  <conditionalFormatting sqref="E31">
    <cfRule type="cellIs" dxfId="88" priority="52" operator="equal">
      <formula>"RSVD"</formula>
    </cfRule>
  </conditionalFormatting>
  <conditionalFormatting sqref="E34">
    <cfRule type="cellIs" dxfId="87" priority="51" operator="equal">
      <formula>"RSVD"</formula>
    </cfRule>
  </conditionalFormatting>
  <conditionalFormatting sqref="G31">
    <cfRule type="cellIs" dxfId="86" priority="50" operator="equal">
      <formula>"RSVD"</formula>
    </cfRule>
  </conditionalFormatting>
  <conditionalFormatting sqref="G32">
    <cfRule type="cellIs" dxfId="85" priority="49" operator="equal">
      <formula>"RSVD"</formula>
    </cfRule>
  </conditionalFormatting>
  <conditionalFormatting sqref="G33">
    <cfRule type="cellIs" dxfId="84" priority="48" operator="equal">
      <formula>"RSVD"</formula>
    </cfRule>
  </conditionalFormatting>
  <conditionalFormatting sqref="G34">
    <cfRule type="cellIs" dxfId="83" priority="47" operator="equal">
      <formula>"RSVD"</formula>
    </cfRule>
  </conditionalFormatting>
  <conditionalFormatting sqref="E31:O34">
    <cfRule type="expression" dxfId="82" priority="46">
      <formula>$H$6="VIN Ch Disabled"</formula>
    </cfRule>
  </conditionalFormatting>
  <conditionalFormatting sqref="E38">
    <cfRule type="cellIs" dxfId="81" priority="45" operator="equal">
      <formula>"RSVD"</formula>
    </cfRule>
  </conditionalFormatting>
  <conditionalFormatting sqref="E37">
    <cfRule type="cellIs" dxfId="80" priority="44" operator="equal">
      <formula>"RSVD"</formula>
    </cfRule>
  </conditionalFormatting>
  <conditionalFormatting sqref="E36">
    <cfRule type="cellIs" dxfId="79" priority="43" operator="equal">
      <formula>"RSVD"</formula>
    </cfRule>
  </conditionalFormatting>
  <conditionalFormatting sqref="E39">
    <cfRule type="cellIs" dxfId="78" priority="42" operator="equal">
      <formula>"RSVD"</formula>
    </cfRule>
  </conditionalFormatting>
  <conditionalFormatting sqref="G36">
    <cfRule type="cellIs" dxfId="77" priority="41" operator="equal">
      <formula>"RSVD"</formula>
    </cfRule>
  </conditionalFormatting>
  <conditionalFormatting sqref="G37">
    <cfRule type="cellIs" dxfId="76" priority="40" operator="equal">
      <formula>"RSVD"</formula>
    </cfRule>
  </conditionalFormatting>
  <conditionalFormatting sqref="G38">
    <cfRule type="cellIs" dxfId="75" priority="39" operator="equal">
      <formula>"RSVD"</formula>
    </cfRule>
  </conditionalFormatting>
  <conditionalFormatting sqref="G39">
    <cfRule type="cellIs" dxfId="74" priority="38" operator="equal">
      <formula>"RSVD"</formula>
    </cfRule>
  </conditionalFormatting>
  <conditionalFormatting sqref="E36:O39">
    <cfRule type="expression" dxfId="73" priority="37">
      <formula>$I$6="VIN Ch Disabled"</formula>
    </cfRule>
  </conditionalFormatting>
  <conditionalFormatting sqref="E43">
    <cfRule type="cellIs" dxfId="72" priority="36" operator="equal">
      <formula>"RSVD"</formula>
    </cfRule>
  </conditionalFormatting>
  <conditionalFormatting sqref="E42">
    <cfRule type="cellIs" dxfId="71" priority="35" operator="equal">
      <formula>"RSVD"</formula>
    </cfRule>
  </conditionalFormatting>
  <conditionalFormatting sqref="E41">
    <cfRule type="cellIs" dxfId="70" priority="34" operator="equal">
      <formula>"RSVD"</formula>
    </cfRule>
  </conditionalFormatting>
  <conditionalFormatting sqref="E44">
    <cfRule type="cellIs" dxfId="69" priority="33" operator="equal">
      <formula>"RSVD"</formula>
    </cfRule>
  </conditionalFormatting>
  <conditionalFormatting sqref="G41">
    <cfRule type="cellIs" dxfId="68" priority="32" operator="equal">
      <formula>"RSVD"</formula>
    </cfRule>
  </conditionalFormatting>
  <conditionalFormatting sqref="G42">
    <cfRule type="cellIs" dxfId="67" priority="31" operator="equal">
      <formula>"RSVD"</formula>
    </cfRule>
  </conditionalFormatting>
  <conditionalFormatting sqref="G43">
    <cfRule type="cellIs" dxfId="66" priority="30" operator="equal">
      <formula>"RSVD"</formula>
    </cfRule>
  </conditionalFormatting>
  <conditionalFormatting sqref="G44">
    <cfRule type="cellIs" dxfId="65" priority="29" operator="equal">
      <formula>"RSVD"</formula>
    </cfRule>
  </conditionalFormatting>
  <conditionalFormatting sqref="E41:O44">
    <cfRule type="expression" dxfId="64" priority="28">
      <formula>$J$6="VIN Ch Disabled"</formula>
    </cfRule>
  </conditionalFormatting>
  <conditionalFormatting sqref="E48">
    <cfRule type="cellIs" dxfId="63" priority="27" operator="equal">
      <formula>"RSVD"</formula>
    </cfRule>
  </conditionalFormatting>
  <conditionalFormatting sqref="E47">
    <cfRule type="cellIs" dxfId="62" priority="26" operator="equal">
      <formula>"RSVD"</formula>
    </cfRule>
  </conditionalFormatting>
  <conditionalFormatting sqref="E46">
    <cfRule type="cellIs" dxfId="61" priority="25" operator="equal">
      <formula>"RSVD"</formula>
    </cfRule>
  </conditionalFormatting>
  <conditionalFormatting sqref="E49">
    <cfRule type="cellIs" dxfId="60" priority="24" operator="equal">
      <formula>"RSVD"</formula>
    </cfRule>
  </conditionalFormatting>
  <conditionalFormatting sqref="G46">
    <cfRule type="cellIs" dxfId="59" priority="23" operator="equal">
      <formula>"RSVD"</formula>
    </cfRule>
  </conditionalFormatting>
  <conditionalFormatting sqref="G47">
    <cfRule type="cellIs" dxfId="58" priority="22" operator="equal">
      <formula>"RSVD"</formula>
    </cfRule>
  </conditionalFormatting>
  <conditionalFormatting sqref="G48">
    <cfRule type="cellIs" dxfId="57" priority="21" operator="equal">
      <formula>"RSVD"</formula>
    </cfRule>
  </conditionalFormatting>
  <conditionalFormatting sqref="G49">
    <cfRule type="cellIs" dxfId="56" priority="20" operator="equal">
      <formula>"RSVD"</formula>
    </cfRule>
  </conditionalFormatting>
  <conditionalFormatting sqref="E46:O49">
    <cfRule type="expression" dxfId="55" priority="19">
      <formula>$K$6="VIN Ch Disabled"</formula>
    </cfRule>
  </conditionalFormatting>
  <conditionalFormatting sqref="E53">
    <cfRule type="cellIs" dxfId="54" priority="18" operator="equal">
      <formula>"RSVD"</formula>
    </cfRule>
  </conditionalFormatting>
  <conditionalFormatting sqref="E52">
    <cfRule type="cellIs" dxfId="53" priority="17" operator="equal">
      <formula>"RSVD"</formula>
    </cfRule>
  </conditionalFormatting>
  <conditionalFormatting sqref="E51">
    <cfRule type="cellIs" dxfId="52" priority="16" operator="equal">
      <formula>"RSVD"</formula>
    </cfRule>
  </conditionalFormatting>
  <conditionalFormatting sqref="E54">
    <cfRule type="cellIs" dxfId="51" priority="15" operator="equal">
      <formula>"RSVD"</formula>
    </cfRule>
  </conditionalFormatting>
  <conditionalFormatting sqref="G51">
    <cfRule type="cellIs" dxfId="50" priority="14" operator="equal">
      <formula>"RSVD"</formula>
    </cfRule>
  </conditionalFormatting>
  <conditionalFormatting sqref="G52">
    <cfRule type="cellIs" dxfId="49" priority="13" operator="equal">
      <formula>"RSVD"</formula>
    </cfRule>
  </conditionalFormatting>
  <conditionalFormatting sqref="G53">
    <cfRule type="cellIs" dxfId="48" priority="12" operator="equal">
      <formula>"RSVD"</formula>
    </cfRule>
  </conditionalFormatting>
  <conditionalFormatting sqref="G54">
    <cfRule type="cellIs" dxfId="47" priority="11" operator="equal">
      <formula>"RSVD"</formula>
    </cfRule>
  </conditionalFormatting>
  <conditionalFormatting sqref="E51:O54">
    <cfRule type="expression" dxfId="46" priority="10">
      <formula>$L$6="VIN Ch Disabled"</formula>
    </cfRule>
  </conditionalFormatting>
  <conditionalFormatting sqref="E58">
    <cfRule type="cellIs" dxfId="45" priority="9" operator="equal">
      <formula>"RSVD"</formula>
    </cfRule>
  </conditionalFormatting>
  <conditionalFormatting sqref="E57">
    <cfRule type="cellIs" dxfId="44" priority="8" operator="equal">
      <formula>"RSVD"</formula>
    </cfRule>
  </conditionalFormatting>
  <conditionalFormatting sqref="E56">
    <cfRule type="cellIs" dxfId="43" priority="7" operator="equal">
      <formula>"RSVD"</formula>
    </cfRule>
  </conditionalFormatting>
  <conditionalFormatting sqref="E59">
    <cfRule type="cellIs" dxfId="42" priority="6" operator="equal">
      <formula>"RSVD"</formula>
    </cfRule>
  </conditionalFormatting>
  <conditionalFormatting sqref="G56">
    <cfRule type="cellIs" dxfId="41" priority="5" operator="equal">
      <formula>"RSVD"</formula>
    </cfRule>
  </conditionalFormatting>
  <conditionalFormatting sqref="G57">
    <cfRule type="cellIs" dxfId="40" priority="4" operator="equal">
      <formula>"RSVD"</formula>
    </cfRule>
  </conditionalFormatting>
  <conditionalFormatting sqref="G58">
    <cfRule type="cellIs" dxfId="39" priority="3" operator="equal">
      <formula>"RSVD"</formula>
    </cfRule>
  </conditionalFormatting>
  <conditionalFormatting sqref="G59">
    <cfRule type="cellIs" dxfId="38" priority="2" operator="equal">
      <formula>"RSVD"</formula>
    </cfRule>
  </conditionalFormatting>
  <conditionalFormatting sqref="E56:O59">
    <cfRule type="expression" dxfId="37" priority="1">
      <formula>$M$6="VIN Ch Disabled"</formula>
    </cfRule>
  </conditionalFormatting>
  <dataValidations xWindow="792" yWindow="525" count="13">
    <dataValidation showInputMessage="1" showErrorMessage="1" sqref="F105" xr:uid="{8EAB427A-C270-4A57-8B78-A2B4CFEEEA9C}"/>
    <dataValidation type="list" showInputMessage="1" showErrorMessage="1" sqref="H104:H105" xr:uid="{5CF511AC-0665-4F28-8BD2-A9EFF794E204}">
      <formula1>wrks_regs</formula1>
    </dataValidation>
    <dataValidation type="list" showInputMessage="1" showErrorMessage="1" sqref="I104:I105" xr:uid="{BBCBBB2E-609F-4342-AE75-E375882B2E53}">
      <formula1>cfg_regs</formula1>
    </dataValidation>
    <dataValidation type="list" showInputMessage="1" showErrorMessage="1" sqref="J104:J105" xr:uid="{EB9E1886-E7FB-4A30-BC0A-0FED0A61C1F7}">
      <formula1>ien_regs</formula1>
    </dataValidation>
    <dataValidation type="list" showInputMessage="1" showErrorMessage="1" sqref="K104:K105" xr:uid="{0114C097-EE32-47EB-8A56-E6931C7CD7FB}">
      <formula1>mon_regs</formula1>
    </dataValidation>
    <dataValidation type="list" showInputMessage="1" showErrorMessage="1" sqref="L104:L105" xr:uid="{4B5E4AD4-7E34-473C-A068-D2DAF777F4F5}">
      <formula1>seq_regs</formula1>
    </dataValidation>
    <dataValidation type="list" showInputMessage="1" showErrorMessage="1" sqref="L103" xr:uid="{7DDFCD5C-DD6E-4108-AD2F-323E5118E61F}">
      <formula1>bank_sel</formula1>
    </dataValidation>
    <dataValidation type="list" showInputMessage="1" showErrorMessage="1" sqref="E106:L106" xr:uid="{FB75EDA4-FDE7-4F99-9E60-BD0C9E415E24}">
      <formula1>chmon_regs</formula1>
    </dataValidation>
    <dataValidation type="list" showInputMessage="1" showErrorMessage="1" sqref="F108:I108" xr:uid="{EFC730B1-F9FC-445F-8736-3E06971D810F}">
      <formula1>addr_nvm_i2c</formula1>
    </dataValidation>
    <dataValidation type="list" showInputMessage="1" showErrorMessage="1" sqref="J108:L108" xr:uid="{D37ADB49-22D7-4AB3-8FA2-6F5FF6A80137}">
      <formula1>addr_strap_i2c</formula1>
    </dataValidation>
    <dataValidation type="list" showInputMessage="1" showErrorMessage="1" sqref="L109" xr:uid="{E6159A6C-5716-48FA-B797-592313862CB8}">
      <formula1>soc_if</formula1>
    </dataValidation>
    <dataValidation type="list" showInputMessage="1" showErrorMessage="1" sqref="G104:G105 F104" xr:uid="{B6B595AD-4CF7-4C90-8C5E-EB464B1A272C}">
      <formula1>wrkc_regs</formula1>
    </dataValidation>
    <dataValidation type="custom" showErrorMessage="1" error="VIN Ch is Disabled" prompt="VIN Ch is Disabled" sqref="F7:M9" xr:uid="{0A3261C7-3563-4C37-AD3E-BAFB56C00260}">
      <formula1>F$6="VIN Ch Enabled"</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92" yWindow="525" count="2">
        <x14:dataValidation type="list" allowBlank="1" showInputMessage="1" showErrorMessage="1" xr:uid="{D92BE50D-15A2-462C-9B6F-74295C336523}">
          <x14:formula1>
            <xm:f>Lists!$D$16:$D$23</xm:f>
          </x14:formula1>
          <xm:sqref>T49:AB49</xm:sqref>
        </x14:dataValidation>
        <x14:dataValidation type="list" allowBlank="1" showInputMessage="1" showErrorMessage="1" xr:uid="{4FFF5B29-AFC9-44B8-9E72-DD61769331F3}">
          <x14:formula1>
            <xm:f>Lists!$E$16:$E$17</xm:f>
          </x14:formula1>
          <xm:sqref>F6:M6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EF56-9075-4E29-A87F-90E8E72C70BB}">
  <sheetPr codeName="Sheet5"/>
  <dimension ref="A1:G16"/>
  <sheetViews>
    <sheetView topLeftCell="A4" zoomScale="85" zoomScaleNormal="85" zoomScaleSheetLayoutView="50" workbookViewId="0">
      <selection activeCell="A5" sqref="A5"/>
    </sheetView>
  </sheetViews>
  <sheetFormatPr defaultRowHeight="15.5" x14ac:dyDescent="0.35"/>
  <cols>
    <col min="1" max="1" width="17.36328125" style="202" customWidth="1"/>
    <col min="2" max="2" width="6.54296875" style="202" customWidth="1"/>
    <col min="3" max="3" width="20" style="202" customWidth="1"/>
    <col min="4" max="4" width="16.26953125" style="202" customWidth="1"/>
    <col min="5" max="5" width="61.7265625" style="202" customWidth="1"/>
    <col min="6" max="6" width="10.453125" style="202" bestFit="1" customWidth="1"/>
    <col min="7" max="7" width="100.81640625" style="202" customWidth="1"/>
    <col min="8" max="16384" width="8.7265625" style="202"/>
  </cols>
  <sheetData>
    <row r="1" spans="1:7" ht="16" thickBot="1" x14ac:dyDescent="0.4"/>
    <row r="2" spans="1:7" ht="16" thickBot="1" x14ac:dyDescent="0.4">
      <c r="A2" s="226"/>
      <c r="B2" s="291"/>
      <c r="C2" s="292" t="s">
        <v>593</v>
      </c>
      <c r="G2" s="230"/>
    </row>
    <row r="3" spans="1:7" ht="16" thickBot="1" x14ac:dyDescent="0.4">
      <c r="B3" s="290"/>
      <c r="C3" s="292" t="s">
        <v>624</v>
      </c>
    </row>
    <row r="4" spans="1:7" ht="16" thickBot="1" x14ac:dyDescent="0.4"/>
    <row r="5" spans="1:7" ht="21.5" thickBot="1" x14ac:dyDescent="0.4">
      <c r="C5" s="313" t="s">
        <v>570</v>
      </c>
      <c r="D5" s="314"/>
      <c r="E5" s="293"/>
    </row>
    <row r="6" spans="1:7" ht="20" thickBot="1" x14ac:dyDescent="0.4">
      <c r="C6" s="231"/>
      <c r="D6" s="232" t="s">
        <v>560</v>
      </c>
      <c r="E6" s="233" t="s">
        <v>572</v>
      </c>
    </row>
    <row r="7" spans="1:7" ht="29.5" customHeight="1" x14ac:dyDescent="0.35">
      <c r="C7" s="234" t="s">
        <v>561</v>
      </c>
      <c r="D7" s="235">
        <v>0</v>
      </c>
      <c r="E7" s="295" t="s">
        <v>576</v>
      </c>
    </row>
    <row r="8" spans="1:7" ht="29.5" customHeight="1" x14ac:dyDescent="0.35">
      <c r="B8" s="229"/>
      <c r="C8" s="236" t="s">
        <v>563</v>
      </c>
      <c r="D8" s="284">
        <v>33</v>
      </c>
      <c r="E8" s="294" t="s">
        <v>573</v>
      </c>
    </row>
    <row r="9" spans="1:7" ht="29.5" customHeight="1" x14ac:dyDescent="0.35">
      <c r="B9" s="229"/>
      <c r="C9" s="236" t="s">
        <v>565</v>
      </c>
      <c r="D9" s="284">
        <v>23</v>
      </c>
      <c r="E9" s="294" t="s">
        <v>574</v>
      </c>
    </row>
    <row r="10" spans="1:7" ht="29.5" customHeight="1" thickBot="1" x14ac:dyDescent="0.4">
      <c r="A10" s="226"/>
      <c r="B10" s="229"/>
      <c r="C10" s="237" t="s">
        <v>566</v>
      </c>
      <c r="D10" s="285">
        <v>11</v>
      </c>
      <c r="E10" s="296" t="s">
        <v>575</v>
      </c>
    </row>
    <row r="11" spans="1:7" x14ac:dyDescent="0.35">
      <c r="C11" s="206"/>
      <c r="D11" s="206"/>
    </row>
    <row r="12" spans="1:7" ht="16" thickBot="1" x14ac:dyDescent="0.4">
      <c r="C12" s="206"/>
      <c r="D12" s="206"/>
    </row>
    <row r="13" spans="1:7" ht="21.5" thickBot="1" x14ac:dyDescent="0.4">
      <c r="C13" s="315" t="s">
        <v>571</v>
      </c>
      <c r="D13" s="316"/>
      <c r="E13" s="226"/>
    </row>
    <row r="14" spans="1:7" ht="22" customHeight="1" thickBot="1" x14ac:dyDescent="0.4">
      <c r="C14" s="227"/>
      <c r="D14" s="228" t="s">
        <v>560</v>
      </c>
      <c r="E14" s="233" t="s">
        <v>572</v>
      </c>
    </row>
    <row r="15" spans="1:7" ht="39" x14ac:dyDescent="0.35">
      <c r="C15" s="288" t="s">
        <v>562</v>
      </c>
      <c r="D15" s="286" t="str">
        <f>PEC_Calc!E2</f>
        <v>5E</v>
      </c>
      <c r="E15" s="295" t="s">
        <v>626</v>
      </c>
    </row>
    <row r="16" spans="1:7" ht="39.5" thickBot="1" x14ac:dyDescent="0.4">
      <c r="C16" s="289" t="s">
        <v>564</v>
      </c>
      <c r="D16" s="287" t="str">
        <f>PEC_Calc!E3</f>
        <v>36</v>
      </c>
      <c r="E16" s="294" t="s">
        <v>625</v>
      </c>
    </row>
  </sheetData>
  <mergeCells count="2">
    <mergeCell ref="C5:D5"/>
    <mergeCell ref="C13:D1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B25A-3FB7-45C2-857C-06C1A005EF20}">
  <sheetPr codeName="Sheet6"/>
  <dimension ref="B4:L22"/>
  <sheetViews>
    <sheetView topLeftCell="A4" zoomScale="115" zoomScaleNormal="115" workbookViewId="0">
      <selection activeCell="H4" sqref="H4"/>
    </sheetView>
  </sheetViews>
  <sheetFormatPr defaultRowHeight="14.5" x14ac:dyDescent="0.35"/>
  <cols>
    <col min="1" max="1" width="9.7265625" customWidth="1"/>
    <col min="2" max="2" width="9.08984375" customWidth="1"/>
    <col min="3" max="3" width="16.36328125" customWidth="1"/>
    <col min="4" max="4" width="17.6328125" customWidth="1"/>
    <col min="5" max="5" width="18.36328125" customWidth="1"/>
    <col min="6" max="6" width="14.81640625" customWidth="1"/>
    <col min="7" max="7" width="17.54296875" customWidth="1"/>
    <col min="9" max="9" width="14" bestFit="1" customWidth="1"/>
    <col min="11" max="11" width="13.26953125" customWidth="1"/>
  </cols>
  <sheetData>
    <row r="4" spans="2:12" ht="15" thickBot="1" x14ac:dyDescent="0.4"/>
    <row r="5" spans="2:12" ht="15" thickBot="1" x14ac:dyDescent="0.4">
      <c r="B5" s="248"/>
      <c r="C5" s="249" t="s">
        <v>593</v>
      </c>
    </row>
    <row r="6" spans="2:12" ht="15" thickBot="1" x14ac:dyDescent="0.4">
      <c r="B6" s="274"/>
      <c r="C6" s="275" t="s">
        <v>624</v>
      </c>
      <c r="L6" s="250"/>
    </row>
    <row r="7" spans="2:12" ht="15" thickBot="1" x14ac:dyDescent="0.4">
      <c r="L7" s="250" t="b">
        <f t="shared" ref="L7:L14" si="0">AND(EXACT(F9,UPPER(F9)),LEN(F9)&lt;=2)</f>
        <v>1</v>
      </c>
    </row>
    <row r="8" spans="2:12" ht="15" thickBot="1" x14ac:dyDescent="0.4">
      <c r="C8" s="243" t="s">
        <v>579</v>
      </c>
      <c r="D8" s="244" t="s">
        <v>1</v>
      </c>
      <c r="E8" s="244" t="s">
        <v>589</v>
      </c>
      <c r="F8" s="244" t="s">
        <v>588</v>
      </c>
      <c r="G8" s="245" t="s">
        <v>623</v>
      </c>
      <c r="L8" s="250" t="b">
        <f t="shared" si="0"/>
        <v>1</v>
      </c>
    </row>
    <row r="9" spans="2:12" x14ac:dyDescent="0.35">
      <c r="B9" s="280" t="s">
        <v>594</v>
      </c>
      <c r="C9" s="276" t="s">
        <v>222</v>
      </c>
      <c r="D9" s="241" t="s">
        <v>580</v>
      </c>
      <c r="E9" s="242" t="s">
        <v>591</v>
      </c>
      <c r="F9" s="242" t="s">
        <v>622</v>
      </c>
      <c r="G9" s="272">
        <f>((HEX2DEC(F9)*0.005)+0.2)*(IF(E9="4x MON Scaling",4,1))</f>
        <v>1.3149999999999999</v>
      </c>
      <c r="L9" s="250" t="b">
        <f t="shared" si="0"/>
        <v>1</v>
      </c>
    </row>
    <row r="10" spans="2:12" x14ac:dyDescent="0.35">
      <c r="B10" s="281" t="s">
        <v>595</v>
      </c>
      <c r="C10" s="277" t="s">
        <v>55</v>
      </c>
      <c r="D10" s="240" t="s">
        <v>581</v>
      </c>
      <c r="E10" s="242" t="s">
        <v>591</v>
      </c>
      <c r="F10" s="242" t="s">
        <v>577</v>
      </c>
      <c r="G10" s="272">
        <f>((HEX2DEC(F10)*0.005)+0.2)*(IF(E10="4x MON Scaling",4,1))</f>
        <v>1.05</v>
      </c>
      <c r="L10" s="250" t="b">
        <f t="shared" si="0"/>
        <v>1</v>
      </c>
    </row>
    <row r="11" spans="2:12" x14ac:dyDescent="0.35">
      <c r="B11" s="281" t="s">
        <v>596</v>
      </c>
      <c r="C11" s="278" t="s">
        <v>147</v>
      </c>
      <c r="D11" s="239" t="s">
        <v>582</v>
      </c>
      <c r="E11" s="242" t="s">
        <v>591</v>
      </c>
      <c r="F11" s="242">
        <v>45</v>
      </c>
      <c r="G11" s="272">
        <f>((HEX2DEC(F11)*0.005)+0.2)*(IF(E11="4x MON Scaling",4,1))</f>
        <v>0.54500000000000004</v>
      </c>
      <c r="L11" s="250" t="b">
        <f t="shared" si="0"/>
        <v>1</v>
      </c>
    </row>
    <row r="12" spans="2:12" x14ac:dyDescent="0.35">
      <c r="B12" s="281" t="s">
        <v>597</v>
      </c>
      <c r="C12" s="277" t="s">
        <v>202</v>
      </c>
      <c r="D12" s="240" t="s">
        <v>583</v>
      </c>
      <c r="E12" s="242" t="s">
        <v>591</v>
      </c>
      <c r="F12" s="242" t="s">
        <v>602</v>
      </c>
      <c r="G12" s="272">
        <f t="shared" ref="G12:G16" si="1">((HEX2DEC(F12)*0.005)+0.2)*(IF(E12="4x MON Scaling",4,1))</f>
        <v>1.2349999999999999</v>
      </c>
      <c r="L12" s="250" t="b">
        <f t="shared" si="0"/>
        <v>1</v>
      </c>
    </row>
    <row r="13" spans="2:12" x14ac:dyDescent="0.35">
      <c r="B13" s="281" t="s">
        <v>598</v>
      </c>
      <c r="C13" s="278" t="s">
        <v>203</v>
      </c>
      <c r="D13" s="239" t="s">
        <v>584</v>
      </c>
      <c r="E13" s="242" t="s">
        <v>591</v>
      </c>
      <c r="F13" s="242" t="s">
        <v>578</v>
      </c>
      <c r="G13" s="272">
        <f t="shared" si="1"/>
        <v>1.31</v>
      </c>
      <c r="L13" s="250" t="b">
        <f t="shared" si="0"/>
        <v>1</v>
      </c>
    </row>
    <row r="14" spans="2:12" x14ac:dyDescent="0.35">
      <c r="B14" s="281" t="s">
        <v>599</v>
      </c>
      <c r="C14" s="277" t="s">
        <v>146</v>
      </c>
      <c r="D14" s="240" t="s">
        <v>585</v>
      </c>
      <c r="E14" s="242" t="s">
        <v>590</v>
      </c>
      <c r="F14" s="242" t="s">
        <v>628</v>
      </c>
      <c r="G14" s="272">
        <f t="shared" si="1"/>
        <v>3.3</v>
      </c>
      <c r="L14" s="250" t="b">
        <f t="shared" si="0"/>
        <v>1</v>
      </c>
    </row>
    <row r="15" spans="2:12" x14ac:dyDescent="0.35">
      <c r="B15" s="281" t="s">
        <v>600</v>
      </c>
      <c r="C15" s="278" t="s">
        <v>54</v>
      </c>
      <c r="D15" s="239" t="s">
        <v>586</v>
      </c>
      <c r="E15" s="242" t="s">
        <v>591</v>
      </c>
      <c r="F15" s="242" t="s">
        <v>577</v>
      </c>
      <c r="G15" s="272">
        <f t="shared" si="1"/>
        <v>1.05</v>
      </c>
      <c r="L15" s="250"/>
    </row>
    <row r="16" spans="2:12" ht="15" thickBot="1" x14ac:dyDescent="0.4">
      <c r="B16" s="282" t="s">
        <v>601</v>
      </c>
      <c r="C16" s="279" t="s">
        <v>223</v>
      </c>
      <c r="D16" s="246" t="s">
        <v>587</v>
      </c>
      <c r="E16" s="247" t="s">
        <v>590</v>
      </c>
      <c r="F16" s="247" t="s">
        <v>605</v>
      </c>
      <c r="G16" s="273">
        <f t="shared" si="1"/>
        <v>5.2</v>
      </c>
    </row>
    <row r="22" spans="7:7" x14ac:dyDescent="0.35">
      <c r="G22" s="28"/>
    </row>
  </sheetData>
  <dataValidations count="1">
    <dataValidation type="custom" showInputMessage="1" showErrorMessage="1" error="Invalid character length or lowercase entry_x000a_" prompt="Max two character, Capatilize entry" sqref="F9:F16" xr:uid="{4C20CC79-AC10-472E-BCDB-6E25C19E8CB7}">
      <formula1>L7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3A842E-F21B-48F5-A158-5834885AF723}">
          <x14:formula1>
            <xm:f>Lists!$D$27:$D$28</xm:f>
          </x14:formula1>
          <xm:sqref>E9:E16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EECE-1CCA-4C94-9A46-4238BF157F63}">
  <sheetPr codeName="Sheet7"/>
  <dimension ref="B3:U38"/>
  <sheetViews>
    <sheetView topLeftCell="A4" zoomScale="85" zoomScaleNormal="85" workbookViewId="0">
      <selection activeCell="H22" sqref="H22"/>
    </sheetView>
  </sheetViews>
  <sheetFormatPr defaultRowHeight="14.5" x14ac:dyDescent="0.35"/>
  <cols>
    <col min="2" max="2" width="10.26953125" customWidth="1"/>
    <col min="3" max="3" width="17.7265625" customWidth="1"/>
    <col min="4" max="4" width="12.81640625" customWidth="1"/>
    <col min="5" max="5" width="17.7265625" style="238" customWidth="1"/>
    <col min="6" max="6" width="17.81640625" customWidth="1"/>
    <col min="16" max="16" width="15.81640625" bestFit="1" customWidth="1"/>
    <col min="18" max="18" width="14.90625" bestFit="1" customWidth="1"/>
  </cols>
  <sheetData>
    <row r="3" spans="2:21" x14ac:dyDescent="0.35">
      <c r="F3" s="28"/>
      <c r="G3" s="28"/>
      <c r="H3" s="251"/>
      <c r="I3" s="251"/>
      <c r="J3" s="250"/>
      <c r="K3" s="250"/>
      <c r="L3" s="250"/>
      <c r="M3" s="250"/>
      <c r="N3" s="250"/>
      <c r="O3" s="250"/>
      <c r="P3" s="251"/>
      <c r="Q3" s="251"/>
      <c r="R3" s="251"/>
      <c r="S3" s="251"/>
      <c r="T3" s="251"/>
      <c r="U3" s="251"/>
    </row>
    <row r="4" spans="2:21" ht="15" thickBot="1" x14ac:dyDescent="0.4"/>
    <row r="5" spans="2:21" ht="15" thickBot="1" x14ac:dyDescent="0.4">
      <c r="B5" s="248"/>
      <c r="C5" s="249" t="s">
        <v>593</v>
      </c>
      <c r="D5" s="28"/>
      <c r="F5" s="28"/>
      <c r="G5" s="28"/>
      <c r="H5" s="251"/>
      <c r="I5" s="251"/>
      <c r="J5" s="250"/>
      <c r="K5" s="250"/>
      <c r="L5" s="250"/>
      <c r="M5" s="250"/>
      <c r="N5" s="250"/>
      <c r="O5" s="250"/>
    </row>
    <row r="6" spans="2:21" ht="15" thickBot="1" x14ac:dyDescent="0.4">
      <c r="B6" s="28"/>
      <c r="C6" s="28"/>
      <c r="D6" s="28"/>
      <c r="F6" s="28"/>
      <c r="G6" s="28"/>
      <c r="H6" s="251"/>
      <c r="I6" s="251"/>
      <c r="J6" s="250"/>
      <c r="K6" s="250"/>
      <c r="L6" s="250"/>
      <c r="M6" s="250"/>
      <c r="N6" s="250"/>
      <c r="O6" s="250"/>
    </row>
    <row r="7" spans="2:21" ht="15" thickBot="1" x14ac:dyDescent="0.4">
      <c r="B7" s="28"/>
      <c r="C7" s="257" t="s">
        <v>1</v>
      </c>
      <c r="D7" s="256" t="s">
        <v>579</v>
      </c>
      <c r="E7" s="256" t="s">
        <v>588</v>
      </c>
      <c r="F7" s="258" t="s">
        <v>627</v>
      </c>
      <c r="G7" s="28"/>
      <c r="H7" s="251"/>
      <c r="I7" s="251"/>
      <c r="J7" s="250"/>
      <c r="K7" s="250"/>
      <c r="L7" s="250" t="b">
        <f t="shared" ref="L7:L22" si="0">AND(EXACT(E8,UPPER(E8)),LEN(E8)&lt;=2)</f>
        <v>1</v>
      </c>
      <c r="M7" s="250"/>
      <c r="N7" s="250"/>
      <c r="O7" s="250"/>
    </row>
    <row r="8" spans="2:21" ht="17.5" customHeight="1" x14ac:dyDescent="0.35">
      <c r="B8" s="252" t="s">
        <v>594</v>
      </c>
      <c r="C8" s="260" t="s">
        <v>606</v>
      </c>
      <c r="D8" s="259" t="s">
        <v>76</v>
      </c>
      <c r="E8" s="266" t="s">
        <v>577</v>
      </c>
      <c r="F8" s="302">
        <f>0.00005*HEX2DEC(E9&amp;E8)</f>
        <v>8.5300000000000001E-2</v>
      </c>
      <c r="G8" s="28"/>
      <c r="H8" s="251"/>
      <c r="I8" s="251"/>
      <c r="J8" s="250"/>
      <c r="K8" s="250"/>
      <c r="L8" s="250" t="b">
        <f t="shared" si="0"/>
        <v>1</v>
      </c>
      <c r="M8" s="250"/>
      <c r="N8" s="250"/>
      <c r="O8" s="250"/>
    </row>
    <row r="9" spans="2:21" ht="17.5" customHeight="1" thickBot="1" x14ac:dyDescent="0.4">
      <c r="B9" s="253"/>
      <c r="C9" s="262" t="s">
        <v>607</v>
      </c>
      <c r="D9" s="261" t="s">
        <v>261</v>
      </c>
      <c r="E9" s="267">
        <v>6</v>
      </c>
      <c r="F9" s="298"/>
      <c r="G9" s="28"/>
      <c r="H9" s="251"/>
      <c r="I9" s="251"/>
      <c r="J9" s="250"/>
      <c r="K9" s="250"/>
      <c r="L9" s="250" t="b">
        <f t="shared" si="0"/>
        <v>1</v>
      </c>
      <c r="M9" s="250"/>
      <c r="N9" s="250"/>
      <c r="O9" s="250"/>
    </row>
    <row r="10" spans="2:21" ht="17.5" customHeight="1" x14ac:dyDescent="0.35">
      <c r="B10" s="254" t="s">
        <v>595</v>
      </c>
      <c r="C10" s="260" t="s">
        <v>608</v>
      </c>
      <c r="D10" s="259" t="s">
        <v>161</v>
      </c>
      <c r="E10" s="266">
        <v>45</v>
      </c>
      <c r="F10" s="297">
        <f>0.00005*HEX2DEC(E11&amp;E10)</f>
        <v>2.6530499999999999</v>
      </c>
      <c r="G10" s="28"/>
      <c r="H10" s="251"/>
      <c r="I10" s="251"/>
      <c r="J10" s="250"/>
      <c r="K10" s="250"/>
      <c r="L10" s="250" t="b">
        <f t="shared" si="0"/>
        <v>1</v>
      </c>
      <c r="M10" s="250"/>
      <c r="N10" s="250"/>
      <c r="O10" s="250"/>
    </row>
    <row r="11" spans="2:21" ht="17.5" customHeight="1" thickBot="1" x14ac:dyDescent="0.4">
      <c r="B11" s="255"/>
      <c r="C11" s="262" t="s">
        <v>609</v>
      </c>
      <c r="D11" s="261" t="s">
        <v>120</v>
      </c>
      <c r="E11" s="267" t="s">
        <v>602</v>
      </c>
      <c r="F11" s="299"/>
      <c r="G11" s="28"/>
      <c r="H11" s="251"/>
      <c r="I11" s="251"/>
      <c r="J11" s="250"/>
      <c r="K11" s="250"/>
      <c r="L11" s="250" t="b">
        <f t="shared" si="0"/>
        <v>1</v>
      </c>
      <c r="M11" s="250"/>
      <c r="N11" s="250"/>
      <c r="O11" s="250"/>
    </row>
    <row r="12" spans="2:21" ht="17.5" customHeight="1" x14ac:dyDescent="0.35">
      <c r="B12" s="252" t="s">
        <v>596</v>
      </c>
      <c r="C12" s="260" t="s">
        <v>610</v>
      </c>
      <c r="D12" s="259" t="s">
        <v>121</v>
      </c>
      <c r="E12" s="266" t="s">
        <v>622</v>
      </c>
      <c r="F12" s="283">
        <f>0.00005*HEX2DEC(E13&amp;E12)</f>
        <v>2.1999500000000003</v>
      </c>
      <c r="G12" s="28"/>
      <c r="H12" s="251"/>
      <c r="I12" s="251"/>
      <c r="J12" s="250"/>
      <c r="K12" s="250"/>
      <c r="L12" s="250" t="b">
        <f t="shared" si="0"/>
        <v>1</v>
      </c>
      <c r="M12" s="250"/>
      <c r="N12" s="250"/>
      <c r="O12" s="250"/>
    </row>
    <row r="13" spans="2:21" ht="17.5" customHeight="1" thickBot="1" x14ac:dyDescent="0.4">
      <c r="B13" s="253"/>
      <c r="C13" s="262" t="s">
        <v>616</v>
      </c>
      <c r="D13" s="261" t="s">
        <v>160</v>
      </c>
      <c r="E13" s="267" t="s">
        <v>603</v>
      </c>
      <c r="F13" s="298"/>
      <c r="G13" s="28"/>
      <c r="H13" s="251"/>
      <c r="I13" s="251"/>
      <c r="J13" s="250"/>
      <c r="K13" s="250"/>
      <c r="L13" s="250" t="b">
        <f t="shared" si="0"/>
        <v>1</v>
      </c>
      <c r="M13" s="250"/>
      <c r="N13" s="250"/>
      <c r="O13" s="250"/>
    </row>
    <row r="14" spans="2:21" ht="17.5" customHeight="1" x14ac:dyDescent="0.35">
      <c r="B14" s="254" t="s">
        <v>597</v>
      </c>
      <c r="C14" s="260" t="s">
        <v>611</v>
      </c>
      <c r="D14" s="259" t="s">
        <v>260</v>
      </c>
      <c r="E14" s="266" t="s">
        <v>604</v>
      </c>
      <c r="F14" s="297">
        <f>0.00005*HEX2DEC(E15&amp;E14)</f>
        <v>2.8255000000000003</v>
      </c>
      <c r="G14" s="28"/>
      <c r="H14" s="251"/>
      <c r="I14" s="251"/>
      <c r="J14" s="250"/>
      <c r="K14" s="250"/>
      <c r="L14" s="250" t="b">
        <f t="shared" si="0"/>
        <v>1</v>
      </c>
      <c r="M14" s="250"/>
      <c r="N14" s="250"/>
      <c r="O14" s="250"/>
    </row>
    <row r="15" spans="2:21" ht="17.5" customHeight="1" thickBot="1" x14ac:dyDescent="0.4">
      <c r="B15" s="255"/>
      <c r="C15" s="262" t="s">
        <v>617</v>
      </c>
      <c r="D15" s="261" t="s">
        <v>77</v>
      </c>
      <c r="E15" s="267" t="s">
        <v>605</v>
      </c>
      <c r="F15" s="299"/>
      <c r="G15" s="28"/>
      <c r="H15" s="251"/>
      <c r="I15" s="251"/>
      <c r="J15" s="250"/>
      <c r="K15" s="250"/>
      <c r="L15" s="250" t="b">
        <f t="shared" si="0"/>
        <v>1</v>
      </c>
      <c r="M15" s="250"/>
      <c r="N15" s="250"/>
      <c r="O15" s="250"/>
    </row>
    <row r="16" spans="2:21" ht="17.5" customHeight="1" x14ac:dyDescent="0.35">
      <c r="B16" s="252" t="s">
        <v>598</v>
      </c>
      <c r="C16" s="260" t="s">
        <v>612</v>
      </c>
      <c r="D16" s="259" t="s">
        <v>262</v>
      </c>
      <c r="E16" s="266" t="s">
        <v>577</v>
      </c>
      <c r="F16" s="283">
        <f>0.00005*HEX2DEC(E17&amp;E16)</f>
        <v>0.45650000000000002</v>
      </c>
      <c r="G16" s="28"/>
      <c r="H16" s="251"/>
      <c r="I16" s="251"/>
      <c r="J16" s="250"/>
      <c r="K16" s="250"/>
      <c r="L16" s="250" t="b">
        <f t="shared" si="0"/>
        <v>1</v>
      </c>
      <c r="M16" s="250"/>
      <c r="N16" s="250"/>
      <c r="O16" s="250"/>
      <c r="S16" s="251"/>
      <c r="T16" s="251"/>
      <c r="U16" s="251"/>
    </row>
    <row r="17" spans="2:21" ht="17.5" customHeight="1" thickBot="1" x14ac:dyDescent="0.4">
      <c r="B17" s="253"/>
      <c r="C17" s="262" t="s">
        <v>618</v>
      </c>
      <c r="D17" s="261" t="s">
        <v>79</v>
      </c>
      <c r="E17" s="268">
        <v>23</v>
      </c>
      <c r="F17" s="301"/>
      <c r="G17" s="28"/>
      <c r="H17" s="251"/>
      <c r="I17" s="251"/>
      <c r="J17" s="250"/>
      <c r="K17" s="250"/>
      <c r="L17" s="250" t="b">
        <f t="shared" si="0"/>
        <v>1</v>
      </c>
      <c r="M17" s="250"/>
      <c r="N17" s="250"/>
      <c r="O17" s="250"/>
      <c r="P17" s="251"/>
      <c r="Q17" s="251"/>
      <c r="R17" s="251"/>
      <c r="S17" s="251"/>
      <c r="T17" s="251"/>
      <c r="U17" s="251"/>
    </row>
    <row r="18" spans="2:21" ht="17.5" customHeight="1" x14ac:dyDescent="0.35">
      <c r="B18" s="270" t="s">
        <v>599</v>
      </c>
      <c r="C18" s="260" t="s">
        <v>613</v>
      </c>
      <c r="D18" s="259" t="s">
        <v>123</v>
      </c>
      <c r="E18" s="266" t="s">
        <v>577</v>
      </c>
      <c r="F18" s="297">
        <f>0.00005*HEX2DEC(E19&amp;E18)</f>
        <v>0.89170000000000005</v>
      </c>
      <c r="G18" s="28"/>
      <c r="H18" s="251"/>
      <c r="I18" s="251"/>
      <c r="J18" s="250"/>
      <c r="K18" s="250"/>
      <c r="L18" s="250" t="b">
        <f t="shared" si="0"/>
        <v>1</v>
      </c>
      <c r="M18" s="250"/>
      <c r="N18" s="250"/>
      <c r="O18" s="250"/>
      <c r="P18" s="251"/>
      <c r="Q18" s="251"/>
      <c r="R18" s="251"/>
      <c r="S18" s="251"/>
      <c r="T18" s="251"/>
      <c r="U18" s="251"/>
    </row>
    <row r="19" spans="2:21" ht="17.5" customHeight="1" thickBot="1" x14ac:dyDescent="0.4">
      <c r="B19" s="271"/>
      <c r="C19" s="262" t="s">
        <v>619</v>
      </c>
      <c r="D19" s="263" t="s">
        <v>162</v>
      </c>
      <c r="E19" s="268">
        <v>45</v>
      </c>
      <c r="F19" s="300"/>
      <c r="G19" s="28"/>
      <c r="H19" s="251"/>
      <c r="I19" s="251"/>
      <c r="J19" s="250"/>
      <c r="K19" s="250"/>
      <c r="L19" s="250" t="b">
        <f t="shared" si="0"/>
        <v>1</v>
      </c>
      <c r="M19" s="250"/>
      <c r="N19" s="250"/>
      <c r="O19" s="250"/>
      <c r="P19" s="251"/>
      <c r="Q19" s="251"/>
      <c r="R19" s="251"/>
      <c r="S19" s="251"/>
      <c r="T19" s="251"/>
      <c r="U19" s="251"/>
    </row>
    <row r="20" spans="2:21" ht="17.5" customHeight="1" x14ac:dyDescent="0.35">
      <c r="B20" s="252" t="s">
        <v>600</v>
      </c>
      <c r="C20" s="260" t="s">
        <v>614</v>
      </c>
      <c r="D20" s="259" t="s">
        <v>163</v>
      </c>
      <c r="E20" s="266" t="s">
        <v>602</v>
      </c>
      <c r="F20" s="283">
        <f>0.00005*HEX2DEC(E21&amp;E20)</f>
        <v>2.85195</v>
      </c>
      <c r="G20" s="28"/>
      <c r="H20" s="251"/>
      <c r="I20" s="251"/>
      <c r="J20" s="250"/>
      <c r="K20" s="250"/>
      <c r="L20" s="250" t="b">
        <f t="shared" si="0"/>
        <v>1</v>
      </c>
      <c r="M20" s="250"/>
      <c r="N20" s="250"/>
      <c r="O20" s="250"/>
      <c r="P20" s="251"/>
      <c r="Q20" s="251"/>
      <c r="R20" s="251"/>
      <c r="S20" s="251"/>
      <c r="T20" s="251"/>
      <c r="U20" s="251"/>
    </row>
    <row r="21" spans="2:21" ht="17.5" customHeight="1" thickBot="1" x14ac:dyDescent="0.4">
      <c r="B21" s="253"/>
      <c r="C21" s="262" t="s">
        <v>620</v>
      </c>
      <c r="D21" s="263" t="s">
        <v>122</v>
      </c>
      <c r="E21" s="268" t="s">
        <v>578</v>
      </c>
      <c r="F21" s="301"/>
      <c r="G21" s="28"/>
      <c r="H21" s="251"/>
      <c r="I21" s="251"/>
      <c r="J21" s="250"/>
      <c r="K21" s="250"/>
      <c r="L21" s="250" t="b">
        <f t="shared" si="0"/>
        <v>1</v>
      </c>
      <c r="M21" s="250"/>
      <c r="N21" s="250"/>
      <c r="O21" s="250"/>
      <c r="P21" s="251"/>
      <c r="Q21" s="251"/>
      <c r="R21" s="251"/>
      <c r="S21" s="251"/>
      <c r="T21" s="251"/>
      <c r="U21" s="251"/>
    </row>
    <row r="22" spans="2:21" ht="17.5" customHeight="1" x14ac:dyDescent="0.35">
      <c r="B22" s="254" t="s">
        <v>601</v>
      </c>
      <c r="C22" s="260" t="s">
        <v>615</v>
      </c>
      <c r="D22" s="259" t="s">
        <v>78</v>
      </c>
      <c r="E22" s="266" t="s">
        <v>603</v>
      </c>
      <c r="F22" s="297">
        <f>0.00005*HEX2DEC(E23&amp;E22)</f>
        <v>2.1845500000000002</v>
      </c>
      <c r="G22" s="28"/>
      <c r="H22" s="251"/>
      <c r="I22" s="251"/>
      <c r="J22" s="250"/>
      <c r="K22" s="250"/>
      <c r="L22" s="250" t="b">
        <f t="shared" si="0"/>
        <v>1</v>
      </c>
      <c r="M22" s="250"/>
      <c r="N22" s="250"/>
      <c r="O22" s="250"/>
      <c r="P22" s="251"/>
      <c r="Q22" s="251"/>
      <c r="R22" s="251"/>
      <c r="S22" s="251"/>
      <c r="T22" s="251"/>
      <c r="U22" s="251"/>
    </row>
    <row r="23" spans="2:21" ht="17.5" customHeight="1" thickBot="1" x14ac:dyDescent="0.4">
      <c r="B23" s="255"/>
      <c r="C23" s="265" t="s">
        <v>621</v>
      </c>
      <c r="D23" s="264" t="s">
        <v>263</v>
      </c>
      <c r="E23" s="269" t="s">
        <v>577</v>
      </c>
      <c r="F23" s="301"/>
      <c r="G23" s="28"/>
      <c r="H23" s="251"/>
      <c r="I23" s="251"/>
      <c r="J23" s="250"/>
      <c r="K23" s="250"/>
      <c r="L23" s="250" t="b">
        <f>AND(EXACT(E24,UPPER(E24)),LEN(E24)&lt;=2)</f>
        <v>1</v>
      </c>
      <c r="M23" s="250"/>
      <c r="N23" s="250"/>
      <c r="O23" s="250"/>
      <c r="P23" s="251"/>
      <c r="Q23" s="251"/>
      <c r="R23" s="251"/>
      <c r="S23" s="251"/>
    </row>
    <row r="24" spans="2:21" x14ac:dyDescent="0.35">
      <c r="B24" s="28"/>
      <c r="C24" s="28"/>
      <c r="D24" s="28"/>
      <c r="F24" s="251"/>
      <c r="G24" s="251"/>
      <c r="H24" s="251"/>
      <c r="I24" s="251"/>
      <c r="J24" s="250"/>
      <c r="K24" s="250"/>
      <c r="L24" s="250"/>
      <c r="M24" s="250"/>
      <c r="N24" s="250"/>
      <c r="O24" s="250"/>
      <c r="P24" s="251"/>
      <c r="Q24" s="251"/>
      <c r="R24" s="251"/>
      <c r="S24" s="251"/>
      <c r="T24" s="251"/>
    </row>
    <row r="25" spans="2:21" x14ac:dyDescent="0.35">
      <c r="B25" s="28"/>
      <c r="C25" s="28"/>
      <c r="D25" s="28"/>
      <c r="F25" s="28"/>
      <c r="G25" s="251"/>
      <c r="H25" s="251"/>
      <c r="I25" s="251"/>
      <c r="J25" s="250"/>
      <c r="K25" s="250"/>
      <c r="L25" s="250"/>
      <c r="M25" s="250"/>
      <c r="N25" s="250"/>
      <c r="O25" s="250"/>
      <c r="P25" s="251"/>
      <c r="Q25" s="251"/>
      <c r="R25" s="251"/>
      <c r="S25" s="251"/>
      <c r="T25" s="251"/>
    </row>
    <row r="26" spans="2:21" x14ac:dyDescent="0.35">
      <c r="B26" s="28"/>
      <c r="C26" s="28"/>
      <c r="D26" s="28"/>
      <c r="F26" s="28"/>
      <c r="G26" s="251"/>
      <c r="H26" s="251"/>
      <c r="I26" s="251"/>
      <c r="J26" s="251"/>
      <c r="K26" s="251"/>
      <c r="L26" s="251"/>
      <c r="M26" s="251"/>
      <c r="N26" s="251"/>
      <c r="O26" s="251"/>
      <c r="P26" s="251"/>
      <c r="Q26" s="251"/>
      <c r="R26" s="251"/>
      <c r="S26" s="251"/>
      <c r="T26" s="251"/>
    </row>
    <row r="27" spans="2:21" x14ac:dyDescent="0.35">
      <c r="B27" s="28"/>
      <c r="C27" s="28"/>
      <c r="D27" s="28"/>
      <c r="F27" s="28"/>
      <c r="G27" s="251"/>
      <c r="H27" s="251"/>
      <c r="I27" s="251"/>
      <c r="J27" s="251"/>
      <c r="K27" s="251"/>
      <c r="L27" s="251"/>
      <c r="M27" s="251"/>
      <c r="N27" s="251"/>
      <c r="O27" s="251"/>
      <c r="P27" s="251"/>
      <c r="Q27" s="251"/>
      <c r="R27" s="251"/>
      <c r="S27" s="251"/>
      <c r="T27" s="251"/>
    </row>
    <row r="28" spans="2:21" x14ac:dyDescent="0.35">
      <c r="B28" s="28"/>
      <c r="C28" s="28"/>
      <c r="D28" s="28"/>
      <c r="F28" s="28"/>
      <c r="G28" s="251"/>
      <c r="H28" s="251"/>
      <c r="I28" s="251"/>
      <c r="J28" s="251"/>
      <c r="K28" s="251"/>
      <c r="L28" s="251"/>
      <c r="M28" s="251"/>
      <c r="N28" s="251"/>
      <c r="O28" s="251"/>
      <c r="P28" s="251"/>
      <c r="Q28" s="251"/>
      <c r="R28" s="251"/>
      <c r="S28" s="251"/>
      <c r="T28" s="251"/>
    </row>
    <row r="29" spans="2:21" x14ac:dyDescent="0.35">
      <c r="B29" s="28"/>
      <c r="C29" s="28"/>
      <c r="D29" s="28"/>
      <c r="F29" s="28"/>
      <c r="G29" s="251"/>
      <c r="H29" s="251"/>
      <c r="I29" s="251"/>
      <c r="J29" s="251"/>
      <c r="K29" s="251"/>
      <c r="L29" s="251"/>
      <c r="M29" s="251"/>
      <c r="N29" s="251"/>
      <c r="O29" s="251"/>
      <c r="P29" s="251"/>
      <c r="Q29" s="251"/>
      <c r="R29" s="251"/>
      <c r="S29" s="251"/>
      <c r="T29" s="251"/>
    </row>
    <row r="30" spans="2:21" x14ac:dyDescent="0.35">
      <c r="B30" s="28"/>
      <c r="C30" s="28"/>
      <c r="D30" s="28"/>
      <c r="F30" s="28"/>
      <c r="G30" s="28"/>
      <c r="H30" s="251"/>
      <c r="I30" s="251"/>
      <c r="J30" s="251"/>
      <c r="K30" s="251"/>
      <c r="L30" s="251"/>
      <c r="M30" s="251"/>
      <c r="N30" s="251"/>
      <c r="O30" s="251"/>
      <c r="P30" s="251"/>
      <c r="Q30" s="251"/>
      <c r="R30" s="251"/>
      <c r="S30" s="251"/>
      <c r="T30" s="251"/>
      <c r="U30" s="251"/>
    </row>
    <row r="31" spans="2:21" x14ac:dyDescent="0.35">
      <c r="H31" s="251"/>
      <c r="I31" s="251"/>
      <c r="J31" s="251"/>
      <c r="K31" s="251"/>
      <c r="L31" s="251"/>
      <c r="M31" s="251"/>
      <c r="N31" s="251"/>
      <c r="O31" s="251"/>
      <c r="P31" s="251"/>
      <c r="Q31" s="251"/>
      <c r="R31" s="251"/>
      <c r="S31" s="251"/>
      <c r="T31" s="251"/>
      <c r="U31" s="251"/>
    </row>
    <row r="32" spans="2:21" x14ac:dyDescent="0.35">
      <c r="H32" s="251"/>
      <c r="I32" s="251"/>
      <c r="J32" s="251"/>
      <c r="K32" s="251"/>
      <c r="L32" s="251"/>
      <c r="M32" s="251"/>
      <c r="N32" s="251"/>
      <c r="O32" s="251"/>
      <c r="P32" s="251"/>
      <c r="Q32" s="251"/>
      <c r="R32" s="251"/>
      <c r="S32" s="251"/>
      <c r="T32" s="251"/>
      <c r="U32" s="251"/>
    </row>
    <row r="33" spans="8:21" x14ac:dyDescent="0.35">
      <c r="H33" s="251"/>
      <c r="I33" s="251"/>
      <c r="J33" s="251"/>
      <c r="K33" s="251"/>
      <c r="L33" s="251"/>
      <c r="M33" s="251"/>
      <c r="N33" s="251"/>
      <c r="O33" s="251"/>
      <c r="P33" s="251"/>
      <c r="Q33" s="251"/>
      <c r="R33" s="251"/>
      <c r="S33" s="251"/>
      <c r="T33" s="251"/>
      <c r="U33" s="251"/>
    </row>
    <row r="34" spans="8:21" x14ac:dyDescent="0.35">
      <c r="H34" s="251"/>
      <c r="I34" s="251"/>
      <c r="J34" s="251"/>
      <c r="K34" s="251"/>
      <c r="L34" s="251"/>
      <c r="M34" s="251"/>
      <c r="N34" s="251"/>
      <c r="O34" s="251"/>
      <c r="P34" s="251"/>
      <c r="Q34" s="251"/>
      <c r="R34" s="251"/>
      <c r="S34" s="251"/>
      <c r="T34" s="251"/>
      <c r="U34" s="251"/>
    </row>
    <row r="35" spans="8:21" x14ac:dyDescent="0.35">
      <c r="H35" s="251"/>
      <c r="I35" s="251"/>
      <c r="J35" s="251"/>
      <c r="K35" s="251"/>
      <c r="L35" s="251"/>
      <c r="M35" s="251"/>
      <c r="N35" s="251"/>
      <c r="O35" s="251"/>
      <c r="P35" s="251"/>
      <c r="Q35" s="251"/>
      <c r="R35" s="251"/>
      <c r="S35" s="251"/>
      <c r="T35" s="251"/>
      <c r="U35" s="251"/>
    </row>
    <row r="36" spans="8:21" x14ac:dyDescent="0.35">
      <c r="H36" s="251"/>
      <c r="I36" s="251"/>
      <c r="J36" s="251"/>
      <c r="K36" s="251"/>
      <c r="L36" s="251"/>
      <c r="M36" s="251"/>
      <c r="N36" s="251"/>
      <c r="O36" s="251"/>
      <c r="P36" s="251"/>
      <c r="Q36" s="251"/>
      <c r="R36" s="251"/>
      <c r="S36" s="251"/>
      <c r="T36" s="251"/>
      <c r="U36" s="251"/>
    </row>
    <row r="37" spans="8:21" x14ac:dyDescent="0.35">
      <c r="H37" s="251"/>
      <c r="I37" s="251"/>
      <c r="J37" s="251"/>
      <c r="K37" s="251"/>
      <c r="L37" s="251"/>
      <c r="M37" s="251"/>
      <c r="N37" s="251"/>
      <c r="O37" s="251"/>
      <c r="P37" s="251"/>
      <c r="Q37" s="251"/>
      <c r="R37" s="251"/>
      <c r="S37" s="251"/>
      <c r="T37" s="251"/>
      <c r="U37" s="251"/>
    </row>
    <row r="38" spans="8:21" x14ac:dyDescent="0.35">
      <c r="H38" s="251"/>
      <c r="I38" s="251"/>
      <c r="J38" s="251"/>
      <c r="K38" s="251"/>
      <c r="L38" s="251"/>
      <c r="M38" s="251"/>
      <c r="N38" s="251"/>
      <c r="O38" s="251"/>
      <c r="P38" s="251"/>
      <c r="Q38" s="251"/>
      <c r="R38" s="251"/>
      <c r="S38" s="251"/>
      <c r="T38" s="251"/>
      <c r="U38" s="251"/>
    </row>
  </sheetData>
  <dataValidations count="1">
    <dataValidation type="custom" showInputMessage="1" showErrorMessage="1" error="Invalid character length or lowercase entry_x000a_" prompt="Max two character, Capatilize entry" sqref="E8:E15" xr:uid="{1946CD1E-E83F-4B12-965B-076424BD8EC0}">
      <formula1>L7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903AC-6B22-4AF3-ACA4-AD73E18D66F9}">
  <sheetPr codeName="Sheet8"/>
  <dimension ref="A1:AE258"/>
  <sheetViews>
    <sheetView workbookViewId="0">
      <selection activeCell="J21" sqref="J21"/>
    </sheetView>
  </sheetViews>
  <sheetFormatPr defaultRowHeight="14.5" x14ac:dyDescent="0.35"/>
  <cols>
    <col min="1" max="1" width="4.1796875" style="28" bestFit="1" customWidth="1"/>
    <col min="2" max="2" width="6.36328125" style="28" bestFit="1" customWidth="1"/>
    <col min="3" max="3" width="8.90625" style="28" bestFit="1" customWidth="1"/>
    <col min="4" max="4" width="5.453125" style="28" bestFit="1" customWidth="1"/>
    <col min="5" max="5" width="8.7265625" style="28"/>
    <col min="6" max="6" width="4.7265625" style="28" customWidth="1"/>
    <col min="7" max="7" width="6.90625" style="28" customWidth="1"/>
    <col min="8" max="8" width="19.7265625" style="28" bestFit="1" customWidth="1"/>
    <col min="9" max="9" width="15.90625" style="28" customWidth="1"/>
    <col min="10" max="10" width="19.36328125" style="28" customWidth="1"/>
    <col min="11" max="12" width="19.08984375" style="28" bestFit="1" customWidth="1"/>
    <col min="13" max="15" width="19.36328125" style="28" bestFit="1" customWidth="1"/>
    <col min="16" max="16" width="19.08984375" style="28" bestFit="1" customWidth="1"/>
    <col min="17" max="17" width="17.1796875" style="28" bestFit="1" customWidth="1"/>
    <col min="18" max="20" width="4.90625" style="28" bestFit="1" customWidth="1"/>
    <col min="21" max="23" width="5.1796875" style="28" bestFit="1" customWidth="1"/>
    <col min="24" max="24" width="4.7265625" style="28" bestFit="1" customWidth="1"/>
    <col min="25" max="25" width="5.1796875" style="28" bestFit="1" customWidth="1"/>
    <col min="26" max="26" width="7.08984375" style="28" customWidth="1"/>
    <col min="27" max="27" width="2.453125" style="28" bestFit="1" customWidth="1"/>
    <col min="28" max="28" width="4.7265625" style="28" bestFit="1" customWidth="1"/>
    <col min="29" max="29" width="5.453125" style="28" bestFit="1" customWidth="1"/>
    <col min="30" max="30" width="8.36328125" style="28" bestFit="1" customWidth="1"/>
    <col min="31" max="31" width="8.36328125" style="28" customWidth="1"/>
    <col min="32" max="16384" width="8.7265625" style="28"/>
  </cols>
  <sheetData>
    <row r="1" spans="1:31" ht="15" thickBot="1" x14ac:dyDescent="0.4">
      <c r="B1" s="28" t="s">
        <v>495</v>
      </c>
      <c r="D1" s="28" t="s">
        <v>495</v>
      </c>
    </row>
    <row r="2" spans="1:31" x14ac:dyDescent="0.35">
      <c r="A2" s="28">
        <v>0</v>
      </c>
      <c r="B2" s="28">
        <v>0.2</v>
      </c>
      <c r="D2" s="28">
        <v>0.8</v>
      </c>
      <c r="H2" s="64"/>
      <c r="I2" s="33" t="s">
        <v>496</v>
      </c>
      <c r="J2" s="104" t="s">
        <v>497</v>
      </c>
      <c r="K2" s="33" t="s">
        <v>498</v>
      </c>
      <c r="L2" s="33" t="s">
        <v>499</v>
      </c>
      <c r="M2" s="104" t="s">
        <v>500</v>
      </c>
      <c r="N2" s="33" t="s">
        <v>501</v>
      </c>
      <c r="O2" s="104" t="s">
        <v>502</v>
      </c>
      <c r="P2" s="33" t="s">
        <v>503</v>
      </c>
    </row>
    <row r="3" spans="1:31" x14ac:dyDescent="0.35">
      <c r="H3" s="198" t="str">
        <f>Voltage_Threshold_Tool!E6</f>
        <v>Vmon Enable</v>
      </c>
      <c r="I3" s="199" t="str">
        <f>Voltage_Threshold_Tool!F6</f>
        <v>VIN Ch Enabled</v>
      </c>
      <c r="J3" s="200" t="str">
        <f>Voltage_Threshold_Tool!G6</f>
        <v>VIN Ch Enabled</v>
      </c>
      <c r="K3" s="199" t="str">
        <f>Voltage_Threshold_Tool!H6</f>
        <v>VIN Ch Enabled</v>
      </c>
      <c r="L3" s="199" t="str">
        <f>Voltage_Threshold_Tool!I6</f>
        <v>VIN Ch Enabled</v>
      </c>
      <c r="M3" s="200" t="str">
        <f>Voltage_Threshold_Tool!J6</f>
        <v>VIN Ch Enabled</v>
      </c>
      <c r="N3" s="199" t="str">
        <f>Voltage_Threshold_Tool!K6</f>
        <v>VIN Ch Enabled</v>
      </c>
      <c r="O3" s="200" t="str">
        <f>Voltage_Threshold_Tool!L6</f>
        <v>VIN Ch Enabled</v>
      </c>
      <c r="P3" s="199" t="str">
        <f>Voltage_Threshold_Tool!M6</f>
        <v>VIN Ch Enabled</v>
      </c>
    </row>
    <row r="4" spans="1:31" x14ac:dyDescent="0.35">
      <c r="A4" s="28">
        <v>1</v>
      </c>
      <c r="B4" s="28">
        <v>0.20499999999999999</v>
      </c>
      <c r="D4" s="28">
        <v>0.82</v>
      </c>
      <c r="H4" s="65" t="s">
        <v>504</v>
      </c>
      <c r="I4" s="102">
        <f>Voltage_Threshold_Tool!F$7</f>
        <v>3.3</v>
      </c>
      <c r="J4" s="103">
        <f>Voltage_Threshold_Tool!G$7</f>
        <v>1.8</v>
      </c>
      <c r="K4" s="102">
        <f>Voltage_Threshold_Tool!H$7</f>
        <v>3.3</v>
      </c>
      <c r="L4" s="102">
        <f>Voltage_Threshold_Tool!I$7</f>
        <v>2.1</v>
      </c>
      <c r="M4" s="103">
        <f>Voltage_Threshold_Tool!J$7</f>
        <v>0.5</v>
      </c>
      <c r="N4" s="102">
        <f>Voltage_Threshold_Tool!K$7</f>
        <v>1.2450000000000001</v>
      </c>
      <c r="O4" s="103">
        <f>Voltage_Threshold_Tool!L$7</f>
        <v>2.2000000000000002</v>
      </c>
      <c r="P4" s="102">
        <f>Voltage_Threshold_Tool!M$7</f>
        <v>4.5999999999999996</v>
      </c>
    </row>
    <row r="5" spans="1:31" x14ac:dyDescent="0.35">
      <c r="A5" s="28">
        <v>2</v>
      </c>
      <c r="B5" s="28">
        <v>0.21</v>
      </c>
      <c r="D5" s="28">
        <v>0.84</v>
      </c>
      <c r="H5" s="65" t="s">
        <v>510</v>
      </c>
      <c r="I5" s="102">
        <f>Voltage_Threshold_Tool!F$8</f>
        <v>3</v>
      </c>
      <c r="J5" s="103">
        <f>Voltage_Threshold_Tool!G$8</f>
        <v>4</v>
      </c>
      <c r="K5" s="102">
        <f>Voltage_Threshold_Tool!H$8</f>
        <v>5</v>
      </c>
      <c r="L5" s="102">
        <f>Voltage_Threshold_Tool!I$8</f>
        <v>4</v>
      </c>
      <c r="M5" s="103">
        <f>Voltage_Threshold_Tool!J$8</f>
        <v>2</v>
      </c>
      <c r="N5" s="102">
        <f>Voltage_Threshold_Tool!K$8</f>
        <v>4</v>
      </c>
      <c r="O5" s="103">
        <f>Voltage_Threshold_Tool!L$8</f>
        <v>2</v>
      </c>
      <c r="P5" s="102">
        <f>Voltage_Threshold_Tool!M$8</f>
        <v>5</v>
      </c>
    </row>
    <row r="6" spans="1:31" ht="15" thickBot="1" x14ac:dyDescent="0.4">
      <c r="A6" s="28">
        <v>3</v>
      </c>
      <c r="B6" s="28">
        <v>0.215</v>
      </c>
      <c r="D6" s="28">
        <v>0.86</v>
      </c>
      <c r="H6" s="97" t="s">
        <v>512</v>
      </c>
      <c r="I6" s="32">
        <f>Voltage_Threshold_Tool!F9</f>
        <v>3</v>
      </c>
      <c r="J6" s="32">
        <f>Voltage_Threshold_Tool!G9</f>
        <v>4</v>
      </c>
      <c r="K6" s="32">
        <f>Voltage_Threshold_Tool!H9</f>
        <v>5</v>
      </c>
      <c r="L6" s="32">
        <f>Voltage_Threshold_Tool!I9</f>
        <v>4</v>
      </c>
      <c r="M6" s="32">
        <f>Voltage_Threshold_Tool!J9</f>
        <v>2</v>
      </c>
      <c r="N6" s="32">
        <f>Voltage_Threshold_Tool!K9</f>
        <v>4</v>
      </c>
      <c r="O6" s="32">
        <f>Voltage_Threshold_Tool!L9</f>
        <v>3</v>
      </c>
      <c r="P6" s="32">
        <f>Voltage_Threshold_Tool!M9</f>
        <v>5</v>
      </c>
    </row>
    <row r="7" spans="1:31" ht="15" thickBot="1" x14ac:dyDescent="0.4">
      <c r="A7" s="28">
        <v>4</v>
      </c>
      <c r="B7" s="28">
        <v>0.22</v>
      </c>
      <c r="D7" s="28">
        <v>0.88</v>
      </c>
    </row>
    <row r="8" spans="1:31" x14ac:dyDescent="0.35">
      <c r="A8" s="28">
        <v>5</v>
      </c>
      <c r="B8" s="28">
        <v>0.22500000000000001</v>
      </c>
      <c r="D8" s="28">
        <v>0.9</v>
      </c>
      <c r="H8" s="105" t="s">
        <v>513</v>
      </c>
      <c r="I8" s="34">
        <f>I$9*(1+I$5/100)</f>
        <v>3.399</v>
      </c>
      <c r="J8" s="34">
        <f t="shared" ref="J8:P8" si="0">J$9*(1+J$5/100)</f>
        <v>1.8720000000000001</v>
      </c>
      <c r="K8" s="34">
        <f t="shared" si="0"/>
        <v>3.4649999999999999</v>
      </c>
      <c r="L8" s="34">
        <f t="shared" si="0"/>
        <v>2.1840000000000002</v>
      </c>
      <c r="M8" s="34">
        <f t="shared" si="0"/>
        <v>0.51</v>
      </c>
      <c r="N8" s="34">
        <f t="shared" si="0"/>
        <v>1.2948000000000002</v>
      </c>
      <c r="O8" s="34">
        <f t="shared" si="0"/>
        <v>2.2440000000000002</v>
      </c>
      <c r="P8" s="34">
        <f t="shared" si="0"/>
        <v>4.83</v>
      </c>
    </row>
    <row r="9" spans="1:31" ht="15" thickBot="1" x14ac:dyDescent="0.4">
      <c r="A9" s="28">
        <v>6</v>
      </c>
      <c r="B9" s="28">
        <v>0.23</v>
      </c>
      <c r="D9" s="28">
        <v>0.91999999999999904</v>
      </c>
      <c r="H9" s="35" t="s">
        <v>504</v>
      </c>
      <c r="I9" s="36">
        <f>I4</f>
        <v>3.3</v>
      </c>
      <c r="J9" s="36">
        <f t="shared" ref="J9:P9" si="1">J4</f>
        <v>1.8</v>
      </c>
      <c r="K9" s="36">
        <f t="shared" si="1"/>
        <v>3.3</v>
      </c>
      <c r="L9" s="36">
        <f t="shared" si="1"/>
        <v>2.1</v>
      </c>
      <c r="M9" s="36">
        <f t="shared" si="1"/>
        <v>0.5</v>
      </c>
      <c r="N9" s="36">
        <f t="shared" si="1"/>
        <v>1.2450000000000001</v>
      </c>
      <c r="O9" s="36">
        <f t="shared" si="1"/>
        <v>2.2000000000000002</v>
      </c>
      <c r="P9" s="36">
        <f t="shared" si="1"/>
        <v>4.5999999999999996</v>
      </c>
    </row>
    <row r="10" spans="1:31" ht="15" thickBot="1" x14ac:dyDescent="0.4">
      <c r="A10" s="28">
        <v>7</v>
      </c>
      <c r="B10" s="28">
        <v>0.23499999999999999</v>
      </c>
      <c r="D10" s="28">
        <v>0.93999999999999895</v>
      </c>
      <c r="H10" s="105" t="s">
        <v>514</v>
      </c>
      <c r="I10" s="37">
        <f>I9*(1-I$5/100)</f>
        <v>3.2009999999999996</v>
      </c>
      <c r="J10" s="37">
        <f t="shared" ref="J10:P10" si="2">J9*(1-J$5/100)</f>
        <v>1.728</v>
      </c>
      <c r="K10" s="37">
        <f t="shared" si="2"/>
        <v>3.1349999999999998</v>
      </c>
      <c r="L10" s="37">
        <f t="shared" si="2"/>
        <v>2.016</v>
      </c>
      <c r="M10" s="37">
        <f t="shared" si="2"/>
        <v>0.49</v>
      </c>
      <c r="N10" s="37">
        <f t="shared" si="2"/>
        <v>1.1952</v>
      </c>
      <c r="O10" s="37">
        <f t="shared" si="2"/>
        <v>2.1560000000000001</v>
      </c>
      <c r="P10" s="37">
        <f t="shared" si="2"/>
        <v>4.3699999999999992</v>
      </c>
    </row>
    <row r="11" spans="1:31" ht="15" thickBot="1" x14ac:dyDescent="0.4">
      <c r="A11" s="28">
        <v>8</v>
      </c>
      <c r="B11" s="28">
        <v>0.24</v>
      </c>
      <c r="D11" s="28">
        <v>0.95999999999999897</v>
      </c>
      <c r="AD11" s="28" t="s">
        <v>477</v>
      </c>
    </row>
    <row r="12" spans="1:31" x14ac:dyDescent="0.35">
      <c r="A12" s="28">
        <v>9</v>
      </c>
      <c r="B12" s="28">
        <v>0.245</v>
      </c>
      <c r="D12" s="28">
        <v>0.97999999999999898</v>
      </c>
      <c r="H12" s="105" t="s">
        <v>528</v>
      </c>
      <c r="I12" s="34">
        <f>I13*(1+I$6/100)</f>
        <v>3.399</v>
      </c>
      <c r="J12" s="34">
        <f t="shared" ref="J12:O12" si="3">J13*(1+J$6/100)</f>
        <v>1.8720000000000001</v>
      </c>
      <c r="K12" s="34">
        <f t="shared" si="3"/>
        <v>3.4649999999999999</v>
      </c>
      <c r="L12" s="34">
        <f t="shared" si="3"/>
        <v>2.1840000000000002</v>
      </c>
      <c r="M12" s="34">
        <f t="shared" si="3"/>
        <v>0.51</v>
      </c>
      <c r="N12" s="34">
        <f t="shared" si="3"/>
        <v>1.2948000000000002</v>
      </c>
      <c r="O12" s="34">
        <f t="shared" si="3"/>
        <v>2.2660000000000005</v>
      </c>
      <c r="P12" s="34">
        <f>P13*(1+P$6/100)</f>
        <v>4.83</v>
      </c>
    </row>
    <row r="13" spans="1:31" ht="15" thickBot="1" x14ac:dyDescent="0.4">
      <c r="A13" s="28">
        <v>10</v>
      </c>
      <c r="B13" s="28">
        <v>0.25</v>
      </c>
      <c r="D13" s="28">
        <v>0.999999999999999</v>
      </c>
      <c r="H13" s="108" t="s">
        <v>508</v>
      </c>
      <c r="I13" s="109">
        <f>I4</f>
        <v>3.3</v>
      </c>
      <c r="J13" s="109">
        <f t="shared" ref="J13:P13" si="4">J4</f>
        <v>1.8</v>
      </c>
      <c r="K13" s="109">
        <f t="shared" si="4"/>
        <v>3.3</v>
      </c>
      <c r="L13" s="109">
        <f t="shared" si="4"/>
        <v>2.1</v>
      </c>
      <c r="M13" s="109">
        <f t="shared" si="4"/>
        <v>0.5</v>
      </c>
      <c r="N13" s="109">
        <f t="shared" si="4"/>
        <v>1.2450000000000001</v>
      </c>
      <c r="O13" s="109">
        <f t="shared" si="4"/>
        <v>2.2000000000000002</v>
      </c>
      <c r="P13" s="109">
        <f t="shared" si="4"/>
        <v>4.5999999999999996</v>
      </c>
      <c r="AD13" s="28">
        <f>IF(Voltage_Threshold_Tool!$T$49="MON1",I26,IF(Voltage_Threshold_Tool!$T$49="MON2",J26,IF(Voltage_Threshold_Tool!$T$49="MON3",K26,IF(Voltage_Threshold_Tool!$T$49="MON4",L26,IF(Voltage_Threshold_Tool!$T$49="MON5",M26,IF(Voltage_Threshold_Tool!$T$49="MON6",N26,IF(Voltage_Threshold_Tool!$T$49="MON7",O26,IF(Voltage_Threshold_Tool!$T$49="MON8",P26))))))))</f>
        <v>3.3599999999999901</v>
      </c>
    </row>
    <row r="14" spans="1:31" ht="15" thickBot="1" x14ac:dyDescent="0.4">
      <c r="A14" s="28">
        <v>11</v>
      </c>
      <c r="B14" s="28">
        <v>0.255</v>
      </c>
      <c r="D14" s="28">
        <v>1.02</v>
      </c>
      <c r="H14" s="105" t="s">
        <v>629</v>
      </c>
      <c r="I14" s="37">
        <f>I$13*(1-I$6/100)</f>
        <v>3.2009999999999996</v>
      </c>
      <c r="J14" s="37">
        <f t="shared" ref="J14:P14" si="5">J$13*(1-J$6/100)</f>
        <v>1.728</v>
      </c>
      <c r="K14" s="37">
        <f t="shared" si="5"/>
        <v>3.1349999999999998</v>
      </c>
      <c r="L14" s="37">
        <f t="shared" si="5"/>
        <v>2.016</v>
      </c>
      <c r="M14" s="37">
        <f t="shared" si="5"/>
        <v>0.49</v>
      </c>
      <c r="N14" s="37">
        <f t="shared" si="5"/>
        <v>1.1952</v>
      </c>
      <c r="O14" s="37">
        <f t="shared" si="5"/>
        <v>2.1339999999999999</v>
      </c>
      <c r="P14" s="37">
        <f t="shared" si="5"/>
        <v>4.3699999999999992</v>
      </c>
    </row>
    <row r="15" spans="1:31" ht="15" thickBot="1" x14ac:dyDescent="0.4">
      <c r="A15" s="28">
        <v>12</v>
      </c>
      <c r="B15" s="28">
        <v>0.26</v>
      </c>
      <c r="D15" s="28">
        <v>1.04</v>
      </c>
    </row>
    <row r="16" spans="1:31" x14ac:dyDescent="0.35">
      <c r="A16" s="28">
        <v>13</v>
      </c>
      <c r="B16" s="28">
        <v>0.26500000000000001</v>
      </c>
      <c r="D16" s="28">
        <v>1.06</v>
      </c>
      <c r="H16" s="106" t="s">
        <v>515</v>
      </c>
      <c r="I16" s="100">
        <f>IF(AND(0.2&lt;=I8,I8&lt;=1),I8-0.006,IF(AND(1&lt;I8,I8&lt;=1.475),I8-0.0075,IF(AND(1.475&lt;I8,I8&lt;=2.95),I8*0.994,IF(I8&gt;2.95,I8*0.993))))</f>
        <v>3.3752070000000001</v>
      </c>
      <c r="J16" s="100">
        <f t="shared" ref="J16:O16" si="6">IF(AND(0.2&lt;=J8,J8&lt;=1),J8-0.006,IF(AND(1&lt;J8,J8&lt;=1.475),J8-0.0075,IF(AND(1.475&lt;J8,J8&lt;=2.95),J8*0.994,IF(J8&gt;2.95,J8*0.993))))</f>
        <v>1.8607680000000002</v>
      </c>
      <c r="K16" s="100">
        <f t="shared" si="6"/>
        <v>3.4407449999999997</v>
      </c>
      <c r="L16" s="100">
        <f t="shared" si="6"/>
        <v>2.1708959999999999</v>
      </c>
      <c r="M16" s="100">
        <f t="shared" si="6"/>
        <v>0.504</v>
      </c>
      <c r="N16" s="100">
        <f t="shared" si="6"/>
        <v>1.2873000000000001</v>
      </c>
      <c r="O16" s="100">
        <f t="shared" si="6"/>
        <v>2.2305360000000003</v>
      </c>
      <c r="P16" s="100">
        <f>IF(AND(0.2&lt;=P8,P8&lt;=1),P8-0.006,IF(AND(1&lt;P8,P8&lt;=1.475),P8-0.0075,IF(AND(1.475&lt;P8,P8&lt;=2.95),P8*0.994,IF(P8&gt;2.95,P8*0.993))))</f>
        <v>4.7961900000000002</v>
      </c>
      <c r="AC16" s="28" t="s">
        <v>309</v>
      </c>
      <c r="AD16" s="28">
        <f>IF(Voltage_Threshold_Tool!$T$49="MON1",I26,IF(Voltage_Threshold_Tool!$T$49="MON2",J26,IF(Voltage_Threshold_Tool!$T$49="MON3",K26,IF(Voltage_Threshold_Tool!$T$49="MON4",L26,IF(Voltage_Threshold_Tool!$T$49="MON5",M26,IF(Voltage_Threshold_Tool!$T$49="MON6",N26,IF(Voltage_Threshold_Tool!$T$49="MON7",O26,IF(Voltage_Threshold_Tool!$T$49="MON8",P26))))))))</f>
        <v>3.3599999999999901</v>
      </c>
      <c r="AE16" s="28">
        <v>0</v>
      </c>
    </row>
    <row r="17" spans="1:31" ht="15" thickBot="1" x14ac:dyDescent="0.4">
      <c r="A17" s="28">
        <v>14</v>
      </c>
      <c r="B17" s="28">
        <v>0.27</v>
      </c>
      <c r="D17" s="28">
        <v>1.08</v>
      </c>
      <c r="H17" s="107" t="s">
        <v>516</v>
      </c>
      <c r="I17" s="101">
        <f>IF(AND(0.2&lt;=I10,I10&lt;=1),I10+0.006,IF(AND(1&lt;I10,I10&lt;=1.475),I10+0.0075,IF(AND(1.475&lt;I10,I10&lt;=2.95),I10*1.006,IF(I10&gt;2.95,I10*1.007))))</f>
        <v>3.2234069999999995</v>
      </c>
      <c r="J17" s="101">
        <f t="shared" ref="J17:P17" si="7">IF(AND(0.2&lt;=J10,J10&lt;=1),J10+0.006,IF(AND(1&lt;J10,J10&lt;=1.475),J10+0.0075,IF(AND(1.475&lt;J10,J10&lt;=2.95),J10*1.006,IF(J10&gt;2.95,J10*1.007))))</f>
        <v>1.7383679999999999</v>
      </c>
      <c r="K17" s="101">
        <f t="shared" si="7"/>
        <v>3.1569449999999994</v>
      </c>
      <c r="L17" s="101">
        <f t="shared" si="7"/>
        <v>2.0280960000000001</v>
      </c>
      <c r="M17" s="101">
        <f t="shared" si="7"/>
        <v>0.496</v>
      </c>
      <c r="N17" s="101">
        <f t="shared" si="7"/>
        <v>1.2027000000000001</v>
      </c>
      <c r="O17" s="101">
        <f t="shared" si="7"/>
        <v>2.168936</v>
      </c>
      <c r="P17" s="101">
        <f t="shared" si="7"/>
        <v>4.4005899999999984</v>
      </c>
      <c r="AD17" s="28">
        <f>IF(Voltage_Threshold_Tool!$T$49="MON1",I26,IF(Voltage_Threshold_Tool!$T$49="MON2",J26,IF(Voltage_Threshold_Tool!$T$49="MON3",K26,IF(Voltage_Threshold_Tool!$T$49="MON4",L26,IF(Voltage_Threshold_Tool!$T$49="MON5",M26,IF(Voltage_Threshold_Tool!$T$49="MON6",N26,IF(Voltage_Threshold_Tool!$T$49="MON7",O26,IF(Voltage_Threshold_Tool!$T$49="MON8",P26))))))))</f>
        <v>3.3599999999999901</v>
      </c>
      <c r="AE17" s="28">
        <v>1</v>
      </c>
    </row>
    <row r="18" spans="1:31" ht="15" thickBot="1" x14ac:dyDescent="0.4">
      <c r="A18" s="28">
        <v>15</v>
      </c>
      <c r="B18" s="28">
        <v>0.27500000000000002</v>
      </c>
      <c r="D18" s="28">
        <v>1.1000000000000001</v>
      </c>
      <c r="AC18" s="28" t="s">
        <v>308</v>
      </c>
      <c r="AD18" s="28">
        <f>IF(Voltage_Threshold_Tool!$T$49="MON1",I24,IF(Voltage_Threshold_Tool!$T$49="MON2",J24,IF(Voltage_Threshold_Tool!$T$49="MON3",K24,IF(Voltage_Threshold_Tool!$T$49="MON4",L24,IF(Voltage_Threshold_Tool!$T$49="MON5",M24,IF(Voltage_Threshold_Tool!$T$49="MON6",N24,IF(Voltage_Threshold_Tool!$T$49="MON7",O24,IF(Voltage_Threshold_Tool!$T$49="MON8",P24))))))))</f>
        <v>3.3799999999999901</v>
      </c>
      <c r="AE18" s="28">
        <v>0</v>
      </c>
    </row>
    <row r="19" spans="1:31" x14ac:dyDescent="0.35">
      <c r="A19" s="28">
        <v>16</v>
      </c>
      <c r="B19" s="28">
        <v>0.28000000000000003</v>
      </c>
      <c r="D19" s="28">
        <v>1.1200000000000001</v>
      </c>
      <c r="H19" s="106" t="s">
        <v>517</v>
      </c>
      <c r="I19" s="100">
        <f>IF(AND(0.2&lt;=I12, I12&lt;=1.475),I12-0.012,IF(I12&gt;1.475,I12-0.04,0))</f>
        <v>3.359</v>
      </c>
      <c r="J19" s="100">
        <f t="shared" ref="J19:P19" si="8">IF(AND(0.2&lt;=J12, J12&lt;=1.475),J12-0.012,IF(J12&gt;1.475,J12-0.04,0))</f>
        <v>1.8320000000000001</v>
      </c>
      <c r="K19" s="100">
        <f t="shared" si="8"/>
        <v>3.4249999999999998</v>
      </c>
      <c r="L19" s="100">
        <f t="shared" si="8"/>
        <v>2.1440000000000001</v>
      </c>
      <c r="M19" s="100">
        <f t="shared" si="8"/>
        <v>0.498</v>
      </c>
      <c r="N19" s="100">
        <f t="shared" si="8"/>
        <v>1.2828000000000002</v>
      </c>
      <c r="O19" s="100">
        <f t="shared" si="8"/>
        <v>2.2260000000000004</v>
      </c>
      <c r="P19" s="100">
        <f t="shared" si="8"/>
        <v>4.79</v>
      </c>
      <c r="AD19" s="28">
        <f>IF(Voltage_Threshold_Tool!$T$49="MON1",I24,IF(Voltage_Threshold_Tool!$T$49="MON2",J24,IF(Voltage_Threshold_Tool!$T$49="MON3",K24,IF(Voltage_Threshold_Tool!$T$49="MON4",L24,IF(Voltage_Threshold_Tool!$T$49="MON5",M24,IF(Voltage_Threshold_Tool!$T$49="MON6",N24,IF(Voltage_Threshold_Tool!$T$49="MON7",O24,IF(Voltage_Threshold_Tool!$T$49="MON8",P24))))))))</f>
        <v>3.3799999999999901</v>
      </c>
      <c r="AE19" s="28">
        <v>1</v>
      </c>
    </row>
    <row r="20" spans="1:31" ht="15" thickBot="1" x14ac:dyDescent="0.4">
      <c r="A20" s="28">
        <v>17</v>
      </c>
      <c r="B20" s="28">
        <v>0.28499999999999998</v>
      </c>
      <c r="D20" s="28">
        <v>1.1399999999999999</v>
      </c>
      <c r="H20" s="107" t="s">
        <v>518</v>
      </c>
      <c r="I20" s="101">
        <f>IF(AND(0.2&lt;=I14, I14&lt;=1.475),I14+0.012,IF(I14&gt;1.475,I14+0.04,0))</f>
        <v>3.2409999999999997</v>
      </c>
      <c r="J20" s="101">
        <f>IF(AND(0.2&lt;=J14, J14&lt;=1.475),J14+0.012,IF(J14&gt;1.475,J14+0.04,0))</f>
        <v>1.768</v>
      </c>
      <c r="K20" s="101">
        <f t="shared" ref="K20:P20" si="9">IF(AND(0.2&lt;=K14, K14&lt;=1.475),K14+0.012,IF(K14&gt;1.475,K14+0.04,0))</f>
        <v>3.1749999999999998</v>
      </c>
      <c r="L20" s="101">
        <f t="shared" si="9"/>
        <v>2.056</v>
      </c>
      <c r="M20" s="101">
        <f t="shared" si="9"/>
        <v>0.502</v>
      </c>
      <c r="N20" s="101">
        <f t="shared" si="9"/>
        <v>1.2072000000000001</v>
      </c>
      <c r="O20" s="101">
        <f t="shared" si="9"/>
        <v>2.1739999999999999</v>
      </c>
      <c r="P20" s="101">
        <f t="shared" si="9"/>
        <v>4.4099999999999993</v>
      </c>
      <c r="AC20" s="28" t="s">
        <v>504</v>
      </c>
      <c r="AD20" s="28">
        <f>IF(Voltage_Threshold_Tool!$T$49="MON1",I4,IF(Voltage_Threshold_Tool!$T$49="MON2",J4,IF(Voltage_Threshold_Tool!$T$49="MON3",K4,IF(Voltage_Threshold_Tool!$T$49="MON4",L4,IF(Voltage_Threshold_Tool!$T$49="MON5",M4,IF(Voltage_Threshold_Tool!$T$49="MON6",N4,IF(Voltage_Threshold_Tool!$T$49="MON7",O4,IF(Voltage_Threshold_Tool!$T$49="MON8",P4))))))))</f>
        <v>3.3</v>
      </c>
      <c r="AE20" s="28">
        <v>0</v>
      </c>
    </row>
    <row r="21" spans="1:31" x14ac:dyDescent="0.35">
      <c r="A21" s="28">
        <v>18</v>
      </c>
      <c r="B21" s="28">
        <v>0.28999999999999998</v>
      </c>
      <c r="D21" s="28">
        <v>1.1599999999999999</v>
      </c>
      <c r="AD21" s="28">
        <f>IF(Voltage_Threshold_Tool!$T$49="MON1",I4,IF(Voltage_Threshold_Tool!$T$49="MON2",J4,IF(Voltage_Threshold_Tool!$T$49="MON3",K4,IF(Voltage_Threshold_Tool!$T$49="MON4",L4,IF(Voltage_Threshold_Tool!$T$49="MON5",M4,IF(Voltage_Threshold_Tool!$T$49="MON6",N4,IF(Voltage_Threshold_Tool!$T$49="MON7",O4,IF(Voltage_Threshold_Tool!$T$49="MON8",P4))))))))</f>
        <v>3.3</v>
      </c>
      <c r="AE21" s="28">
        <v>1</v>
      </c>
    </row>
    <row r="22" spans="1:31" ht="15" thickBot="1" x14ac:dyDescent="0.4">
      <c r="A22" s="28">
        <v>19</v>
      </c>
      <c r="B22" s="28">
        <v>0.29499999999999998</v>
      </c>
      <c r="D22" s="28">
        <v>1.18</v>
      </c>
      <c r="AC22" s="28" t="s">
        <v>307</v>
      </c>
      <c r="AD22" s="28">
        <f>IF(Voltage_Threshold_Tool!$T$49="MON1",I27,IF(Voltage_Threshold_Tool!$T$49="MON2",J27,IF(Voltage_Threshold_Tool!$T$49="MON3",K27,IF(Voltage_Threshold_Tool!$T$49="MON4",L27,IF(Voltage_Threshold_Tool!$T$49="MON5",M27,IF(Voltage_Threshold_Tool!$T$49="MON6",N27,IF(Voltage_Threshold_Tool!$T$49="MON7",O27,IF(Voltage_Threshold_Tool!$T$49="MON8",P27))))))))</f>
        <v>3.23999999999999</v>
      </c>
      <c r="AE22" s="28">
        <v>0</v>
      </c>
    </row>
    <row r="23" spans="1:31" x14ac:dyDescent="0.35">
      <c r="A23" s="28">
        <v>20</v>
      </c>
      <c r="B23" s="28">
        <v>0.29999999999999899</v>
      </c>
      <c r="D23" s="28">
        <v>1.2</v>
      </c>
      <c r="H23" s="39" t="s">
        <v>505</v>
      </c>
      <c r="I23" s="39">
        <f t="shared" ref="I23:O23" si="10">IF(MAX(I8,I12)&gt;=1.475,4,1)</f>
        <v>4</v>
      </c>
      <c r="J23" s="39">
        <f t="shared" si="10"/>
        <v>4</v>
      </c>
      <c r="K23" s="39">
        <f t="shared" si="10"/>
        <v>4</v>
      </c>
      <c r="L23" s="39">
        <f t="shared" si="10"/>
        <v>4</v>
      </c>
      <c r="M23" s="39">
        <f t="shared" si="10"/>
        <v>1</v>
      </c>
      <c r="N23" s="39">
        <f t="shared" si="10"/>
        <v>1</v>
      </c>
      <c r="O23" s="39">
        <f t="shared" si="10"/>
        <v>4</v>
      </c>
      <c r="P23" s="39">
        <f>IF(MAX(P8,P12)&gt;=1.475,4,1)</f>
        <v>4</v>
      </c>
      <c r="AD23" s="28">
        <f>IF(Voltage_Threshold_Tool!$T$49="MON1",I27,IF(Voltage_Threshold_Tool!$T$49="MON2",J27,IF(Voltage_Threshold_Tool!$T$49="MON3",K27,IF(Voltage_Threshold_Tool!$T$49="MON4",L27,IF(Voltage_Threshold_Tool!$T$49="MON5",M27,IF(Voltage_Threshold_Tool!$T$49="MON6",N27,IF(Voltage_Threshold_Tool!$T$49="MON7",O27,IF(Voltage_Threshold_Tool!$T$49="MON8",P27))))))))</f>
        <v>3.23999999999999</v>
      </c>
      <c r="AE23" s="28">
        <v>1</v>
      </c>
    </row>
    <row r="24" spans="1:31" x14ac:dyDescent="0.35">
      <c r="A24" s="28">
        <v>21</v>
      </c>
      <c r="B24" s="28">
        <v>0.30499999999999999</v>
      </c>
      <c r="D24" s="28">
        <v>1.22</v>
      </c>
      <c r="H24" s="40" t="s">
        <v>519</v>
      </c>
      <c r="I24" s="40">
        <f t="array" ref="I24">IF(I$23=4,INDEX($D$2:$D$258,MATCH(MIN(ABS($D$2:$D$258-I$16)),ABS($D$2:$D$258-I$16),0)),INDEX($B$2:$B$258,MATCH(MIN(ABS($B$2:$B$258-I$16)),ABS($B$2:$B$258-I$16),0)))</f>
        <v>3.3799999999999901</v>
      </c>
      <c r="J24" s="40">
        <f t="array" ref="J24">IF(J$23=4,INDEX($D$2:$D$258,MATCH(MIN(ABS($D$2:$D$258-J$16)),ABS($D$2:$D$258-J$16),0)),INDEX($B$2:$B$258,MATCH(MIN(ABS($B$2:$B$258-J$16)),ABS($B$2:$B$258-J$16),0)))</f>
        <v>1.86</v>
      </c>
      <c r="K24" s="40">
        <f t="array" ref="K24">IF(K$23=4,INDEX($D$2:$D$258,MATCH(MIN(ABS($D$2:$D$258-K$16)),ABS($D$2:$D$258-K$16),0)),INDEX($B$2:$B$258,MATCH(MIN(ABS($B$2:$B$258-K$16)),ABS($B$2:$B$258-K$16),0)))</f>
        <v>3.4399999999999902</v>
      </c>
      <c r="L24" s="40">
        <f t="array" ref="L24">IF(L$23=4,INDEX($D$2:$D$258,MATCH(MIN(ABS($D$2:$D$258-L$16)),ABS($D$2:$D$258-L$16),0)),INDEX($B$2:$B$258,MATCH(MIN(ABS($B$2:$B$258-L$16)),ABS($B$2:$B$258-L$16),0)))</f>
        <v>2.1799999999999899</v>
      </c>
      <c r="M24" s="40">
        <f t="array" ref="M24">IF(M$23=4,INDEX($D$2:$D$258,MATCH(MIN(ABS($D$2:$D$258-M$16)),ABS($D$2:$D$258-M$16),0)),INDEX($B$2:$B$258,MATCH(MIN(ABS($B$2:$B$258-M$16)),ABS($B$2:$B$258-M$16),0)))</f>
        <v>0.50499999999999901</v>
      </c>
      <c r="N24" s="40">
        <f t="array" ref="N24">IF(N$23=4,INDEX($D$2:$D$258,MATCH(MIN(ABS($D$2:$D$258-N$16)),ABS($D$2:$D$258-N$16),0)),INDEX($B$2:$B$258,MATCH(MIN(ABS($B$2:$B$258-N$16)),ABS($B$2:$B$258-N$16),0)))</f>
        <v>1.2849999999999899</v>
      </c>
      <c r="O24" s="40">
        <f t="array" ref="O24">IF(O$23=4,INDEX($D$2:$D$258,MATCH(MIN(ABS($D$2:$D$258-O$16)),ABS($D$2:$D$258-O$16),0)),INDEX($B$2:$B$258,MATCH(MIN(ABS($B$2:$B$258-O$16)),ABS($B$2:$B$258-O$16),0)))</f>
        <v>2.23999999999999</v>
      </c>
      <c r="P24" s="40">
        <f t="array" ref="P24">IF(P$23=4,INDEX($D$2:$D$258,MATCH(MIN(ABS($D$2:$D$258-P$16)),ABS($D$2:$D$258-P$16),0)),INDEX($B$2:$B$258,MATCH(MIN(ABS($B$2:$B$258-P$16)),ABS($B$2:$B$258-P$16),0)))</f>
        <v>4.7999999999999803</v>
      </c>
      <c r="AC24" s="28" t="s">
        <v>306</v>
      </c>
      <c r="AD24" s="28">
        <f>IF(Voltage_Threshold_Tool!$T$49="MON1",I25,IF(Voltage_Threshold_Tool!$T$49="MON2",J25,IF(Voltage_Threshold_Tool!$T$49="MON3",K25,IF(Voltage_Threshold_Tool!$T$49="MON4",L25,IF(Voltage_Threshold_Tool!$T$49="MON5",M25,IF(Voltage_Threshold_Tool!$T$49="MON6",N25,IF(Voltage_Threshold_Tool!$T$49="MON7",O25,IF(Voltage_Threshold_Tool!$T$49="MON8",P25))))))))</f>
        <v>3.21999999999999</v>
      </c>
      <c r="AE24" s="28">
        <v>0</v>
      </c>
    </row>
    <row r="25" spans="1:31" ht="15" thickBot="1" x14ac:dyDescent="0.4">
      <c r="A25" s="28">
        <v>22</v>
      </c>
      <c r="B25" s="28">
        <v>0.309999999999999</v>
      </c>
      <c r="D25" s="28">
        <v>1.24</v>
      </c>
      <c r="H25" s="41" t="s">
        <v>521</v>
      </c>
      <c r="I25" s="41">
        <f t="array" ref="I25">IF(I$23=4,INDEX($D$2:$D$258,MATCH(MIN(ABS($D$2:$D$258-I$17)),ABS($D$2:$D$258-I$17),0)),INDEX($B$2:$B$258,MATCH(MIN(ABS($B$2:$B$258-I$17)),ABS($B$2:$B$258-I$17),0)))</f>
        <v>3.21999999999999</v>
      </c>
      <c r="J25" s="41">
        <f t="array" ref="J25">IF(J$23=4,INDEX($D$2:$D$258,MATCH(MIN(ABS($D$2:$D$258-J$17)),ABS($D$2:$D$258-J$17),0)),INDEX($B$2:$B$258,MATCH(MIN(ABS($B$2:$B$258-J$17)),ABS($B$2:$B$258-J$17),0)))</f>
        <v>1.74</v>
      </c>
      <c r="K25" s="41">
        <f t="array" ref="K25">IF(K$23=4,INDEX($D$2:$D$258,MATCH(MIN(ABS($D$2:$D$258-K$17)),ABS($D$2:$D$258-K$17),0)),INDEX($B$2:$B$258,MATCH(MIN(ABS($B$2:$B$258-K$17)),ABS($B$2:$B$258-K$17),0)))</f>
        <v>3.1599999999999899</v>
      </c>
      <c r="L25" s="41">
        <f t="array" ref="L25">IF(L$23=4,INDEX($D$2:$D$258,MATCH(MIN(ABS($D$2:$D$258-L$17)),ABS($D$2:$D$258-L$17),0)),INDEX($B$2:$B$258,MATCH(MIN(ABS($B$2:$B$258-L$17)),ABS($B$2:$B$258-L$17),0)))</f>
        <v>2.0199999999999898</v>
      </c>
      <c r="M25" s="41">
        <f t="array" ref="M25">IF(M$23=4,INDEX($D$2:$D$258,MATCH(MIN(ABS($D$2:$D$258-M$17)),ABS($D$2:$D$258-M$17),0)),INDEX($B$2:$B$258,MATCH(MIN(ABS($B$2:$B$258-M$17)),ABS($B$2:$B$258-M$17),0)))</f>
        <v>0.494999999999999</v>
      </c>
      <c r="N25" s="41">
        <f t="array" ref="N25">IF(N$23=4,INDEX($D$2:$D$258,MATCH(MIN(ABS($D$2:$D$258-N$17)),ABS($D$2:$D$258-N$17),0)),INDEX($B$2:$B$258,MATCH(MIN(ABS($B$2:$B$258-N$17)),ABS($B$2:$B$258-N$17),0)))</f>
        <v>1.2050000000000001</v>
      </c>
      <c r="O25" s="41">
        <f t="array" ref="O25">IF(O$23=4,INDEX($D$2:$D$258,MATCH(MIN(ABS($D$2:$D$258-O$17)),ABS($D$2:$D$258-O$17),0)),INDEX($B$2:$B$258,MATCH(MIN(ABS($B$2:$B$258-O$17)),ABS($B$2:$B$258-O$17),0)))</f>
        <v>2.1599999999999899</v>
      </c>
      <c r="P25" s="41">
        <f t="array" ref="P25">IF(P$23=4,INDEX($D$2:$D$258,MATCH(MIN(ABS($D$2:$D$258-P$17)),ABS($D$2:$D$258-P$17),0)),INDEX($B$2:$B$258,MATCH(MIN(ABS($B$2:$B$258-P$17)),ABS($B$2:$B$258-P$17),0)))</f>
        <v>4.3999999999999799</v>
      </c>
      <c r="AD25" s="28">
        <f>IF(Voltage_Threshold_Tool!$T$49="MON1",I25,IF(Voltage_Threshold_Tool!$T$49="MON2",J25,IF(Voltage_Threshold_Tool!$T$49="MON3",K25,IF(Voltage_Threshold_Tool!$T$49="MON4",L25,IF(Voltage_Threshold_Tool!$T$49="MON5",M25,IF(Voltage_Threshold_Tool!$T$49="MON6",N25,IF(Voltage_Threshold_Tool!$T$49="MON7",O25,IF(Voltage_Threshold_Tool!$T$49="MON8",P25))))))))</f>
        <v>3.21999999999999</v>
      </c>
      <c r="AE25" s="28">
        <v>1</v>
      </c>
    </row>
    <row r="26" spans="1:31" x14ac:dyDescent="0.35">
      <c r="A26" s="28">
        <v>23</v>
      </c>
      <c r="B26" s="28">
        <v>0.314999999999999</v>
      </c>
      <c r="D26" s="28">
        <v>1.26</v>
      </c>
      <c r="H26" s="40" t="s">
        <v>520</v>
      </c>
      <c r="I26" s="40">
        <f t="array" ref="I26">IF(I$23=4,INDEX($D$2:$D$258,MATCH(MIN(ABS($D$2:$D$258-I$19)),ABS($D$2:$D$258-I$19),0)),INDEX($B$2:$B$258,MATCH(MIN(ABS($B$2:$B$258-I$19)),ABS($B$2:$B$258-I$19),0)))</f>
        <v>3.3599999999999901</v>
      </c>
      <c r="J26" s="40">
        <f t="array" ref="J26">IF(J$23=4,INDEX($D$2:$D$258,MATCH(MIN(ABS($D$2:$D$258-J$19)),ABS($D$2:$D$258-J$19),0)),INDEX($B$2:$B$258,MATCH(MIN(ABS($B$2:$B$258-J$19)),ABS($B$2:$B$258-J$19),0)))</f>
        <v>1.84</v>
      </c>
      <c r="K26" s="40">
        <f t="array" ref="K26">IF(K$23=4,INDEX($D$2:$D$258,MATCH(MIN(ABS($D$2:$D$258-K$19)),ABS($D$2:$D$258-K$19),0)),INDEX($B$2:$B$258,MATCH(MIN(ABS($B$2:$B$258-K$19)),ABS($B$2:$B$258-K$19),0)))</f>
        <v>3.4199999999999902</v>
      </c>
      <c r="L26" s="40">
        <f t="array" ref="L26">IF(L$23=4,INDEX($D$2:$D$258,MATCH(MIN(ABS($D$2:$D$258-L$19)),ABS($D$2:$D$258-L$19),0)),INDEX($B$2:$B$258,MATCH(MIN(ABS($B$2:$B$258-L$19)),ABS($B$2:$B$258-L$19),0)))</f>
        <v>2.1399999999999899</v>
      </c>
      <c r="M26" s="40">
        <f t="array" ref="M26">IF(M$23=4,INDEX($D$2:$D$258,MATCH(MIN(ABS($D$2:$D$258-M$19)),ABS($D$2:$D$258-M$19),0)),INDEX($B$2:$B$258,MATCH(MIN(ABS($B$2:$B$258-M$19)),ABS($B$2:$B$258-M$19),0)))</f>
        <v>0.499999999999999</v>
      </c>
      <c r="N26" s="40">
        <f t="array" ref="N26">IF(N$23=4,INDEX($D$2:$D$258,MATCH(MIN(ABS($D$2:$D$258-N$19)),ABS($D$2:$D$258-N$19),0)),INDEX($B$2:$B$258,MATCH(MIN(ABS($B$2:$B$258-N$19)),ABS($B$2:$B$258-N$19),0)))</f>
        <v>1.2849999999999899</v>
      </c>
      <c r="O26" s="40">
        <f t="array" ref="O26">IF(O$23=4,INDEX($D$2:$D$258,MATCH(MIN(ABS($D$2:$D$258-O$19)),ABS($D$2:$D$258-O$19),0)),INDEX($B$2:$B$258,MATCH(MIN(ABS($B$2:$B$258-O$19)),ABS($B$2:$B$258-O$19),0)))</f>
        <v>2.21999999999999</v>
      </c>
      <c r="P26" s="40">
        <f t="array" ref="P26">IF(P$23=4,INDEX($D$2:$D$258,MATCH(MIN(ABS($D$2:$D$258-P$19)),ABS($D$2:$D$258-P$19),0)),INDEX($B$2:$B$258,MATCH(MIN(ABS($B$2:$B$258-P$19)),ABS($B$2:$B$258-P$19),0)))</f>
        <v>4.7999999999999803</v>
      </c>
    </row>
    <row r="27" spans="1:31" ht="15" thickBot="1" x14ac:dyDescent="0.4">
      <c r="A27" s="28">
        <v>24</v>
      </c>
      <c r="B27" s="28">
        <v>0.31999999999999901</v>
      </c>
      <c r="D27" s="28">
        <v>1.28</v>
      </c>
      <c r="H27" s="41" t="s">
        <v>529</v>
      </c>
      <c r="I27" s="41">
        <f t="array" ref="I27">IF(I$23=4,INDEX($D$2:$D$258,MATCH(MIN(ABS($D$2:$D$258-I$20)),ABS($D$2:$D$258-I$20),0)),INDEX($B$2:$B$258,MATCH(MIN(ABS($B$2:$B$258-I$20)),ABS($B$2:$B$258-I$20),0)))</f>
        <v>3.23999999999999</v>
      </c>
      <c r="J27" s="41">
        <f t="array" ref="J27">IF(J$23=4,INDEX($D$2:$D$258,MATCH(MIN(ABS($D$2:$D$258-J$20)),ABS($D$2:$D$258-J$20),0)),INDEX($B$2:$B$258,MATCH(MIN(ABS($B$2:$B$258-J$20)),ABS($B$2:$B$258-J$20),0)))</f>
        <v>1.76</v>
      </c>
      <c r="K27" s="41">
        <f t="array" ref="K27">IF(K$23=4,INDEX($D$2:$D$258,MATCH(MIN(ABS($D$2:$D$258-K$20)),ABS($D$2:$D$258-K$20),0)),INDEX($B$2:$B$258,MATCH(MIN(ABS($B$2:$B$258-K$20)),ABS($B$2:$B$258-K$20),0)))</f>
        <v>3.1799999999999899</v>
      </c>
      <c r="L27" s="41">
        <f t="array" ref="L27">IF(L$23=4,INDEX($D$2:$D$258,MATCH(MIN(ABS($D$2:$D$258-L$20)),ABS($D$2:$D$258-L$20),0)),INDEX($B$2:$B$258,MATCH(MIN(ABS($B$2:$B$258-L$20)),ABS($B$2:$B$258-L$20),0)))</f>
        <v>2.0599999999999898</v>
      </c>
      <c r="M27" s="41">
        <f t="array" ref="M27">IF(M$23=4,INDEX($D$2:$D$258,MATCH(MIN(ABS($D$2:$D$258-M$20)),ABS($D$2:$D$258-M$20),0)),INDEX($B$2:$B$258,MATCH(MIN(ABS($B$2:$B$258-M$20)),ABS($B$2:$B$258-M$20),0)))</f>
        <v>0.499999999999999</v>
      </c>
      <c r="N27" s="41">
        <f t="array" ref="N27">IF(N$23=4,INDEX($D$2:$D$258,MATCH(MIN(ABS($D$2:$D$258-N$20)),ABS($D$2:$D$258-N$20),0)),INDEX($B$2:$B$258,MATCH(MIN(ABS($B$2:$B$258-N$20)),ABS($B$2:$B$258-N$20),0)))</f>
        <v>1.2050000000000001</v>
      </c>
      <c r="O27" s="41">
        <f t="array" ref="O27">IF(O$23=4,INDEX($D$2:$D$258,MATCH(MIN(ABS($D$2:$D$258-O$20)),ABS($D$2:$D$258-O$20),0)),INDEX($B$2:$B$258,MATCH(MIN(ABS($B$2:$B$258-O$20)),ABS($B$2:$B$258-O$20),0)))</f>
        <v>2.1799999999999899</v>
      </c>
      <c r="P27" s="41">
        <f t="array" ref="P27">IF(P$23=4,INDEX($D$2:$D$258,MATCH(MIN(ABS($D$2:$D$258-P$20)),ABS($D$2:$D$258-P$20),0)),INDEX($B$2:$B$258,MATCH(MIN(ABS($B$2:$B$258-P$20)),ABS($B$2:$B$258-P$20),0)))</f>
        <v>4.4199999999999804</v>
      </c>
    </row>
    <row r="28" spans="1:31" x14ac:dyDescent="0.35">
      <c r="A28" s="28">
        <v>25</v>
      </c>
      <c r="B28" s="28">
        <v>0.32499999999999901</v>
      </c>
      <c r="D28" s="28">
        <v>1.3</v>
      </c>
      <c r="H28" s="38"/>
      <c r="I28" s="38"/>
      <c r="J28" s="38"/>
      <c r="K28" s="38"/>
      <c r="L28" s="38"/>
      <c r="M28" s="38"/>
      <c r="N28" s="38"/>
      <c r="O28" s="38"/>
      <c r="P28" s="38"/>
    </row>
    <row r="29" spans="1:31" x14ac:dyDescent="0.35">
      <c r="A29" s="28">
        <v>26</v>
      </c>
      <c r="B29" s="28">
        <v>0.32999999999999902</v>
      </c>
      <c r="D29" s="28">
        <v>1.32</v>
      </c>
    </row>
    <row r="30" spans="1:31" x14ac:dyDescent="0.35">
      <c r="A30" s="28">
        <v>27</v>
      </c>
      <c r="B30" s="28">
        <v>0.33499999999999902</v>
      </c>
      <c r="D30" s="28">
        <v>1.34</v>
      </c>
      <c r="F30" s="81"/>
      <c r="G30" s="81"/>
    </row>
    <row r="31" spans="1:31" x14ac:dyDescent="0.35">
      <c r="A31" s="28">
        <v>28</v>
      </c>
      <c r="B31" s="28">
        <v>0.33999999999999903</v>
      </c>
      <c r="D31" s="28">
        <v>1.36</v>
      </c>
      <c r="O31" s="28">
        <f>IF(I3="VIN Ch Disabled",1,0)</f>
        <v>0</v>
      </c>
    </row>
    <row r="32" spans="1:31" x14ac:dyDescent="0.35">
      <c r="A32" s="28">
        <v>29</v>
      </c>
      <c r="B32" s="28">
        <v>0.34499999999999897</v>
      </c>
      <c r="D32" s="28">
        <v>1.38</v>
      </c>
    </row>
    <row r="33" spans="1:26" ht="15" thickBot="1" x14ac:dyDescent="0.4">
      <c r="A33" s="28">
        <v>30</v>
      </c>
      <c r="B33" s="28">
        <v>0.34999999999999898</v>
      </c>
      <c r="D33" s="28">
        <v>1.4</v>
      </c>
    </row>
    <row r="34" spans="1:26" ht="15" thickBot="1" x14ac:dyDescent="0.4">
      <c r="A34" s="28">
        <v>31</v>
      </c>
      <c r="B34" s="28">
        <v>0.35499999999999898</v>
      </c>
      <c r="D34" s="28">
        <v>1.42</v>
      </c>
      <c r="F34" s="95" t="s">
        <v>0</v>
      </c>
      <c r="G34" s="96"/>
      <c r="H34" s="55" t="s">
        <v>1</v>
      </c>
      <c r="I34" s="55" t="s">
        <v>453</v>
      </c>
      <c r="J34" s="96" t="s">
        <v>2</v>
      </c>
      <c r="K34" s="96" t="s">
        <v>3</v>
      </c>
      <c r="L34" s="96" t="s">
        <v>4</v>
      </c>
      <c r="M34" s="96" t="s">
        <v>5</v>
      </c>
      <c r="N34" s="96" t="s">
        <v>6</v>
      </c>
      <c r="O34" s="96" t="s">
        <v>7</v>
      </c>
      <c r="P34" s="96" t="s">
        <v>8</v>
      </c>
      <c r="Q34" s="96" t="s">
        <v>9</v>
      </c>
      <c r="R34" s="56" t="s">
        <v>2</v>
      </c>
      <c r="S34" s="57" t="s">
        <v>3</v>
      </c>
      <c r="T34" s="57" t="s">
        <v>4</v>
      </c>
      <c r="U34" s="57" t="s">
        <v>5</v>
      </c>
      <c r="V34" s="57" t="s">
        <v>6</v>
      </c>
      <c r="W34" s="57" t="s">
        <v>7</v>
      </c>
      <c r="X34" s="57" t="s">
        <v>8</v>
      </c>
      <c r="Y34" s="57" t="s">
        <v>9</v>
      </c>
      <c r="Z34" s="58" t="s">
        <v>25</v>
      </c>
    </row>
    <row r="35" spans="1:26" ht="15" thickBot="1" x14ac:dyDescent="0.4">
      <c r="A35" s="28">
        <v>32</v>
      </c>
      <c r="B35" s="28">
        <v>0.35999999999999899</v>
      </c>
      <c r="D35" s="28">
        <v>1.44</v>
      </c>
      <c r="F35" s="59"/>
      <c r="G35" s="185" t="s">
        <v>205</v>
      </c>
      <c r="H35" s="14" t="s">
        <v>285</v>
      </c>
      <c r="I35" s="14" t="s">
        <v>455</v>
      </c>
      <c r="J35" s="23" t="str">
        <f>P3</f>
        <v>VIN Ch Enabled</v>
      </c>
      <c r="K35" s="23" t="str">
        <f>O3</f>
        <v>VIN Ch Enabled</v>
      </c>
      <c r="L35" s="23" t="str">
        <f>N3</f>
        <v>VIN Ch Enabled</v>
      </c>
      <c r="M35" s="23" t="str">
        <f>M3</f>
        <v>VIN Ch Enabled</v>
      </c>
      <c r="N35" s="23" t="str">
        <f>L3</f>
        <v>VIN Ch Enabled</v>
      </c>
      <c r="O35" s="23" t="str">
        <f>K3</f>
        <v>VIN Ch Enabled</v>
      </c>
      <c r="P35" s="23" t="str">
        <f>J3</f>
        <v>VIN Ch Enabled</v>
      </c>
      <c r="Q35" s="24" t="str">
        <f>I3</f>
        <v>VIN Ch Enabled</v>
      </c>
      <c r="R35" s="29">
        <f>IF(MATCH(J35,vin_ch_en,0)=1,0,1)</f>
        <v>1</v>
      </c>
      <c r="S35" s="29">
        <f>IF(MATCH(K35,vin_ch_en,0)=1,0,1)</f>
        <v>1</v>
      </c>
      <c r="T35" s="29">
        <f>IF(MATCH(L35,vin_ch_en,0)=1,0,1)</f>
        <v>1</v>
      </c>
      <c r="U35" s="29">
        <f t="shared" ref="U35:Y35" si="11">IF(MATCH(M35,vin_ch_en,0)=1,0,1)</f>
        <v>1</v>
      </c>
      <c r="V35" s="29">
        <f t="shared" si="11"/>
        <v>1</v>
      </c>
      <c r="W35" s="29">
        <f t="shared" si="11"/>
        <v>1</v>
      </c>
      <c r="X35" s="29">
        <f t="shared" si="11"/>
        <v>1</v>
      </c>
      <c r="Y35" s="29">
        <f t="shared" si="11"/>
        <v>1</v>
      </c>
      <c r="Z35" s="18" t="str">
        <f>CONCATENATE("0x",DEC2HEX(1*Y35+2*X35+4*W35+8*V35+16*U35+32*T35+64*S35+128*R35,2))</f>
        <v>0xFF</v>
      </c>
    </row>
    <row r="36" spans="1:26" ht="15" thickBot="1" x14ac:dyDescent="0.4">
      <c r="A36" s="28">
        <v>33</v>
      </c>
      <c r="B36" s="28">
        <v>0.36499999999999899</v>
      </c>
      <c r="D36" s="28">
        <v>1.46</v>
      </c>
      <c r="F36" s="59">
        <v>31</v>
      </c>
      <c r="G36" s="60" t="str">
        <f>_xlfn.CONCAT("0x",DEC2HEX(F36,2))</f>
        <v>0x1F</v>
      </c>
      <c r="H36" s="15" t="s">
        <v>286</v>
      </c>
      <c r="I36" s="15" t="s">
        <v>455</v>
      </c>
      <c r="J36" s="31" t="str">
        <f>IF(P3="Vin Ch Disabled","Set Ch to 1x Scaling",IF($P$23=1,Lists!$N$5,Lists!$N$6))</f>
        <v>Set Ch to 4x Scaling</v>
      </c>
      <c r="K36" s="99" t="str">
        <f>IF(O3="Vin Ch Disabled","Set Ch to 1x Scaling",IF($O$23=1,Lists!$N$5,Lists!$N$6))</f>
        <v>Set Ch to 4x Scaling</v>
      </c>
      <c r="L36" s="99" t="str">
        <f>IF(N3="Vin Ch Disabled","Set Ch to 1x Scaling",IF($N$23=1,Lists!$N$5,Lists!$N$6))</f>
        <v>Set Ch to 1x Scaling</v>
      </c>
      <c r="M36" s="99" t="str">
        <f>IF(M3="Vin Ch Disabled","Set Ch to 1x Scaling",IF($M$23=1,Lists!$N$5,Lists!$N$6))</f>
        <v>Set Ch to 1x Scaling</v>
      </c>
      <c r="N36" s="99" t="str">
        <f>IF(L3="Vin Ch Disabled","Set Ch to 1x Scaling",IF($L$23=1,Lists!$N$5,Lists!$N$6))</f>
        <v>Set Ch to 4x Scaling</v>
      </c>
      <c r="O36" s="99" t="str">
        <f>IF(K3="Vin Ch Disabled","Set Ch to 1x Scaling",IF($K$23=1,Lists!$N$5,Lists!$N$6))</f>
        <v>Set Ch to 4x Scaling</v>
      </c>
      <c r="P36" s="99" t="str">
        <f>IF(J3="Vin Ch Disabled","Set Ch to 1x Scaling",IF($J$23=1,Lists!$N$5,Lists!$N$6))</f>
        <v>Set Ch to 4x Scaling</v>
      </c>
      <c r="Q36" s="99" t="str">
        <f>IF(I3="Vin Ch Disabled","Set Ch to 1x Scaling",IF($I$23=1,Lists!$N$5,Lists!$N$6))</f>
        <v>Set Ch to 4x Scaling</v>
      </c>
      <c r="R36" s="47">
        <f t="shared" ref="R36:Y36" si="12">IF(MATCH(J36,vin_ch_scale,0)=1,0,1)</f>
        <v>1</v>
      </c>
      <c r="S36" s="47">
        <f t="shared" si="12"/>
        <v>1</v>
      </c>
      <c r="T36" s="47">
        <f t="shared" si="12"/>
        <v>0</v>
      </c>
      <c r="U36" s="47">
        <f t="shared" si="12"/>
        <v>0</v>
      </c>
      <c r="V36" s="47">
        <f t="shared" si="12"/>
        <v>1</v>
      </c>
      <c r="W36" s="47">
        <f t="shared" si="12"/>
        <v>1</v>
      </c>
      <c r="X36" s="47">
        <f t="shared" si="12"/>
        <v>1</v>
      </c>
      <c r="Y36" s="47">
        <f t="shared" si="12"/>
        <v>1</v>
      </c>
      <c r="Z36" s="19" t="str">
        <f>CONCATENATE("0x",DEC2HEX(1*Y36+2*X36+4*W36+8*V36+16*U36+32*T36+64*S36+128*R36,2))</f>
        <v>0xCF</v>
      </c>
    </row>
    <row r="37" spans="1:26" x14ac:dyDescent="0.35">
      <c r="A37" s="28">
        <v>34</v>
      </c>
      <c r="B37" s="28">
        <v>0.369999999999999</v>
      </c>
      <c r="D37" s="28">
        <v>1.48</v>
      </c>
      <c r="F37" s="59"/>
      <c r="G37" s="61"/>
      <c r="H37" s="13"/>
      <c r="I37" s="13"/>
      <c r="J37" s="17"/>
      <c r="K37" s="17"/>
      <c r="L37" s="17"/>
      <c r="M37" s="17"/>
      <c r="N37" s="17"/>
      <c r="O37" s="17"/>
      <c r="P37" s="17"/>
      <c r="Q37" s="17"/>
      <c r="R37" s="5"/>
      <c r="S37" s="9"/>
      <c r="T37" s="9"/>
      <c r="U37" s="9"/>
      <c r="V37" s="9"/>
      <c r="W37" s="9"/>
      <c r="X37" s="62"/>
      <c r="Y37" s="62"/>
      <c r="Z37" s="20"/>
    </row>
    <row r="38" spans="1:26" x14ac:dyDescent="0.35">
      <c r="A38" s="28">
        <v>35</v>
      </c>
      <c r="B38" s="28">
        <v>0.374999999999999</v>
      </c>
      <c r="D38" s="28">
        <v>1.5</v>
      </c>
      <c r="F38" s="59">
        <v>32</v>
      </c>
      <c r="G38" s="22" t="str">
        <f t="shared" ref="G38:G41" si="13">_xlfn.CONCAT("0x",DEC2HEX(F38,2))</f>
        <v>0x20</v>
      </c>
      <c r="H38" s="14" t="s">
        <v>325</v>
      </c>
      <c r="I38" s="14" t="s">
        <v>457</v>
      </c>
      <c r="J38" s="87">
        <f>I25</f>
        <v>3.21999999999999</v>
      </c>
      <c r="K38" s="88"/>
      <c r="L38" s="88"/>
      <c r="M38" s="88"/>
      <c r="N38" s="88"/>
      <c r="O38" s="88"/>
      <c r="P38" s="88"/>
      <c r="Q38" s="89"/>
      <c r="R38" s="16">
        <f>MOD(QUOTIENT(ROUNDUP((J38-IF($Y$36=0,0.2,0.8))/(IF($Y$36=0,0.005,0.02)),0),128),2)</f>
        <v>0</v>
      </c>
      <c r="S38" s="29">
        <f>MOD(QUOTIENT(ROUNDUP((J38-IF($Y$36=0,0.2,0.8))/(IF($Y$36=0,0.005,0.02)),0),64),2)</f>
        <v>1</v>
      </c>
      <c r="T38" s="29">
        <f>MOD(QUOTIENT(ROUNDUP((J38-IF($Y$36=0,0.2,0.8))/(IF($Y$36=0,0.005,0.02)),0),32),2)</f>
        <v>1</v>
      </c>
      <c r="U38" s="29">
        <f>MOD(QUOTIENT(ROUNDUP((J38-IF($Y$36=0,0.2,0.8))/(IF($Y$36=0,0.005,0.02)),0),16),2)</f>
        <v>1</v>
      </c>
      <c r="V38" s="29">
        <f>MOD(QUOTIENT(ROUNDUP((J38-IF($Y$36=0,0.2,0.8))/(IF($Y$36=0,0.005,0.02)),0),8),2)</f>
        <v>1</v>
      </c>
      <c r="W38" s="29">
        <f>MOD(QUOTIENT(ROUNDUP((J38-IF($Y$36=0,0.2,0.8))/(IF($Y$36=0,0.005,0.02)),0),4),2)</f>
        <v>0</v>
      </c>
      <c r="X38" s="29">
        <f>MOD(QUOTIENT(ROUNDUP((J38-IF($Y$36=0,0.2,0.8))/(IF($Y$36=0,0.005,0.02)),0),2),2)</f>
        <v>0</v>
      </c>
      <c r="Y38" s="29">
        <f>MOD(QUOTIENT(ROUNDUP((J38-IF($Y$36=0,0.2,0.8))/(IF($Y$36=0,0.005,0.02)),0),1),2)</f>
        <v>1</v>
      </c>
      <c r="Z38" s="18" t="str">
        <f t="shared" ref="Z38:Z41" si="14">CONCATENATE("0x",DEC2HEX(1*Y38+2*X38+4*W38+8*V38+16*U38+32*T38+64*S38+128*R38,2))</f>
        <v>0x79</v>
      </c>
    </row>
    <row r="39" spans="1:26" x14ac:dyDescent="0.35">
      <c r="A39" s="28">
        <v>36</v>
      </c>
      <c r="B39" s="28">
        <v>0.37999999999999901</v>
      </c>
      <c r="D39" s="28">
        <v>1.52</v>
      </c>
      <c r="F39" s="59">
        <v>33</v>
      </c>
      <c r="G39" s="60" t="str">
        <f t="shared" si="13"/>
        <v>0x21</v>
      </c>
      <c r="H39" s="15" t="s">
        <v>326</v>
      </c>
      <c r="I39" s="15" t="s">
        <v>457</v>
      </c>
      <c r="J39" s="90">
        <f>I24</f>
        <v>3.3799999999999901</v>
      </c>
      <c r="K39" s="91"/>
      <c r="L39" s="91"/>
      <c r="M39" s="91"/>
      <c r="N39" s="91"/>
      <c r="O39" s="91"/>
      <c r="P39" s="91"/>
      <c r="Q39" s="92"/>
      <c r="R39" s="16">
        <f>MOD(QUOTIENT(ROUNDUP((J39-IF($Y$36=0,0.2,0.8))/(IF($Y$36=0,0.005,0.02)),0),128),2)</f>
        <v>1</v>
      </c>
      <c r="S39" s="29">
        <f t="shared" ref="S39:S41" si="15">MOD(QUOTIENT(ROUNDUP((J39-IF($Y$36=0,0.2,0.8))/(IF($Y$36=0,0.005,0.02)),0),64),2)</f>
        <v>0</v>
      </c>
      <c r="T39" s="29">
        <f t="shared" ref="T39:T41" si="16">MOD(QUOTIENT(ROUNDUP((J39-IF($Y$36=0,0.2,0.8))/(IF($Y$36=0,0.005,0.02)),0),32),2)</f>
        <v>0</v>
      </c>
      <c r="U39" s="29">
        <f t="shared" ref="U39:U41" si="17">MOD(QUOTIENT(ROUNDUP((J39-IF($Y$36=0,0.2,0.8))/(IF($Y$36=0,0.005,0.02)),0),16),2)</f>
        <v>0</v>
      </c>
      <c r="V39" s="29">
        <f t="shared" ref="V39:V41" si="18">MOD(QUOTIENT(ROUNDUP((J39-IF($Y$36=0,0.2,0.8))/(IF($Y$36=0,0.005,0.02)),0),8),2)</f>
        <v>0</v>
      </c>
      <c r="W39" s="29">
        <f t="shared" ref="W39:W41" si="19">MOD(QUOTIENT(ROUNDUP((J39-IF($Y$36=0,0.2,0.8))/(IF($Y$36=0,0.005,0.02)),0),4),2)</f>
        <v>0</v>
      </c>
      <c r="X39" s="29">
        <f t="shared" ref="X39:X41" si="20">MOD(QUOTIENT(ROUNDUP((J39-IF($Y$36=0,0.2,0.8))/(IF($Y$36=0,0.005,0.02)),0),2),2)</f>
        <v>0</v>
      </c>
      <c r="Y39" s="29">
        <f t="shared" ref="Y39:Y41" si="21">MOD(QUOTIENT(ROUNDUP((J39-IF($Y$36=0,0.2,0.8))/(IF($Y$36=0,0.005,0.02)),0),1),2)</f>
        <v>1</v>
      </c>
      <c r="Z39" s="19" t="str">
        <f t="shared" si="14"/>
        <v>0x81</v>
      </c>
    </row>
    <row r="40" spans="1:26" x14ac:dyDescent="0.35">
      <c r="A40" s="28">
        <v>37</v>
      </c>
      <c r="B40" s="28">
        <v>0.38499999999999901</v>
      </c>
      <c r="D40" s="28">
        <v>1.54</v>
      </c>
      <c r="F40" s="59">
        <v>34</v>
      </c>
      <c r="G40" s="22" t="str">
        <f t="shared" si="13"/>
        <v>0x22</v>
      </c>
      <c r="H40" s="14" t="s">
        <v>327</v>
      </c>
      <c r="I40" s="14" t="s">
        <v>457</v>
      </c>
      <c r="J40" s="87">
        <f>I27</f>
        <v>3.23999999999999</v>
      </c>
      <c r="K40" s="88"/>
      <c r="L40" s="88"/>
      <c r="M40" s="88"/>
      <c r="N40" s="88"/>
      <c r="O40" s="88"/>
      <c r="P40" s="88"/>
      <c r="Q40" s="89"/>
      <c r="R40" s="16">
        <f>MOD(QUOTIENT(ROUNDUP((J40-IF($Y$36=0,0.2,0.8))/(IF($Y$36=0,0.005,0.02)),0),128),2)</f>
        <v>0</v>
      </c>
      <c r="S40" s="29">
        <f t="shared" si="15"/>
        <v>1</v>
      </c>
      <c r="T40" s="29">
        <f t="shared" si="16"/>
        <v>1</v>
      </c>
      <c r="U40" s="29">
        <f t="shared" si="17"/>
        <v>1</v>
      </c>
      <c r="V40" s="29">
        <f t="shared" si="18"/>
        <v>1</v>
      </c>
      <c r="W40" s="29">
        <f t="shared" si="19"/>
        <v>0</v>
      </c>
      <c r="X40" s="29">
        <f t="shared" si="20"/>
        <v>1</v>
      </c>
      <c r="Y40" s="29">
        <f t="shared" si="21"/>
        <v>0</v>
      </c>
      <c r="Z40" s="18" t="str">
        <f t="shared" si="14"/>
        <v>0x7A</v>
      </c>
    </row>
    <row r="41" spans="1:26" x14ac:dyDescent="0.35">
      <c r="A41" s="28">
        <v>38</v>
      </c>
      <c r="B41" s="28">
        <v>0.38999999999999901</v>
      </c>
      <c r="D41" s="28">
        <v>1.56</v>
      </c>
      <c r="F41" s="59">
        <v>35</v>
      </c>
      <c r="G41" s="60" t="str">
        <f t="shared" si="13"/>
        <v>0x23</v>
      </c>
      <c r="H41" s="15" t="s">
        <v>328</v>
      </c>
      <c r="I41" s="15" t="s">
        <v>457</v>
      </c>
      <c r="J41" s="90">
        <f>I26</f>
        <v>3.3599999999999901</v>
      </c>
      <c r="K41" s="91"/>
      <c r="L41" s="91"/>
      <c r="M41" s="91"/>
      <c r="N41" s="91"/>
      <c r="O41" s="91"/>
      <c r="P41" s="91"/>
      <c r="Q41" s="92"/>
      <c r="R41" s="16">
        <f>MOD(QUOTIENT(ROUNDUP((J41-IF($Y$36=0,0.2,0.8))/(IF($Y$36=0,0.005,0.02)),0),128),2)</f>
        <v>1</v>
      </c>
      <c r="S41" s="29">
        <f t="shared" si="15"/>
        <v>0</v>
      </c>
      <c r="T41" s="29">
        <f t="shared" si="16"/>
        <v>0</v>
      </c>
      <c r="U41" s="29">
        <f t="shared" si="17"/>
        <v>0</v>
      </c>
      <c r="V41" s="29">
        <f t="shared" si="18"/>
        <v>0</v>
      </c>
      <c r="W41" s="29">
        <f t="shared" si="19"/>
        <v>0</v>
      </c>
      <c r="X41" s="29">
        <f t="shared" si="20"/>
        <v>0</v>
      </c>
      <c r="Y41" s="29">
        <f t="shared" si="21"/>
        <v>0</v>
      </c>
      <c r="Z41" s="19" t="str">
        <f t="shared" si="14"/>
        <v>0x80</v>
      </c>
    </row>
    <row r="42" spans="1:26" x14ac:dyDescent="0.35">
      <c r="A42" s="28">
        <v>39</v>
      </c>
      <c r="B42" s="28">
        <v>0.39499999999999902</v>
      </c>
      <c r="D42" s="28">
        <v>1.58</v>
      </c>
      <c r="F42" s="59"/>
      <c r="G42" s="42"/>
      <c r="H42" s="66"/>
      <c r="I42" s="66"/>
      <c r="J42" s="82"/>
      <c r="K42" s="83"/>
      <c r="L42" s="83"/>
      <c r="M42" s="84"/>
      <c r="N42" s="85"/>
      <c r="O42" s="83"/>
      <c r="P42" s="83"/>
      <c r="Q42" s="86"/>
      <c r="R42" s="67"/>
      <c r="S42" s="43"/>
      <c r="T42" s="43"/>
      <c r="U42" s="43"/>
      <c r="V42" s="43"/>
      <c r="W42" s="43"/>
      <c r="X42" s="43"/>
      <c r="Y42" s="43"/>
      <c r="Z42" s="68"/>
    </row>
    <row r="43" spans="1:26" x14ac:dyDescent="0.35">
      <c r="A43" s="28">
        <v>40</v>
      </c>
      <c r="B43" s="28">
        <v>0.39999999999999902</v>
      </c>
      <c r="D43" s="28">
        <v>1.6</v>
      </c>
      <c r="F43" s="59"/>
      <c r="G43" s="61"/>
      <c r="H43" s="13"/>
      <c r="I43" s="13"/>
      <c r="J43" s="17"/>
      <c r="K43" s="17"/>
      <c r="L43" s="17"/>
      <c r="M43" s="17"/>
      <c r="N43" s="17"/>
      <c r="O43" s="17"/>
      <c r="P43" s="17"/>
      <c r="Q43" s="17"/>
      <c r="R43" s="5"/>
      <c r="S43" s="9"/>
      <c r="T43" s="9"/>
      <c r="U43" s="9"/>
      <c r="V43" s="9"/>
      <c r="W43" s="9"/>
      <c r="X43" s="9"/>
      <c r="Y43" s="9"/>
      <c r="Z43" s="20"/>
    </row>
    <row r="44" spans="1:26" x14ac:dyDescent="0.35">
      <c r="A44" s="28">
        <v>41</v>
      </c>
      <c r="B44" s="28">
        <v>0.40499999999999903</v>
      </c>
      <c r="D44" s="28">
        <v>1.62</v>
      </c>
      <c r="F44" s="59">
        <v>48</v>
      </c>
      <c r="G44" s="22" t="str">
        <f t="shared" ref="G44:G47" si="22">_xlfn.CONCAT("0x",DEC2HEX(F44,2))</f>
        <v>0x30</v>
      </c>
      <c r="H44" s="14" t="s">
        <v>329</v>
      </c>
      <c r="I44" s="14" t="s">
        <v>458</v>
      </c>
      <c r="J44" s="87">
        <f>J25</f>
        <v>1.74</v>
      </c>
      <c r="K44" s="88"/>
      <c r="L44" s="88"/>
      <c r="M44" s="88"/>
      <c r="N44" s="88"/>
      <c r="O44" s="88"/>
      <c r="P44" s="88"/>
      <c r="Q44" s="89"/>
      <c r="R44" s="16">
        <f>MOD(QUOTIENT(ROUNDUP((J44-IF($X$36=0,0.2,0.8))/(IF($X$36=0,0.005,0.02)),0),128),2)</f>
        <v>0</v>
      </c>
      <c r="S44" s="29">
        <f>MOD(QUOTIENT(ROUNDUP((J44-IF($X$36=0,0.2,0.8))/(IF($X$36=0,0.005,0.02)),0),64),2)</f>
        <v>0</v>
      </c>
      <c r="T44" s="29">
        <f>MOD(QUOTIENT(ROUNDUP((J44-IF($X$36=0,0.2,0.8))/(IF($X$36=0,0.005,0.02)),0),32),2)</f>
        <v>1</v>
      </c>
      <c r="U44" s="29">
        <f>MOD(QUOTIENT(ROUNDUP((J44-IF($X$36=0,0.2,0.8))/(IF($X$36=0,0.005,0.02)),0),16),2)</f>
        <v>0</v>
      </c>
      <c r="V44" s="29">
        <f>MOD(QUOTIENT(ROUNDUP((J44-IF($X$36=0,0.2,0.8))/(IF($X$36=0,0.005,0.02)),0),8),2)</f>
        <v>1</v>
      </c>
      <c r="W44" s="29">
        <f>MOD(QUOTIENT(ROUNDUP((J44-IF($X$36=0,0.2,0.8))/(IF($X$36=0,0.005,0.02)),0),4),2)</f>
        <v>1</v>
      </c>
      <c r="X44" s="29">
        <f>MOD(QUOTIENT(ROUNDUP((J44-IF($X$36=0,0.2,0.8))/(IF($X$36=0,0.005,0.02)),0),2),2)</f>
        <v>1</v>
      </c>
      <c r="Y44" s="29">
        <f>MOD(QUOTIENT(ROUNDUP((J44-IF($X$36=0,0.2,0.8))/(IF($X$36=0,0.005,0.02)),0),1),2)</f>
        <v>1</v>
      </c>
      <c r="Z44" s="18" t="str">
        <f>CONCATENATE("0x",DEC2HEX(1*Y44+2*X44+4*W44+8*V44+16*U44+32*T44+64*S44+128*R44,2))</f>
        <v>0x2F</v>
      </c>
    </row>
    <row r="45" spans="1:26" x14ac:dyDescent="0.35">
      <c r="A45" s="28">
        <v>42</v>
      </c>
      <c r="B45" s="28">
        <v>0.40999999999999898</v>
      </c>
      <c r="D45" s="28">
        <v>1.64</v>
      </c>
      <c r="F45" s="59">
        <v>49</v>
      </c>
      <c r="G45" s="60" t="str">
        <f t="shared" si="22"/>
        <v>0x31</v>
      </c>
      <c r="H45" s="15" t="s">
        <v>330</v>
      </c>
      <c r="I45" s="15" t="s">
        <v>458</v>
      </c>
      <c r="J45" s="90">
        <f>J24</f>
        <v>1.86</v>
      </c>
      <c r="K45" s="91"/>
      <c r="L45" s="91"/>
      <c r="M45" s="91"/>
      <c r="N45" s="91"/>
      <c r="O45" s="91"/>
      <c r="P45" s="91"/>
      <c r="Q45" s="92"/>
      <c r="R45" s="16">
        <f t="shared" ref="R45:R47" si="23">MOD(QUOTIENT(ROUNDUP((J45-IF($X$36=0,0.2,0.8))/(IF($X$36=0,0.005,0.02)),0),128),2)</f>
        <v>0</v>
      </c>
      <c r="S45" s="29">
        <f t="shared" ref="S45:S47" si="24">MOD(QUOTIENT(ROUNDUP((J45-IF($X$36=0,0.2,0.8))/(IF($X$36=0,0.005,0.02)),0),64),2)</f>
        <v>0</v>
      </c>
      <c r="T45" s="29">
        <f t="shared" ref="T45:T47" si="25">MOD(QUOTIENT(ROUNDUP((J45-IF($X$36=0,0.2,0.8))/(IF($X$36=0,0.005,0.02)),0),32),2)</f>
        <v>1</v>
      </c>
      <c r="U45" s="29">
        <f t="shared" ref="U45:U47" si="26">MOD(QUOTIENT(ROUNDUP((J45-IF($X$36=0,0.2,0.8))/(IF($X$36=0,0.005,0.02)),0),16),2)</f>
        <v>1</v>
      </c>
      <c r="V45" s="29">
        <f t="shared" ref="V45:V47" si="27">MOD(QUOTIENT(ROUNDUP((J45-IF($X$36=0,0.2,0.8))/(IF($X$36=0,0.005,0.02)),0),8),2)</f>
        <v>0</v>
      </c>
      <c r="W45" s="29">
        <f t="shared" ref="W45:W47" si="28">MOD(QUOTIENT(ROUNDUP((J45-IF($X$36=0,0.2,0.8))/(IF($X$36=0,0.005,0.02)),0),4),2)</f>
        <v>1</v>
      </c>
      <c r="X45" s="29">
        <f t="shared" ref="X45:X47" si="29">MOD(QUOTIENT(ROUNDUP((J45-IF($X$36=0,0.2,0.8))/(IF($X$36=0,0.005,0.02)),0),2),2)</f>
        <v>0</v>
      </c>
      <c r="Y45" s="29">
        <f t="shared" ref="Y45:Y47" si="30">MOD(QUOTIENT(ROUNDUP((J45-IF($X$36=0,0.2,0.8))/(IF($X$36=0,0.005,0.02)),0),1),2)</f>
        <v>1</v>
      </c>
      <c r="Z45" s="19" t="str">
        <f t="shared" ref="Z45:Z47" si="31">CONCATENATE("0x",DEC2HEX(1*Y45+2*X45+4*W45+8*V45+16*U45+32*T45+64*S45+128*R45,2))</f>
        <v>0x35</v>
      </c>
    </row>
    <row r="46" spans="1:26" x14ac:dyDescent="0.35">
      <c r="A46" s="28">
        <v>43</v>
      </c>
      <c r="B46" s="28">
        <v>0.41499999999999898</v>
      </c>
      <c r="D46" s="28">
        <v>1.66</v>
      </c>
      <c r="F46" s="59">
        <v>50</v>
      </c>
      <c r="G46" s="22" t="str">
        <f t="shared" si="22"/>
        <v>0x32</v>
      </c>
      <c r="H46" s="14" t="s">
        <v>331</v>
      </c>
      <c r="I46" s="14" t="s">
        <v>458</v>
      </c>
      <c r="J46" s="87">
        <f>J27</f>
        <v>1.76</v>
      </c>
      <c r="K46" s="88"/>
      <c r="L46" s="88"/>
      <c r="M46" s="88"/>
      <c r="N46" s="88"/>
      <c r="O46" s="88"/>
      <c r="P46" s="88"/>
      <c r="Q46" s="89"/>
      <c r="R46" s="16">
        <f t="shared" si="23"/>
        <v>0</v>
      </c>
      <c r="S46" s="29">
        <f t="shared" si="24"/>
        <v>0</v>
      </c>
      <c r="T46" s="29">
        <f t="shared" si="25"/>
        <v>1</v>
      </c>
      <c r="U46" s="29">
        <f t="shared" si="26"/>
        <v>1</v>
      </c>
      <c r="V46" s="29">
        <f t="shared" si="27"/>
        <v>0</v>
      </c>
      <c r="W46" s="29">
        <f t="shared" si="28"/>
        <v>0</v>
      </c>
      <c r="X46" s="29">
        <f t="shared" si="29"/>
        <v>0</v>
      </c>
      <c r="Y46" s="29">
        <f t="shared" si="30"/>
        <v>0</v>
      </c>
      <c r="Z46" s="18" t="str">
        <f t="shared" si="31"/>
        <v>0x30</v>
      </c>
    </row>
    <row r="47" spans="1:26" x14ac:dyDescent="0.35">
      <c r="A47" s="28">
        <v>44</v>
      </c>
      <c r="B47" s="28">
        <v>0.41999999999999899</v>
      </c>
      <c r="D47" s="28">
        <v>1.68</v>
      </c>
      <c r="F47" s="59">
        <v>51</v>
      </c>
      <c r="G47" s="60" t="str">
        <f t="shared" si="22"/>
        <v>0x33</v>
      </c>
      <c r="H47" s="15" t="s">
        <v>332</v>
      </c>
      <c r="I47" s="15" t="s">
        <v>458</v>
      </c>
      <c r="J47" s="90">
        <f>J26</f>
        <v>1.84</v>
      </c>
      <c r="K47" s="91"/>
      <c r="L47" s="91"/>
      <c r="M47" s="91"/>
      <c r="N47" s="91"/>
      <c r="O47" s="91"/>
      <c r="P47" s="91"/>
      <c r="Q47" s="92"/>
      <c r="R47" s="16">
        <f t="shared" si="23"/>
        <v>0</v>
      </c>
      <c r="S47" s="29">
        <f t="shared" si="24"/>
        <v>0</v>
      </c>
      <c r="T47" s="29">
        <f t="shared" si="25"/>
        <v>1</v>
      </c>
      <c r="U47" s="29">
        <f t="shared" si="26"/>
        <v>1</v>
      </c>
      <c r="V47" s="29">
        <f t="shared" si="27"/>
        <v>0</v>
      </c>
      <c r="W47" s="29">
        <f t="shared" si="28"/>
        <v>1</v>
      </c>
      <c r="X47" s="29">
        <f t="shared" si="29"/>
        <v>0</v>
      </c>
      <c r="Y47" s="29">
        <f t="shared" si="30"/>
        <v>0</v>
      </c>
      <c r="Z47" s="19" t="str">
        <f t="shared" si="31"/>
        <v>0x34</v>
      </c>
    </row>
    <row r="48" spans="1:26" x14ac:dyDescent="0.35">
      <c r="A48" s="28">
        <v>45</v>
      </c>
      <c r="B48" s="28">
        <v>0.42499999999999899</v>
      </c>
      <c r="D48" s="28">
        <v>1.7</v>
      </c>
      <c r="F48" s="59"/>
      <c r="G48" s="42"/>
      <c r="H48" s="66"/>
      <c r="I48" s="66"/>
      <c r="J48" s="82"/>
      <c r="K48" s="83"/>
      <c r="L48" s="83"/>
      <c r="M48" s="84"/>
      <c r="N48" s="85"/>
      <c r="O48" s="83"/>
      <c r="P48" s="83"/>
      <c r="Q48" s="86"/>
      <c r="R48" s="67"/>
      <c r="S48" s="43"/>
      <c r="T48" s="43"/>
      <c r="U48" s="43"/>
      <c r="V48" s="43"/>
      <c r="W48" s="43"/>
      <c r="X48" s="43"/>
      <c r="Y48" s="43"/>
      <c r="Z48" s="68"/>
    </row>
    <row r="49" spans="1:26" x14ac:dyDescent="0.35">
      <c r="A49" s="28">
        <v>46</v>
      </c>
      <c r="B49" s="28">
        <v>0.42999999999999899</v>
      </c>
      <c r="D49" s="28">
        <v>1.72</v>
      </c>
      <c r="F49" s="59"/>
      <c r="G49" s="61"/>
      <c r="H49" s="13"/>
      <c r="I49" s="13"/>
      <c r="J49" s="17"/>
      <c r="K49" s="17"/>
      <c r="L49" s="17"/>
      <c r="M49" s="17"/>
      <c r="N49" s="17"/>
      <c r="O49" s="17"/>
      <c r="P49" s="17"/>
      <c r="Q49" s="17"/>
      <c r="R49" s="5"/>
      <c r="S49" s="9"/>
      <c r="T49" s="9"/>
      <c r="U49" s="9"/>
      <c r="V49" s="9"/>
      <c r="W49" s="9"/>
      <c r="X49" s="9"/>
      <c r="Y49" s="9"/>
      <c r="Z49" s="20"/>
    </row>
    <row r="50" spans="1:26" x14ac:dyDescent="0.35">
      <c r="A50" s="28">
        <v>47</v>
      </c>
      <c r="B50" s="28">
        <v>0.434999999999999</v>
      </c>
      <c r="D50" s="28">
        <v>1.74</v>
      </c>
      <c r="F50" s="59">
        <v>64</v>
      </c>
      <c r="G50" s="22" t="str">
        <f t="shared" ref="G50:G53" si="32">_xlfn.CONCAT("0x",DEC2HEX(F50,2))</f>
        <v>0x40</v>
      </c>
      <c r="H50" s="14" t="s">
        <v>333</v>
      </c>
      <c r="I50" s="14" t="s">
        <v>459</v>
      </c>
      <c r="J50" s="87">
        <f>$K$25</f>
        <v>3.1599999999999899</v>
      </c>
      <c r="K50" s="88"/>
      <c r="L50" s="88"/>
      <c r="M50" s="88"/>
      <c r="N50" s="88"/>
      <c r="O50" s="88"/>
      <c r="P50" s="88"/>
      <c r="Q50" s="89"/>
      <c r="R50" s="16">
        <f>MOD(QUOTIENT(ROUNDUP((J50-IF($W$36=0,0.2,0.8))/(IF($W$36=0,0.005,0.02)),0),128),2)</f>
        <v>0</v>
      </c>
      <c r="S50" s="29">
        <f>MOD(QUOTIENT(ROUNDUP((J50-IF($W$36=0,0.2,0.8))/(IF($W$36=0,0.005,0.02)),0),64),2)</f>
        <v>1</v>
      </c>
      <c r="T50" s="29">
        <f>MOD(QUOTIENT(ROUNDUP((J50-IF($W$36=0,0.2,0.8))/(IF($W$36=0,0.005,0.02)),0),32),2)</f>
        <v>1</v>
      </c>
      <c r="U50" s="29">
        <f>MOD(QUOTIENT(ROUNDUP((J50-IF($W$36=0,0.2,0.8))/(IF($W$36=0,0.005,0.02)),0),16),2)</f>
        <v>1</v>
      </c>
      <c r="V50" s="29">
        <f>MOD(QUOTIENT(ROUNDUP((J50-IF($W$36=0,0.2,0.8))/(IF($W$36=0,0.005,0.02)),0),8),2)</f>
        <v>0</v>
      </c>
      <c r="W50" s="29">
        <f>MOD(QUOTIENT(ROUNDUP((J50-IF($W$36=0,0.2,0.8))/(IF($W$36=0,0.005,0.02)),0),4),2)</f>
        <v>1</v>
      </c>
      <c r="X50" s="29">
        <f>MOD(QUOTIENT(ROUNDUP((J50-IF($W$36=0,0.2,0.8))/(IF($W$36=0,0.005,0.02)),0),2),2)</f>
        <v>1</v>
      </c>
      <c r="Y50" s="29">
        <f>MOD(QUOTIENT(ROUNDUP((J50-IF($W$36=0,0.2,0.8))/(IF($W$36=0,0.005,0.02)),0),1),2)</f>
        <v>0</v>
      </c>
      <c r="Z50" s="18" t="str">
        <f t="shared" ref="Z50:Z53" si="33">CONCATENATE("0x",DEC2HEX(1*Y50+2*X50+4*W50+8*V50+16*U50+32*T50+64*S50+128*R50,2))</f>
        <v>0x76</v>
      </c>
    </row>
    <row r="51" spans="1:26" x14ac:dyDescent="0.35">
      <c r="A51" s="28">
        <v>48</v>
      </c>
      <c r="B51" s="28">
        <v>0.439999999999999</v>
      </c>
      <c r="D51" s="28">
        <v>1.76</v>
      </c>
      <c r="F51" s="59">
        <v>65</v>
      </c>
      <c r="G51" s="60" t="str">
        <f t="shared" si="32"/>
        <v>0x41</v>
      </c>
      <c r="H51" s="15" t="s">
        <v>334</v>
      </c>
      <c r="I51" s="15" t="s">
        <v>459</v>
      </c>
      <c r="J51" s="90">
        <f>$K$24</f>
        <v>3.4399999999999902</v>
      </c>
      <c r="K51" s="91"/>
      <c r="L51" s="91"/>
      <c r="M51" s="91"/>
      <c r="N51" s="91"/>
      <c r="O51" s="91"/>
      <c r="P51" s="91"/>
      <c r="Q51" s="92"/>
      <c r="R51" s="16">
        <f t="shared" ref="R51:R53" si="34">MOD(QUOTIENT(ROUNDUP((J51-IF($W$36=0,0.2,0.8))/(IF($W$36=0,0.005,0.02)),0),128),2)</f>
        <v>1</v>
      </c>
      <c r="S51" s="29">
        <f t="shared" ref="S51:S53" si="35">MOD(QUOTIENT(ROUNDUP((J51-IF($W$36=0,0.2,0.8))/(IF($W$36=0,0.005,0.02)),0),64),2)</f>
        <v>0</v>
      </c>
      <c r="T51" s="29">
        <f t="shared" ref="T51:T53" si="36">MOD(QUOTIENT(ROUNDUP((J51-IF($W$36=0,0.2,0.8))/(IF($W$36=0,0.005,0.02)),0),32),2)</f>
        <v>0</v>
      </c>
      <c r="U51" s="29">
        <f t="shared" ref="U51:U53" si="37">MOD(QUOTIENT(ROUNDUP((J51-IF($W$36=0,0.2,0.8))/(IF($W$36=0,0.005,0.02)),0),16),2)</f>
        <v>0</v>
      </c>
      <c r="V51" s="29">
        <f t="shared" ref="V51:V53" si="38">MOD(QUOTIENT(ROUNDUP((J51-IF($W$36=0,0.2,0.8))/(IF($W$36=0,0.005,0.02)),0),8),2)</f>
        <v>0</v>
      </c>
      <c r="W51" s="29">
        <f t="shared" ref="W51:W53" si="39">MOD(QUOTIENT(ROUNDUP((J51-IF($W$36=0,0.2,0.8))/(IF($W$36=0,0.005,0.02)),0),4),2)</f>
        <v>1</v>
      </c>
      <c r="X51" s="29">
        <f t="shared" ref="X51:X53" si="40">MOD(QUOTIENT(ROUNDUP((J51-IF($W$36=0,0.2,0.8))/(IF($W$36=0,0.005,0.02)),0),2),2)</f>
        <v>0</v>
      </c>
      <c r="Y51" s="29">
        <f t="shared" ref="Y51:Y53" si="41">MOD(QUOTIENT(ROUNDUP((J51-IF($W$36=0,0.2,0.8))/(IF($W$36=0,0.005,0.02)),0),1),2)</f>
        <v>0</v>
      </c>
      <c r="Z51" s="19" t="str">
        <f t="shared" si="33"/>
        <v>0x84</v>
      </c>
    </row>
    <row r="52" spans="1:26" x14ac:dyDescent="0.35">
      <c r="A52" s="28">
        <v>49</v>
      </c>
      <c r="B52" s="28">
        <v>0.44499999999999901</v>
      </c>
      <c r="D52" s="28">
        <v>1.77999999999999</v>
      </c>
      <c r="F52" s="59">
        <v>66</v>
      </c>
      <c r="G52" s="22" t="str">
        <f t="shared" si="32"/>
        <v>0x42</v>
      </c>
      <c r="H52" s="14" t="s">
        <v>335</v>
      </c>
      <c r="I52" s="14" t="s">
        <v>459</v>
      </c>
      <c r="J52" s="87">
        <f>$K$27</f>
        <v>3.1799999999999899</v>
      </c>
      <c r="K52" s="88"/>
      <c r="L52" s="88"/>
      <c r="M52" s="88"/>
      <c r="N52" s="88"/>
      <c r="O52" s="88"/>
      <c r="P52" s="88"/>
      <c r="Q52" s="89"/>
      <c r="R52" s="16">
        <f t="shared" si="34"/>
        <v>0</v>
      </c>
      <c r="S52" s="29">
        <f t="shared" si="35"/>
        <v>1</v>
      </c>
      <c r="T52" s="29">
        <f t="shared" si="36"/>
        <v>1</v>
      </c>
      <c r="U52" s="29">
        <f t="shared" si="37"/>
        <v>1</v>
      </c>
      <c r="V52" s="29">
        <f t="shared" si="38"/>
        <v>0</v>
      </c>
      <c r="W52" s="29">
        <f t="shared" si="39"/>
        <v>1</v>
      </c>
      <c r="X52" s="29">
        <f t="shared" si="40"/>
        <v>1</v>
      </c>
      <c r="Y52" s="29">
        <f t="shared" si="41"/>
        <v>1</v>
      </c>
      <c r="Z52" s="18" t="str">
        <f t="shared" si="33"/>
        <v>0x77</v>
      </c>
    </row>
    <row r="53" spans="1:26" x14ac:dyDescent="0.35">
      <c r="A53" s="28">
        <v>50</v>
      </c>
      <c r="B53" s="28">
        <v>0.44999999999999901</v>
      </c>
      <c r="D53" s="28">
        <v>1.7999999999999901</v>
      </c>
      <c r="F53" s="59">
        <v>67</v>
      </c>
      <c r="G53" s="60" t="str">
        <f t="shared" si="32"/>
        <v>0x43</v>
      </c>
      <c r="H53" s="15" t="s">
        <v>336</v>
      </c>
      <c r="I53" s="15" t="s">
        <v>459</v>
      </c>
      <c r="J53" s="90">
        <f>$K$26</f>
        <v>3.4199999999999902</v>
      </c>
      <c r="K53" s="91"/>
      <c r="L53" s="91"/>
      <c r="M53" s="91"/>
      <c r="N53" s="91"/>
      <c r="O53" s="91"/>
      <c r="P53" s="91"/>
      <c r="Q53" s="92"/>
      <c r="R53" s="16">
        <f t="shared" si="34"/>
        <v>1</v>
      </c>
      <c r="S53" s="29">
        <f t="shared" si="35"/>
        <v>0</v>
      </c>
      <c r="T53" s="29">
        <f t="shared" si="36"/>
        <v>0</v>
      </c>
      <c r="U53" s="29">
        <f t="shared" si="37"/>
        <v>0</v>
      </c>
      <c r="V53" s="29">
        <f t="shared" si="38"/>
        <v>0</v>
      </c>
      <c r="W53" s="29">
        <f t="shared" si="39"/>
        <v>0</v>
      </c>
      <c r="X53" s="29">
        <f t="shared" si="40"/>
        <v>1</v>
      </c>
      <c r="Y53" s="29">
        <f t="shared" si="41"/>
        <v>1</v>
      </c>
      <c r="Z53" s="19" t="str">
        <f t="shared" si="33"/>
        <v>0x83</v>
      </c>
    </row>
    <row r="54" spans="1:26" x14ac:dyDescent="0.35">
      <c r="A54" s="28">
        <v>51</v>
      </c>
      <c r="B54" s="28">
        <v>0.45499999999999902</v>
      </c>
      <c r="D54" s="28">
        <v>1.82</v>
      </c>
      <c r="F54" s="63"/>
      <c r="G54" s="42"/>
      <c r="H54" s="66"/>
      <c r="I54" s="66"/>
      <c r="J54" s="82"/>
      <c r="K54" s="83"/>
      <c r="L54" s="83"/>
      <c r="M54" s="84"/>
      <c r="N54" s="85"/>
      <c r="O54" s="83"/>
      <c r="P54" s="83"/>
      <c r="Q54" s="86"/>
      <c r="R54" s="67"/>
      <c r="S54" s="43"/>
      <c r="T54" s="43"/>
      <c r="U54" s="43"/>
      <c r="V54" s="43"/>
      <c r="W54" s="43"/>
      <c r="X54" s="43"/>
      <c r="Y54" s="43"/>
      <c r="Z54" s="68"/>
    </row>
    <row r="55" spans="1:26" x14ac:dyDescent="0.35">
      <c r="A55" s="28">
        <v>52</v>
      </c>
      <c r="B55" s="28">
        <v>0.45999999999999902</v>
      </c>
      <c r="D55" s="28">
        <v>1.84</v>
      </c>
      <c r="F55" s="59"/>
      <c r="G55" s="61"/>
      <c r="H55" s="13"/>
      <c r="I55" s="13"/>
      <c r="J55" s="17"/>
      <c r="K55" s="17"/>
      <c r="L55" s="17"/>
      <c r="M55" s="17"/>
      <c r="N55" s="17"/>
      <c r="O55" s="17"/>
      <c r="P55" s="17"/>
      <c r="Q55" s="17"/>
      <c r="R55" s="5"/>
      <c r="S55" s="9"/>
      <c r="T55" s="9"/>
      <c r="U55" s="9"/>
      <c r="V55" s="9"/>
      <c r="W55" s="9"/>
      <c r="X55" s="9"/>
      <c r="Y55" s="9"/>
      <c r="Z55" s="20"/>
    </row>
    <row r="56" spans="1:26" x14ac:dyDescent="0.35">
      <c r="A56" s="28">
        <v>53</v>
      </c>
      <c r="B56" s="28">
        <v>0.46499999999999903</v>
      </c>
      <c r="D56" s="28">
        <v>1.86</v>
      </c>
      <c r="F56" s="59">
        <v>80</v>
      </c>
      <c r="G56" s="22" t="str">
        <f t="shared" ref="G56:G59" si="42">_xlfn.CONCAT("0x",DEC2HEX(F56,2))</f>
        <v>0x50</v>
      </c>
      <c r="H56" s="14" t="s">
        <v>337</v>
      </c>
      <c r="I56" s="14" t="s">
        <v>460</v>
      </c>
      <c r="J56" s="87">
        <f>$L$25</f>
        <v>2.0199999999999898</v>
      </c>
      <c r="K56" s="88"/>
      <c r="L56" s="88"/>
      <c r="M56" s="88"/>
      <c r="N56" s="88"/>
      <c r="O56" s="88"/>
      <c r="P56" s="88"/>
      <c r="Q56" s="89"/>
      <c r="R56" s="16">
        <f>MOD(QUOTIENT(ROUNDUP((J56-IF($V$36=0,0.2,0.8))/(IF($V$36=0,0.005,0.02)),0),128),2)</f>
        <v>0</v>
      </c>
      <c r="S56" s="29">
        <f>MOD(QUOTIENT(ROUNDUP((J56-IF($V$36=0,0.2,0.8))/(IF($V$36=0,0.005,0.02)),0),64),2)</f>
        <v>0</v>
      </c>
      <c r="T56" s="29">
        <f>MOD(QUOTIENT(ROUNDUP((J56-IF($V$36=0,0.2,0.8))/(IF($V$36=0,0.005,0.02)),0),32),2)</f>
        <v>1</v>
      </c>
      <c r="U56" s="29">
        <f>MOD(QUOTIENT(ROUNDUP((J56-IF($V$36=0,0.2,0.8))/(IF($V$36=0,0.005,0.02)),0),16),2)</f>
        <v>1</v>
      </c>
      <c r="V56" s="29">
        <f>MOD(QUOTIENT(ROUNDUP((J56-IF($V$36=0,0.2,0.8))/(IF($V$36=0,0.005,0.02)),0),8),2)</f>
        <v>1</v>
      </c>
      <c r="W56" s="29">
        <f>MOD(QUOTIENT(ROUNDUP((J56-IF($V$36=0,0.2,0.8))/(IF($V$36=0,0.005,0.02)),0),4),2)</f>
        <v>1</v>
      </c>
      <c r="X56" s="29">
        <f>MOD(QUOTIENT(ROUNDUP((J56-IF($V$36=0,0.2,0.8))/(IF($V$36=0,0.005,0.02)),0),2),2)</f>
        <v>0</v>
      </c>
      <c r="Y56" s="29">
        <f>MOD(QUOTIENT(ROUNDUP((J56-IF($V$36=0,0.2,0.8))/(IF($V$36=0,0.005,0.02)),0),1),2)</f>
        <v>1</v>
      </c>
      <c r="Z56" s="18" t="str">
        <f t="shared" ref="Z56:Z59" si="43">CONCATENATE("0x",DEC2HEX(1*Y56+2*X56+4*W56+8*V56+16*U56+32*T56+64*S56+128*R56,2))</f>
        <v>0x3D</v>
      </c>
    </row>
    <row r="57" spans="1:26" x14ac:dyDescent="0.35">
      <c r="A57" s="28">
        <v>54</v>
      </c>
      <c r="B57" s="28">
        <v>0.46999999999999897</v>
      </c>
      <c r="D57" s="28">
        <v>1.8799999999999899</v>
      </c>
      <c r="F57" s="59">
        <v>81</v>
      </c>
      <c r="G57" s="60" t="str">
        <f t="shared" si="42"/>
        <v>0x51</v>
      </c>
      <c r="H57" s="15" t="s">
        <v>338</v>
      </c>
      <c r="I57" s="15" t="s">
        <v>460</v>
      </c>
      <c r="J57" s="90">
        <f>$L$24</f>
        <v>2.1799999999999899</v>
      </c>
      <c r="K57" s="91"/>
      <c r="L57" s="91"/>
      <c r="M57" s="91"/>
      <c r="N57" s="91"/>
      <c r="O57" s="91"/>
      <c r="P57" s="91"/>
      <c r="Q57" s="92"/>
      <c r="R57" s="16">
        <f t="shared" ref="R57:R59" si="44">MOD(QUOTIENT(ROUNDUP((J57-IF($V$36=0,0.2,0.8))/(IF($V$36=0,0.005,0.02)),0),128),2)</f>
        <v>0</v>
      </c>
      <c r="S57" s="29">
        <f t="shared" ref="S57:S59" si="45">MOD(QUOTIENT(ROUNDUP((J57-IF($V$36=0,0.2,0.8))/(IF($V$36=0,0.005,0.02)),0),64),2)</f>
        <v>1</v>
      </c>
      <c r="T57" s="29">
        <f t="shared" ref="T57:T59" si="46">MOD(QUOTIENT(ROUNDUP((J57-IF($V$36=0,0.2,0.8))/(IF($V$36=0,0.005,0.02)),0),32),2)</f>
        <v>0</v>
      </c>
      <c r="U57" s="29">
        <f t="shared" ref="U57:U59" si="47">MOD(QUOTIENT(ROUNDUP((J57-IF($V$36=0,0.2,0.8))/(IF($V$36=0,0.005,0.02)),0),16),2)</f>
        <v>0</v>
      </c>
      <c r="V57" s="29">
        <f t="shared" ref="V57:V59" si="48">MOD(QUOTIENT(ROUNDUP((J57-IF($V$36=0,0.2,0.8))/(IF($V$36=0,0.005,0.02)),0),8),2)</f>
        <v>0</v>
      </c>
      <c r="W57" s="29">
        <f t="shared" ref="W57:W59" si="49">MOD(QUOTIENT(ROUNDUP((J57-IF($V$36=0,0.2,0.8))/(IF($V$36=0,0.005,0.02)),0),4),2)</f>
        <v>1</v>
      </c>
      <c r="X57" s="29">
        <f t="shared" ref="X57:X59" si="50">MOD(QUOTIENT(ROUNDUP((J57-IF($V$36=0,0.2,0.8))/(IF($V$36=0,0.005,0.02)),0),2),2)</f>
        <v>0</v>
      </c>
      <c r="Y57" s="29">
        <f t="shared" ref="Y57:Y59" si="51">MOD(QUOTIENT(ROUNDUP((J57-IF($V$36=0,0.2,0.8))/(IF($V$36=0,0.005,0.02)),0),1),2)</f>
        <v>1</v>
      </c>
      <c r="Z57" s="19" t="str">
        <f t="shared" si="43"/>
        <v>0x45</v>
      </c>
    </row>
    <row r="58" spans="1:26" x14ac:dyDescent="0.35">
      <c r="A58" s="28">
        <v>55</v>
      </c>
      <c r="B58" s="28">
        <v>0.47499999999999898</v>
      </c>
      <c r="D58" s="28">
        <v>1.8999999999999899</v>
      </c>
      <c r="F58" s="59">
        <v>82</v>
      </c>
      <c r="G58" s="22" t="str">
        <f t="shared" si="42"/>
        <v>0x52</v>
      </c>
      <c r="H58" s="14" t="s">
        <v>339</v>
      </c>
      <c r="I58" s="14" t="s">
        <v>460</v>
      </c>
      <c r="J58" s="87">
        <f>$L$27</f>
        <v>2.0599999999999898</v>
      </c>
      <c r="K58" s="88"/>
      <c r="L58" s="88"/>
      <c r="M58" s="88"/>
      <c r="N58" s="88"/>
      <c r="O58" s="88"/>
      <c r="P58" s="88"/>
      <c r="Q58" s="89"/>
      <c r="R58" s="16">
        <f t="shared" si="44"/>
        <v>0</v>
      </c>
      <c r="S58" s="29">
        <f t="shared" si="45"/>
        <v>0</v>
      </c>
      <c r="T58" s="29">
        <f t="shared" si="46"/>
        <v>1</v>
      </c>
      <c r="U58" s="29">
        <f t="shared" si="47"/>
        <v>1</v>
      </c>
      <c r="V58" s="29">
        <f t="shared" si="48"/>
        <v>1</v>
      </c>
      <c r="W58" s="29">
        <f t="shared" si="49"/>
        <v>1</v>
      </c>
      <c r="X58" s="29">
        <f t="shared" si="50"/>
        <v>1</v>
      </c>
      <c r="Y58" s="29">
        <f t="shared" si="51"/>
        <v>1</v>
      </c>
      <c r="Z58" s="18" t="str">
        <f t="shared" si="43"/>
        <v>0x3F</v>
      </c>
    </row>
    <row r="59" spans="1:26" x14ac:dyDescent="0.35">
      <c r="A59" s="28">
        <v>56</v>
      </c>
      <c r="B59" s="28">
        <v>0.47999999999999898</v>
      </c>
      <c r="D59" s="28">
        <v>1.9199999999999899</v>
      </c>
      <c r="F59" s="59">
        <v>83</v>
      </c>
      <c r="G59" s="60" t="str">
        <f t="shared" si="42"/>
        <v>0x53</v>
      </c>
      <c r="H59" s="15" t="s">
        <v>340</v>
      </c>
      <c r="I59" s="15" t="s">
        <v>460</v>
      </c>
      <c r="J59" s="90">
        <f>$L$26</f>
        <v>2.1399999999999899</v>
      </c>
      <c r="K59" s="91"/>
      <c r="L59" s="91"/>
      <c r="M59" s="91"/>
      <c r="N59" s="91"/>
      <c r="O59" s="91"/>
      <c r="P59" s="91"/>
      <c r="Q59" s="92"/>
      <c r="R59" s="16">
        <f t="shared" si="44"/>
        <v>0</v>
      </c>
      <c r="S59" s="29">
        <f t="shared" si="45"/>
        <v>1</v>
      </c>
      <c r="T59" s="29">
        <f t="shared" si="46"/>
        <v>0</v>
      </c>
      <c r="U59" s="29">
        <f t="shared" si="47"/>
        <v>0</v>
      </c>
      <c r="V59" s="29">
        <f t="shared" si="48"/>
        <v>0</v>
      </c>
      <c r="W59" s="29">
        <f t="shared" si="49"/>
        <v>0</v>
      </c>
      <c r="X59" s="29">
        <f t="shared" si="50"/>
        <v>1</v>
      </c>
      <c r="Y59" s="29">
        <f t="shared" si="51"/>
        <v>1</v>
      </c>
      <c r="Z59" s="19" t="str">
        <f t="shared" si="43"/>
        <v>0x43</v>
      </c>
    </row>
    <row r="60" spans="1:26" x14ac:dyDescent="0.35">
      <c r="A60" s="28">
        <v>57</v>
      </c>
      <c r="B60" s="28">
        <v>0.48499999999999899</v>
      </c>
      <c r="D60" s="28">
        <v>1.93999999999999</v>
      </c>
      <c r="F60" s="59"/>
      <c r="G60" s="42"/>
      <c r="H60" s="66"/>
      <c r="I60" s="66"/>
      <c r="J60" s="82"/>
      <c r="K60" s="83"/>
      <c r="L60" s="83"/>
      <c r="M60" s="84"/>
      <c r="N60" s="85"/>
      <c r="O60" s="83"/>
      <c r="P60" s="83"/>
      <c r="Q60" s="86"/>
      <c r="R60" s="67"/>
      <c r="S60" s="43"/>
      <c r="T60" s="43"/>
      <c r="U60" s="43"/>
      <c r="V60" s="43"/>
      <c r="W60" s="43"/>
      <c r="X60" s="43"/>
      <c r="Y60" s="43"/>
      <c r="Z60" s="68"/>
    </row>
    <row r="61" spans="1:26" x14ac:dyDescent="0.35">
      <c r="A61" s="28">
        <v>58</v>
      </c>
      <c r="B61" s="28">
        <v>0.48999999999999899</v>
      </c>
      <c r="D61" s="28">
        <v>1.95999999999999</v>
      </c>
      <c r="F61" s="59"/>
      <c r="G61" s="61"/>
      <c r="H61" s="13"/>
      <c r="I61" s="13"/>
      <c r="J61" s="17"/>
      <c r="K61" s="17"/>
      <c r="L61" s="17"/>
      <c r="M61" s="17"/>
      <c r="N61" s="17"/>
      <c r="O61" s="17"/>
      <c r="P61" s="17"/>
      <c r="Q61" s="17"/>
      <c r="R61" s="5"/>
      <c r="S61" s="9"/>
      <c r="T61" s="9"/>
      <c r="U61" s="9"/>
      <c r="V61" s="9"/>
      <c r="W61" s="9"/>
      <c r="X61" s="9"/>
      <c r="Y61" s="9"/>
      <c r="Z61" s="20"/>
    </row>
    <row r="62" spans="1:26" x14ac:dyDescent="0.35">
      <c r="A62" s="28">
        <v>59</v>
      </c>
      <c r="B62" s="28">
        <v>0.494999999999999</v>
      </c>
      <c r="D62" s="28">
        <v>1.97999999999999</v>
      </c>
      <c r="F62" s="59">
        <v>96</v>
      </c>
      <c r="G62" s="22" t="str">
        <f t="shared" ref="G62:G65" si="52">_xlfn.CONCAT("0x",DEC2HEX(F62,2))</f>
        <v>0x60</v>
      </c>
      <c r="H62" s="14" t="s">
        <v>341</v>
      </c>
      <c r="I62" s="14" t="s">
        <v>461</v>
      </c>
      <c r="J62" s="87">
        <f>$M$25</f>
        <v>0.494999999999999</v>
      </c>
      <c r="K62" s="88"/>
      <c r="L62" s="88"/>
      <c r="M62" s="88"/>
      <c r="N62" s="88"/>
      <c r="O62" s="88"/>
      <c r="P62" s="88"/>
      <c r="Q62" s="89"/>
      <c r="R62" s="16">
        <f>MOD(QUOTIENT(ROUNDUP((J62-IF($U$36=0,0.2,0.8))/(IF($U$36=0,0.005,0.02)),0),128),2)</f>
        <v>0</v>
      </c>
      <c r="S62" s="29">
        <f>MOD(QUOTIENT(ROUNDUP((J62-IF($U$36=0,0.2,0.8))/(IF($U$36=0,0.005,0.02)),0),64),2)</f>
        <v>0</v>
      </c>
      <c r="T62" s="29">
        <f>MOD(QUOTIENT(ROUNDUP((J62-IF($U$36=0,0.2,0.8))/(IF($U$36=0,0.005,0.02)),0),32),2)</f>
        <v>1</v>
      </c>
      <c r="U62" s="29">
        <f>MOD(QUOTIENT(ROUNDUP((J62-IF($U$36=0,0.2,0.8))/(IF($U$36=0,0.005,0.02)),0),16),2)</f>
        <v>1</v>
      </c>
      <c r="V62" s="29">
        <f>MOD(QUOTIENT(ROUNDUP((J62-IF($U$36=0,0.2,0.8))/(IF($U$36=0,0.005,0.02)),0),8),2)</f>
        <v>1</v>
      </c>
      <c r="W62" s="29">
        <f>MOD(QUOTIENT(ROUNDUP((J62-IF($U$36=0,0.2,0.8))/(IF($U$36=0,0.005,0.02)),0),4),2)</f>
        <v>0</v>
      </c>
      <c r="X62" s="29">
        <f>MOD(QUOTIENT(ROUNDUP((J62-IF($U$36=0,0.2,0.8))/(IF($U$36=0,0.005,0.02)),0),2),2)</f>
        <v>1</v>
      </c>
      <c r="Y62" s="29">
        <f>MOD(QUOTIENT(ROUNDUP((J62-IF($U$36=0,0.2,0.8))/(IF($U$36=0,0.005,0.02)),0),1),2)</f>
        <v>1</v>
      </c>
      <c r="Z62" s="18" t="str">
        <f t="shared" ref="Z62:Z65" si="53">CONCATENATE("0x",DEC2HEX(1*Y62+2*X62+4*W62+8*V62+16*U62+32*T62+64*S62+128*R62,2))</f>
        <v>0x3B</v>
      </c>
    </row>
    <row r="63" spans="1:26" x14ac:dyDescent="0.35">
      <c r="A63" s="28">
        <v>60</v>
      </c>
      <c r="B63" s="28">
        <v>0.499999999999999</v>
      </c>
      <c r="D63" s="28">
        <v>1.99999999999999</v>
      </c>
      <c r="F63" s="59">
        <v>97</v>
      </c>
      <c r="G63" s="60" t="str">
        <f t="shared" si="52"/>
        <v>0x61</v>
      </c>
      <c r="H63" s="15" t="s">
        <v>342</v>
      </c>
      <c r="I63" s="15" t="s">
        <v>461</v>
      </c>
      <c r="J63" s="90">
        <f>$M$24</f>
        <v>0.50499999999999901</v>
      </c>
      <c r="K63" s="91"/>
      <c r="L63" s="91"/>
      <c r="M63" s="91"/>
      <c r="N63" s="91"/>
      <c r="O63" s="91"/>
      <c r="P63" s="91"/>
      <c r="Q63" s="92"/>
      <c r="R63" s="16">
        <f t="shared" ref="R63:R65" si="54">MOD(QUOTIENT(ROUNDUP((J63-IF($U$36=0,0.2,0.8))/(IF($U$36=0,0.005,0.02)),0),128),2)</f>
        <v>0</v>
      </c>
      <c r="S63" s="29">
        <f t="shared" ref="S63:S65" si="55">MOD(QUOTIENT(ROUNDUP((J63-IF($U$36=0,0.2,0.8))/(IF($U$36=0,0.005,0.02)),0),64),2)</f>
        <v>0</v>
      </c>
      <c r="T63" s="29">
        <f t="shared" ref="T63:T65" si="56">MOD(QUOTIENT(ROUNDUP((J63-IF($U$36=0,0.2,0.8))/(IF($U$36=0,0.005,0.02)),0),32),2)</f>
        <v>1</v>
      </c>
      <c r="U63" s="29">
        <f t="shared" ref="U63:U65" si="57">MOD(QUOTIENT(ROUNDUP((J63-IF($U$36=0,0.2,0.8))/(IF($U$36=0,0.005,0.02)),0),16),2)</f>
        <v>1</v>
      </c>
      <c r="V63" s="29">
        <f t="shared" ref="V63:V65" si="58">MOD(QUOTIENT(ROUNDUP((J63-IF($U$36=0,0.2,0.8))/(IF($U$36=0,0.005,0.02)),0),8),2)</f>
        <v>1</v>
      </c>
      <c r="W63" s="29">
        <f t="shared" ref="W63:W65" si="59">MOD(QUOTIENT(ROUNDUP((J63-IF($U$36=0,0.2,0.8))/(IF($U$36=0,0.005,0.02)),0),4),2)</f>
        <v>1</v>
      </c>
      <c r="X63" s="29">
        <f t="shared" ref="X63:X65" si="60">MOD(QUOTIENT(ROUNDUP((J63-IF($U$36=0,0.2,0.8))/(IF($U$36=0,0.005,0.02)),0),2),2)</f>
        <v>0</v>
      </c>
      <c r="Y63" s="29">
        <f t="shared" ref="Y63:Y65" si="61">MOD(QUOTIENT(ROUNDUP((J63-IF($U$36=0,0.2,0.8))/(IF($U$36=0,0.005,0.02)),0),1),2)</f>
        <v>1</v>
      </c>
      <c r="Z63" s="19" t="str">
        <f t="shared" si="53"/>
        <v>0x3D</v>
      </c>
    </row>
    <row r="64" spans="1:26" x14ac:dyDescent="0.35">
      <c r="A64" s="28">
        <v>61</v>
      </c>
      <c r="B64" s="28">
        <v>0.50499999999999901</v>
      </c>
      <c r="D64" s="28">
        <v>2.0199999999999898</v>
      </c>
      <c r="F64" s="59">
        <v>98</v>
      </c>
      <c r="G64" s="22" t="str">
        <f t="shared" si="52"/>
        <v>0x62</v>
      </c>
      <c r="H64" s="14" t="s">
        <v>343</v>
      </c>
      <c r="I64" s="14" t="s">
        <v>461</v>
      </c>
      <c r="J64" s="87">
        <f>$M$27</f>
        <v>0.499999999999999</v>
      </c>
      <c r="K64" s="88"/>
      <c r="L64" s="88"/>
      <c r="M64" s="88"/>
      <c r="N64" s="88"/>
      <c r="O64" s="88"/>
      <c r="P64" s="88"/>
      <c r="Q64" s="89"/>
      <c r="R64" s="16">
        <f t="shared" si="54"/>
        <v>0</v>
      </c>
      <c r="S64" s="29">
        <f t="shared" si="55"/>
        <v>0</v>
      </c>
      <c r="T64" s="29">
        <f t="shared" si="56"/>
        <v>1</v>
      </c>
      <c r="U64" s="29">
        <f t="shared" si="57"/>
        <v>1</v>
      </c>
      <c r="V64" s="29">
        <f t="shared" si="58"/>
        <v>1</v>
      </c>
      <c r="W64" s="29">
        <f t="shared" si="59"/>
        <v>1</v>
      </c>
      <c r="X64" s="29">
        <f t="shared" si="60"/>
        <v>0</v>
      </c>
      <c r="Y64" s="29">
        <f t="shared" si="61"/>
        <v>0</v>
      </c>
      <c r="Z64" s="18" t="str">
        <f t="shared" si="53"/>
        <v>0x3C</v>
      </c>
    </row>
    <row r="65" spans="1:26" x14ac:dyDescent="0.35">
      <c r="A65" s="28">
        <v>62</v>
      </c>
      <c r="B65" s="28">
        <v>0.50999999999999901</v>
      </c>
      <c r="D65" s="28">
        <v>2.0399999999999898</v>
      </c>
      <c r="F65" s="59">
        <v>99</v>
      </c>
      <c r="G65" s="60" t="str">
        <f t="shared" si="52"/>
        <v>0x63</v>
      </c>
      <c r="H65" s="15" t="s">
        <v>344</v>
      </c>
      <c r="I65" s="15" t="s">
        <v>461</v>
      </c>
      <c r="J65" s="90">
        <f>$M$26</f>
        <v>0.499999999999999</v>
      </c>
      <c r="K65" s="91"/>
      <c r="L65" s="91"/>
      <c r="M65" s="91"/>
      <c r="N65" s="91"/>
      <c r="O65" s="91"/>
      <c r="P65" s="91"/>
      <c r="Q65" s="92"/>
      <c r="R65" s="16">
        <f t="shared" si="54"/>
        <v>0</v>
      </c>
      <c r="S65" s="29">
        <f t="shared" si="55"/>
        <v>0</v>
      </c>
      <c r="T65" s="29">
        <f t="shared" si="56"/>
        <v>1</v>
      </c>
      <c r="U65" s="29">
        <f t="shared" si="57"/>
        <v>1</v>
      </c>
      <c r="V65" s="29">
        <f t="shared" si="58"/>
        <v>1</v>
      </c>
      <c r="W65" s="29">
        <f t="shared" si="59"/>
        <v>1</v>
      </c>
      <c r="X65" s="29">
        <f t="shared" si="60"/>
        <v>0</v>
      </c>
      <c r="Y65" s="29">
        <f t="shared" si="61"/>
        <v>0</v>
      </c>
      <c r="Z65" s="19" t="str">
        <f t="shared" si="53"/>
        <v>0x3C</v>
      </c>
    </row>
    <row r="66" spans="1:26" x14ac:dyDescent="0.35">
      <c r="A66" s="28">
        <v>63</v>
      </c>
      <c r="B66" s="28">
        <v>0.51499999999999901</v>
      </c>
      <c r="D66" s="28">
        <v>2.0599999999999898</v>
      </c>
      <c r="F66" s="63"/>
      <c r="G66" s="42"/>
      <c r="H66" s="66"/>
      <c r="I66" s="66"/>
      <c r="J66" s="82"/>
      <c r="K66" s="83"/>
      <c r="L66" s="83"/>
      <c r="M66" s="84"/>
      <c r="N66" s="85"/>
      <c r="O66" s="83"/>
      <c r="P66" s="83"/>
      <c r="Q66" s="86"/>
      <c r="R66" s="67"/>
      <c r="S66" s="43"/>
      <c r="T66" s="43"/>
      <c r="U66" s="43"/>
      <c r="V66" s="43"/>
      <c r="W66" s="43"/>
      <c r="X66" s="43"/>
      <c r="Y66" s="43"/>
      <c r="Z66" s="68"/>
    </row>
    <row r="67" spans="1:26" x14ac:dyDescent="0.35">
      <c r="A67" s="28">
        <v>64</v>
      </c>
      <c r="B67" s="28">
        <v>0.51999999999999902</v>
      </c>
      <c r="D67" s="28">
        <v>2.0799999999999899</v>
      </c>
      <c r="F67" s="59"/>
      <c r="G67" s="61"/>
      <c r="H67" s="13"/>
      <c r="I67" s="13"/>
      <c r="J67" s="17"/>
      <c r="K67" s="17"/>
      <c r="L67" s="17"/>
      <c r="M67" s="17"/>
      <c r="N67" s="17"/>
      <c r="O67" s="17"/>
      <c r="P67" s="17"/>
      <c r="Q67" s="17"/>
      <c r="R67" s="5"/>
      <c r="S67" s="9"/>
      <c r="T67" s="9"/>
      <c r="U67" s="9"/>
      <c r="V67" s="9"/>
      <c r="W67" s="9"/>
      <c r="X67" s="9"/>
      <c r="Y67" s="9"/>
      <c r="Z67" s="20"/>
    </row>
    <row r="68" spans="1:26" x14ac:dyDescent="0.35">
      <c r="A68" s="28">
        <v>65</v>
      </c>
      <c r="B68" s="28">
        <v>0.52499999999999902</v>
      </c>
      <c r="D68" s="28">
        <v>2.0999999999999899</v>
      </c>
      <c r="F68" s="59">
        <v>112</v>
      </c>
      <c r="G68" s="22" t="str">
        <f t="shared" ref="G68:G71" si="62">_xlfn.CONCAT("0x",DEC2HEX(F68,2))</f>
        <v>0x70</v>
      </c>
      <c r="H68" s="14" t="s">
        <v>345</v>
      </c>
      <c r="I68" s="14" t="s">
        <v>462</v>
      </c>
      <c r="J68" s="87">
        <f>$N$25</f>
        <v>1.2050000000000001</v>
      </c>
      <c r="K68" s="88"/>
      <c r="L68" s="88"/>
      <c r="M68" s="88"/>
      <c r="N68" s="88"/>
      <c r="O68" s="88"/>
      <c r="P68" s="88"/>
      <c r="Q68" s="89"/>
      <c r="R68" s="16">
        <f>MOD(QUOTIENT(ROUNDUP((J68-IF($T$36=0,0.2,0.8))/(IF($T$36=0,0.005,0.02)),0),128),2)</f>
        <v>1</v>
      </c>
      <c r="S68" s="29">
        <f>MOD(QUOTIENT(ROUNDUP((J68-IF($T$36=0,0.2,0.8))/(IF($T$36=0,0.005,0.02)),0),64),2)</f>
        <v>1</v>
      </c>
      <c r="T68" s="29">
        <f>MOD(QUOTIENT(ROUNDUP((J68-IF($T$36=0,0.2,0.8))/(IF($T$36=0,0.005,0.02)),0),32),2)</f>
        <v>0</v>
      </c>
      <c r="U68" s="29">
        <f>MOD(QUOTIENT(ROUNDUP((J68-IF($T$36=0,0.2,0.8))/(IF($T$36=0,0.005,0.02)),0),16),2)</f>
        <v>0</v>
      </c>
      <c r="V68" s="29">
        <f>MOD(QUOTIENT(ROUNDUP((J68-IF($T$36=0,0.2,0.8))/(IF($T$36=0,0.005,0.02)),0),8),2)</f>
        <v>1</v>
      </c>
      <c r="W68" s="29">
        <f>MOD(QUOTIENT(ROUNDUP((J68-IF($T$36=0,0.2,0.8))/(IF($T$36=0,0.005,0.02)),0),4),2)</f>
        <v>0</v>
      </c>
      <c r="X68" s="29">
        <f>MOD(QUOTIENT(ROUNDUP((J68-IF($T$36=0,0.2,0.8))/(IF($T$36=0,0.005,0.02)),0),2),2)</f>
        <v>0</v>
      </c>
      <c r="Y68" s="29">
        <f>MOD(QUOTIENT(ROUNDUP((J68-IF($T$36=0,0.2,0.8))/(IF($T$36=0,0.005,0.02)),0),1),2)</f>
        <v>1</v>
      </c>
      <c r="Z68" s="18" t="str">
        <f>CONCATENATE("0x",DEC2HEX(1*Y68+2*X68+4*W68+8*V68+16*U68+32*T68+64*S68+128*R68,2))</f>
        <v>0xC9</v>
      </c>
    </row>
    <row r="69" spans="1:26" x14ac:dyDescent="0.35">
      <c r="A69" s="28">
        <v>66</v>
      </c>
      <c r="B69" s="28">
        <v>0.52999999999999803</v>
      </c>
      <c r="D69" s="28">
        <v>2.1199999999999899</v>
      </c>
      <c r="F69" s="59">
        <v>113</v>
      </c>
      <c r="G69" s="60" t="str">
        <f t="shared" si="62"/>
        <v>0x71</v>
      </c>
      <c r="H69" s="15" t="s">
        <v>346</v>
      </c>
      <c r="I69" s="15" t="s">
        <v>462</v>
      </c>
      <c r="J69" s="90">
        <f>$N$24</f>
        <v>1.2849999999999899</v>
      </c>
      <c r="K69" s="91"/>
      <c r="L69" s="91"/>
      <c r="M69" s="91"/>
      <c r="N69" s="91"/>
      <c r="O69" s="91"/>
      <c r="P69" s="91"/>
      <c r="Q69" s="92"/>
      <c r="R69" s="16">
        <f t="shared" ref="R69:R71" si="63">MOD(QUOTIENT(ROUNDUP((J69-IF($T$36=0,0.2,0.8))/(IF($T$36=0,0.005,0.02)),0),128),2)</f>
        <v>1</v>
      </c>
      <c r="S69" s="29">
        <f t="shared" ref="S69:S71" si="64">MOD(QUOTIENT(ROUNDUP((J69-IF($T$36=0,0.2,0.8))/(IF($T$36=0,0.005,0.02)),0),64),2)</f>
        <v>1</v>
      </c>
      <c r="T69" s="29">
        <f t="shared" ref="T69:T71" si="65">MOD(QUOTIENT(ROUNDUP((J69-IF($T$36=0,0.2,0.8))/(IF($T$36=0,0.005,0.02)),0),32),2)</f>
        <v>0</v>
      </c>
      <c r="U69" s="29">
        <f t="shared" ref="U69:U71" si="66">MOD(QUOTIENT(ROUNDUP((J69-IF($T$36=0,0.2,0.8))/(IF($T$36=0,0.005,0.02)),0),16),2)</f>
        <v>1</v>
      </c>
      <c r="V69" s="29">
        <f t="shared" ref="V69:V71" si="67">MOD(QUOTIENT(ROUNDUP((J69-IF($T$36=0,0.2,0.8))/(IF($T$36=0,0.005,0.02)),0),8),2)</f>
        <v>1</v>
      </c>
      <c r="W69" s="29">
        <f t="shared" ref="W69:W71" si="68">MOD(QUOTIENT(ROUNDUP((J69-IF($T$36=0,0.2,0.8))/(IF($T$36=0,0.005,0.02)),0),4),2)</f>
        <v>0</v>
      </c>
      <c r="X69" s="29">
        <f t="shared" ref="X69:X71" si="69">MOD(QUOTIENT(ROUNDUP((J69-IF($T$36=0,0.2,0.8))/(IF($T$36=0,0.005,0.02)),0),2),2)</f>
        <v>0</v>
      </c>
      <c r="Y69" s="29">
        <f t="shared" ref="Y69:Y71" si="70">MOD(QUOTIENT(ROUNDUP((J69-IF($T$36=0,0.2,0.8))/(IF($T$36=0,0.005,0.02)),0),1),2)</f>
        <v>1</v>
      </c>
      <c r="Z69" s="19" t="str">
        <f>CONCATENATE("0x",DEC2HEX(1*Y69+2*X69+4*W69+8*V69+16*U69+32*T69+64*S69+128*R69,2))</f>
        <v>0xD9</v>
      </c>
    </row>
    <row r="70" spans="1:26" x14ac:dyDescent="0.35">
      <c r="A70" s="28">
        <v>67</v>
      </c>
      <c r="B70" s="28">
        <v>0.53499999999999803</v>
      </c>
      <c r="D70" s="28">
        <v>2.1399999999999899</v>
      </c>
      <c r="F70" s="59">
        <v>114</v>
      </c>
      <c r="G70" s="22" t="str">
        <f t="shared" si="62"/>
        <v>0x72</v>
      </c>
      <c r="H70" s="14" t="s">
        <v>347</v>
      </c>
      <c r="I70" s="14" t="s">
        <v>462</v>
      </c>
      <c r="J70" s="87">
        <f>$N$27</f>
        <v>1.2050000000000001</v>
      </c>
      <c r="K70" s="88"/>
      <c r="L70" s="88"/>
      <c r="M70" s="88"/>
      <c r="N70" s="88"/>
      <c r="O70" s="88"/>
      <c r="P70" s="88"/>
      <c r="Q70" s="89"/>
      <c r="R70" s="16">
        <f t="shared" si="63"/>
        <v>1</v>
      </c>
      <c r="S70" s="29">
        <f t="shared" si="64"/>
        <v>1</v>
      </c>
      <c r="T70" s="29">
        <f t="shared" si="65"/>
        <v>0</v>
      </c>
      <c r="U70" s="29">
        <f t="shared" si="66"/>
        <v>0</v>
      </c>
      <c r="V70" s="29">
        <f t="shared" si="67"/>
        <v>1</v>
      </c>
      <c r="W70" s="29">
        <f t="shared" si="68"/>
        <v>0</v>
      </c>
      <c r="X70" s="29">
        <f t="shared" si="69"/>
        <v>0</v>
      </c>
      <c r="Y70" s="29">
        <f t="shared" si="70"/>
        <v>1</v>
      </c>
      <c r="Z70" s="18" t="str">
        <f t="shared" ref="Z70:Z71" si="71">CONCATENATE("0x",DEC2HEX(1*Y70+2*X70+4*W70+8*V70+16*U70+32*T70+64*S70+128*R70,2))</f>
        <v>0xC9</v>
      </c>
    </row>
    <row r="71" spans="1:26" x14ac:dyDescent="0.35">
      <c r="A71" s="28">
        <v>68</v>
      </c>
      <c r="B71" s="28">
        <v>0.53999999999999804</v>
      </c>
      <c r="D71" s="28">
        <v>2.1599999999999899</v>
      </c>
      <c r="F71" s="59">
        <v>115</v>
      </c>
      <c r="G71" s="60" t="str">
        <f t="shared" si="62"/>
        <v>0x73</v>
      </c>
      <c r="H71" s="15" t="s">
        <v>348</v>
      </c>
      <c r="I71" s="15" t="s">
        <v>462</v>
      </c>
      <c r="J71" s="90">
        <f>$N$26</f>
        <v>1.2849999999999899</v>
      </c>
      <c r="K71" s="93"/>
      <c r="L71" s="93"/>
      <c r="M71" s="93"/>
      <c r="N71" s="93"/>
      <c r="O71" s="93"/>
      <c r="P71" s="93"/>
      <c r="Q71" s="94"/>
      <c r="R71" s="16">
        <f t="shared" si="63"/>
        <v>1</v>
      </c>
      <c r="S71" s="29">
        <f t="shared" si="64"/>
        <v>1</v>
      </c>
      <c r="T71" s="29">
        <f t="shared" si="65"/>
        <v>0</v>
      </c>
      <c r="U71" s="29">
        <f t="shared" si="66"/>
        <v>1</v>
      </c>
      <c r="V71" s="29">
        <f t="shared" si="67"/>
        <v>1</v>
      </c>
      <c r="W71" s="29">
        <f t="shared" si="68"/>
        <v>0</v>
      </c>
      <c r="X71" s="29">
        <f t="shared" si="69"/>
        <v>0</v>
      </c>
      <c r="Y71" s="29">
        <f t="shared" si="70"/>
        <v>1</v>
      </c>
      <c r="Z71" s="19" t="str">
        <f t="shared" si="71"/>
        <v>0xD9</v>
      </c>
    </row>
    <row r="72" spans="1:26" x14ac:dyDescent="0.35">
      <c r="A72" s="28">
        <v>69</v>
      </c>
      <c r="B72" s="28">
        <v>0.54499999999999804</v>
      </c>
      <c r="D72" s="28">
        <v>2.1799999999999899</v>
      </c>
      <c r="F72" s="63"/>
      <c r="G72" s="42"/>
      <c r="H72" s="66"/>
      <c r="I72" s="66"/>
      <c r="J72" s="82"/>
      <c r="K72" s="83"/>
      <c r="L72" s="83"/>
      <c r="M72" s="84"/>
      <c r="N72" s="85"/>
      <c r="O72" s="83"/>
      <c r="P72" s="83"/>
      <c r="Q72" s="86"/>
      <c r="R72" s="67"/>
      <c r="S72" s="43"/>
      <c r="T72" s="43"/>
      <c r="U72" s="43"/>
      <c r="V72" s="43"/>
      <c r="W72" s="43"/>
      <c r="X72" s="43"/>
      <c r="Y72" s="43"/>
      <c r="Z72" s="68"/>
    </row>
    <row r="73" spans="1:26" x14ac:dyDescent="0.35">
      <c r="A73" s="28">
        <v>70</v>
      </c>
      <c r="B73" s="28">
        <v>0.54999999999999805</v>
      </c>
      <c r="D73" s="28">
        <v>2.19999999999999</v>
      </c>
      <c r="F73" s="59"/>
      <c r="G73" s="61"/>
      <c r="H73" s="13"/>
      <c r="I73" s="13"/>
      <c r="J73" s="17"/>
      <c r="K73" s="17"/>
      <c r="L73" s="17"/>
      <c r="M73" s="17"/>
      <c r="N73" s="17"/>
      <c r="O73" s="17"/>
      <c r="P73" s="17"/>
      <c r="Q73" s="17"/>
      <c r="R73" s="5"/>
      <c r="S73" s="9"/>
      <c r="T73" s="9"/>
      <c r="U73" s="9"/>
      <c r="V73" s="9"/>
      <c r="W73" s="9"/>
      <c r="X73" s="9"/>
      <c r="Y73" s="9"/>
      <c r="Z73" s="20"/>
    </row>
    <row r="74" spans="1:26" x14ac:dyDescent="0.35">
      <c r="A74" s="28">
        <v>71</v>
      </c>
      <c r="B74" s="28">
        <v>0.55499999999999805</v>
      </c>
      <c r="D74" s="28">
        <v>2.21999999999999</v>
      </c>
      <c r="F74" s="63">
        <v>128</v>
      </c>
      <c r="G74" s="22" t="str">
        <f t="shared" ref="G74:G77" si="72">_xlfn.CONCAT("0x",DEC2HEX(F74,2))</f>
        <v>0x80</v>
      </c>
      <c r="H74" s="14" t="s">
        <v>491</v>
      </c>
      <c r="I74" s="14" t="s">
        <v>485</v>
      </c>
      <c r="J74" s="87">
        <f>$O$25</f>
        <v>2.1599999999999899</v>
      </c>
      <c r="K74" s="88"/>
      <c r="L74" s="88"/>
      <c r="M74" s="88"/>
      <c r="N74" s="88"/>
      <c r="O74" s="88"/>
      <c r="P74" s="88"/>
      <c r="Q74" s="89"/>
      <c r="R74" s="16">
        <f>MOD(QUOTIENT(ROUNDUP((J74-IF($S$36=0,0.2,0.8))/(IF($S$36=0,0.005,0.02)),0),128),2)</f>
        <v>0</v>
      </c>
      <c r="S74" s="29">
        <f>MOD(QUOTIENT(ROUNDUP((J74-IF($S$36=0,0.2,0.8))/(IF($S$36=0,0.005,0.02)),0),64),2)</f>
        <v>1</v>
      </c>
      <c r="T74" s="29">
        <f>MOD(QUOTIENT(ROUNDUP((J74-IF($S$36=0,0.2,0.8))/(IF($S$36=0,0.005,0.02)),0),32),2)</f>
        <v>0</v>
      </c>
      <c r="U74" s="29">
        <f>MOD(QUOTIENT(ROUNDUP((J74-IF($S$36=0,0.2,0.8))/(IF($S$36=0,0.005,0.02)),0),16),2)</f>
        <v>0</v>
      </c>
      <c r="V74" s="29">
        <f>MOD(QUOTIENT(ROUNDUP((J74-IF($S$36=0,0.2,0.8))/(IF($S$36=0,0.005,0.02)),0),8),2)</f>
        <v>0</v>
      </c>
      <c r="W74" s="29">
        <f>MOD(QUOTIENT(ROUNDUP((J74-IF($S$36=0,0.2,0.8))/(IF($S$36=0,0.005,0.02)),0),4),2)</f>
        <v>1</v>
      </c>
      <c r="X74" s="29">
        <f>MOD(QUOTIENT(ROUNDUP((J74-IF($S$36=0,0.2,0.8))/(IF($S$36=0,0.005,0.02)),0),2),2)</f>
        <v>0</v>
      </c>
      <c r="Y74" s="29">
        <f>MOD(QUOTIENT(ROUNDUP((J74-IF($S$36=0,0.2,0.8))/(IF($S$36=0,0.005,0.02)),0),1),2)</f>
        <v>0</v>
      </c>
      <c r="Z74" s="18" t="str">
        <f t="shared" ref="Z74:Z77" si="73">CONCATENATE("0x",DEC2HEX(1*Y74+2*X74+4*W74+8*V74+16*U74+32*T74+64*S74+128*R74,2))</f>
        <v>0x44</v>
      </c>
    </row>
    <row r="75" spans="1:26" x14ac:dyDescent="0.35">
      <c r="A75" s="28">
        <v>72</v>
      </c>
      <c r="B75" s="28">
        <v>0.55999999999999805</v>
      </c>
      <c r="D75" s="28">
        <v>2.23999999999999</v>
      </c>
      <c r="F75" s="63">
        <v>129</v>
      </c>
      <c r="G75" s="60" t="str">
        <f t="shared" si="72"/>
        <v>0x81</v>
      </c>
      <c r="H75" s="15" t="s">
        <v>492</v>
      </c>
      <c r="I75" s="15" t="s">
        <v>485</v>
      </c>
      <c r="J75" s="90">
        <f>$O$24</f>
        <v>2.23999999999999</v>
      </c>
      <c r="K75" s="91"/>
      <c r="L75" s="91"/>
      <c r="M75" s="91"/>
      <c r="N75" s="91"/>
      <c r="O75" s="91"/>
      <c r="P75" s="91"/>
      <c r="Q75" s="92"/>
      <c r="R75" s="16">
        <f t="shared" ref="R75:R77" si="74">MOD(QUOTIENT(ROUNDUP((J75-IF($S$36=0,0.2,0.8))/(IF($S$36=0,0.005,0.02)),0),128),2)</f>
        <v>0</v>
      </c>
      <c r="S75" s="29">
        <f t="shared" ref="S75:S77" si="75">MOD(QUOTIENT(ROUNDUP((J75-IF($S$36=0,0.2,0.8))/(IF($S$36=0,0.005,0.02)),0),64),2)</f>
        <v>1</v>
      </c>
      <c r="T75" s="29">
        <f t="shared" ref="T75:T77" si="76">MOD(QUOTIENT(ROUNDUP((J75-IF($S$36=0,0.2,0.8))/(IF($S$36=0,0.005,0.02)),0),32),2)</f>
        <v>0</v>
      </c>
      <c r="U75" s="29">
        <f t="shared" ref="U75:U77" si="77">MOD(QUOTIENT(ROUNDUP((J75-IF($S$36=0,0.2,0.8))/(IF($S$36=0,0.005,0.02)),0),16),2)</f>
        <v>0</v>
      </c>
      <c r="V75" s="29">
        <f t="shared" ref="V75:V77" si="78">MOD(QUOTIENT(ROUNDUP((J75-IF($S$36=0,0.2,0.8))/(IF($S$36=0,0.005,0.02)),0),8),2)</f>
        <v>1</v>
      </c>
      <c r="W75" s="29">
        <f t="shared" ref="W75:W77" si="79">MOD(QUOTIENT(ROUNDUP((J75-IF($S$36=0,0.2,0.8))/(IF($S$36=0,0.005,0.02)),0),4),2)</f>
        <v>0</v>
      </c>
      <c r="X75" s="29">
        <f t="shared" ref="X75:X77" si="80">MOD(QUOTIENT(ROUNDUP((J75-IF($S$36=0,0.2,0.8))/(IF($S$36=0,0.005,0.02)),0),2),2)</f>
        <v>0</v>
      </c>
      <c r="Y75" s="29">
        <f t="shared" ref="Y75:Y77" si="81">MOD(QUOTIENT(ROUNDUP((J75-IF($S$36=0,0.2,0.8))/(IF($S$36=0,0.005,0.02)),0),1),2)</f>
        <v>0</v>
      </c>
      <c r="Z75" s="19" t="str">
        <f t="shared" si="73"/>
        <v>0x48</v>
      </c>
    </row>
    <row r="76" spans="1:26" x14ac:dyDescent="0.35">
      <c r="A76" s="28">
        <v>73</v>
      </c>
      <c r="B76" s="28">
        <v>0.56499999999999795</v>
      </c>
      <c r="D76" s="28">
        <v>2.25999999999999</v>
      </c>
      <c r="F76" s="63">
        <v>130</v>
      </c>
      <c r="G76" s="22" t="str">
        <f t="shared" si="72"/>
        <v>0x82</v>
      </c>
      <c r="H76" s="14" t="s">
        <v>493</v>
      </c>
      <c r="I76" s="14" t="s">
        <v>485</v>
      </c>
      <c r="J76" s="87">
        <f>$O$27</f>
        <v>2.1799999999999899</v>
      </c>
      <c r="K76" s="88"/>
      <c r="L76" s="88"/>
      <c r="M76" s="88"/>
      <c r="N76" s="88"/>
      <c r="O76" s="88"/>
      <c r="P76" s="88"/>
      <c r="Q76" s="89"/>
      <c r="R76" s="16">
        <f t="shared" si="74"/>
        <v>0</v>
      </c>
      <c r="S76" s="29">
        <f t="shared" si="75"/>
        <v>1</v>
      </c>
      <c r="T76" s="29">
        <f t="shared" si="76"/>
        <v>0</v>
      </c>
      <c r="U76" s="29">
        <f t="shared" si="77"/>
        <v>0</v>
      </c>
      <c r="V76" s="29">
        <f t="shared" si="78"/>
        <v>0</v>
      </c>
      <c r="W76" s="29">
        <f t="shared" si="79"/>
        <v>1</v>
      </c>
      <c r="X76" s="29">
        <f t="shared" si="80"/>
        <v>0</v>
      </c>
      <c r="Y76" s="29">
        <f t="shared" si="81"/>
        <v>1</v>
      </c>
      <c r="Z76" s="18" t="str">
        <f t="shared" si="73"/>
        <v>0x45</v>
      </c>
    </row>
    <row r="77" spans="1:26" x14ac:dyDescent="0.35">
      <c r="A77" s="28">
        <v>74</v>
      </c>
      <c r="B77" s="28">
        <v>0.56999999999999795</v>
      </c>
      <c r="D77" s="28">
        <v>2.27999999999999</v>
      </c>
      <c r="F77" s="63">
        <v>131</v>
      </c>
      <c r="G77" s="60" t="str">
        <f t="shared" si="72"/>
        <v>0x83</v>
      </c>
      <c r="H77" s="15" t="s">
        <v>494</v>
      </c>
      <c r="I77" s="15" t="s">
        <v>485</v>
      </c>
      <c r="J77" s="90">
        <f>$O$26</f>
        <v>2.21999999999999</v>
      </c>
      <c r="K77" s="91"/>
      <c r="L77" s="91"/>
      <c r="M77" s="91"/>
      <c r="N77" s="91"/>
      <c r="O77" s="91"/>
      <c r="P77" s="91"/>
      <c r="Q77" s="92"/>
      <c r="R77" s="16">
        <f t="shared" si="74"/>
        <v>0</v>
      </c>
      <c r="S77" s="29">
        <f t="shared" si="75"/>
        <v>1</v>
      </c>
      <c r="T77" s="29">
        <f t="shared" si="76"/>
        <v>0</v>
      </c>
      <c r="U77" s="29">
        <f t="shared" si="77"/>
        <v>0</v>
      </c>
      <c r="V77" s="29">
        <f t="shared" si="78"/>
        <v>0</v>
      </c>
      <c r="W77" s="29">
        <f t="shared" si="79"/>
        <v>1</v>
      </c>
      <c r="X77" s="29">
        <f t="shared" si="80"/>
        <v>1</v>
      </c>
      <c r="Y77" s="29">
        <f t="shared" si="81"/>
        <v>1</v>
      </c>
      <c r="Z77" s="19" t="str">
        <f t="shared" si="73"/>
        <v>0x47</v>
      </c>
    </row>
    <row r="78" spans="1:26" x14ac:dyDescent="0.35">
      <c r="A78" s="28">
        <v>75</v>
      </c>
      <c r="B78" s="28">
        <v>0.57499999999999796</v>
      </c>
      <c r="D78" s="28">
        <v>2.2999999999999901</v>
      </c>
      <c r="F78" s="63"/>
      <c r="G78" s="42"/>
      <c r="H78" s="66"/>
      <c r="I78" s="66"/>
      <c r="J78" s="82"/>
      <c r="K78" s="83"/>
      <c r="L78" s="83"/>
      <c r="M78" s="84"/>
      <c r="N78" s="85"/>
      <c r="O78" s="83"/>
      <c r="P78" s="83"/>
      <c r="Q78" s="86"/>
      <c r="R78" s="67"/>
      <c r="S78" s="43"/>
      <c r="T78" s="43"/>
      <c r="U78" s="43"/>
      <c r="V78" s="43"/>
      <c r="W78" s="43"/>
      <c r="X78" s="43"/>
      <c r="Y78" s="43"/>
      <c r="Z78" s="68"/>
    </row>
    <row r="79" spans="1:26" x14ac:dyDescent="0.35">
      <c r="A79" s="28">
        <v>76</v>
      </c>
      <c r="B79" s="28">
        <v>0.57999999999999796</v>
      </c>
      <c r="D79" s="28">
        <v>2.3199999999999901</v>
      </c>
      <c r="F79" s="63"/>
      <c r="G79" s="61"/>
      <c r="H79" s="13"/>
      <c r="I79" s="13"/>
      <c r="J79" s="17"/>
      <c r="K79" s="17"/>
      <c r="L79" s="17"/>
      <c r="M79" s="17"/>
      <c r="N79" s="17"/>
      <c r="O79" s="17"/>
      <c r="P79" s="17"/>
      <c r="Q79" s="17"/>
      <c r="R79" s="5"/>
      <c r="S79" s="9"/>
      <c r="T79" s="9"/>
      <c r="U79" s="9"/>
      <c r="V79" s="9"/>
      <c r="W79" s="9"/>
      <c r="X79" s="9"/>
      <c r="Y79" s="9"/>
      <c r="Z79" s="20"/>
    </row>
    <row r="80" spans="1:26" x14ac:dyDescent="0.35">
      <c r="A80" s="28">
        <v>77</v>
      </c>
      <c r="B80" s="28">
        <v>0.58499999999999797</v>
      </c>
      <c r="D80" s="28">
        <v>2.3399999999999901</v>
      </c>
      <c r="F80" s="63">
        <v>144</v>
      </c>
      <c r="G80" s="22" t="str">
        <f t="shared" ref="G80:G83" si="82">_xlfn.CONCAT("0x",DEC2HEX(F80,2))</f>
        <v>0x90</v>
      </c>
      <c r="H80" s="14" t="s">
        <v>486</v>
      </c>
      <c r="I80" s="14" t="s">
        <v>490</v>
      </c>
      <c r="J80" s="87">
        <f>$P$25</f>
        <v>4.3999999999999799</v>
      </c>
      <c r="K80" s="88"/>
      <c r="L80" s="88"/>
      <c r="M80" s="88"/>
      <c r="N80" s="88"/>
      <c r="O80" s="88"/>
      <c r="P80" s="88"/>
      <c r="Q80" s="89"/>
      <c r="R80" s="16">
        <f>MOD(QUOTIENT(ROUNDUP((J80-IF($R$36=0,0.2,0.8))/(IF($R$36=0,0.005,0.02)),0),128),2)</f>
        <v>1</v>
      </c>
      <c r="S80" s="29">
        <f>MOD(QUOTIENT(ROUNDUP((J80-IF($R$36=0,0.2,0.8))/(IF($R$36=0,0.005,0.02)),0),64),2)</f>
        <v>0</v>
      </c>
      <c r="T80" s="29">
        <f>MOD(QUOTIENT(ROUNDUP((J80-IF($R$36=0,0.2,0.8))/(IF($R$36=0,0.005,0.02)),0),32),2)</f>
        <v>1</v>
      </c>
      <c r="U80" s="29">
        <f>MOD(QUOTIENT(ROUNDUP((J80-IF($R$36=0,0.2,0.8))/(IF($R$36=0,0.005,0.02)),0),16),2)</f>
        <v>1</v>
      </c>
      <c r="V80" s="29">
        <f>MOD(QUOTIENT(ROUNDUP((J80-IF($R$36=0,0.2,0.8))/(IF($R$36=0,0.005,0.02)),0),8),2)</f>
        <v>0</v>
      </c>
      <c r="W80" s="29">
        <f>MOD(QUOTIENT(ROUNDUP((J80-IF($R$36=0,0.2,0.8))/(IF($R$36=0,0.005,0.02)),0),4),2)</f>
        <v>1</v>
      </c>
      <c r="X80" s="29">
        <f>MOD(QUOTIENT(ROUNDUP((J80-IF($R$36=0,0.2,0.8))/(IF($R$36=0,0.005,0.02)),0),2),2)</f>
        <v>0</v>
      </c>
      <c r="Y80" s="29">
        <f>MOD(QUOTIENT(ROUNDUP((J80-IF($R$36=0,0.2,0.8))/(IF($R$36=0,0.005,0.02)),0),1),2)</f>
        <v>0</v>
      </c>
      <c r="Z80" s="18" t="str">
        <f>CONCATENATE("0x",DEC2HEX(1*Y80+2*X80+4*W80+8*V80+16*U80+32*T80+64*S80+128*R80,2))</f>
        <v>0xB4</v>
      </c>
    </row>
    <row r="81" spans="1:26" x14ac:dyDescent="0.35">
      <c r="A81" s="28">
        <v>78</v>
      </c>
      <c r="B81" s="28">
        <v>0.58999999999999797</v>
      </c>
      <c r="D81" s="28">
        <v>2.3599999999999901</v>
      </c>
      <c r="F81" s="63">
        <v>145</v>
      </c>
      <c r="G81" s="60" t="str">
        <f t="shared" si="82"/>
        <v>0x91</v>
      </c>
      <c r="H81" s="15" t="s">
        <v>487</v>
      </c>
      <c r="I81" s="15" t="s">
        <v>490</v>
      </c>
      <c r="J81" s="90">
        <f>$P$24</f>
        <v>4.7999999999999803</v>
      </c>
      <c r="K81" s="91"/>
      <c r="L81" s="91"/>
      <c r="M81" s="91"/>
      <c r="N81" s="91"/>
      <c r="O81" s="91"/>
      <c r="P81" s="91"/>
      <c r="Q81" s="92"/>
      <c r="R81" s="16">
        <f>MOD(QUOTIENT(ROUNDUP((J81-IF($R$36=0,0.2,0.8))/(IF($R$36=0,0.005,0.02)),0),128),2)</f>
        <v>1</v>
      </c>
      <c r="S81" s="29">
        <f t="shared" ref="S81:S82" si="83">MOD(QUOTIENT(ROUNDUP((J81-IF($R$36=0,0.2,0.8))/(IF($R$36=0,0.005,0.02)),0),64),2)</f>
        <v>1</v>
      </c>
      <c r="T81" s="29">
        <f t="shared" ref="T81:T83" si="84">MOD(QUOTIENT(ROUNDUP((J81-IF($R$36=0,0.2,0.8))/(IF($R$36=0,0.005,0.02)),0),32),2)</f>
        <v>0</v>
      </c>
      <c r="U81" s="29">
        <f t="shared" ref="U81:U83" si="85">MOD(QUOTIENT(ROUNDUP((J81-IF($R$36=0,0.2,0.8))/(IF($R$36=0,0.005,0.02)),0),16),2)</f>
        <v>0</v>
      </c>
      <c r="V81" s="29">
        <f t="shared" ref="V81:V83" si="86">MOD(QUOTIENT(ROUNDUP((J81-IF($R$36=0,0.2,0.8))/(IF($R$36=0,0.005,0.02)),0),8),2)</f>
        <v>1</v>
      </c>
      <c r="W81" s="29">
        <f t="shared" ref="W81:W83" si="87">MOD(QUOTIENT(ROUNDUP((J81-IF($R$36=0,0.2,0.8))/(IF($R$36=0,0.005,0.02)),0),4),2)</f>
        <v>0</v>
      </c>
      <c r="X81" s="29">
        <f t="shared" ref="X81:X83" si="88">MOD(QUOTIENT(ROUNDUP((J81-IF($R$36=0,0.2,0.8))/(IF($R$36=0,0.005,0.02)),0),2),2)</f>
        <v>0</v>
      </c>
      <c r="Y81" s="29">
        <f t="shared" ref="Y81:Y83" si="89">MOD(QUOTIENT(ROUNDUP((J81-IF($R$36=0,0.2,0.8))/(IF($R$36=0,0.005,0.02)),0),1),2)</f>
        <v>0</v>
      </c>
      <c r="Z81" s="19" t="str">
        <f>CONCATENATE("0x",DEC2HEX(1*Y81+2*X81+4*W81+8*V81+16*U81+32*T81+64*S81+128*R81,2))</f>
        <v>0xC8</v>
      </c>
    </row>
    <row r="82" spans="1:26" x14ac:dyDescent="0.35">
      <c r="A82" s="28">
        <v>79</v>
      </c>
      <c r="B82" s="28">
        <v>0.59499999999999797</v>
      </c>
      <c r="D82" s="28">
        <v>2.3799999999999901</v>
      </c>
      <c r="F82" s="63">
        <v>146</v>
      </c>
      <c r="G82" s="22" t="str">
        <f t="shared" si="82"/>
        <v>0x92</v>
      </c>
      <c r="H82" s="14" t="s">
        <v>488</v>
      </c>
      <c r="I82" s="14" t="s">
        <v>490</v>
      </c>
      <c r="J82" s="87">
        <f>$P$27</f>
        <v>4.4199999999999804</v>
      </c>
      <c r="K82" s="88"/>
      <c r="L82" s="88"/>
      <c r="M82" s="88"/>
      <c r="N82" s="88"/>
      <c r="O82" s="88"/>
      <c r="P82" s="88"/>
      <c r="Q82" s="89"/>
      <c r="R82" s="16">
        <f>MOD(QUOTIENT(ROUNDUP((J82-IF($R$36=0,0.2,0.8))/(IF($R$36=0,0.005,0.02)),0),128),2)</f>
        <v>1</v>
      </c>
      <c r="S82" s="29">
        <f t="shared" si="83"/>
        <v>0</v>
      </c>
      <c r="T82" s="29">
        <f t="shared" si="84"/>
        <v>1</v>
      </c>
      <c r="U82" s="29">
        <f t="shared" si="85"/>
        <v>1</v>
      </c>
      <c r="V82" s="29">
        <f t="shared" si="86"/>
        <v>0</v>
      </c>
      <c r="W82" s="29">
        <f t="shared" si="87"/>
        <v>1</v>
      </c>
      <c r="X82" s="29">
        <f t="shared" si="88"/>
        <v>0</v>
      </c>
      <c r="Y82" s="29">
        <f t="shared" si="89"/>
        <v>1</v>
      </c>
      <c r="Z82" s="18" t="str">
        <f t="shared" ref="Z82:Z83" si="90">CONCATENATE("0x",DEC2HEX(1*Y82+2*X82+4*W82+8*V82+16*U82+32*T82+64*S82+128*R82,2))</f>
        <v>0xB5</v>
      </c>
    </row>
    <row r="83" spans="1:26" ht="15" thickBot="1" x14ac:dyDescent="0.4">
      <c r="A83" s="28">
        <v>80</v>
      </c>
      <c r="B83" s="28">
        <v>0.59999999999999798</v>
      </c>
      <c r="D83" s="28">
        <v>2.3999999999999901</v>
      </c>
      <c r="F83" s="73">
        <v>147</v>
      </c>
      <c r="G83" s="74" t="str">
        <f t="shared" si="82"/>
        <v>0x93</v>
      </c>
      <c r="H83" s="75" t="s">
        <v>489</v>
      </c>
      <c r="I83" s="75" t="s">
        <v>490</v>
      </c>
      <c r="J83" s="90">
        <f>$P$26</f>
        <v>4.7999999999999803</v>
      </c>
      <c r="K83" s="91"/>
      <c r="L83" s="91"/>
      <c r="M83" s="91"/>
      <c r="N83" s="91"/>
      <c r="O83" s="91"/>
      <c r="P83" s="91"/>
      <c r="Q83" s="92"/>
      <c r="R83" s="16">
        <f>MOD(QUOTIENT(ROUNDUP((J83-IF($R$36=0,0.2,0.8))/(IF($R$36=0,0.005,0.02)),0),128),2)</f>
        <v>1</v>
      </c>
      <c r="S83" s="29">
        <f>MOD(QUOTIENT(ROUNDUP((J83-IF($R$36=0,0.2,0.8))/(IF($R$36=0,0.005,0.02)),0),64),2)</f>
        <v>1</v>
      </c>
      <c r="T83" s="29">
        <f t="shared" si="84"/>
        <v>0</v>
      </c>
      <c r="U83" s="29">
        <f t="shared" si="85"/>
        <v>0</v>
      </c>
      <c r="V83" s="29">
        <f t="shared" si="86"/>
        <v>1</v>
      </c>
      <c r="W83" s="29">
        <f t="shared" si="87"/>
        <v>0</v>
      </c>
      <c r="X83" s="29">
        <f t="shared" si="88"/>
        <v>0</v>
      </c>
      <c r="Y83" s="29">
        <f t="shared" si="89"/>
        <v>0</v>
      </c>
      <c r="Z83" s="76" t="str">
        <f t="shared" si="90"/>
        <v>0xC8</v>
      </c>
    </row>
    <row r="84" spans="1:26" x14ac:dyDescent="0.35">
      <c r="A84" s="28">
        <v>81</v>
      </c>
      <c r="B84" s="28">
        <v>0.60499999999999798</v>
      </c>
      <c r="D84" s="28">
        <v>2.4199999999999902</v>
      </c>
    </row>
    <row r="85" spans="1:26" x14ac:dyDescent="0.35">
      <c r="A85" s="28">
        <v>82</v>
      </c>
      <c r="B85" s="28">
        <v>0.60999999999999799</v>
      </c>
      <c r="D85" s="28">
        <v>2.4399999999999902</v>
      </c>
    </row>
    <row r="86" spans="1:26" x14ac:dyDescent="0.35">
      <c r="A86" s="28">
        <v>83</v>
      </c>
      <c r="B86" s="28">
        <v>0.61499999999999799</v>
      </c>
      <c r="D86" s="28">
        <v>2.4599999999999902</v>
      </c>
    </row>
    <row r="87" spans="1:26" x14ac:dyDescent="0.35">
      <c r="A87" s="28">
        <v>84</v>
      </c>
      <c r="B87" s="28">
        <v>0.619999999999998</v>
      </c>
      <c r="D87" s="28">
        <v>2.4799999999999902</v>
      </c>
    </row>
    <row r="88" spans="1:26" x14ac:dyDescent="0.35">
      <c r="A88" s="28">
        <v>85</v>
      </c>
      <c r="B88" s="28">
        <v>0.624999999999998</v>
      </c>
      <c r="D88" s="28">
        <v>2.4999999999999898</v>
      </c>
    </row>
    <row r="89" spans="1:26" x14ac:dyDescent="0.35">
      <c r="A89" s="28">
        <v>86</v>
      </c>
      <c r="B89" s="28">
        <v>0.62999999999999801</v>
      </c>
      <c r="D89" s="28">
        <v>2.5199999999999898</v>
      </c>
    </row>
    <row r="90" spans="1:26" x14ac:dyDescent="0.35">
      <c r="A90" s="28">
        <v>87</v>
      </c>
      <c r="B90" s="28">
        <v>0.63499999999999801</v>
      </c>
      <c r="D90" s="28">
        <v>2.5399999999999898</v>
      </c>
    </row>
    <row r="91" spans="1:26" x14ac:dyDescent="0.35">
      <c r="A91" s="28">
        <v>88</v>
      </c>
      <c r="B91" s="28">
        <v>0.63999999999999801</v>
      </c>
      <c r="D91" s="28">
        <v>2.5599999999999898</v>
      </c>
    </row>
    <row r="92" spans="1:26" x14ac:dyDescent="0.35">
      <c r="A92" s="28">
        <v>89</v>
      </c>
      <c r="B92" s="28">
        <v>0.64499999999999802</v>
      </c>
      <c r="D92" s="28">
        <v>2.5799999999999899</v>
      </c>
    </row>
    <row r="93" spans="1:26" x14ac:dyDescent="0.35">
      <c r="A93" s="28">
        <v>90</v>
      </c>
      <c r="B93" s="28">
        <v>0.64999999999999802</v>
      </c>
      <c r="D93" s="28">
        <v>2.5999999999999899</v>
      </c>
    </row>
    <row r="94" spans="1:26" x14ac:dyDescent="0.35">
      <c r="A94" s="28">
        <v>91</v>
      </c>
      <c r="B94" s="28">
        <v>0.65499999999999803</v>
      </c>
      <c r="D94" s="28">
        <v>2.6199999999999899</v>
      </c>
    </row>
    <row r="95" spans="1:26" x14ac:dyDescent="0.35">
      <c r="A95" s="28">
        <v>92</v>
      </c>
      <c r="B95" s="28">
        <v>0.65999999999999803</v>
      </c>
      <c r="D95" s="28">
        <v>2.6399999999999899</v>
      </c>
    </row>
    <row r="96" spans="1:26" x14ac:dyDescent="0.35">
      <c r="A96" s="28">
        <v>93</v>
      </c>
      <c r="B96" s="28">
        <v>0.66499999999999804</v>
      </c>
      <c r="D96" s="28">
        <v>2.6599999999999899</v>
      </c>
    </row>
    <row r="97" spans="1:4" x14ac:dyDescent="0.35">
      <c r="A97" s="28">
        <v>94</v>
      </c>
      <c r="B97" s="28">
        <v>0.66999999999999804</v>
      </c>
      <c r="D97" s="28">
        <v>2.6799999999999899</v>
      </c>
    </row>
    <row r="98" spans="1:4" x14ac:dyDescent="0.35">
      <c r="A98" s="28">
        <v>95</v>
      </c>
      <c r="B98" s="28">
        <v>0.67499999999999805</v>
      </c>
      <c r="D98" s="28">
        <v>2.69999999999999</v>
      </c>
    </row>
    <row r="99" spans="1:4" x14ac:dyDescent="0.35">
      <c r="A99" s="28">
        <v>96</v>
      </c>
      <c r="B99" s="28">
        <v>0.67999999999999805</v>
      </c>
      <c r="D99" s="28">
        <v>2.71999999999999</v>
      </c>
    </row>
    <row r="100" spans="1:4" x14ac:dyDescent="0.35">
      <c r="A100" s="28">
        <v>97</v>
      </c>
      <c r="B100" s="28">
        <v>0.68499999999999805</v>
      </c>
      <c r="D100" s="28">
        <v>2.73999999999999</v>
      </c>
    </row>
    <row r="101" spans="1:4" x14ac:dyDescent="0.35">
      <c r="A101" s="28">
        <v>98</v>
      </c>
      <c r="B101" s="28">
        <v>0.68999999999999795</v>
      </c>
      <c r="D101" s="28">
        <v>2.75999999999999</v>
      </c>
    </row>
    <row r="102" spans="1:4" x14ac:dyDescent="0.35">
      <c r="A102" s="28">
        <v>99</v>
      </c>
      <c r="B102" s="28">
        <v>0.69499999999999795</v>
      </c>
      <c r="D102" s="28">
        <v>2.77999999999999</v>
      </c>
    </row>
    <row r="103" spans="1:4" x14ac:dyDescent="0.35">
      <c r="A103" s="28">
        <v>100</v>
      </c>
      <c r="B103" s="28">
        <v>0.69999999999999796</v>
      </c>
      <c r="D103" s="28">
        <v>2.7999999999999901</v>
      </c>
    </row>
    <row r="104" spans="1:4" x14ac:dyDescent="0.35">
      <c r="A104" s="28">
        <v>101</v>
      </c>
      <c r="B104" s="28">
        <v>0.70499999999999796</v>
      </c>
      <c r="D104" s="28">
        <v>2.8199999999999901</v>
      </c>
    </row>
    <row r="105" spans="1:4" x14ac:dyDescent="0.35">
      <c r="A105" s="28">
        <v>102</v>
      </c>
      <c r="B105" s="28">
        <v>0.70999999999999797</v>
      </c>
      <c r="D105" s="28">
        <v>2.8399999999999901</v>
      </c>
    </row>
    <row r="106" spans="1:4" x14ac:dyDescent="0.35">
      <c r="A106" s="28">
        <v>103</v>
      </c>
      <c r="B106" s="28">
        <v>0.71499999999999797</v>
      </c>
      <c r="D106" s="28">
        <v>2.8599999999999901</v>
      </c>
    </row>
    <row r="107" spans="1:4" x14ac:dyDescent="0.35">
      <c r="A107" s="28">
        <v>104</v>
      </c>
      <c r="B107" s="28">
        <v>0.71999999999999797</v>
      </c>
      <c r="D107" s="28">
        <v>2.8799999999999901</v>
      </c>
    </row>
    <row r="108" spans="1:4" x14ac:dyDescent="0.35">
      <c r="A108" s="28">
        <v>105</v>
      </c>
      <c r="B108" s="28">
        <v>0.72499999999999798</v>
      </c>
      <c r="D108" s="28">
        <v>2.8999999999999901</v>
      </c>
    </row>
    <row r="109" spans="1:4" x14ac:dyDescent="0.35">
      <c r="A109" s="28">
        <v>106</v>
      </c>
      <c r="B109" s="28">
        <v>0.72999999999999798</v>
      </c>
      <c r="D109" s="28">
        <v>2.9199999999999902</v>
      </c>
    </row>
    <row r="110" spans="1:4" x14ac:dyDescent="0.35">
      <c r="A110" s="28">
        <v>107</v>
      </c>
      <c r="B110" s="28">
        <v>0.73499999999999699</v>
      </c>
      <c r="D110" s="28">
        <v>2.9399999999999902</v>
      </c>
    </row>
    <row r="111" spans="1:4" x14ac:dyDescent="0.35">
      <c r="A111" s="28">
        <v>108</v>
      </c>
      <c r="B111" s="28">
        <v>0.73999999999999699</v>
      </c>
      <c r="D111" s="28">
        <v>2.9599999999999902</v>
      </c>
    </row>
    <row r="112" spans="1:4" x14ac:dyDescent="0.35">
      <c r="A112" s="28">
        <v>109</v>
      </c>
      <c r="B112" s="28">
        <v>0.744999999999997</v>
      </c>
      <c r="D112" s="28">
        <v>2.9799999999999902</v>
      </c>
    </row>
    <row r="113" spans="1:4" x14ac:dyDescent="0.35">
      <c r="A113" s="28">
        <v>110</v>
      </c>
      <c r="B113" s="28">
        <v>0.749999999999997</v>
      </c>
      <c r="D113" s="28">
        <v>2.9999999999999898</v>
      </c>
    </row>
    <row r="114" spans="1:4" x14ac:dyDescent="0.35">
      <c r="A114" s="28">
        <v>111</v>
      </c>
      <c r="B114" s="28">
        <v>0.75499999999999701</v>
      </c>
      <c r="D114" s="28">
        <v>3.0199999999999898</v>
      </c>
    </row>
    <row r="115" spans="1:4" x14ac:dyDescent="0.35">
      <c r="A115" s="28">
        <v>112</v>
      </c>
      <c r="B115" s="28">
        <v>0.75999999999999701</v>
      </c>
      <c r="D115" s="28">
        <v>3.0399999999999898</v>
      </c>
    </row>
    <row r="116" spans="1:4" x14ac:dyDescent="0.35">
      <c r="A116" s="28">
        <v>113</v>
      </c>
      <c r="B116" s="28">
        <v>0.76499999999999702</v>
      </c>
      <c r="D116" s="28">
        <v>3.0599999999999898</v>
      </c>
    </row>
    <row r="117" spans="1:4" x14ac:dyDescent="0.35">
      <c r="A117" s="28">
        <v>114</v>
      </c>
      <c r="B117" s="28">
        <v>0.76999999999999702</v>
      </c>
      <c r="D117" s="28">
        <v>3.0799999999999899</v>
      </c>
    </row>
    <row r="118" spans="1:4" x14ac:dyDescent="0.35">
      <c r="A118" s="28">
        <v>115</v>
      </c>
      <c r="B118" s="28">
        <v>0.77499999999999702</v>
      </c>
      <c r="D118" s="28">
        <v>3.0999999999999899</v>
      </c>
    </row>
    <row r="119" spans="1:4" x14ac:dyDescent="0.35">
      <c r="A119" s="28">
        <v>116</v>
      </c>
      <c r="B119" s="28">
        <v>0.77999999999999703</v>
      </c>
      <c r="D119" s="28">
        <v>3.1199999999999899</v>
      </c>
    </row>
    <row r="120" spans="1:4" x14ac:dyDescent="0.35">
      <c r="A120" s="28">
        <v>117</v>
      </c>
      <c r="B120" s="28">
        <v>0.78499999999999703</v>
      </c>
      <c r="D120" s="28">
        <v>3.1399999999999899</v>
      </c>
    </row>
    <row r="121" spans="1:4" x14ac:dyDescent="0.35">
      <c r="A121" s="28">
        <v>118</v>
      </c>
      <c r="B121" s="28">
        <v>0.78999999999999704</v>
      </c>
      <c r="D121" s="28">
        <v>3.1599999999999899</v>
      </c>
    </row>
    <row r="122" spans="1:4" x14ac:dyDescent="0.35">
      <c r="A122" s="28">
        <v>119</v>
      </c>
      <c r="B122" s="28">
        <v>0.79499999999999704</v>
      </c>
      <c r="D122" s="28">
        <v>3.1799999999999899</v>
      </c>
    </row>
    <row r="123" spans="1:4" x14ac:dyDescent="0.35">
      <c r="A123" s="28">
        <v>120</v>
      </c>
      <c r="B123" s="28">
        <v>0.79999999999999705</v>
      </c>
      <c r="D123" s="28">
        <v>3.19999999999999</v>
      </c>
    </row>
    <row r="124" spans="1:4" x14ac:dyDescent="0.35">
      <c r="A124" s="28">
        <v>121</v>
      </c>
      <c r="B124" s="28">
        <v>0.80499999999999705</v>
      </c>
      <c r="D124" s="28">
        <v>3.21999999999999</v>
      </c>
    </row>
    <row r="125" spans="1:4" x14ac:dyDescent="0.35">
      <c r="A125" s="28">
        <v>122</v>
      </c>
      <c r="B125" s="28">
        <v>0.80999999999999694</v>
      </c>
      <c r="D125" s="28">
        <v>3.23999999999999</v>
      </c>
    </row>
    <row r="126" spans="1:4" x14ac:dyDescent="0.35">
      <c r="A126" s="28">
        <v>123</v>
      </c>
      <c r="B126" s="28">
        <v>0.81499999999999695</v>
      </c>
      <c r="D126" s="28">
        <v>3.25999999999999</v>
      </c>
    </row>
    <row r="127" spans="1:4" x14ac:dyDescent="0.35">
      <c r="A127" s="28">
        <v>124</v>
      </c>
      <c r="B127" s="28">
        <v>0.81999999999999695</v>
      </c>
      <c r="D127" s="28">
        <v>3.27999999999999</v>
      </c>
    </row>
    <row r="128" spans="1:4" x14ac:dyDescent="0.35">
      <c r="A128" s="28">
        <v>125</v>
      </c>
      <c r="B128" s="28">
        <v>0.82499999999999696</v>
      </c>
      <c r="D128" s="28">
        <v>3.2999999999999901</v>
      </c>
    </row>
    <row r="129" spans="1:4" x14ac:dyDescent="0.35">
      <c r="A129" s="28">
        <v>126</v>
      </c>
      <c r="B129" s="28">
        <v>0.82999999999999696</v>
      </c>
      <c r="D129" s="28">
        <v>3.3199999999999901</v>
      </c>
    </row>
    <row r="130" spans="1:4" x14ac:dyDescent="0.35">
      <c r="A130" s="28">
        <v>127</v>
      </c>
      <c r="B130" s="28">
        <v>0.83499999999999697</v>
      </c>
      <c r="D130" s="28">
        <v>3.3399999999999901</v>
      </c>
    </row>
    <row r="131" spans="1:4" x14ac:dyDescent="0.35">
      <c r="A131" s="28">
        <v>128</v>
      </c>
      <c r="B131" s="28">
        <v>0.83999999999999697</v>
      </c>
      <c r="D131" s="28">
        <v>3.3599999999999901</v>
      </c>
    </row>
    <row r="132" spans="1:4" x14ac:dyDescent="0.35">
      <c r="A132" s="28">
        <v>129</v>
      </c>
      <c r="B132" s="28">
        <v>0.84499999999999698</v>
      </c>
      <c r="D132" s="28">
        <v>3.3799999999999901</v>
      </c>
    </row>
    <row r="133" spans="1:4" x14ac:dyDescent="0.35">
      <c r="A133" s="28">
        <v>130</v>
      </c>
      <c r="B133" s="28">
        <v>0.84999999999999698</v>
      </c>
      <c r="D133" s="28">
        <v>3.3999999999999901</v>
      </c>
    </row>
    <row r="134" spans="1:4" x14ac:dyDescent="0.35">
      <c r="A134" s="28">
        <v>131</v>
      </c>
      <c r="B134" s="28">
        <v>0.85499999999999698</v>
      </c>
      <c r="D134" s="28">
        <v>3.4199999999999902</v>
      </c>
    </row>
    <row r="135" spans="1:4" x14ac:dyDescent="0.35">
      <c r="A135" s="28">
        <v>132</v>
      </c>
      <c r="B135" s="28">
        <v>0.85999999999999699</v>
      </c>
      <c r="D135" s="28">
        <v>3.4399999999999902</v>
      </c>
    </row>
    <row r="136" spans="1:4" x14ac:dyDescent="0.35">
      <c r="A136" s="28">
        <v>133</v>
      </c>
      <c r="B136" s="28">
        <v>0.86499999999999699</v>
      </c>
      <c r="D136" s="28">
        <v>3.4599999999999902</v>
      </c>
    </row>
    <row r="137" spans="1:4" x14ac:dyDescent="0.35">
      <c r="A137" s="28">
        <v>134</v>
      </c>
      <c r="B137" s="28">
        <v>0.869999999999997</v>
      </c>
      <c r="D137" s="28">
        <v>3.4799999999999902</v>
      </c>
    </row>
    <row r="138" spans="1:4" x14ac:dyDescent="0.35">
      <c r="A138" s="28">
        <v>135</v>
      </c>
      <c r="B138" s="28">
        <v>0.874999999999997</v>
      </c>
      <c r="D138" s="28">
        <v>3.4999999999999898</v>
      </c>
    </row>
    <row r="139" spans="1:4" x14ac:dyDescent="0.35">
      <c r="A139" s="28">
        <v>136</v>
      </c>
      <c r="B139" s="28">
        <v>0.87999999999999701</v>
      </c>
      <c r="D139" s="28">
        <v>3.5199999999999898</v>
      </c>
    </row>
    <row r="140" spans="1:4" x14ac:dyDescent="0.35">
      <c r="A140" s="28">
        <v>137</v>
      </c>
      <c r="B140" s="28">
        <v>0.88499999999999701</v>
      </c>
      <c r="D140" s="28">
        <v>3.5399999999999898</v>
      </c>
    </row>
    <row r="141" spans="1:4" x14ac:dyDescent="0.35">
      <c r="A141" s="28">
        <v>138</v>
      </c>
      <c r="B141" s="28">
        <v>0.88999999999999702</v>
      </c>
      <c r="D141" s="28">
        <v>3.5599999999999898</v>
      </c>
    </row>
    <row r="142" spans="1:4" x14ac:dyDescent="0.35">
      <c r="A142" s="28">
        <v>139</v>
      </c>
      <c r="B142" s="28">
        <v>0.89499999999999702</v>
      </c>
      <c r="D142" s="28">
        <v>3.5799999999999899</v>
      </c>
    </row>
    <row r="143" spans="1:4" x14ac:dyDescent="0.35">
      <c r="A143" s="28">
        <v>140</v>
      </c>
      <c r="B143" s="28">
        <v>0.89999999999999702</v>
      </c>
      <c r="D143" s="28">
        <v>3.5999999999999899</v>
      </c>
    </row>
    <row r="144" spans="1:4" x14ac:dyDescent="0.35">
      <c r="A144" s="28">
        <v>141</v>
      </c>
      <c r="B144" s="28">
        <v>0.90499999999999703</v>
      </c>
      <c r="D144" s="28">
        <v>3.6199999999999899</v>
      </c>
    </row>
    <row r="145" spans="1:4" x14ac:dyDescent="0.35">
      <c r="A145" s="28">
        <v>142</v>
      </c>
      <c r="B145" s="28">
        <v>0.90999999999999703</v>
      </c>
      <c r="D145" s="28">
        <v>3.6399999999999899</v>
      </c>
    </row>
    <row r="146" spans="1:4" x14ac:dyDescent="0.35">
      <c r="A146" s="28">
        <v>143</v>
      </c>
      <c r="B146" s="28">
        <v>0.91499999999999704</v>
      </c>
      <c r="D146" s="28">
        <v>3.6599999999999899</v>
      </c>
    </row>
    <row r="147" spans="1:4" x14ac:dyDescent="0.35">
      <c r="A147" s="28">
        <v>144</v>
      </c>
      <c r="B147" s="28">
        <v>0.91999999999999704</v>
      </c>
      <c r="D147" s="28">
        <v>3.6799999999999899</v>
      </c>
    </row>
    <row r="148" spans="1:4" x14ac:dyDescent="0.35">
      <c r="A148" s="28">
        <v>145</v>
      </c>
      <c r="B148" s="28">
        <v>0.92499999999999705</v>
      </c>
      <c r="D148" s="28">
        <v>3.69999999999999</v>
      </c>
    </row>
    <row r="149" spans="1:4" x14ac:dyDescent="0.35">
      <c r="A149" s="28">
        <v>146</v>
      </c>
      <c r="B149" s="28">
        <v>0.92999999999999705</v>
      </c>
      <c r="D149" s="28">
        <v>3.71999999999999</v>
      </c>
    </row>
    <row r="150" spans="1:4" x14ac:dyDescent="0.35">
      <c r="A150" s="28">
        <v>147</v>
      </c>
      <c r="B150" s="28">
        <v>0.93499999999999694</v>
      </c>
      <c r="D150" s="28">
        <v>3.73999999999999</v>
      </c>
    </row>
    <row r="151" spans="1:4" x14ac:dyDescent="0.35">
      <c r="A151" s="28">
        <v>148</v>
      </c>
      <c r="B151" s="28">
        <v>0.93999999999999695</v>
      </c>
      <c r="D151" s="28">
        <v>3.75999999999999</v>
      </c>
    </row>
    <row r="152" spans="1:4" x14ac:dyDescent="0.35">
      <c r="A152" s="28">
        <v>149</v>
      </c>
      <c r="B152" s="28">
        <v>0.94499999999999695</v>
      </c>
      <c r="D152" s="28">
        <v>3.77999999999999</v>
      </c>
    </row>
    <row r="153" spans="1:4" x14ac:dyDescent="0.35">
      <c r="A153" s="28">
        <v>150</v>
      </c>
      <c r="B153" s="28">
        <v>0.94999999999999596</v>
      </c>
      <c r="D153" s="28">
        <v>3.7999999999999901</v>
      </c>
    </row>
    <row r="154" spans="1:4" x14ac:dyDescent="0.35">
      <c r="A154" s="28">
        <v>151</v>
      </c>
      <c r="B154" s="28">
        <v>0.95499999999999596</v>
      </c>
      <c r="D154" s="28">
        <v>3.8199999999999901</v>
      </c>
    </row>
    <row r="155" spans="1:4" x14ac:dyDescent="0.35">
      <c r="A155" s="28">
        <v>152</v>
      </c>
      <c r="B155" s="28">
        <v>0.95999999999999597</v>
      </c>
      <c r="D155" s="28">
        <v>3.8399999999999901</v>
      </c>
    </row>
    <row r="156" spans="1:4" x14ac:dyDescent="0.35">
      <c r="A156" s="28">
        <v>153</v>
      </c>
      <c r="B156" s="28">
        <v>0.96499999999999597</v>
      </c>
      <c r="D156" s="28">
        <v>3.8599999999999901</v>
      </c>
    </row>
    <row r="157" spans="1:4" x14ac:dyDescent="0.35">
      <c r="A157" s="28">
        <v>154</v>
      </c>
      <c r="B157" s="28">
        <v>0.96999999999999598</v>
      </c>
      <c r="D157" s="28">
        <v>3.8799999999999901</v>
      </c>
    </row>
    <row r="158" spans="1:4" x14ac:dyDescent="0.35">
      <c r="A158" s="28">
        <v>155</v>
      </c>
      <c r="B158" s="28">
        <v>0.97499999999999598</v>
      </c>
      <c r="D158" s="28">
        <v>3.8999999999999901</v>
      </c>
    </row>
    <row r="159" spans="1:4" x14ac:dyDescent="0.35">
      <c r="A159" s="28">
        <v>156</v>
      </c>
      <c r="B159" s="28">
        <v>0.97999999999999599</v>
      </c>
      <c r="D159" s="28">
        <v>3.9199999999999902</v>
      </c>
    </row>
    <row r="160" spans="1:4" x14ac:dyDescent="0.35">
      <c r="A160" s="28">
        <v>157</v>
      </c>
      <c r="B160" s="28">
        <v>0.98499999999999599</v>
      </c>
      <c r="D160" s="28">
        <v>3.9399999999999902</v>
      </c>
    </row>
    <row r="161" spans="1:4" x14ac:dyDescent="0.35">
      <c r="A161" s="28">
        <v>158</v>
      </c>
      <c r="B161" s="28">
        <v>0.98999999999999599</v>
      </c>
      <c r="D161" s="28">
        <v>3.9599999999999902</v>
      </c>
    </row>
    <row r="162" spans="1:4" x14ac:dyDescent="0.35">
      <c r="A162" s="28">
        <v>159</v>
      </c>
      <c r="B162" s="28">
        <v>0.994999999999996</v>
      </c>
      <c r="D162" s="28">
        <v>3.9799999999999902</v>
      </c>
    </row>
    <row r="163" spans="1:4" x14ac:dyDescent="0.35">
      <c r="A163" s="28">
        <v>160</v>
      </c>
      <c r="B163" s="28">
        <v>0.999999999999996</v>
      </c>
      <c r="D163" s="28">
        <v>3.9999999999999898</v>
      </c>
    </row>
    <row r="164" spans="1:4" x14ac:dyDescent="0.35">
      <c r="A164" s="28">
        <v>161</v>
      </c>
      <c r="B164" s="28">
        <v>1.0049999999999999</v>
      </c>
      <c r="D164" s="28">
        <v>4.0199999999999898</v>
      </c>
    </row>
    <row r="165" spans="1:4" x14ac:dyDescent="0.35">
      <c r="A165" s="28">
        <v>162</v>
      </c>
      <c r="B165" s="28">
        <v>1.01</v>
      </c>
      <c r="D165" s="28">
        <v>4.0399999999999903</v>
      </c>
    </row>
    <row r="166" spans="1:4" x14ac:dyDescent="0.35">
      <c r="A166" s="28">
        <v>163</v>
      </c>
      <c r="B166" s="28">
        <v>1.0149999999999999</v>
      </c>
      <c r="D166" s="28">
        <v>4.0599999999999801</v>
      </c>
    </row>
    <row r="167" spans="1:4" x14ac:dyDescent="0.35">
      <c r="A167" s="28">
        <v>164</v>
      </c>
      <c r="B167" s="28">
        <v>1.02</v>
      </c>
      <c r="D167" s="28">
        <v>4.0799999999999796</v>
      </c>
    </row>
    <row r="168" spans="1:4" x14ac:dyDescent="0.35">
      <c r="A168" s="28">
        <v>165</v>
      </c>
      <c r="B168" s="28">
        <v>1.0249999999999999</v>
      </c>
      <c r="D168" s="28">
        <v>4.0999999999999801</v>
      </c>
    </row>
    <row r="169" spans="1:4" x14ac:dyDescent="0.35">
      <c r="A169" s="28">
        <v>166</v>
      </c>
      <c r="B169" s="28">
        <v>1.03</v>
      </c>
      <c r="D169" s="28">
        <v>4.1199999999999797</v>
      </c>
    </row>
    <row r="170" spans="1:4" x14ac:dyDescent="0.35">
      <c r="A170" s="28">
        <v>167</v>
      </c>
      <c r="B170" s="28">
        <v>1.0349999999999999</v>
      </c>
      <c r="D170" s="28">
        <v>4.1399999999999801</v>
      </c>
    </row>
    <row r="171" spans="1:4" x14ac:dyDescent="0.35">
      <c r="A171" s="28">
        <v>168</v>
      </c>
      <c r="B171" s="28">
        <v>1.04</v>
      </c>
      <c r="D171" s="28">
        <v>4.1599999999999797</v>
      </c>
    </row>
    <row r="172" spans="1:4" x14ac:dyDescent="0.35">
      <c r="A172" s="28">
        <v>169</v>
      </c>
      <c r="B172" s="28">
        <v>1.0449999999999999</v>
      </c>
      <c r="D172" s="28">
        <v>4.1799999999999802</v>
      </c>
    </row>
    <row r="173" spans="1:4" x14ac:dyDescent="0.35">
      <c r="A173" s="28">
        <v>170</v>
      </c>
      <c r="B173" s="28">
        <v>1.05</v>
      </c>
      <c r="D173" s="28">
        <v>4.1999999999999797</v>
      </c>
    </row>
    <row r="174" spans="1:4" x14ac:dyDescent="0.35">
      <c r="A174" s="28">
        <v>171</v>
      </c>
      <c r="B174" s="28">
        <v>1.0549999999999999</v>
      </c>
      <c r="D174" s="28">
        <v>4.2199999999999802</v>
      </c>
    </row>
    <row r="175" spans="1:4" x14ac:dyDescent="0.35">
      <c r="A175" s="28">
        <v>172</v>
      </c>
      <c r="B175" s="28">
        <v>1.06</v>
      </c>
      <c r="D175" s="28">
        <v>4.2399999999999798</v>
      </c>
    </row>
    <row r="176" spans="1:4" x14ac:dyDescent="0.35">
      <c r="A176" s="28">
        <v>173</v>
      </c>
      <c r="B176" s="28">
        <v>1.0649999999999999</v>
      </c>
      <c r="D176" s="28">
        <v>4.2599999999999802</v>
      </c>
    </row>
    <row r="177" spans="1:4" x14ac:dyDescent="0.35">
      <c r="A177" s="28">
        <v>174</v>
      </c>
      <c r="B177" s="28">
        <v>1.07</v>
      </c>
      <c r="D177" s="28">
        <v>4.2799999999999798</v>
      </c>
    </row>
    <row r="178" spans="1:4" x14ac:dyDescent="0.35">
      <c r="A178" s="28">
        <v>175</v>
      </c>
      <c r="B178" s="28">
        <v>1.075</v>
      </c>
      <c r="D178" s="28">
        <v>4.2999999999999803</v>
      </c>
    </row>
    <row r="179" spans="1:4" x14ac:dyDescent="0.35">
      <c r="A179" s="28">
        <v>176</v>
      </c>
      <c r="B179" s="28">
        <v>1.08</v>
      </c>
      <c r="D179" s="28">
        <v>4.3199999999999799</v>
      </c>
    </row>
    <row r="180" spans="1:4" x14ac:dyDescent="0.35">
      <c r="A180" s="28">
        <v>177</v>
      </c>
      <c r="B180" s="28">
        <v>1.085</v>
      </c>
      <c r="D180" s="28">
        <v>4.3399999999999803</v>
      </c>
    </row>
    <row r="181" spans="1:4" x14ac:dyDescent="0.35">
      <c r="A181" s="28">
        <v>178</v>
      </c>
      <c r="B181" s="28">
        <v>1.0900000000000001</v>
      </c>
      <c r="D181" s="28">
        <v>4.3599999999999799</v>
      </c>
    </row>
    <row r="182" spans="1:4" x14ac:dyDescent="0.35">
      <c r="A182" s="28">
        <v>179</v>
      </c>
      <c r="B182" s="28">
        <v>1.095</v>
      </c>
      <c r="D182" s="28">
        <v>4.3799999999999804</v>
      </c>
    </row>
    <row r="183" spans="1:4" x14ac:dyDescent="0.35">
      <c r="A183" s="28">
        <v>180</v>
      </c>
      <c r="B183" s="28">
        <v>1.1000000000000001</v>
      </c>
      <c r="D183" s="28">
        <v>4.3999999999999799</v>
      </c>
    </row>
    <row r="184" spans="1:4" x14ac:dyDescent="0.35">
      <c r="A184" s="28">
        <v>181</v>
      </c>
      <c r="B184" s="28">
        <v>1.105</v>
      </c>
      <c r="D184" s="28">
        <v>4.4199999999999804</v>
      </c>
    </row>
    <row r="185" spans="1:4" x14ac:dyDescent="0.35">
      <c r="A185" s="28">
        <v>182</v>
      </c>
      <c r="B185" s="28">
        <v>1.1100000000000001</v>
      </c>
      <c r="D185" s="28">
        <v>4.43999999999998</v>
      </c>
    </row>
    <row r="186" spans="1:4" x14ac:dyDescent="0.35">
      <c r="A186" s="28">
        <v>183</v>
      </c>
      <c r="B186" s="28">
        <v>1.115</v>
      </c>
      <c r="D186" s="28">
        <v>4.4599999999999804</v>
      </c>
    </row>
    <row r="187" spans="1:4" x14ac:dyDescent="0.35">
      <c r="A187" s="28">
        <v>184</v>
      </c>
      <c r="B187" s="28">
        <v>1.1200000000000001</v>
      </c>
      <c r="D187" s="28">
        <v>4.47999999999998</v>
      </c>
    </row>
    <row r="188" spans="1:4" x14ac:dyDescent="0.35">
      <c r="A188" s="28">
        <v>185</v>
      </c>
      <c r="B188" s="28">
        <v>1.125</v>
      </c>
      <c r="D188" s="28">
        <v>4.4999999999999796</v>
      </c>
    </row>
    <row r="189" spans="1:4" x14ac:dyDescent="0.35">
      <c r="A189" s="28">
        <v>186</v>
      </c>
      <c r="B189" s="28">
        <v>1.1299999999999999</v>
      </c>
      <c r="D189" s="28">
        <v>4.51999999999998</v>
      </c>
    </row>
    <row r="190" spans="1:4" x14ac:dyDescent="0.35">
      <c r="A190" s="28">
        <v>187</v>
      </c>
      <c r="B190" s="28">
        <v>1.135</v>
      </c>
      <c r="D190" s="28">
        <v>4.5399999999999796</v>
      </c>
    </row>
    <row r="191" spans="1:4" x14ac:dyDescent="0.35">
      <c r="A191" s="28">
        <v>188</v>
      </c>
      <c r="B191" s="28">
        <v>1.1399999999999999</v>
      </c>
      <c r="D191" s="28">
        <v>4.5599999999999801</v>
      </c>
    </row>
    <row r="192" spans="1:4" x14ac:dyDescent="0.35">
      <c r="A192" s="28">
        <v>189</v>
      </c>
      <c r="B192" s="28">
        <v>1.145</v>
      </c>
      <c r="D192" s="28">
        <v>4.5799999999999796</v>
      </c>
    </row>
    <row r="193" spans="1:4" x14ac:dyDescent="0.35">
      <c r="A193" s="28">
        <v>190</v>
      </c>
      <c r="B193" s="28">
        <v>1.1499999999999999</v>
      </c>
      <c r="D193" s="28">
        <v>4.5999999999999801</v>
      </c>
    </row>
    <row r="194" spans="1:4" x14ac:dyDescent="0.35">
      <c r="A194" s="28">
        <v>191</v>
      </c>
      <c r="B194" s="28">
        <v>1.155</v>
      </c>
      <c r="D194" s="28">
        <v>4.6199999999999797</v>
      </c>
    </row>
    <row r="195" spans="1:4" x14ac:dyDescent="0.35">
      <c r="A195" s="28">
        <v>192</v>
      </c>
      <c r="B195" s="28">
        <v>1.1599999999999999</v>
      </c>
      <c r="D195" s="28">
        <v>4.6399999999999801</v>
      </c>
    </row>
    <row r="196" spans="1:4" x14ac:dyDescent="0.35">
      <c r="A196" s="28">
        <v>193</v>
      </c>
      <c r="B196" s="28">
        <v>1.165</v>
      </c>
      <c r="D196" s="28">
        <v>4.6599999999999797</v>
      </c>
    </row>
    <row r="197" spans="1:4" x14ac:dyDescent="0.35">
      <c r="A197" s="28">
        <v>194</v>
      </c>
      <c r="B197" s="28">
        <v>1.17</v>
      </c>
      <c r="D197" s="28">
        <v>4.6799999999999802</v>
      </c>
    </row>
    <row r="198" spans="1:4" x14ac:dyDescent="0.35">
      <c r="A198" s="28">
        <v>195</v>
      </c>
      <c r="B198" s="28">
        <v>1.1749999999999901</v>
      </c>
      <c r="D198" s="28">
        <v>4.6999999999999797</v>
      </c>
    </row>
    <row r="199" spans="1:4" x14ac:dyDescent="0.35">
      <c r="A199" s="28">
        <v>196</v>
      </c>
      <c r="B199" s="28">
        <v>1.18</v>
      </c>
      <c r="D199" s="28">
        <v>4.7199999999999802</v>
      </c>
    </row>
    <row r="200" spans="1:4" x14ac:dyDescent="0.35">
      <c r="A200" s="28">
        <v>197</v>
      </c>
      <c r="B200" s="28">
        <v>1.1849999999999901</v>
      </c>
      <c r="D200" s="28">
        <v>4.7399999999999798</v>
      </c>
    </row>
    <row r="201" spans="1:4" x14ac:dyDescent="0.35">
      <c r="A201" s="28">
        <v>198</v>
      </c>
      <c r="B201" s="28">
        <v>1.19</v>
      </c>
      <c r="D201" s="28">
        <v>4.7599999999999802</v>
      </c>
    </row>
    <row r="202" spans="1:4" x14ac:dyDescent="0.35">
      <c r="A202" s="28">
        <v>199</v>
      </c>
      <c r="B202" s="28">
        <v>1.1949999999999901</v>
      </c>
      <c r="D202" s="28">
        <v>4.7799999999999798</v>
      </c>
    </row>
    <row r="203" spans="1:4" x14ac:dyDescent="0.35">
      <c r="A203" s="28">
        <v>200</v>
      </c>
      <c r="B203" s="28">
        <v>1.2</v>
      </c>
      <c r="D203" s="28">
        <v>4.7999999999999803</v>
      </c>
    </row>
    <row r="204" spans="1:4" x14ac:dyDescent="0.35">
      <c r="A204" s="28">
        <v>201</v>
      </c>
      <c r="B204" s="28">
        <v>1.2050000000000001</v>
      </c>
      <c r="D204" s="28">
        <v>4.8199999999999799</v>
      </c>
    </row>
    <row r="205" spans="1:4" x14ac:dyDescent="0.35">
      <c r="A205" s="28">
        <v>202</v>
      </c>
      <c r="B205" s="28">
        <v>1.21</v>
      </c>
      <c r="D205" s="28">
        <v>4.8399999999999803</v>
      </c>
    </row>
    <row r="206" spans="1:4" x14ac:dyDescent="0.35">
      <c r="A206" s="28">
        <v>203</v>
      </c>
      <c r="B206" s="28">
        <v>1.2150000000000001</v>
      </c>
      <c r="D206" s="28">
        <v>4.8599999999999799</v>
      </c>
    </row>
    <row r="207" spans="1:4" x14ac:dyDescent="0.35">
      <c r="A207" s="28">
        <v>204</v>
      </c>
      <c r="B207" s="28">
        <v>1.22</v>
      </c>
      <c r="D207" s="28">
        <v>4.8799999999999804</v>
      </c>
    </row>
    <row r="208" spans="1:4" x14ac:dyDescent="0.35">
      <c r="A208" s="28">
        <v>205</v>
      </c>
      <c r="B208" s="28">
        <v>1.2250000000000001</v>
      </c>
      <c r="D208" s="28">
        <v>4.8999999999999799</v>
      </c>
    </row>
    <row r="209" spans="1:4" x14ac:dyDescent="0.35">
      <c r="A209" s="28">
        <v>206</v>
      </c>
      <c r="B209" s="28">
        <v>1.23</v>
      </c>
      <c r="D209" s="28">
        <v>4.9199999999999804</v>
      </c>
    </row>
    <row r="210" spans="1:4" x14ac:dyDescent="0.35">
      <c r="A210" s="28">
        <v>207</v>
      </c>
      <c r="B210" s="28">
        <v>1.2350000000000001</v>
      </c>
      <c r="D210" s="28">
        <v>4.93999999999998</v>
      </c>
    </row>
    <row r="211" spans="1:4" x14ac:dyDescent="0.35">
      <c r="A211" s="28">
        <v>208</v>
      </c>
      <c r="B211" s="28">
        <v>1.24</v>
      </c>
      <c r="D211" s="28">
        <v>4.9599999999999804</v>
      </c>
    </row>
    <row r="212" spans="1:4" x14ac:dyDescent="0.35">
      <c r="A212" s="28">
        <v>209</v>
      </c>
      <c r="B212" s="28">
        <v>1.2450000000000001</v>
      </c>
      <c r="D212" s="28">
        <v>4.97999999999998</v>
      </c>
    </row>
    <row r="213" spans="1:4" x14ac:dyDescent="0.35">
      <c r="A213" s="28">
        <v>210</v>
      </c>
      <c r="B213" s="28">
        <v>1.25</v>
      </c>
      <c r="D213" s="28">
        <v>4.9999999999999796</v>
      </c>
    </row>
    <row r="214" spans="1:4" x14ac:dyDescent="0.35">
      <c r="A214" s="28">
        <v>211</v>
      </c>
      <c r="B214" s="28">
        <v>1.2549999999999999</v>
      </c>
      <c r="D214" s="28">
        <v>5.01999999999998</v>
      </c>
    </row>
    <row r="215" spans="1:4" x14ac:dyDescent="0.35">
      <c r="A215" s="28">
        <v>212</v>
      </c>
      <c r="B215" s="28">
        <v>1.26</v>
      </c>
      <c r="D215" s="28">
        <v>5.0399999999999796</v>
      </c>
    </row>
    <row r="216" spans="1:4" x14ac:dyDescent="0.35">
      <c r="A216" s="28">
        <v>213</v>
      </c>
      <c r="B216" s="28">
        <v>1.2649999999999999</v>
      </c>
      <c r="D216" s="28">
        <v>5.0599999999999801</v>
      </c>
    </row>
    <row r="217" spans="1:4" x14ac:dyDescent="0.35">
      <c r="A217" s="28">
        <v>214</v>
      </c>
      <c r="B217" s="28">
        <v>1.26999999999999</v>
      </c>
      <c r="D217" s="28">
        <v>5.0799999999999796</v>
      </c>
    </row>
    <row r="218" spans="1:4" x14ac:dyDescent="0.35">
      <c r="A218" s="28">
        <v>215</v>
      </c>
      <c r="B218" s="28">
        <v>1.2749999999999999</v>
      </c>
      <c r="D218" s="28">
        <v>5.0999999999999801</v>
      </c>
    </row>
    <row r="219" spans="1:4" x14ac:dyDescent="0.35">
      <c r="A219" s="28">
        <v>216</v>
      </c>
      <c r="B219" s="28">
        <v>1.27999999999999</v>
      </c>
      <c r="D219" s="28">
        <v>5.1199999999999797</v>
      </c>
    </row>
    <row r="220" spans="1:4" x14ac:dyDescent="0.35">
      <c r="A220" s="28">
        <v>217</v>
      </c>
      <c r="B220" s="28">
        <v>1.2849999999999899</v>
      </c>
      <c r="D220" s="28">
        <v>5.1399999999999801</v>
      </c>
    </row>
    <row r="221" spans="1:4" x14ac:dyDescent="0.35">
      <c r="A221" s="28">
        <v>218</v>
      </c>
      <c r="B221" s="28">
        <v>1.28999999999999</v>
      </c>
      <c r="D221" s="28">
        <v>5.1599999999999797</v>
      </c>
    </row>
    <row r="222" spans="1:4" x14ac:dyDescent="0.35">
      <c r="A222" s="28">
        <v>219</v>
      </c>
      <c r="B222" s="28">
        <v>1.2949999999999899</v>
      </c>
      <c r="D222" s="28">
        <v>5.1799999999999802</v>
      </c>
    </row>
    <row r="223" spans="1:4" x14ac:dyDescent="0.35">
      <c r="A223" s="28">
        <v>220</v>
      </c>
      <c r="B223" s="28">
        <v>1.2999999999999901</v>
      </c>
      <c r="D223" s="28">
        <v>5.1999999999999797</v>
      </c>
    </row>
    <row r="224" spans="1:4" x14ac:dyDescent="0.35">
      <c r="A224" s="28">
        <v>221</v>
      </c>
      <c r="B224" s="28">
        <v>1.3049999999999899</v>
      </c>
      <c r="D224" s="28">
        <v>5.2199999999999802</v>
      </c>
    </row>
    <row r="225" spans="1:4" x14ac:dyDescent="0.35">
      <c r="A225" s="28">
        <v>222</v>
      </c>
      <c r="B225" s="28">
        <v>1.3099999999999901</v>
      </c>
      <c r="D225" s="28">
        <v>5.2399999999999798</v>
      </c>
    </row>
    <row r="226" spans="1:4" x14ac:dyDescent="0.35">
      <c r="A226" s="28">
        <v>223</v>
      </c>
      <c r="B226" s="28">
        <v>1.31499999999999</v>
      </c>
      <c r="D226" s="28">
        <v>5.2599999999999802</v>
      </c>
    </row>
    <row r="227" spans="1:4" x14ac:dyDescent="0.35">
      <c r="A227" s="28">
        <v>224</v>
      </c>
      <c r="B227" s="28">
        <v>1.3199999999999901</v>
      </c>
      <c r="D227" s="28">
        <v>5.2799999999999798</v>
      </c>
    </row>
    <row r="228" spans="1:4" x14ac:dyDescent="0.35">
      <c r="A228" s="28">
        <v>225</v>
      </c>
      <c r="B228" s="28">
        <v>1.32499999999999</v>
      </c>
      <c r="D228" s="28">
        <v>5.2999999999999803</v>
      </c>
    </row>
    <row r="229" spans="1:4" x14ac:dyDescent="0.35">
      <c r="A229" s="28">
        <v>226</v>
      </c>
      <c r="B229" s="28">
        <v>1.3299999999999901</v>
      </c>
      <c r="D229" s="28">
        <v>5.3199999999999799</v>
      </c>
    </row>
    <row r="230" spans="1:4" x14ac:dyDescent="0.35">
      <c r="A230" s="28">
        <v>227</v>
      </c>
      <c r="B230" s="28">
        <v>1.33499999999999</v>
      </c>
      <c r="D230" s="28">
        <v>5.3399999999999803</v>
      </c>
    </row>
    <row r="231" spans="1:4" x14ac:dyDescent="0.35">
      <c r="A231" s="28">
        <v>228</v>
      </c>
      <c r="B231" s="28">
        <v>1.3399999999999901</v>
      </c>
      <c r="D231" s="28">
        <v>5.3599999999999799</v>
      </c>
    </row>
    <row r="232" spans="1:4" x14ac:dyDescent="0.35">
      <c r="A232" s="28">
        <v>229</v>
      </c>
      <c r="B232" s="28">
        <v>1.34499999999999</v>
      </c>
      <c r="D232" s="28">
        <v>5.3799999999999804</v>
      </c>
    </row>
    <row r="233" spans="1:4" x14ac:dyDescent="0.35">
      <c r="A233" s="28">
        <v>230</v>
      </c>
      <c r="B233" s="28">
        <v>1.3499999999999901</v>
      </c>
      <c r="D233" s="28">
        <v>5.3999999999999799</v>
      </c>
    </row>
    <row r="234" spans="1:4" x14ac:dyDescent="0.35">
      <c r="A234" s="28">
        <v>231</v>
      </c>
      <c r="B234" s="28">
        <v>1.35499999999999</v>
      </c>
      <c r="D234" s="28">
        <v>5.4199999999999804</v>
      </c>
    </row>
    <row r="235" spans="1:4" x14ac:dyDescent="0.35">
      <c r="A235" s="28">
        <v>232</v>
      </c>
      <c r="B235" s="28">
        <v>1.3599999999999901</v>
      </c>
      <c r="D235" s="28">
        <v>5.43999999999998</v>
      </c>
    </row>
    <row r="236" spans="1:4" x14ac:dyDescent="0.35">
      <c r="A236" s="28">
        <v>233</v>
      </c>
      <c r="B236" s="28">
        <v>1.36499999999999</v>
      </c>
      <c r="D236" s="28">
        <v>5.4599999999999804</v>
      </c>
    </row>
    <row r="237" spans="1:4" x14ac:dyDescent="0.35">
      <c r="A237" s="28">
        <v>234</v>
      </c>
      <c r="B237" s="28">
        <v>1.3699999999999899</v>
      </c>
      <c r="D237" s="28">
        <v>5.47999999999998</v>
      </c>
    </row>
    <row r="238" spans="1:4" x14ac:dyDescent="0.35">
      <c r="A238" s="28">
        <v>235</v>
      </c>
      <c r="B238" s="28">
        <v>1.37499999999999</v>
      </c>
      <c r="D238" s="28">
        <v>5.4999999999999796</v>
      </c>
    </row>
    <row r="239" spans="1:4" x14ac:dyDescent="0.35">
      <c r="A239" s="28">
        <v>236</v>
      </c>
      <c r="B239" s="28">
        <v>1.3799999999999899</v>
      </c>
      <c r="D239" s="28">
        <v>5.51999999999998</v>
      </c>
    </row>
    <row r="240" spans="1:4" x14ac:dyDescent="0.35">
      <c r="A240" s="28">
        <v>237</v>
      </c>
      <c r="B240" s="28">
        <v>1.38499999999999</v>
      </c>
      <c r="D240" s="28">
        <v>5.5399999999999796</v>
      </c>
    </row>
    <row r="241" spans="1:4" x14ac:dyDescent="0.35">
      <c r="A241" s="28">
        <v>238</v>
      </c>
      <c r="B241" s="28">
        <v>1.3899999999999899</v>
      </c>
      <c r="D241" s="28">
        <v>5.5599999999999801</v>
      </c>
    </row>
    <row r="242" spans="1:4" x14ac:dyDescent="0.35">
      <c r="A242" s="28">
        <v>239</v>
      </c>
      <c r="B242" s="28">
        <v>1.39499999999999</v>
      </c>
      <c r="D242" s="28">
        <v>5.5799999999999796</v>
      </c>
    </row>
    <row r="243" spans="1:4" x14ac:dyDescent="0.35">
      <c r="A243" s="28">
        <v>240</v>
      </c>
      <c r="B243" s="28">
        <v>1.3999999999999899</v>
      </c>
      <c r="D243" s="28">
        <v>5.5999999999999801</v>
      </c>
    </row>
    <row r="244" spans="1:4" x14ac:dyDescent="0.35">
      <c r="A244" s="28">
        <v>241</v>
      </c>
      <c r="B244" s="28">
        <v>1.40499999999999</v>
      </c>
      <c r="D244" s="28">
        <v>5.6199999999999797</v>
      </c>
    </row>
    <row r="245" spans="1:4" x14ac:dyDescent="0.35">
      <c r="A245" s="28">
        <v>242</v>
      </c>
      <c r="B245" s="28">
        <v>1.4099999999999899</v>
      </c>
      <c r="D245" s="28">
        <v>5.6399999999999801</v>
      </c>
    </row>
    <row r="246" spans="1:4" x14ac:dyDescent="0.35">
      <c r="A246" s="28">
        <v>243</v>
      </c>
      <c r="B246" s="28">
        <v>1.41499999999999</v>
      </c>
      <c r="D246" s="28">
        <v>5.6599999999999797</v>
      </c>
    </row>
    <row r="247" spans="1:4" x14ac:dyDescent="0.35">
      <c r="A247" s="28">
        <v>244</v>
      </c>
      <c r="B247" s="28">
        <v>1.4199999999999899</v>
      </c>
      <c r="D247" s="28">
        <v>5.6799999999999802</v>
      </c>
    </row>
    <row r="248" spans="1:4" x14ac:dyDescent="0.35">
      <c r="A248" s="28">
        <v>245</v>
      </c>
      <c r="B248" s="28">
        <v>1.4249999999999901</v>
      </c>
      <c r="D248" s="28">
        <v>5.6999999999999797</v>
      </c>
    </row>
    <row r="249" spans="1:4" x14ac:dyDescent="0.35">
      <c r="A249" s="28">
        <v>246</v>
      </c>
      <c r="B249" s="28">
        <v>1.4299999999999899</v>
      </c>
      <c r="D249" s="28">
        <v>5.7199999999999802</v>
      </c>
    </row>
    <row r="250" spans="1:4" x14ac:dyDescent="0.35">
      <c r="A250" s="28">
        <v>247</v>
      </c>
      <c r="B250" s="28">
        <v>1.4349999999999901</v>
      </c>
      <c r="D250" s="28">
        <v>5.7399999999999798</v>
      </c>
    </row>
    <row r="251" spans="1:4" x14ac:dyDescent="0.35">
      <c r="A251" s="28">
        <v>248</v>
      </c>
      <c r="B251" s="28">
        <v>1.43999999999999</v>
      </c>
      <c r="D251" s="28">
        <v>5.7599999999999802</v>
      </c>
    </row>
    <row r="252" spans="1:4" x14ac:dyDescent="0.35">
      <c r="A252" s="28">
        <v>249</v>
      </c>
      <c r="B252" s="28">
        <v>1.4449999999999901</v>
      </c>
      <c r="D252" s="28">
        <v>5.7799999999999798</v>
      </c>
    </row>
    <row r="253" spans="1:4" x14ac:dyDescent="0.35">
      <c r="A253" s="28">
        <v>250</v>
      </c>
      <c r="B253" s="28">
        <v>1.44999999999999</v>
      </c>
      <c r="D253" s="28">
        <v>5.7999999999999803</v>
      </c>
    </row>
    <row r="254" spans="1:4" x14ac:dyDescent="0.35">
      <c r="A254" s="28">
        <v>251</v>
      </c>
      <c r="B254" s="28">
        <v>1.4549999999999901</v>
      </c>
      <c r="D254" s="28">
        <v>5.8199999999999799</v>
      </c>
    </row>
    <row r="255" spans="1:4" x14ac:dyDescent="0.35">
      <c r="A255" s="28">
        <v>252</v>
      </c>
      <c r="B255" s="28">
        <v>1.45999999999999</v>
      </c>
      <c r="D255" s="28">
        <v>5.8399999999999803</v>
      </c>
    </row>
    <row r="256" spans="1:4" x14ac:dyDescent="0.35">
      <c r="A256" s="28">
        <v>253</v>
      </c>
      <c r="B256" s="28">
        <v>1.4649999999999901</v>
      </c>
      <c r="D256" s="28">
        <v>5.8599999999999799</v>
      </c>
    </row>
    <row r="257" spans="1:4" x14ac:dyDescent="0.35">
      <c r="A257" s="28">
        <v>254</v>
      </c>
      <c r="B257" s="28">
        <v>1.46999999999999</v>
      </c>
      <c r="D257" s="28">
        <v>5.8799999999999804</v>
      </c>
    </row>
    <row r="258" spans="1:4" x14ac:dyDescent="0.35">
      <c r="A258" s="28">
        <v>255</v>
      </c>
      <c r="B258" s="28">
        <v>1.4749999999999901</v>
      </c>
      <c r="D258" s="28">
        <v>5.8999999999999799</v>
      </c>
    </row>
  </sheetData>
  <conditionalFormatting sqref="J43:Q43 J49:Q49 J55:Q55 J61:Q61 J67:Q67 J34:Q34 J73:Q73 J79:Q79 J36:Q37">
    <cfRule type="cellIs" dxfId="36" priority="44" operator="equal">
      <formula>"RSVD"</formula>
    </cfRule>
  </conditionalFormatting>
  <conditionalFormatting sqref="J38">
    <cfRule type="cellIs" dxfId="35" priority="43" operator="equal">
      <formula>"RSVD"</formula>
    </cfRule>
  </conditionalFormatting>
  <conditionalFormatting sqref="J42 N42">
    <cfRule type="cellIs" dxfId="34" priority="42" operator="equal">
      <formula>"RSVD"</formula>
    </cfRule>
  </conditionalFormatting>
  <conditionalFormatting sqref="J48 N48">
    <cfRule type="cellIs" dxfId="33" priority="41" operator="equal">
      <formula>"RSVD"</formula>
    </cfRule>
  </conditionalFormatting>
  <conditionalFormatting sqref="J60 N60">
    <cfRule type="cellIs" dxfId="32" priority="30" operator="equal">
      <formula>"RSVD"</formula>
    </cfRule>
  </conditionalFormatting>
  <conditionalFormatting sqref="J66 N66">
    <cfRule type="cellIs" dxfId="31" priority="27" operator="equal">
      <formula>"RSVD"</formula>
    </cfRule>
  </conditionalFormatting>
  <conditionalFormatting sqref="J39">
    <cfRule type="cellIs" dxfId="30" priority="40" operator="equal">
      <formula>"RSVD"</formula>
    </cfRule>
  </conditionalFormatting>
  <conditionalFormatting sqref="J40">
    <cfRule type="cellIs" dxfId="29" priority="39" operator="equal">
      <formula>"RSVD"</formula>
    </cfRule>
  </conditionalFormatting>
  <conditionalFormatting sqref="J41">
    <cfRule type="cellIs" dxfId="28" priority="38" operator="equal">
      <formula>"RSVD"</formula>
    </cfRule>
  </conditionalFormatting>
  <conditionalFormatting sqref="J44">
    <cfRule type="cellIs" dxfId="27" priority="37" operator="equal">
      <formula>"RSVD"</formula>
    </cfRule>
  </conditionalFormatting>
  <conditionalFormatting sqref="J72 N72">
    <cfRule type="cellIs" dxfId="26" priority="26" operator="equal">
      <formula>"RSVD"</formula>
    </cfRule>
  </conditionalFormatting>
  <conditionalFormatting sqref="J45:J47">
    <cfRule type="cellIs" dxfId="25" priority="36" operator="equal">
      <formula>"RSVD"</formula>
    </cfRule>
  </conditionalFormatting>
  <conditionalFormatting sqref="J50">
    <cfRule type="cellIs" dxfId="24" priority="35" operator="equal">
      <formula>"RSVD"</formula>
    </cfRule>
  </conditionalFormatting>
  <conditionalFormatting sqref="J51:J53">
    <cfRule type="cellIs" dxfId="23" priority="34" operator="equal">
      <formula>"RSVD"</formula>
    </cfRule>
  </conditionalFormatting>
  <conditionalFormatting sqref="J54 N54">
    <cfRule type="cellIs" dxfId="22" priority="33" operator="equal">
      <formula>"RSVD"</formula>
    </cfRule>
  </conditionalFormatting>
  <conditionalFormatting sqref="J78 N78">
    <cfRule type="cellIs" dxfId="21" priority="20" operator="equal">
      <formula>"RSVD"</formula>
    </cfRule>
  </conditionalFormatting>
  <conditionalFormatting sqref="J56">
    <cfRule type="cellIs" dxfId="20" priority="12" operator="equal">
      <formula>"RSVD"</formula>
    </cfRule>
  </conditionalFormatting>
  <conditionalFormatting sqref="J57:J59">
    <cfRule type="cellIs" dxfId="19" priority="11" operator="equal">
      <formula>"RSVD"</formula>
    </cfRule>
  </conditionalFormatting>
  <conditionalFormatting sqref="J62">
    <cfRule type="cellIs" dxfId="18" priority="9" operator="equal">
      <formula>"RSVD"</formula>
    </cfRule>
  </conditionalFormatting>
  <conditionalFormatting sqref="J63:J65">
    <cfRule type="cellIs" dxfId="17" priority="8" operator="equal">
      <formula>"RSVD"</formula>
    </cfRule>
  </conditionalFormatting>
  <conditionalFormatting sqref="J68">
    <cfRule type="cellIs" dxfId="16" priority="7" operator="equal">
      <formula>"RSVD"</formula>
    </cfRule>
  </conditionalFormatting>
  <conditionalFormatting sqref="J69:J71">
    <cfRule type="cellIs" dxfId="15" priority="6" operator="equal">
      <formula>"RSVD"</formula>
    </cfRule>
  </conditionalFormatting>
  <conditionalFormatting sqref="J74">
    <cfRule type="cellIs" dxfId="14" priority="5" operator="equal">
      <formula>"RSVD"</formula>
    </cfRule>
  </conditionalFormatting>
  <conditionalFormatting sqref="J75:J77">
    <cfRule type="cellIs" dxfId="13" priority="4" operator="equal">
      <formula>"RSVD"</formula>
    </cfRule>
  </conditionalFormatting>
  <conditionalFormatting sqref="J80">
    <cfRule type="cellIs" dxfId="12" priority="3" operator="equal">
      <formula>"RSVD"</formula>
    </cfRule>
  </conditionalFormatting>
  <conditionalFormatting sqref="J81:J83">
    <cfRule type="cellIs" dxfId="11" priority="2" operator="equal">
      <formula>"RSVD"</formula>
    </cfRule>
  </conditionalFormatting>
  <conditionalFormatting sqref="J35:Q35">
    <cfRule type="cellIs" dxfId="10" priority="1" operator="equal">
      <formula>"RSVD"</formula>
    </cfRule>
  </conditionalFormatting>
  <dataValidations count="3">
    <dataValidation type="list" showInputMessage="1" showErrorMessage="1" sqref="J42:M42" xr:uid="{C6C13682-B21F-4926-B321-7AD7E5F76734}">
      <formula1>flt_hf_ovdeb</formula1>
    </dataValidation>
    <dataValidation type="list" showInputMessage="1" showErrorMessage="1" sqref="N42:Q42" xr:uid="{E7B7A96C-AEDC-4AA9-BACB-094603285F53}">
      <formula1>flt_hf_uvdeb</formula1>
    </dataValidation>
    <dataValidation type="list" showInputMessage="1" showErrorMessage="1" sqref="J35:Q35" xr:uid="{71FA048B-0FC4-453C-A5D2-096EEE351D86}">
      <formula1>vin_ch_en</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74F1-EA5E-4366-A7D9-95C6B0C1FC64}">
  <sheetPr codeName="Sheet9"/>
  <dimension ref="A1:AL258"/>
  <sheetViews>
    <sheetView workbookViewId="0">
      <selection activeCell="H38" sqref="H38"/>
    </sheetView>
  </sheetViews>
  <sheetFormatPr defaultRowHeight="14.5" x14ac:dyDescent="0.35"/>
  <cols>
    <col min="1" max="1" width="12.26953125" bestFit="1" customWidth="1"/>
    <col min="2" max="2" width="20.1796875" bestFit="1" customWidth="1"/>
    <col min="4" max="4" width="15.26953125" customWidth="1"/>
    <col min="5" max="5" width="20.26953125" bestFit="1" customWidth="1"/>
    <col min="7" max="7" width="9.54296875" customWidth="1"/>
    <col min="8" max="8" width="15.453125" bestFit="1" customWidth="1"/>
    <col min="11" max="11" width="19" bestFit="1" customWidth="1"/>
    <col min="13" max="13" width="14.453125" bestFit="1" customWidth="1"/>
    <col min="14" max="14" width="18.1796875" bestFit="1" customWidth="1"/>
    <col min="17" max="17" width="20.81640625" bestFit="1" customWidth="1"/>
    <col min="18" max="18" width="6" bestFit="1" customWidth="1"/>
    <col min="21" max="21" width="15" bestFit="1" customWidth="1"/>
    <col min="23" max="23" width="13.54296875" bestFit="1" customWidth="1"/>
    <col min="24" max="24" width="19.54296875" bestFit="1" customWidth="1"/>
    <col min="26" max="26" width="13.54296875" bestFit="1" customWidth="1"/>
    <col min="27" max="27" width="18.81640625" bestFit="1" customWidth="1"/>
    <col min="29" max="29" width="11.26953125" bestFit="1" customWidth="1"/>
    <col min="30" max="30" width="17.81640625" bestFit="1" customWidth="1"/>
    <col min="32" max="32" width="12.54296875" bestFit="1" customWidth="1"/>
    <col min="33" max="33" width="20.26953125" bestFit="1" customWidth="1"/>
    <col min="35" max="35" width="5.453125" bestFit="1" customWidth="1"/>
    <col min="36" max="36" width="4" bestFit="1" customWidth="1"/>
    <col min="37" max="37" width="5.54296875" bestFit="1" customWidth="1"/>
    <col min="38" max="38" width="4" bestFit="1" customWidth="1"/>
  </cols>
  <sheetData>
    <row r="1" spans="1:38" ht="15" thickBot="1" x14ac:dyDescent="0.4"/>
    <row r="2" spans="1:38" ht="15" thickBot="1" x14ac:dyDescent="0.4">
      <c r="A2" s="317" t="s">
        <v>287</v>
      </c>
      <c r="B2" s="318"/>
      <c r="D2" s="317" t="s">
        <v>298</v>
      </c>
      <c r="E2" s="318"/>
      <c r="G2" s="11" t="s">
        <v>17</v>
      </c>
      <c r="H2" s="12"/>
      <c r="J2" s="3" t="s">
        <v>305</v>
      </c>
      <c r="K2" s="4"/>
      <c r="M2" s="317" t="s">
        <v>320</v>
      </c>
      <c r="N2" s="318"/>
      <c r="P2" s="319" t="s">
        <v>349</v>
      </c>
      <c r="Q2" s="324"/>
      <c r="R2" s="320"/>
      <c r="T2" s="317" t="s">
        <v>352</v>
      </c>
      <c r="U2" s="318"/>
      <c r="W2" s="317" t="s">
        <v>360</v>
      </c>
      <c r="X2" s="318"/>
      <c r="Z2" s="317" t="s">
        <v>384</v>
      </c>
      <c r="AA2" s="318"/>
      <c r="AC2" s="11" t="s">
        <v>24</v>
      </c>
      <c r="AD2" s="12"/>
      <c r="AF2" s="319" t="s">
        <v>401</v>
      </c>
      <c r="AG2" s="320"/>
      <c r="AI2" s="321" t="s">
        <v>27</v>
      </c>
      <c r="AJ2" s="322"/>
      <c r="AK2" s="322"/>
      <c r="AL2" s="323"/>
    </row>
    <row r="3" spans="1:38" x14ac:dyDescent="0.35">
      <c r="A3" s="3" t="s">
        <v>450</v>
      </c>
      <c r="B3" s="4" t="s">
        <v>451</v>
      </c>
      <c r="D3" s="3" t="s">
        <v>299</v>
      </c>
      <c r="E3" s="4" t="s">
        <v>301</v>
      </c>
      <c r="G3" s="3" t="s">
        <v>18</v>
      </c>
      <c r="H3" s="4" t="s">
        <v>19</v>
      </c>
      <c r="J3" s="3" t="s">
        <v>306</v>
      </c>
      <c r="K3" s="4" t="str">
        <f>_xlfn.CONCAT(J3," Int Disable")</f>
        <v>UVHF Int Disable</v>
      </c>
      <c r="M3" s="3" t="s">
        <v>285</v>
      </c>
      <c r="N3" s="4" t="s">
        <v>321</v>
      </c>
      <c r="P3" s="3" t="s">
        <v>350</v>
      </c>
      <c r="Q3" s="25" t="str">
        <f>CONCATENATE("OV Debounce ",R3," µs")</f>
        <v>OV Debounce 0.1 µs</v>
      </c>
      <c r="R3" s="4">
        <v>0.1</v>
      </c>
      <c r="T3" s="3" t="s">
        <v>353</v>
      </c>
      <c r="U3" s="4" t="s">
        <v>354</v>
      </c>
      <c r="W3" s="3" t="s">
        <v>361</v>
      </c>
      <c r="X3" s="4" t="s">
        <v>362</v>
      </c>
      <c r="Z3" s="3" t="s">
        <v>385</v>
      </c>
      <c r="AA3" s="4" t="s">
        <v>387</v>
      </c>
      <c r="AC3" s="3" t="s">
        <v>454</v>
      </c>
      <c r="AD3" s="4" t="s">
        <v>465</v>
      </c>
      <c r="AF3" s="3" t="s">
        <v>402</v>
      </c>
      <c r="AG3" s="4" t="s">
        <v>403</v>
      </c>
      <c r="AI3" s="5" t="s">
        <v>284</v>
      </c>
      <c r="AJ3" s="9">
        <v>0</v>
      </c>
      <c r="AK3" s="9" t="s">
        <v>28</v>
      </c>
      <c r="AL3" s="6">
        <f>HEX2DEC(RIGHT(AK3,2))</f>
        <v>0</v>
      </c>
    </row>
    <row r="4" spans="1:38" ht="15" thickBot="1" x14ac:dyDescent="0.4">
      <c r="A4" s="7"/>
      <c r="B4" s="8" t="s">
        <v>452</v>
      </c>
      <c r="D4" s="7"/>
      <c r="E4" s="8" t="s">
        <v>302</v>
      </c>
      <c r="G4" s="7"/>
      <c r="H4" s="8" t="s">
        <v>20</v>
      </c>
      <c r="J4" s="7"/>
      <c r="K4" s="8" t="str">
        <f>_xlfn.CONCAT(J3," Int Enable")</f>
        <v>UVHF Int Enable</v>
      </c>
      <c r="M4" s="7"/>
      <c r="N4" s="8" t="s">
        <v>322</v>
      </c>
      <c r="P4" s="5"/>
      <c r="Q4" s="9" t="str">
        <f t="shared" ref="Q4:Q18" si="0">CONCATENATE("OV Debounce ",R4," µs")</f>
        <v>OV Debounce 0.2 µs</v>
      </c>
      <c r="R4" s="6">
        <v>0.2</v>
      </c>
      <c r="T4" s="5"/>
      <c r="U4" s="6" t="s">
        <v>354</v>
      </c>
      <c r="W4" s="7"/>
      <c r="X4" s="8" t="s">
        <v>363</v>
      </c>
      <c r="Z4" s="7"/>
      <c r="AA4" s="8" t="s">
        <v>386</v>
      </c>
      <c r="AC4" s="7"/>
      <c r="AD4" s="8" t="s">
        <v>466</v>
      </c>
      <c r="AF4" s="5"/>
      <c r="AG4" s="6" t="s">
        <v>404</v>
      </c>
      <c r="AI4" s="5"/>
      <c r="AJ4" s="9">
        <v>1</v>
      </c>
      <c r="AK4" s="9" t="s">
        <v>29</v>
      </c>
      <c r="AL4" s="6">
        <f t="shared" ref="AL4:AL67" si="1">HEX2DEC(RIGHT(AK4,2))</f>
        <v>7</v>
      </c>
    </row>
    <row r="5" spans="1:38" ht="15" thickBot="1" x14ac:dyDescent="0.4">
      <c r="A5" s="5" t="s">
        <v>288</v>
      </c>
      <c r="B5" s="6" t="s">
        <v>289</v>
      </c>
      <c r="D5" s="3" t="s">
        <v>300</v>
      </c>
      <c r="E5" s="4" t="s">
        <v>303</v>
      </c>
      <c r="G5" s="3" t="s">
        <v>21</v>
      </c>
      <c r="H5" s="4" t="s">
        <v>22</v>
      </c>
      <c r="J5" s="3" t="s">
        <v>307</v>
      </c>
      <c r="K5" s="4" t="str">
        <f>_xlfn.CONCAT(J5," Int Disable")</f>
        <v>UVLF Int Disable</v>
      </c>
      <c r="M5" s="5" t="s">
        <v>286</v>
      </c>
      <c r="N5" s="6" t="s">
        <v>323</v>
      </c>
      <c r="P5" s="5"/>
      <c r="Q5" s="9" t="str">
        <f t="shared" si="0"/>
        <v>OV Debounce 0.4 µs</v>
      </c>
      <c r="R5" s="6">
        <v>0.4</v>
      </c>
      <c r="T5" s="5"/>
      <c r="U5" s="6" t="s">
        <v>355</v>
      </c>
      <c r="W5" s="3" t="s">
        <v>364</v>
      </c>
      <c r="X5" s="4" t="s">
        <v>365</v>
      </c>
      <c r="AC5" s="3" t="s">
        <v>463</v>
      </c>
      <c r="AD5" s="4" t="s">
        <v>467</v>
      </c>
      <c r="AF5" s="5"/>
      <c r="AG5" s="6" t="s">
        <v>405</v>
      </c>
      <c r="AI5" s="5"/>
      <c r="AJ5" s="9">
        <v>2</v>
      </c>
      <c r="AK5" s="9" t="s">
        <v>30</v>
      </c>
      <c r="AL5" s="6">
        <f t="shared" si="1"/>
        <v>14</v>
      </c>
    </row>
    <row r="6" spans="1:38" ht="15" thickBot="1" x14ac:dyDescent="0.4">
      <c r="A6" s="7"/>
      <c r="B6" s="8" t="s">
        <v>290</v>
      </c>
      <c r="D6" s="7"/>
      <c r="E6" s="8" t="s">
        <v>304</v>
      </c>
      <c r="G6" s="7"/>
      <c r="H6" s="8" t="s">
        <v>23</v>
      </c>
      <c r="J6" s="7"/>
      <c r="K6" s="8" t="str">
        <f>_xlfn.CONCAT(J5," Int Enable")</f>
        <v>UVLF Int Enable</v>
      </c>
      <c r="M6" s="7"/>
      <c r="N6" s="8" t="s">
        <v>324</v>
      </c>
      <c r="P6" s="5"/>
      <c r="Q6" s="9" t="str">
        <f t="shared" si="0"/>
        <v>OV Debounce 0.8 µs</v>
      </c>
      <c r="R6" s="6">
        <v>0.8</v>
      </c>
      <c r="T6" s="5"/>
      <c r="U6" s="6" t="s">
        <v>356</v>
      </c>
      <c r="W6" s="5"/>
      <c r="X6" s="6" t="s">
        <v>366</v>
      </c>
      <c r="Z6" s="317" t="s">
        <v>390</v>
      </c>
      <c r="AA6" s="318"/>
      <c r="AC6" s="7"/>
      <c r="AD6" s="8" t="s">
        <v>468</v>
      </c>
      <c r="AF6" s="5"/>
      <c r="AG6" s="6" t="s">
        <v>406</v>
      </c>
      <c r="AI6" s="5"/>
      <c r="AJ6" s="9">
        <v>3</v>
      </c>
      <c r="AK6" s="9" t="s">
        <v>31</v>
      </c>
      <c r="AL6" s="6">
        <f t="shared" si="1"/>
        <v>9</v>
      </c>
    </row>
    <row r="7" spans="1:38" x14ac:dyDescent="0.35">
      <c r="A7" s="3" t="s">
        <v>446</v>
      </c>
      <c r="B7" s="4" t="s">
        <v>291</v>
      </c>
      <c r="D7" s="3" t="s">
        <v>11</v>
      </c>
      <c r="E7" s="4" t="s">
        <v>12</v>
      </c>
      <c r="J7" s="3" t="s">
        <v>308</v>
      </c>
      <c r="K7" s="4" t="str">
        <f>_xlfn.CONCAT(J7," Int Disable")</f>
        <v>OVHF Int Disable</v>
      </c>
      <c r="P7" s="5"/>
      <c r="Q7" s="9" t="str">
        <f t="shared" si="0"/>
        <v>OV Debounce 1.6 µs</v>
      </c>
      <c r="R7" s="6">
        <v>1.6</v>
      </c>
      <c r="T7" s="5"/>
      <c r="U7" s="6" t="s">
        <v>357</v>
      </c>
      <c r="W7" s="5"/>
      <c r="X7" s="6" t="s">
        <v>367</v>
      </c>
      <c r="Z7" s="3" t="s">
        <v>391</v>
      </c>
      <c r="AA7" s="4" t="s">
        <v>388</v>
      </c>
      <c r="AC7" s="3" t="s">
        <v>455</v>
      </c>
      <c r="AD7" s="4" t="s">
        <v>469</v>
      </c>
      <c r="AF7" s="5"/>
      <c r="AG7" s="6" t="s">
        <v>399</v>
      </c>
      <c r="AI7" s="5"/>
      <c r="AJ7" s="9">
        <v>4</v>
      </c>
      <c r="AK7" s="9" t="s">
        <v>32</v>
      </c>
      <c r="AL7" s="6">
        <f t="shared" si="1"/>
        <v>28</v>
      </c>
    </row>
    <row r="8" spans="1:38" ht="15" thickBot="1" x14ac:dyDescent="0.4">
      <c r="A8" s="7"/>
      <c r="B8" s="8" t="s">
        <v>447</v>
      </c>
      <c r="D8" s="7"/>
      <c r="E8" s="8" t="s">
        <v>13</v>
      </c>
      <c r="J8" s="7"/>
      <c r="K8" s="8" t="str">
        <f>_xlfn.CONCAT(J7," Int Enable")</f>
        <v>OVHF Int Enable</v>
      </c>
      <c r="P8" s="5"/>
      <c r="Q8" s="9" t="str">
        <f t="shared" si="0"/>
        <v>OV Debounce 3.2 µs</v>
      </c>
      <c r="R8" s="6">
        <v>3.2</v>
      </c>
      <c r="T8" s="5"/>
      <c r="U8" s="6" t="s">
        <v>358</v>
      </c>
      <c r="W8" s="7"/>
      <c r="X8" s="8" t="s">
        <v>368</v>
      </c>
      <c r="Z8" s="7"/>
      <c r="AA8" s="8" t="s">
        <v>389</v>
      </c>
      <c r="AC8" s="7"/>
      <c r="AD8" s="8" t="s">
        <v>470</v>
      </c>
      <c r="AF8" s="5"/>
      <c r="AG8" s="6" t="s">
        <v>407</v>
      </c>
      <c r="AI8" s="5"/>
      <c r="AJ8" s="9">
        <v>5</v>
      </c>
      <c r="AK8" s="9" t="s">
        <v>33</v>
      </c>
      <c r="AL8" s="6">
        <f t="shared" si="1"/>
        <v>27</v>
      </c>
    </row>
    <row r="9" spans="1:38" ht="15" thickBot="1" x14ac:dyDescent="0.4">
      <c r="A9" s="3" t="s">
        <v>292</v>
      </c>
      <c r="B9" s="4" t="s">
        <v>294</v>
      </c>
      <c r="D9" s="3" t="s">
        <v>14</v>
      </c>
      <c r="E9" s="4" t="s">
        <v>15</v>
      </c>
      <c r="J9" s="3" t="s">
        <v>309</v>
      </c>
      <c r="K9" s="4" t="str">
        <f>_xlfn.CONCAT(J9," Int Disable")</f>
        <v>OVLF Int Disable</v>
      </c>
      <c r="P9" s="5"/>
      <c r="Q9" s="9" t="str">
        <f t="shared" si="0"/>
        <v>OV Debounce 6.4 µs</v>
      </c>
      <c r="R9" s="6">
        <v>6.4</v>
      </c>
      <c r="T9" s="5"/>
      <c r="U9" s="6" t="s">
        <v>359</v>
      </c>
      <c r="W9" s="3" t="s">
        <v>369</v>
      </c>
      <c r="X9" s="4" t="s">
        <v>375</v>
      </c>
      <c r="AC9" s="3" t="s">
        <v>456</v>
      </c>
      <c r="AD9" s="4" t="s">
        <v>471</v>
      </c>
      <c r="AF9" s="5"/>
      <c r="AG9" s="6" t="s">
        <v>408</v>
      </c>
      <c r="AI9" s="5"/>
      <c r="AJ9" s="9">
        <v>6</v>
      </c>
      <c r="AK9" s="9" t="s">
        <v>34</v>
      </c>
      <c r="AL9" s="6">
        <f t="shared" si="1"/>
        <v>18</v>
      </c>
    </row>
    <row r="10" spans="1:38" ht="15" thickBot="1" x14ac:dyDescent="0.4">
      <c r="A10" s="7"/>
      <c r="B10" s="8" t="s">
        <v>293</v>
      </c>
      <c r="D10" s="7"/>
      <c r="E10" s="8" t="s">
        <v>16</v>
      </c>
      <c r="J10" s="7"/>
      <c r="K10" s="8" t="str">
        <f>_xlfn.CONCAT(J9," Int Enable")</f>
        <v>OVLF Int Enable</v>
      </c>
      <c r="P10" s="5"/>
      <c r="Q10" s="9" t="str">
        <f t="shared" si="0"/>
        <v>OV Debounce 12.8 µs</v>
      </c>
      <c r="R10" s="6">
        <v>12.8</v>
      </c>
      <c r="T10" s="7"/>
      <c r="U10" s="8" t="s">
        <v>354</v>
      </c>
      <c r="W10" s="7"/>
      <c r="X10" s="8" t="s">
        <v>370</v>
      </c>
      <c r="Z10" s="3" t="s">
        <v>393</v>
      </c>
      <c r="AA10" s="4"/>
      <c r="AC10" s="7"/>
      <c r="AD10" s="8" t="s">
        <v>472</v>
      </c>
      <c r="AF10" s="5"/>
      <c r="AG10" s="6" t="s">
        <v>409</v>
      </c>
      <c r="AI10" s="5"/>
      <c r="AJ10" s="9">
        <v>7</v>
      </c>
      <c r="AK10" s="9" t="s">
        <v>35</v>
      </c>
      <c r="AL10" s="6">
        <f t="shared" si="1"/>
        <v>21</v>
      </c>
    </row>
    <row r="11" spans="1:38" x14ac:dyDescent="0.35">
      <c r="A11" s="3" t="s">
        <v>295</v>
      </c>
      <c r="B11" s="4" t="s">
        <v>296</v>
      </c>
      <c r="J11" s="3" t="s">
        <v>310</v>
      </c>
      <c r="K11" s="4" t="str">
        <f>_xlfn.CONCAT(J11," Int Disable")</f>
        <v>SEQ_ON Int Disable</v>
      </c>
      <c r="P11" s="5"/>
      <c r="Q11" s="9" t="str">
        <f t="shared" si="0"/>
        <v>OV Debounce 25.6 µs</v>
      </c>
      <c r="R11" s="6">
        <v>25.6</v>
      </c>
      <c r="W11" s="3" t="s">
        <v>371</v>
      </c>
      <c r="X11" s="4" t="s">
        <v>376</v>
      </c>
      <c r="Z11" s="3" t="s">
        <v>392</v>
      </c>
      <c r="AA11" s="4" t="s">
        <v>394</v>
      </c>
      <c r="AC11" s="3" t="s">
        <v>464</v>
      </c>
      <c r="AD11" s="4" t="s">
        <v>473</v>
      </c>
      <c r="AF11" s="5"/>
      <c r="AG11" s="6" t="s">
        <v>410</v>
      </c>
      <c r="AI11" s="5"/>
      <c r="AJ11" s="9">
        <v>8</v>
      </c>
      <c r="AK11" s="9" t="s">
        <v>36</v>
      </c>
      <c r="AL11" s="6">
        <f t="shared" si="1"/>
        <v>56</v>
      </c>
    </row>
    <row r="12" spans="1:38" ht="15" thickBot="1" x14ac:dyDescent="0.4">
      <c r="A12" s="7"/>
      <c r="B12" s="8" t="s">
        <v>448</v>
      </c>
      <c r="J12" s="7"/>
      <c r="K12" s="8" t="str">
        <f>_xlfn.CONCAT(J11," Int Enable")</f>
        <v>SEQ_ON Int Enable</v>
      </c>
      <c r="P12" s="5"/>
      <c r="Q12" s="9" t="str">
        <f t="shared" si="0"/>
        <v>OV Debounce 51.2 µs</v>
      </c>
      <c r="R12" s="6">
        <v>51.2</v>
      </c>
      <c r="W12" s="7"/>
      <c r="X12" s="8" t="s">
        <v>377</v>
      </c>
      <c r="Z12" s="7"/>
      <c r="AA12" s="8" t="s">
        <v>395</v>
      </c>
      <c r="AC12" s="7"/>
      <c r="AD12" s="8" t="s">
        <v>474</v>
      </c>
      <c r="AF12" s="5"/>
      <c r="AG12" s="6" t="s">
        <v>411</v>
      </c>
      <c r="AI12" s="5"/>
      <c r="AJ12" s="9">
        <v>9</v>
      </c>
      <c r="AK12" s="9" t="s">
        <v>37</v>
      </c>
      <c r="AL12" s="6">
        <f t="shared" si="1"/>
        <v>63</v>
      </c>
    </row>
    <row r="13" spans="1:38" x14ac:dyDescent="0.35">
      <c r="A13" s="3" t="s">
        <v>297</v>
      </c>
      <c r="B13" s="4" t="s">
        <v>10</v>
      </c>
      <c r="J13" s="3" t="s">
        <v>311</v>
      </c>
      <c r="K13" s="4" t="str">
        <f>_xlfn.CONCAT(J13," Int Disable")</f>
        <v>SEQ_OFF Int Disable</v>
      </c>
      <c r="P13" s="5"/>
      <c r="Q13" s="9" t="str">
        <f t="shared" si="0"/>
        <v>OV Debounce 102.4 µs</v>
      </c>
      <c r="R13" s="6">
        <v>102.4</v>
      </c>
      <c r="W13" s="3" t="s">
        <v>372</v>
      </c>
      <c r="X13" s="4" t="s">
        <v>378</v>
      </c>
      <c r="AC13" s="3" t="s">
        <v>364</v>
      </c>
      <c r="AD13" s="4" t="s">
        <v>475</v>
      </c>
      <c r="AF13" s="5"/>
      <c r="AG13" s="6" t="s">
        <v>412</v>
      </c>
      <c r="AI13" s="5"/>
      <c r="AJ13" s="9">
        <v>10</v>
      </c>
      <c r="AK13" s="9" t="s">
        <v>38</v>
      </c>
      <c r="AL13" s="6">
        <f t="shared" si="1"/>
        <v>54</v>
      </c>
    </row>
    <row r="14" spans="1:38" ht="15" thickBot="1" x14ac:dyDescent="0.4">
      <c r="A14" s="7"/>
      <c r="B14" s="8" t="s">
        <v>449</v>
      </c>
      <c r="J14" s="7"/>
      <c r="K14" s="8" t="str">
        <f>_xlfn.CONCAT(J13," Int Enable")</f>
        <v>SEQ_OFF Int Enable</v>
      </c>
      <c r="P14" s="5"/>
      <c r="Q14" s="9" t="str">
        <f t="shared" si="0"/>
        <v>OV Debounce 102.4 µs</v>
      </c>
      <c r="R14" s="6">
        <v>102.4</v>
      </c>
      <c r="W14" s="7"/>
      <c r="X14" s="8" t="s">
        <v>379</v>
      </c>
      <c r="AC14" s="7"/>
      <c r="AD14" s="8" t="s">
        <v>476</v>
      </c>
      <c r="AF14" s="5"/>
      <c r="AG14" s="6" t="s">
        <v>413</v>
      </c>
      <c r="AI14" s="5"/>
      <c r="AJ14" s="9">
        <v>11</v>
      </c>
      <c r="AK14" s="9" t="s">
        <v>39</v>
      </c>
      <c r="AL14" s="6">
        <f t="shared" si="1"/>
        <v>49</v>
      </c>
    </row>
    <row r="15" spans="1:38" ht="15" thickBot="1" x14ac:dyDescent="0.4">
      <c r="D15" s="112" t="s">
        <v>509</v>
      </c>
      <c r="E15" s="191" t="s">
        <v>535</v>
      </c>
      <c r="J15" s="3" t="s">
        <v>312</v>
      </c>
      <c r="K15" s="4" t="str">
        <f>_xlfn.CONCAT(J15," Int Disable")</f>
        <v>SEQ_EXS Int Disable</v>
      </c>
      <c r="P15" s="5"/>
      <c r="Q15" s="9" t="str">
        <f t="shared" si="0"/>
        <v>OV Debounce 102.4 µs</v>
      </c>
      <c r="R15" s="6">
        <v>102.4</v>
      </c>
      <c r="W15" s="3" t="s">
        <v>373</v>
      </c>
      <c r="X15" s="4" t="s">
        <v>380</v>
      </c>
      <c r="AC15" s="3" t="s">
        <v>396</v>
      </c>
      <c r="AD15" s="26" t="s">
        <v>397</v>
      </c>
      <c r="AF15" s="5"/>
      <c r="AG15" s="6" t="s">
        <v>414</v>
      </c>
      <c r="AI15" s="5"/>
      <c r="AJ15" s="9">
        <v>12</v>
      </c>
      <c r="AK15" s="9" t="s">
        <v>40</v>
      </c>
      <c r="AL15" s="6">
        <f t="shared" si="1"/>
        <v>36</v>
      </c>
    </row>
    <row r="16" spans="1:38" ht="15" thickBot="1" x14ac:dyDescent="0.4">
      <c r="A16" s="3" t="s">
        <v>434</v>
      </c>
      <c r="B16" s="4"/>
      <c r="D16" s="111" t="s">
        <v>477</v>
      </c>
      <c r="E16" s="190" t="s">
        <v>321</v>
      </c>
      <c r="J16" s="7"/>
      <c r="K16" s="8" t="str">
        <f>_xlfn.CONCAT(J15," Int Enable")</f>
        <v>SEQ_EXS Int Enable</v>
      </c>
      <c r="P16" s="5"/>
      <c r="Q16" s="9" t="str">
        <f t="shared" si="0"/>
        <v>OV Debounce 102.4 µs</v>
      </c>
      <c r="R16" s="6">
        <v>102.4</v>
      </c>
      <c r="W16" s="7"/>
      <c r="X16" s="8" t="s">
        <v>381</v>
      </c>
      <c r="AC16" s="7"/>
      <c r="AD16" s="27" t="s">
        <v>398</v>
      </c>
      <c r="AF16" s="5"/>
      <c r="AG16" s="6" t="s">
        <v>415</v>
      </c>
      <c r="AI16" s="5"/>
      <c r="AJ16" s="9">
        <v>13</v>
      </c>
      <c r="AK16" s="9" t="s">
        <v>41</v>
      </c>
      <c r="AL16" s="6">
        <f t="shared" si="1"/>
        <v>35</v>
      </c>
    </row>
    <row r="17" spans="1:38" x14ac:dyDescent="0.35">
      <c r="A17" s="3" t="s">
        <v>435</v>
      </c>
      <c r="B17" s="4" t="s">
        <v>436</v>
      </c>
      <c r="D17" s="111" t="s">
        <v>478</v>
      </c>
      <c r="E17" s="192" t="s">
        <v>322</v>
      </c>
      <c r="J17" s="3" t="s">
        <v>313</v>
      </c>
      <c r="K17" s="4" t="str">
        <f>_xlfn.CONCAT(J17," Int Disable")</f>
        <v>SEQ_ENS Int Disable</v>
      </c>
      <c r="P17" s="5"/>
      <c r="Q17" s="9" t="str">
        <f t="shared" si="0"/>
        <v>OV Debounce 102.4 µs</v>
      </c>
      <c r="R17" s="6">
        <v>102.4</v>
      </c>
      <c r="W17" s="3" t="s">
        <v>374</v>
      </c>
      <c r="X17" s="4" t="s">
        <v>382</v>
      </c>
      <c r="AF17" s="5"/>
      <c r="AG17" s="6" t="s">
        <v>416</v>
      </c>
      <c r="AI17" s="5"/>
      <c r="AJ17" s="9">
        <v>14</v>
      </c>
      <c r="AK17" s="9" t="s">
        <v>42</v>
      </c>
      <c r="AL17" s="6">
        <f t="shared" si="1"/>
        <v>42</v>
      </c>
    </row>
    <row r="18" spans="1:38" ht="15" thickBot="1" x14ac:dyDescent="0.4">
      <c r="A18" s="5"/>
      <c r="B18" s="6" t="s">
        <v>430</v>
      </c>
      <c r="D18" s="111" t="s">
        <v>479</v>
      </c>
      <c r="E18" s="110"/>
      <c r="J18" s="7"/>
      <c r="K18" s="8" t="str">
        <f>_xlfn.CONCAT(J17," Int Enable")</f>
        <v>SEQ_ENS Int Enable</v>
      </c>
      <c r="P18" s="7"/>
      <c r="Q18" s="10" t="str">
        <f t="shared" si="0"/>
        <v>OV Debounce 102.4 µs</v>
      </c>
      <c r="R18" s="8">
        <v>102.4</v>
      </c>
      <c r="W18" s="7"/>
      <c r="X18" s="8" t="s">
        <v>383</v>
      </c>
      <c r="AF18" s="7"/>
      <c r="AG18" s="8" t="s">
        <v>417</v>
      </c>
      <c r="AI18" s="5"/>
      <c r="AJ18" s="9">
        <v>15</v>
      </c>
      <c r="AK18" s="9" t="s">
        <v>43</v>
      </c>
      <c r="AL18" s="6">
        <f t="shared" si="1"/>
        <v>45</v>
      </c>
    </row>
    <row r="19" spans="1:38" x14ac:dyDescent="0.35">
      <c r="A19" s="5"/>
      <c r="B19" s="6" t="s">
        <v>437</v>
      </c>
      <c r="D19" s="111" t="s">
        <v>480</v>
      </c>
      <c r="E19" s="110"/>
      <c r="J19" s="3" t="s">
        <v>314</v>
      </c>
      <c r="K19" s="4" t="str">
        <f>_xlfn.CONCAT(J19," Int Disable")</f>
        <v>RT_CRC Int Disable</v>
      </c>
      <c r="P19" s="3" t="s">
        <v>351</v>
      </c>
      <c r="Q19" s="25" t="str">
        <f t="shared" ref="Q19:Q34" si="2">CONCATENATE("UV Debounce ",R19," µs")</f>
        <v>UV Debounce 0.1 µs</v>
      </c>
      <c r="R19" s="4">
        <v>0.1</v>
      </c>
      <c r="AF19" s="3" t="s">
        <v>418</v>
      </c>
      <c r="AG19" s="4" t="s">
        <v>400</v>
      </c>
      <c r="AI19" s="5"/>
      <c r="AJ19" s="9">
        <v>16</v>
      </c>
      <c r="AK19" s="9" t="s">
        <v>44</v>
      </c>
      <c r="AL19" s="6">
        <f t="shared" si="1"/>
        <v>112</v>
      </c>
    </row>
    <row r="20" spans="1:38" ht="15" thickBot="1" x14ac:dyDescent="0.4">
      <c r="A20" s="5"/>
      <c r="B20" s="6" t="s">
        <v>438</v>
      </c>
      <c r="D20" s="111" t="s">
        <v>481</v>
      </c>
      <c r="E20" s="110"/>
      <c r="J20" s="7"/>
      <c r="K20" s="8" t="str">
        <f>_xlfn.CONCAT(J19," Int Enable")</f>
        <v>RT_CRC Int Enable</v>
      </c>
      <c r="P20" s="5"/>
      <c r="Q20" s="9" t="str">
        <f t="shared" si="2"/>
        <v>UV Debounce 0.2 µs</v>
      </c>
      <c r="R20" s="6">
        <v>0.2</v>
      </c>
      <c r="AF20" s="5"/>
      <c r="AG20" s="6" t="s">
        <v>419</v>
      </c>
      <c r="AI20" s="5"/>
      <c r="AJ20" s="9">
        <v>17</v>
      </c>
      <c r="AK20" s="9" t="s">
        <v>45</v>
      </c>
      <c r="AL20" s="6">
        <f t="shared" si="1"/>
        <v>119</v>
      </c>
    </row>
    <row r="21" spans="1:38" ht="15" thickBot="1" x14ac:dyDescent="0.4">
      <c r="A21" s="7"/>
      <c r="B21" s="8" t="s">
        <v>436</v>
      </c>
      <c r="D21" s="113" t="s">
        <v>482</v>
      </c>
      <c r="E21" s="110"/>
      <c r="J21" s="3" t="s">
        <v>315</v>
      </c>
      <c r="K21" s="4" t="str">
        <f>_xlfn.CONCAT(J21," Int Disable")</f>
        <v>TSD Int Disable</v>
      </c>
      <c r="P21" s="5"/>
      <c r="Q21" s="9" t="str">
        <f t="shared" si="2"/>
        <v>UV Debounce 0.4 µs</v>
      </c>
      <c r="R21" s="6">
        <v>0.4</v>
      </c>
      <c r="AF21" s="5"/>
      <c r="AG21" s="6" t="s">
        <v>420</v>
      </c>
      <c r="AI21" s="5"/>
      <c r="AJ21" s="9">
        <v>18</v>
      </c>
      <c r="AK21" s="9" t="s">
        <v>46</v>
      </c>
      <c r="AL21" s="6">
        <f t="shared" si="1"/>
        <v>126</v>
      </c>
    </row>
    <row r="22" spans="1:38" ht="15" thickBot="1" x14ac:dyDescent="0.4">
      <c r="A22" s="3" t="s">
        <v>439</v>
      </c>
      <c r="B22" s="4" t="s">
        <v>440</v>
      </c>
      <c r="D22" s="113" t="s">
        <v>483</v>
      </c>
      <c r="J22" s="7"/>
      <c r="K22" s="8" t="str">
        <f>_xlfn.CONCAT(J21," Int Enable")</f>
        <v>TSD Int Enable</v>
      </c>
      <c r="P22" s="5"/>
      <c r="Q22" s="9" t="str">
        <f t="shared" si="2"/>
        <v>UV Debounce 0.8 µs</v>
      </c>
      <c r="R22" s="6">
        <v>0.8</v>
      </c>
      <c r="AF22" s="5"/>
      <c r="AG22" s="6" t="s">
        <v>421</v>
      </c>
      <c r="AI22" s="5"/>
      <c r="AJ22" s="9">
        <v>19</v>
      </c>
      <c r="AK22" s="9" t="s">
        <v>47</v>
      </c>
      <c r="AL22" s="6">
        <f t="shared" si="1"/>
        <v>121</v>
      </c>
    </row>
    <row r="23" spans="1:38" x14ac:dyDescent="0.35">
      <c r="A23" s="5"/>
      <c r="B23" s="6" t="s">
        <v>431</v>
      </c>
      <c r="D23" s="113" t="s">
        <v>484</v>
      </c>
      <c r="J23" s="3" t="s">
        <v>316</v>
      </c>
      <c r="K23" s="4" t="str">
        <f>_xlfn.CONCAT(J23," Int Disable")</f>
        <v>SYNC Int Disable</v>
      </c>
      <c r="P23" s="5"/>
      <c r="Q23" s="9" t="str">
        <f t="shared" si="2"/>
        <v>UV Debounce 1.6 µs</v>
      </c>
      <c r="R23" s="6">
        <v>1.6</v>
      </c>
      <c r="AF23" s="5"/>
      <c r="AG23" s="6" t="s">
        <v>422</v>
      </c>
      <c r="AI23" s="5"/>
      <c r="AJ23" s="9">
        <v>20</v>
      </c>
      <c r="AK23" s="9" t="s">
        <v>48</v>
      </c>
      <c r="AL23" s="6">
        <f t="shared" si="1"/>
        <v>108</v>
      </c>
    </row>
    <row r="24" spans="1:38" ht="15" thickBot="1" x14ac:dyDescent="0.4">
      <c r="A24" s="7"/>
      <c r="B24" s="8" t="s">
        <v>441</v>
      </c>
      <c r="J24" s="7"/>
      <c r="K24" s="8" t="str">
        <f>_xlfn.CONCAT(J23," Int Enable")</f>
        <v>SYNC Int Enable</v>
      </c>
      <c r="P24" s="5"/>
      <c r="Q24" s="9" t="str">
        <f t="shared" si="2"/>
        <v>UV Debounce 3.2 µs</v>
      </c>
      <c r="R24" s="6">
        <v>3.2</v>
      </c>
      <c r="AF24" s="5"/>
      <c r="AG24" s="6" t="s">
        <v>423</v>
      </c>
      <c r="AI24" s="5"/>
      <c r="AJ24" s="9">
        <v>21</v>
      </c>
      <c r="AK24" s="9" t="s">
        <v>49</v>
      </c>
      <c r="AL24" s="6">
        <f t="shared" si="1"/>
        <v>107</v>
      </c>
    </row>
    <row r="25" spans="1:38" x14ac:dyDescent="0.35">
      <c r="J25" s="3" t="s">
        <v>26</v>
      </c>
      <c r="K25" s="4" t="str">
        <f>_xlfn.CONCAT(J25," Int Disable")</f>
        <v>PEC Int Disable</v>
      </c>
      <c r="P25" s="5"/>
      <c r="Q25" s="9" t="str">
        <f t="shared" si="2"/>
        <v>UV Debounce 6.4 µs</v>
      </c>
      <c r="R25" s="6">
        <v>6.4</v>
      </c>
      <c r="AF25" s="5"/>
      <c r="AG25" s="6" t="s">
        <v>424</v>
      </c>
      <c r="AI25" s="5"/>
      <c r="AJ25" s="9">
        <v>22</v>
      </c>
      <c r="AK25" s="9" t="s">
        <v>50</v>
      </c>
      <c r="AL25" s="6">
        <f t="shared" si="1"/>
        <v>98</v>
      </c>
    </row>
    <row r="26" spans="1:38" ht="15" thickBot="1" x14ac:dyDescent="0.4">
      <c r="D26" s="28" t="s">
        <v>592</v>
      </c>
      <c r="J26" s="7"/>
      <c r="K26" s="8" t="str">
        <f>_xlfn.CONCAT(J25," Int Enable")</f>
        <v>PEC Int Enable</v>
      </c>
      <c r="P26" s="5"/>
      <c r="Q26" s="9" t="str">
        <f t="shared" si="2"/>
        <v>UV Debounce 12.8 µs</v>
      </c>
      <c r="R26" s="6">
        <v>12.8</v>
      </c>
      <c r="AF26" s="7"/>
      <c r="AG26" s="8" t="s">
        <v>425</v>
      </c>
      <c r="AI26" s="5"/>
      <c r="AJ26" s="9">
        <v>23</v>
      </c>
      <c r="AK26" s="9" t="s">
        <v>51</v>
      </c>
      <c r="AL26" s="6">
        <f t="shared" si="1"/>
        <v>101</v>
      </c>
    </row>
    <row r="27" spans="1:38" ht="15" thickBot="1" x14ac:dyDescent="0.4">
      <c r="A27" s="3" t="s">
        <v>432</v>
      </c>
      <c r="B27" s="4"/>
      <c r="D27" s="28" t="s">
        <v>591</v>
      </c>
      <c r="J27" s="3" t="s">
        <v>317</v>
      </c>
      <c r="K27" s="4" t="str">
        <f>_xlfn.CONCAT(J27," Int Disable")</f>
        <v>ECC_SEC Int Disable</v>
      </c>
      <c r="P27" s="5"/>
      <c r="Q27" s="9" t="str">
        <f t="shared" si="2"/>
        <v>UV Debounce 25.6 µs</v>
      </c>
      <c r="R27" s="6">
        <v>25.6</v>
      </c>
      <c r="AI27" s="5"/>
      <c r="AJ27" s="9">
        <v>24</v>
      </c>
      <c r="AK27" s="9" t="s">
        <v>52</v>
      </c>
      <c r="AL27" s="6">
        <f t="shared" si="1"/>
        <v>72</v>
      </c>
    </row>
    <row r="28" spans="1:38" ht="15" thickBot="1" x14ac:dyDescent="0.4">
      <c r="A28" s="3" t="s">
        <v>442</v>
      </c>
      <c r="B28" s="4" t="s">
        <v>433</v>
      </c>
      <c r="D28" t="s">
        <v>590</v>
      </c>
      <c r="J28" s="7"/>
      <c r="K28" s="8" t="str">
        <f>_xlfn.CONCAT(J27," Int Enable")</f>
        <v>ECC_SEC Int Enable</v>
      </c>
      <c r="P28" s="5"/>
      <c r="Q28" s="9" t="str">
        <f t="shared" si="2"/>
        <v>UV Debounce 51.2 µs</v>
      </c>
      <c r="R28" s="6">
        <v>51.2</v>
      </c>
      <c r="AF28" s="317" t="s">
        <v>426</v>
      </c>
      <c r="AG28" s="318"/>
      <c r="AI28" s="5"/>
      <c r="AJ28" s="9">
        <v>25</v>
      </c>
      <c r="AK28" s="9" t="s">
        <v>53</v>
      </c>
      <c r="AL28" s="6">
        <f t="shared" si="1"/>
        <v>79</v>
      </c>
    </row>
    <row r="29" spans="1:38" x14ac:dyDescent="0.35">
      <c r="A29" s="5"/>
      <c r="B29" s="6" t="s">
        <v>443</v>
      </c>
      <c r="J29" s="3" t="s">
        <v>318</v>
      </c>
      <c r="K29" s="4" t="str">
        <f>_xlfn.CONCAT(J29," Int Disable")</f>
        <v>BIST_C Int Disable</v>
      </c>
      <c r="P29" s="5"/>
      <c r="Q29" s="9" t="str">
        <f t="shared" si="2"/>
        <v>UV Debounce 102.4 µs</v>
      </c>
      <c r="R29" s="6">
        <v>102.4</v>
      </c>
      <c r="AF29" s="3" t="s">
        <v>427</v>
      </c>
      <c r="AG29" s="4" t="s">
        <v>428</v>
      </c>
      <c r="AI29" s="5"/>
      <c r="AJ29" s="9">
        <v>26</v>
      </c>
      <c r="AK29" s="9" t="s">
        <v>54</v>
      </c>
      <c r="AL29" s="6">
        <f t="shared" si="1"/>
        <v>70</v>
      </c>
    </row>
    <row r="30" spans="1:38" ht="15" thickBot="1" x14ac:dyDescent="0.4">
      <c r="A30" s="5"/>
      <c r="B30" s="6" t="s">
        <v>444</v>
      </c>
      <c r="J30" s="7"/>
      <c r="K30" s="8" t="str">
        <f>_xlfn.CONCAT(J29," Int Enable")</f>
        <v>BIST_C Int Enable</v>
      </c>
      <c r="P30" s="5"/>
      <c r="Q30" s="9" t="str">
        <f t="shared" si="2"/>
        <v>UV Debounce 102.4 µs</v>
      </c>
      <c r="R30" s="6">
        <v>102.4</v>
      </c>
      <c r="AF30" s="7"/>
      <c r="AG30" s="8" t="s">
        <v>429</v>
      </c>
      <c r="AI30" s="5"/>
      <c r="AJ30" s="9">
        <v>27</v>
      </c>
      <c r="AK30" s="9" t="s">
        <v>55</v>
      </c>
      <c r="AL30" s="6">
        <f t="shared" si="1"/>
        <v>65</v>
      </c>
    </row>
    <row r="31" spans="1:38" ht="15" thickBot="1" x14ac:dyDescent="0.4">
      <c r="A31" s="7"/>
      <c r="B31" s="8" t="s">
        <v>445</v>
      </c>
      <c r="J31" s="3" t="s">
        <v>319</v>
      </c>
      <c r="K31" s="4" t="str">
        <f>_xlfn.CONCAT(J31," Int Disable")</f>
        <v>BIST Int Disable</v>
      </c>
      <c r="P31" s="5"/>
      <c r="Q31" s="9" t="str">
        <f t="shared" si="2"/>
        <v>UV Debounce 102.4 µs</v>
      </c>
      <c r="R31" s="6">
        <v>102.4</v>
      </c>
      <c r="AI31" s="5"/>
      <c r="AJ31" s="9">
        <v>28</v>
      </c>
      <c r="AK31" s="9" t="s">
        <v>56</v>
      </c>
      <c r="AL31" s="6">
        <f t="shared" si="1"/>
        <v>84</v>
      </c>
    </row>
    <row r="32" spans="1:38" ht="15" thickBot="1" x14ac:dyDescent="0.4">
      <c r="J32" s="7"/>
      <c r="K32" s="8" t="str">
        <f>_xlfn.CONCAT(J31," Int Enable")</f>
        <v>BIST Int Enable</v>
      </c>
      <c r="P32" s="5"/>
      <c r="Q32" s="9" t="str">
        <f t="shared" si="2"/>
        <v>UV Debounce 102.4 µs</v>
      </c>
      <c r="R32" s="6">
        <v>102.4</v>
      </c>
      <c r="AI32" s="5"/>
      <c r="AJ32" s="9">
        <v>29</v>
      </c>
      <c r="AK32" s="9" t="s">
        <v>57</v>
      </c>
      <c r="AL32" s="6">
        <f t="shared" si="1"/>
        <v>83</v>
      </c>
    </row>
    <row r="33" spans="16:38" x14ac:dyDescent="0.35">
      <c r="P33" s="5"/>
      <c r="Q33" s="9" t="str">
        <f t="shared" si="2"/>
        <v>UV Debounce 102.4 µs</v>
      </c>
      <c r="R33" s="6">
        <v>102.4</v>
      </c>
      <c r="AI33" s="5"/>
      <c r="AJ33" s="9">
        <v>30</v>
      </c>
      <c r="AK33" s="9" t="s">
        <v>58</v>
      </c>
      <c r="AL33" s="6">
        <f t="shared" si="1"/>
        <v>90</v>
      </c>
    </row>
    <row r="34" spans="16:38" ht="15" thickBot="1" x14ac:dyDescent="0.4">
      <c r="P34" s="7"/>
      <c r="Q34" s="10" t="str">
        <f t="shared" si="2"/>
        <v>UV Debounce 102.4 µs</v>
      </c>
      <c r="R34" s="8">
        <v>102.4</v>
      </c>
      <c r="AI34" s="5"/>
      <c r="AJ34" s="9">
        <v>31</v>
      </c>
      <c r="AK34" s="9" t="s">
        <v>59</v>
      </c>
      <c r="AL34" s="6">
        <f t="shared" si="1"/>
        <v>93</v>
      </c>
    </row>
    <row r="35" spans="16:38" x14ac:dyDescent="0.35">
      <c r="AI35" s="5"/>
      <c r="AJ35" s="9">
        <v>32</v>
      </c>
      <c r="AK35" s="9" t="s">
        <v>60</v>
      </c>
      <c r="AL35" s="6">
        <f t="shared" si="1"/>
        <v>224</v>
      </c>
    </row>
    <row r="36" spans="16:38" x14ac:dyDescent="0.35">
      <c r="AI36" s="5"/>
      <c r="AJ36" s="9">
        <v>33</v>
      </c>
      <c r="AK36" s="9" t="s">
        <v>61</v>
      </c>
      <c r="AL36" s="6">
        <f t="shared" si="1"/>
        <v>231</v>
      </c>
    </row>
    <row r="37" spans="16:38" x14ac:dyDescent="0.35">
      <c r="AI37" s="5"/>
      <c r="AJ37" s="9">
        <v>34</v>
      </c>
      <c r="AK37" s="9" t="s">
        <v>62</v>
      </c>
      <c r="AL37" s="6">
        <f t="shared" si="1"/>
        <v>238</v>
      </c>
    </row>
    <row r="38" spans="16:38" x14ac:dyDescent="0.35">
      <c r="AI38" s="5"/>
      <c r="AJ38" s="9">
        <v>35</v>
      </c>
      <c r="AK38" s="9" t="s">
        <v>63</v>
      </c>
      <c r="AL38" s="6">
        <f t="shared" si="1"/>
        <v>233</v>
      </c>
    </row>
    <row r="39" spans="16:38" x14ac:dyDescent="0.35">
      <c r="AI39" s="5"/>
      <c r="AJ39" s="9">
        <v>36</v>
      </c>
      <c r="AK39" s="9" t="s">
        <v>64</v>
      </c>
      <c r="AL39" s="6">
        <f t="shared" si="1"/>
        <v>252</v>
      </c>
    </row>
    <row r="40" spans="16:38" x14ac:dyDescent="0.35">
      <c r="AI40" s="5"/>
      <c r="AJ40" s="9">
        <v>37</v>
      </c>
      <c r="AK40" s="9" t="s">
        <v>65</v>
      </c>
      <c r="AL40" s="6">
        <f t="shared" si="1"/>
        <v>251</v>
      </c>
    </row>
    <row r="41" spans="16:38" x14ac:dyDescent="0.35">
      <c r="AI41" s="5"/>
      <c r="AJ41" s="9">
        <v>38</v>
      </c>
      <c r="AK41" s="9" t="s">
        <v>66</v>
      </c>
      <c r="AL41" s="6">
        <f t="shared" si="1"/>
        <v>242</v>
      </c>
    </row>
    <row r="42" spans="16:38" x14ac:dyDescent="0.35">
      <c r="AI42" s="5"/>
      <c r="AJ42" s="9">
        <v>39</v>
      </c>
      <c r="AK42" s="9" t="s">
        <v>67</v>
      </c>
      <c r="AL42" s="6">
        <f t="shared" si="1"/>
        <v>245</v>
      </c>
    </row>
    <row r="43" spans="16:38" x14ac:dyDescent="0.35">
      <c r="AI43" s="5"/>
      <c r="AJ43" s="9">
        <v>40</v>
      </c>
      <c r="AK43" s="9" t="s">
        <v>68</v>
      </c>
      <c r="AL43" s="6">
        <f t="shared" si="1"/>
        <v>216</v>
      </c>
    </row>
    <row r="44" spans="16:38" x14ac:dyDescent="0.35">
      <c r="AI44" s="5"/>
      <c r="AJ44" s="9">
        <v>41</v>
      </c>
      <c r="AK44" s="9" t="s">
        <v>69</v>
      </c>
      <c r="AL44" s="6">
        <f t="shared" si="1"/>
        <v>223</v>
      </c>
    </row>
    <row r="45" spans="16:38" x14ac:dyDescent="0.35">
      <c r="AI45" s="5"/>
      <c r="AJ45" s="9">
        <v>42</v>
      </c>
      <c r="AK45" s="9" t="s">
        <v>70</v>
      </c>
      <c r="AL45" s="6">
        <f t="shared" si="1"/>
        <v>214</v>
      </c>
    </row>
    <row r="46" spans="16:38" x14ac:dyDescent="0.35">
      <c r="AI46" s="5"/>
      <c r="AJ46" s="9">
        <v>43</v>
      </c>
      <c r="AK46" s="9" t="s">
        <v>71</v>
      </c>
      <c r="AL46" s="6">
        <f t="shared" si="1"/>
        <v>209</v>
      </c>
    </row>
    <row r="47" spans="16:38" x14ac:dyDescent="0.35">
      <c r="AI47" s="5"/>
      <c r="AJ47" s="9">
        <v>44</v>
      </c>
      <c r="AK47" s="9" t="s">
        <v>72</v>
      </c>
      <c r="AL47" s="6">
        <f t="shared" si="1"/>
        <v>196</v>
      </c>
    </row>
    <row r="48" spans="16:38" x14ac:dyDescent="0.35">
      <c r="AI48" s="5"/>
      <c r="AJ48" s="9">
        <v>45</v>
      </c>
      <c r="AK48" s="9" t="s">
        <v>73</v>
      </c>
      <c r="AL48" s="6">
        <f t="shared" si="1"/>
        <v>195</v>
      </c>
    </row>
    <row r="49" spans="35:38" x14ac:dyDescent="0.35">
      <c r="AI49" s="5"/>
      <c r="AJ49" s="9">
        <v>46</v>
      </c>
      <c r="AK49" s="9" t="s">
        <v>74</v>
      </c>
      <c r="AL49" s="6">
        <f t="shared" si="1"/>
        <v>202</v>
      </c>
    </row>
    <row r="50" spans="35:38" x14ac:dyDescent="0.35">
      <c r="AI50" s="5"/>
      <c r="AJ50" s="9">
        <v>47</v>
      </c>
      <c r="AK50" s="9" t="s">
        <v>75</v>
      </c>
      <c r="AL50" s="6">
        <f t="shared" si="1"/>
        <v>205</v>
      </c>
    </row>
    <row r="51" spans="35:38" x14ac:dyDescent="0.35">
      <c r="AI51" s="5"/>
      <c r="AJ51" s="9">
        <v>48</v>
      </c>
      <c r="AK51" s="9" t="s">
        <v>76</v>
      </c>
      <c r="AL51" s="6">
        <f t="shared" si="1"/>
        <v>144</v>
      </c>
    </row>
    <row r="52" spans="35:38" x14ac:dyDescent="0.35">
      <c r="AI52" s="5"/>
      <c r="AJ52" s="9">
        <v>49</v>
      </c>
      <c r="AK52" s="9" t="s">
        <v>77</v>
      </c>
      <c r="AL52" s="6">
        <f t="shared" si="1"/>
        <v>151</v>
      </c>
    </row>
    <row r="53" spans="35:38" x14ac:dyDescent="0.35">
      <c r="AI53" s="5"/>
      <c r="AJ53" s="9">
        <v>50</v>
      </c>
      <c r="AK53" s="9" t="s">
        <v>78</v>
      </c>
      <c r="AL53" s="6">
        <f t="shared" si="1"/>
        <v>158</v>
      </c>
    </row>
    <row r="54" spans="35:38" x14ac:dyDescent="0.35">
      <c r="AI54" s="5"/>
      <c r="AJ54" s="9">
        <v>51</v>
      </c>
      <c r="AK54" s="9" t="s">
        <v>79</v>
      </c>
      <c r="AL54" s="6">
        <f t="shared" si="1"/>
        <v>153</v>
      </c>
    </row>
    <row r="55" spans="35:38" x14ac:dyDescent="0.35">
      <c r="AI55" s="5"/>
      <c r="AJ55" s="9">
        <v>52</v>
      </c>
      <c r="AK55" s="9" t="s">
        <v>80</v>
      </c>
      <c r="AL55" s="6">
        <f t="shared" si="1"/>
        <v>140</v>
      </c>
    </row>
    <row r="56" spans="35:38" x14ac:dyDescent="0.35">
      <c r="AI56" s="5"/>
      <c r="AJ56" s="9">
        <v>53</v>
      </c>
      <c r="AK56" s="9" t="s">
        <v>81</v>
      </c>
      <c r="AL56" s="6">
        <f t="shared" si="1"/>
        <v>139</v>
      </c>
    </row>
    <row r="57" spans="35:38" x14ac:dyDescent="0.35">
      <c r="AI57" s="5"/>
      <c r="AJ57" s="9">
        <v>54</v>
      </c>
      <c r="AK57" s="9" t="s">
        <v>82</v>
      </c>
      <c r="AL57" s="6">
        <f t="shared" si="1"/>
        <v>130</v>
      </c>
    </row>
    <row r="58" spans="35:38" x14ac:dyDescent="0.35">
      <c r="AI58" s="5"/>
      <c r="AJ58" s="9">
        <v>55</v>
      </c>
      <c r="AK58" s="9" t="s">
        <v>83</v>
      </c>
      <c r="AL58" s="6">
        <f t="shared" si="1"/>
        <v>133</v>
      </c>
    </row>
    <row r="59" spans="35:38" x14ac:dyDescent="0.35">
      <c r="AI59" s="5"/>
      <c r="AJ59" s="9">
        <v>56</v>
      </c>
      <c r="AK59" s="9" t="s">
        <v>84</v>
      </c>
      <c r="AL59" s="6">
        <f t="shared" si="1"/>
        <v>168</v>
      </c>
    </row>
    <row r="60" spans="35:38" x14ac:dyDescent="0.35">
      <c r="AI60" s="5"/>
      <c r="AJ60" s="9">
        <v>57</v>
      </c>
      <c r="AK60" s="9" t="s">
        <v>85</v>
      </c>
      <c r="AL60" s="6">
        <f t="shared" si="1"/>
        <v>175</v>
      </c>
    </row>
    <row r="61" spans="35:38" x14ac:dyDescent="0.35">
      <c r="AI61" s="5"/>
      <c r="AJ61" s="9">
        <v>58</v>
      </c>
      <c r="AK61" s="9" t="s">
        <v>86</v>
      </c>
      <c r="AL61" s="6">
        <f t="shared" si="1"/>
        <v>166</v>
      </c>
    </row>
    <row r="62" spans="35:38" x14ac:dyDescent="0.35">
      <c r="AI62" s="5"/>
      <c r="AJ62" s="9">
        <v>59</v>
      </c>
      <c r="AK62" s="9" t="s">
        <v>87</v>
      </c>
      <c r="AL62" s="6">
        <f t="shared" si="1"/>
        <v>161</v>
      </c>
    </row>
    <row r="63" spans="35:38" x14ac:dyDescent="0.35">
      <c r="AI63" s="5"/>
      <c r="AJ63" s="9">
        <v>60</v>
      </c>
      <c r="AK63" s="9" t="s">
        <v>88</v>
      </c>
      <c r="AL63" s="6">
        <f t="shared" si="1"/>
        <v>180</v>
      </c>
    </row>
    <row r="64" spans="35:38" x14ac:dyDescent="0.35">
      <c r="AI64" s="5"/>
      <c r="AJ64" s="9">
        <v>61</v>
      </c>
      <c r="AK64" s="9" t="s">
        <v>89</v>
      </c>
      <c r="AL64" s="6">
        <f t="shared" si="1"/>
        <v>179</v>
      </c>
    </row>
    <row r="65" spans="35:38" x14ac:dyDescent="0.35">
      <c r="AI65" s="5"/>
      <c r="AJ65" s="9">
        <v>62</v>
      </c>
      <c r="AK65" s="9" t="s">
        <v>90</v>
      </c>
      <c r="AL65" s="6">
        <f t="shared" si="1"/>
        <v>186</v>
      </c>
    </row>
    <row r="66" spans="35:38" x14ac:dyDescent="0.35">
      <c r="AI66" s="5"/>
      <c r="AJ66" s="9">
        <v>63</v>
      </c>
      <c r="AK66" s="9" t="s">
        <v>91</v>
      </c>
      <c r="AL66" s="6">
        <f t="shared" si="1"/>
        <v>189</v>
      </c>
    </row>
    <row r="67" spans="35:38" x14ac:dyDescent="0.35">
      <c r="AI67" s="5"/>
      <c r="AJ67" s="9">
        <v>64</v>
      </c>
      <c r="AK67" s="9" t="s">
        <v>92</v>
      </c>
      <c r="AL67" s="6">
        <f t="shared" si="1"/>
        <v>199</v>
      </c>
    </row>
    <row r="68" spans="35:38" x14ac:dyDescent="0.35">
      <c r="AI68" s="5"/>
      <c r="AJ68" s="9">
        <v>65</v>
      </c>
      <c r="AK68" s="9" t="s">
        <v>93</v>
      </c>
      <c r="AL68" s="6">
        <f t="shared" ref="AL68:AL131" si="3">HEX2DEC(RIGHT(AK68,2))</f>
        <v>192</v>
      </c>
    </row>
    <row r="69" spans="35:38" x14ac:dyDescent="0.35">
      <c r="AI69" s="5"/>
      <c r="AJ69" s="9">
        <v>66</v>
      </c>
      <c r="AK69" s="9" t="s">
        <v>94</v>
      </c>
      <c r="AL69" s="6">
        <f t="shared" si="3"/>
        <v>201</v>
      </c>
    </row>
    <row r="70" spans="35:38" x14ac:dyDescent="0.35">
      <c r="AI70" s="5"/>
      <c r="AJ70" s="9">
        <v>67</v>
      </c>
      <c r="AK70" s="9" t="s">
        <v>95</v>
      </c>
      <c r="AL70" s="6">
        <f t="shared" si="3"/>
        <v>206</v>
      </c>
    </row>
    <row r="71" spans="35:38" x14ac:dyDescent="0.35">
      <c r="AI71" s="5"/>
      <c r="AJ71" s="9">
        <v>68</v>
      </c>
      <c r="AK71" s="9" t="s">
        <v>96</v>
      </c>
      <c r="AL71" s="6">
        <f t="shared" si="3"/>
        <v>219</v>
      </c>
    </row>
    <row r="72" spans="35:38" x14ac:dyDescent="0.35">
      <c r="AI72" s="5"/>
      <c r="AJ72" s="9">
        <v>69</v>
      </c>
      <c r="AK72" s="9" t="s">
        <v>97</v>
      </c>
      <c r="AL72" s="6">
        <f t="shared" si="3"/>
        <v>220</v>
      </c>
    </row>
    <row r="73" spans="35:38" x14ac:dyDescent="0.35">
      <c r="AI73" s="5"/>
      <c r="AJ73" s="9">
        <v>70</v>
      </c>
      <c r="AK73" s="9" t="s">
        <v>98</v>
      </c>
      <c r="AL73" s="6">
        <f t="shared" si="3"/>
        <v>213</v>
      </c>
    </row>
    <row r="74" spans="35:38" x14ac:dyDescent="0.35">
      <c r="AI74" s="5"/>
      <c r="AJ74" s="9">
        <v>71</v>
      </c>
      <c r="AK74" s="9" t="s">
        <v>99</v>
      </c>
      <c r="AL74" s="6">
        <f t="shared" si="3"/>
        <v>210</v>
      </c>
    </row>
    <row r="75" spans="35:38" x14ac:dyDescent="0.35">
      <c r="AI75" s="5"/>
      <c r="AJ75" s="9">
        <v>72</v>
      </c>
      <c r="AK75" s="9" t="s">
        <v>100</v>
      </c>
      <c r="AL75" s="6">
        <f t="shared" si="3"/>
        <v>255</v>
      </c>
    </row>
    <row r="76" spans="35:38" x14ac:dyDescent="0.35">
      <c r="AI76" s="5"/>
      <c r="AJ76" s="9">
        <v>73</v>
      </c>
      <c r="AK76" s="9" t="s">
        <v>101</v>
      </c>
      <c r="AL76" s="6">
        <f t="shared" si="3"/>
        <v>248</v>
      </c>
    </row>
    <row r="77" spans="35:38" x14ac:dyDescent="0.35">
      <c r="AI77" s="5"/>
      <c r="AJ77" s="9">
        <v>74</v>
      </c>
      <c r="AK77" s="9" t="s">
        <v>102</v>
      </c>
      <c r="AL77" s="6">
        <f t="shared" si="3"/>
        <v>241</v>
      </c>
    </row>
    <row r="78" spans="35:38" x14ac:dyDescent="0.35">
      <c r="AI78" s="5"/>
      <c r="AJ78" s="9">
        <v>75</v>
      </c>
      <c r="AK78" s="9" t="s">
        <v>103</v>
      </c>
      <c r="AL78" s="6">
        <f t="shared" si="3"/>
        <v>246</v>
      </c>
    </row>
    <row r="79" spans="35:38" x14ac:dyDescent="0.35">
      <c r="AI79" s="5"/>
      <c r="AJ79" s="9">
        <v>76</v>
      </c>
      <c r="AK79" s="9" t="s">
        <v>104</v>
      </c>
      <c r="AL79" s="6">
        <f t="shared" si="3"/>
        <v>227</v>
      </c>
    </row>
    <row r="80" spans="35:38" x14ac:dyDescent="0.35">
      <c r="AI80" s="5"/>
      <c r="AJ80" s="9">
        <v>77</v>
      </c>
      <c r="AK80" s="9" t="s">
        <v>105</v>
      </c>
      <c r="AL80" s="6">
        <f t="shared" si="3"/>
        <v>228</v>
      </c>
    </row>
    <row r="81" spans="35:38" x14ac:dyDescent="0.35">
      <c r="AI81" s="5"/>
      <c r="AJ81" s="9">
        <v>78</v>
      </c>
      <c r="AK81" s="9" t="s">
        <v>106</v>
      </c>
      <c r="AL81" s="6">
        <f t="shared" si="3"/>
        <v>237</v>
      </c>
    </row>
    <row r="82" spans="35:38" x14ac:dyDescent="0.35">
      <c r="AI82" s="5"/>
      <c r="AJ82" s="9">
        <v>79</v>
      </c>
      <c r="AK82" s="9" t="s">
        <v>107</v>
      </c>
      <c r="AL82" s="6">
        <f t="shared" si="3"/>
        <v>234</v>
      </c>
    </row>
    <row r="83" spans="35:38" x14ac:dyDescent="0.35">
      <c r="AI83" s="5"/>
      <c r="AJ83" s="9">
        <v>80</v>
      </c>
      <c r="AK83" s="9" t="s">
        <v>108</v>
      </c>
      <c r="AL83" s="6">
        <f t="shared" si="3"/>
        <v>183</v>
      </c>
    </row>
    <row r="84" spans="35:38" x14ac:dyDescent="0.35">
      <c r="AI84" s="5"/>
      <c r="AJ84" s="9">
        <v>81</v>
      </c>
      <c r="AK84" s="9" t="s">
        <v>109</v>
      </c>
      <c r="AL84" s="6">
        <f t="shared" si="3"/>
        <v>176</v>
      </c>
    </row>
    <row r="85" spans="35:38" x14ac:dyDescent="0.35">
      <c r="AI85" s="5"/>
      <c r="AJ85" s="9">
        <v>82</v>
      </c>
      <c r="AK85" s="9" t="s">
        <v>110</v>
      </c>
      <c r="AL85" s="6">
        <f t="shared" si="3"/>
        <v>185</v>
      </c>
    </row>
    <row r="86" spans="35:38" x14ac:dyDescent="0.35">
      <c r="AI86" s="5"/>
      <c r="AJ86" s="9">
        <v>83</v>
      </c>
      <c r="AK86" s="9" t="s">
        <v>111</v>
      </c>
      <c r="AL86" s="6">
        <f t="shared" si="3"/>
        <v>190</v>
      </c>
    </row>
    <row r="87" spans="35:38" x14ac:dyDescent="0.35">
      <c r="AI87" s="5"/>
      <c r="AJ87" s="9">
        <v>84</v>
      </c>
      <c r="AK87" s="9" t="s">
        <v>112</v>
      </c>
      <c r="AL87" s="6">
        <f t="shared" si="3"/>
        <v>171</v>
      </c>
    </row>
    <row r="88" spans="35:38" x14ac:dyDescent="0.35">
      <c r="AI88" s="5"/>
      <c r="AJ88" s="9">
        <v>85</v>
      </c>
      <c r="AK88" s="9" t="s">
        <v>113</v>
      </c>
      <c r="AL88" s="6">
        <f t="shared" si="3"/>
        <v>172</v>
      </c>
    </row>
    <row r="89" spans="35:38" x14ac:dyDescent="0.35">
      <c r="AI89" s="5"/>
      <c r="AJ89" s="9">
        <v>86</v>
      </c>
      <c r="AK89" s="9" t="s">
        <v>114</v>
      </c>
      <c r="AL89" s="6">
        <f t="shared" si="3"/>
        <v>165</v>
      </c>
    </row>
    <row r="90" spans="35:38" x14ac:dyDescent="0.35">
      <c r="AI90" s="5"/>
      <c r="AJ90" s="9">
        <v>87</v>
      </c>
      <c r="AK90" s="9" t="s">
        <v>115</v>
      </c>
      <c r="AL90" s="6">
        <f t="shared" si="3"/>
        <v>162</v>
      </c>
    </row>
    <row r="91" spans="35:38" x14ac:dyDescent="0.35">
      <c r="AI91" s="5"/>
      <c r="AJ91" s="9">
        <v>88</v>
      </c>
      <c r="AK91" s="9" t="s">
        <v>116</v>
      </c>
      <c r="AL91" s="6">
        <f t="shared" si="3"/>
        <v>143</v>
      </c>
    </row>
    <row r="92" spans="35:38" x14ac:dyDescent="0.35">
      <c r="AI92" s="5"/>
      <c r="AJ92" s="9">
        <v>89</v>
      </c>
      <c r="AK92" s="9" t="s">
        <v>117</v>
      </c>
      <c r="AL92" s="6">
        <f t="shared" si="3"/>
        <v>136</v>
      </c>
    </row>
    <row r="93" spans="35:38" x14ac:dyDescent="0.35">
      <c r="AI93" s="5"/>
      <c r="AJ93" s="9">
        <v>90</v>
      </c>
      <c r="AK93" s="9" t="s">
        <v>118</v>
      </c>
      <c r="AL93" s="6">
        <f t="shared" si="3"/>
        <v>129</v>
      </c>
    </row>
    <row r="94" spans="35:38" x14ac:dyDescent="0.35">
      <c r="AI94" s="5"/>
      <c r="AJ94" s="9">
        <v>91</v>
      </c>
      <c r="AK94" s="9" t="s">
        <v>119</v>
      </c>
      <c r="AL94" s="6">
        <f t="shared" si="3"/>
        <v>134</v>
      </c>
    </row>
    <row r="95" spans="35:38" x14ac:dyDescent="0.35">
      <c r="AI95" s="5"/>
      <c r="AJ95" s="9">
        <v>92</v>
      </c>
      <c r="AK95" s="9" t="s">
        <v>120</v>
      </c>
      <c r="AL95" s="6">
        <f t="shared" si="3"/>
        <v>147</v>
      </c>
    </row>
    <row r="96" spans="35:38" x14ac:dyDescent="0.35">
      <c r="AI96" s="5"/>
      <c r="AJ96" s="9">
        <v>93</v>
      </c>
      <c r="AK96" s="9" t="s">
        <v>121</v>
      </c>
      <c r="AL96" s="6">
        <f t="shared" si="3"/>
        <v>148</v>
      </c>
    </row>
    <row r="97" spans="35:38" x14ac:dyDescent="0.35">
      <c r="AI97" s="5"/>
      <c r="AJ97" s="9">
        <v>94</v>
      </c>
      <c r="AK97" s="9" t="s">
        <v>122</v>
      </c>
      <c r="AL97" s="6">
        <f t="shared" si="3"/>
        <v>157</v>
      </c>
    </row>
    <row r="98" spans="35:38" x14ac:dyDescent="0.35">
      <c r="AI98" s="5"/>
      <c r="AJ98" s="9">
        <v>95</v>
      </c>
      <c r="AK98" s="9" t="s">
        <v>123</v>
      </c>
      <c r="AL98" s="6">
        <f t="shared" si="3"/>
        <v>154</v>
      </c>
    </row>
    <row r="99" spans="35:38" x14ac:dyDescent="0.35">
      <c r="AI99" s="5"/>
      <c r="AJ99" s="9">
        <v>96</v>
      </c>
      <c r="AK99" s="9" t="s">
        <v>124</v>
      </c>
      <c r="AL99" s="6">
        <f t="shared" si="3"/>
        <v>39</v>
      </c>
    </row>
    <row r="100" spans="35:38" x14ac:dyDescent="0.35">
      <c r="AI100" s="5"/>
      <c r="AJ100" s="9">
        <v>97</v>
      </c>
      <c r="AK100" s="9" t="s">
        <v>125</v>
      </c>
      <c r="AL100" s="6">
        <f t="shared" si="3"/>
        <v>32</v>
      </c>
    </row>
    <row r="101" spans="35:38" x14ac:dyDescent="0.35">
      <c r="AI101" s="5"/>
      <c r="AJ101" s="9">
        <v>98</v>
      </c>
      <c r="AK101" s="9" t="s">
        <v>126</v>
      </c>
      <c r="AL101" s="6">
        <f t="shared" si="3"/>
        <v>41</v>
      </c>
    </row>
    <row r="102" spans="35:38" x14ac:dyDescent="0.35">
      <c r="AI102" s="5"/>
      <c r="AJ102" s="9">
        <v>99</v>
      </c>
      <c r="AK102" s="9" t="s">
        <v>127</v>
      </c>
      <c r="AL102" s="6">
        <f t="shared" si="3"/>
        <v>46</v>
      </c>
    </row>
    <row r="103" spans="35:38" x14ac:dyDescent="0.35">
      <c r="AI103" s="5"/>
      <c r="AJ103" s="9">
        <v>100</v>
      </c>
      <c r="AK103" s="9" t="s">
        <v>128</v>
      </c>
      <c r="AL103" s="6">
        <f t="shared" si="3"/>
        <v>59</v>
      </c>
    </row>
    <row r="104" spans="35:38" x14ac:dyDescent="0.35">
      <c r="AI104" s="5"/>
      <c r="AJ104" s="9">
        <v>101</v>
      </c>
      <c r="AK104" s="9" t="s">
        <v>129</v>
      </c>
      <c r="AL104" s="6">
        <f t="shared" si="3"/>
        <v>60</v>
      </c>
    </row>
    <row r="105" spans="35:38" x14ac:dyDescent="0.35">
      <c r="AI105" s="5"/>
      <c r="AJ105" s="9">
        <v>102</v>
      </c>
      <c r="AK105" s="9" t="s">
        <v>130</v>
      </c>
      <c r="AL105" s="6">
        <f t="shared" si="3"/>
        <v>53</v>
      </c>
    </row>
    <row r="106" spans="35:38" x14ac:dyDescent="0.35">
      <c r="AI106" s="5"/>
      <c r="AJ106" s="9">
        <v>103</v>
      </c>
      <c r="AK106" s="9" t="s">
        <v>131</v>
      </c>
      <c r="AL106" s="6">
        <f t="shared" si="3"/>
        <v>50</v>
      </c>
    </row>
    <row r="107" spans="35:38" x14ac:dyDescent="0.35">
      <c r="AI107" s="5"/>
      <c r="AJ107" s="9">
        <v>104</v>
      </c>
      <c r="AK107" s="9" t="s">
        <v>132</v>
      </c>
      <c r="AL107" s="6">
        <f t="shared" si="3"/>
        <v>31</v>
      </c>
    </row>
    <row r="108" spans="35:38" x14ac:dyDescent="0.35">
      <c r="AI108" s="5"/>
      <c r="AJ108" s="9">
        <v>105</v>
      </c>
      <c r="AK108" s="9" t="s">
        <v>133</v>
      </c>
      <c r="AL108" s="6">
        <f t="shared" si="3"/>
        <v>24</v>
      </c>
    </row>
    <row r="109" spans="35:38" x14ac:dyDescent="0.35">
      <c r="AI109" s="5"/>
      <c r="AJ109" s="9">
        <v>106</v>
      </c>
      <c r="AK109" s="9" t="s">
        <v>134</v>
      </c>
      <c r="AL109" s="6">
        <f t="shared" si="3"/>
        <v>17</v>
      </c>
    </row>
    <row r="110" spans="35:38" x14ac:dyDescent="0.35">
      <c r="AI110" s="5"/>
      <c r="AJ110" s="9">
        <v>107</v>
      </c>
      <c r="AK110" s="9" t="s">
        <v>135</v>
      </c>
      <c r="AL110" s="6">
        <f t="shared" si="3"/>
        <v>22</v>
      </c>
    </row>
    <row r="111" spans="35:38" x14ac:dyDescent="0.35">
      <c r="AI111" s="5"/>
      <c r="AJ111" s="9">
        <v>108</v>
      </c>
      <c r="AK111" s="9" t="s">
        <v>136</v>
      </c>
      <c r="AL111" s="6">
        <f t="shared" si="3"/>
        <v>3</v>
      </c>
    </row>
    <row r="112" spans="35:38" x14ac:dyDescent="0.35">
      <c r="AI112" s="5"/>
      <c r="AJ112" s="9">
        <v>109</v>
      </c>
      <c r="AK112" s="9" t="s">
        <v>137</v>
      </c>
      <c r="AL112" s="6">
        <f t="shared" si="3"/>
        <v>4</v>
      </c>
    </row>
    <row r="113" spans="35:38" x14ac:dyDescent="0.35">
      <c r="AI113" s="5"/>
      <c r="AJ113" s="9">
        <v>110</v>
      </c>
      <c r="AK113" s="9" t="s">
        <v>138</v>
      </c>
      <c r="AL113" s="6">
        <f t="shared" si="3"/>
        <v>13</v>
      </c>
    </row>
    <row r="114" spans="35:38" x14ac:dyDescent="0.35">
      <c r="AI114" s="5"/>
      <c r="AJ114" s="9">
        <v>111</v>
      </c>
      <c r="AK114" s="9" t="s">
        <v>139</v>
      </c>
      <c r="AL114" s="6">
        <f t="shared" si="3"/>
        <v>10</v>
      </c>
    </row>
    <row r="115" spans="35:38" x14ac:dyDescent="0.35">
      <c r="AI115" s="5"/>
      <c r="AJ115" s="9">
        <v>112</v>
      </c>
      <c r="AK115" s="9" t="s">
        <v>140</v>
      </c>
      <c r="AL115" s="6">
        <f t="shared" si="3"/>
        <v>87</v>
      </c>
    </row>
    <row r="116" spans="35:38" x14ac:dyDescent="0.35">
      <c r="AI116" s="5"/>
      <c r="AJ116" s="9">
        <v>113</v>
      </c>
      <c r="AK116" s="9" t="s">
        <v>141</v>
      </c>
      <c r="AL116" s="6">
        <f t="shared" si="3"/>
        <v>80</v>
      </c>
    </row>
    <row r="117" spans="35:38" x14ac:dyDescent="0.35">
      <c r="AI117" s="5"/>
      <c r="AJ117" s="9">
        <v>114</v>
      </c>
      <c r="AK117" s="9" t="s">
        <v>142</v>
      </c>
      <c r="AL117" s="6">
        <f t="shared" si="3"/>
        <v>89</v>
      </c>
    </row>
    <row r="118" spans="35:38" x14ac:dyDescent="0.35">
      <c r="AI118" s="5"/>
      <c r="AJ118" s="9">
        <v>115</v>
      </c>
      <c r="AK118" s="9" t="s">
        <v>143</v>
      </c>
      <c r="AL118" s="6">
        <f t="shared" si="3"/>
        <v>94</v>
      </c>
    </row>
    <row r="119" spans="35:38" x14ac:dyDescent="0.35">
      <c r="AI119" s="5"/>
      <c r="AJ119" s="9">
        <v>116</v>
      </c>
      <c r="AK119" s="9" t="s">
        <v>144</v>
      </c>
      <c r="AL119" s="6">
        <f t="shared" si="3"/>
        <v>75</v>
      </c>
    </row>
    <row r="120" spans="35:38" x14ac:dyDescent="0.35">
      <c r="AI120" s="5"/>
      <c r="AJ120" s="9">
        <v>117</v>
      </c>
      <c r="AK120" s="9" t="s">
        <v>145</v>
      </c>
      <c r="AL120" s="6">
        <f t="shared" si="3"/>
        <v>76</v>
      </c>
    </row>
    <row r="121" spans="35:38" x14ac:dyDescent="0.35">
      <c r="AI121" s="5"/>
      <c r="AJ121" s="9">
        <v>118</v>
      </c>
      <c r="AK121" s="9" t="s">
        <v>146</v>
      </c>
      <c r="AL121" s="6">
        <f t="shared" si="3"/>
        <v>69</v>
      </c>
    </row>
    <row r="122" spans="35:38" x14ac:dyDescent="0.35">
      <c r="AI122" s="5"/>
      <c r="AJ122" s="9">
        <v>119</v>
      </c>
      <c r="AK122" s="9" t="s">
        <v>147</v>
      </c>
      <c r="AL122" s="6">
        <f t="shared" si="3"/>
        <v>66</v>
      </c>
    </row>
    <row r="123" spans="35:38" x14ac:dyDescent="0.35">
      <c r="AI123" s="5"/>
      <c r="AJ123" s="9">
        <v>120</v>
      </c>
      <c r="AK123" s="9" t="s">
        <v>148</v>
      </c>
      <c r="AL123" s="6">
        <f t="shared" si="3"/>
        <v>111</v>
      </c>
    </row>
    <row r="124" spans="35:38" x14ac:dyDescent="0.35">
      <c r="AI124" s="5"/>
      <c r="AJ124" s="9">
        <v>121</v>
      </c>
      <c r="AK124" s="9" t="s">
        <v>149</v>
      </c>
      <c r="AL124" s="6">
        <f t="shared" si="3"/>
        <v>104</v>
      </c>
    </row>
    <row r="125" spans="35:38" x14ac:dyDescent="0.35">
      <c r="AI125" s="5"/>
      <c r="AJ125" s="9">
        <v>122</v>
      </c>
      <c r="AK125" s="9" t="s">
        <v>150</v>
      </c>
      <c r="AL125" s="6">
        <f t="shared" si="3"/>
        <v>97</v>
      </c>
    </row>
    <row r="126" spans="35:38" x14ac:dyDescent="0.35">
      <c r="AI126" s="5"/>
      <c r="AJ126" s="9">
        <v>123</v>
      </c>
      <c r="AK126" s="9" t="s">
        <v>151</v>
      </c>
      <c r="AL126" s="6">
        <f t="shared" si="3"/>
        <v>102</v>
      </c>
    </row>
    <row r="127" spans="35:38" x14ac:dyDescent="0.35">
      <c r="AI127" s="5"/>
      <c r="AJ127" s="9">
        <v>124</v>
      </c>
      <c r="AK127" s="9" t="s">
        <v>152</v>
      </c>
      <c r="AL127" s="6">
        <f t="shared" si="3"/>
        <v>115</v>
      </c>
    </row>
    <row r="128" spans="35:38" x14ac:dyDescent="0.35">
      <c r="AI128" s="5"/>
      <c r="AJ128" s="9">
        <v>125</v>
      </c>
      <c r="AK128" s="9" t="s">
        <v>153</v>
      </c>
      <c r="AL128" s="6">
        <f t="shared" si="3"/>
        <v>116</v>
      </c>
    </row>
    <row r="129" spans="35:38" x14ac:dyDescent="0.35">
      <c r="AI129" s="5"/>
      <c r="AJ129" s="9">
        <v>126</v>
      </c>
      <c r="AK129" s="9" t="s">
        <v>154</v>
      </c>
      <c r="AL129" s="6">
        <f t="shared" si="3"/>
        <v>125</v>
      </c>
    </row>
    <row r="130" spans="35:38" x14ac:dyDescent="0.35">
      <c r="AI130" s="5"/>
      <c r="AJ130" s="9">
        <v>127</v>
      </c>
      <c r="AK130" s="9" t="s">
        <v>155</v>
      </c>
      <c r="AL130" s="6">
        <f t="shared" si="3"/>
        <v>122</v>
      </c>
    </row>
    <row r="131" spans="35:38" x14ac:dyDescent="0.35">
      <c r="AI131" s="5"/>
      <c r="AJ131" s="9">
        <v>128</v>
      </c>
      <c r="AK131" s="9" t="s">
        <v>156</v>
      </c>
      <c r="AL131" s="6">
        <f t="shared" si="3"/>
        <v>137</v>
      </c>
    </row>
    <row r="132" spans="35:38" x14ac:dyDescent="0.35">
      <c r="AI132" s="5"/>
      <c r="AJ132" s="9">
        <v>129</v>
      </c>
      <c r="AK132" s="9" t="s">
        <v>157</v>
      </c>
      <c r="AL132" s="6">
        <f t="shared" ref="AL132:AL195" si="4">HEX2DEC(RIGHT(AK132,2))</f>
        <v>142</v>
      </c>
    </row>
    <row r="133" spans="35:38" x14ac:dyDescent="0.35">
      <c r="AI133" s="5"/>
      <c r="AJ133" s="9">
        <v>130</v>
      </c>
      <c r="AK133" s="9" t="s">
        <v>158</v>
      </c>
      <c r="AL133" s="6">
        <f t="shared" si="4"/>
        <v>135</v>
      </c>
    </row>
    <row r="134" spans="35:38" x14ac:dyDescent="0.35">
      <c r="AI134" s="5"/>
      <c r="AJ134" s="9">
        <v>131</v>
      </c>
      <c r="AK134" s="9" t="s">
        <v>159</v>
      </c>
      <c r="AL134" s="6">
        <f t="shared" si="4"/>
        <v>128</v>
      </c>
    </row>
    <row r="135" spans="35:38" x14ac:dyDescent="0.35">
      <c r="AI135" s="5"/>
      <c r="AJ135" s="9">
        <v>132</v>
      </c>
      <c r="AK135" s="9" t="s">
        <v>160</v>
      </c>
      <c r="AL135" s="6">
        <f t="shared" si="4"/>
        <v>149</v>
      </c>
    </row>
    <row r="136" spans="35:38" x14ac:dyDescent="0.35">
      <c r="AI136" s="5"/>
      <c r="AJ136" s="9">
        <v>133</v>
      </c>
      <c r="AK136" s="9" t="s">
        <v>161</v>
      </c>
      <c r="AL136" s="6">
        <f t="shared" si="4"/>
        <v>146</v>
      </c>
    </row>
    <row r="137" spans="35:38" x14ac:dyDescent="0.35">
      <c r="AI137" s="5"/>
      <c r="AJ137" s="9">
        <v>134</v>
      </c>
      <c r="AK137" s="9" t="s">
        <v>162</v>
      </c>
      <c r="AL137" s="6">
        <f t="shared" si="4"/>
        <v>155</v>
      </c>
    </row>
    <row r="138" spans="35:38" x14ac:dyDescent="0.35">
      <c r="AI138" s="5"/>
      <c r="AJ138" s="9">
        <v>135</v>
      </c>
      <c r="AK138" s="9" t="s">
        <v>163</v>
      </c>
      <c r="AL138" s="6">
        <f t="shared" si="4"/>
        <v>156</v>
      </c>
    </row>
    <row r="139" spans="35:38" x14ac:dyDescent="0.35">
      <c r="AI139" s="5"/>
      <c r="AJ139" s="9">
        <v>136</v>
      </c>
      <c r="AK139" s="9" t="s">
        <v>164</v>
      </c>
      <c r="AL139" s="6">
        <f t="shared" si="4"/>
        <v>177</v>
      </c>
    </row>
    <row r="140" spans="35:38" x14ac:dyDescent="0.35">
      <c r="AI140" s="5"/>
      <c r="AJ140" s="9">
        <v>137</v>
      </c>
      <c r="AK140" s="9" t="s">
        <v>165</v>
      </c>
      <c r="AL140" s="6">
        <f t="shared" si="4"/>
        <v>182</v>
      </c>
    </row>
    <row r="141" spans="35:38" x14ac:dyDescent="0.35">
      <c r="AI141" s="5"/>
      <c r="AJ141" s="9">
        <v>138</v>
      </c>
      <c r="AK141" s="9" t="s">
        <v>166</v>
      </c>
      <c r="AL141" s="6">
        <f t="shared" si="4"/>
        <v>191</v>
      </c>
    </row>
    <row r="142" spans="35:38" x14ac:dyDescent="0.35">
      <c r="AI142" s="5"/>
      <c r="AJ142" s="9">
        <v>139</v>
      </c>
      <c r="AK142" s="9" t="s">
        <v>167</v>
      </c>
      <c r="AL142" s="6">
        <f t="shared" si="4"/>
        <v>184</v>
      </c>
    </row>
    <row r="143" spans="35:38" x14ac:dyDescent="0.35">
      <c r="AI143" s="5"/>
      <c r="AJ143" s="9">
        <v>140</v>
      </c>
      <c r="AK143" s="9" t="s">
        <v>168</v>
      </c>
      <c r="AL143" s="6">
        <f t="shared" si="4"/>
        <v>173</v>
      </c>
    </row>
    <row r="144" spans="35:38" x14ac:dyDescent="0.35">
      <c r="AI144" s="5"/>
      <c r="AJ144" s="9">
        <v>141</v>
      </c>
      <c r="AK144" s="9" t="s">
        <v>169</v>
      </c>
      <c r="AL144" s="6">
        <f t="shared" si="4"/>
        <v>170</v>
      </c>
    </row>
    <row r="145" spans="35:38" x14ac:dyDescent="0.35">
      <c r="AI145" s="5"/>
      <c r="AJ145" s="9">
        <v>142</v>
      </c>
      <c r="AK145" s="9" t="s">
        <v>170</v>
      </c>
      <c r="AL145" s="6">
        <f t="shared" si="4"/>
        <v>163</v>
      </c>
    </row>
    <row r="146" spans="35:38" x14ac:dyDescent="0.35">
      <c r="AI146" s="5"/>
      <c r="AJ146" s="9">
        <v>143</v>
      </c>
      <c r="AK146" s="9" t="s">
        <v>171</v>
      </c>
      <c r="AL146" s="6">
        <f t="shared" si="4"/>
        <v>164</v>
      </c>
    </row>
    <row r="147" spans="35:38" x14ac:dyDescent="0.35">
      <c r="AI147" s="5"/>
      <c r="AJ147" s="9">
        <v>144</v>
      </c>
      <c r="AK147" s="9" t="s">
        <v>172</v>
      </c>
      <c r="AL147" s="6">
        <f t="shared" si="4"/>
        <v>249</v>
      </c>
    </row>
    <row r="148" spans="35:38" x14ac:dyDescent="0.35">
      <c r="AI148" s="5"/>
      <c r="AJ148" s="9">
        <v>145</v>
      </c>
      <c r="AK148" s="9" t="s">
        <v>173</v>
      </c>
      <c r="AL148" s="6">
        <f t="shared" si="4"/>
        <v>254</v>
      </c>
    </row>
    <row r="149" spans="35:38" x14ac:dyDescent="0.35">
      <c r="AI149" s="5"/>
      <c r="AJ149" s="9">
        <v>146</v>
      </c>
      <c r="AK149" s="9" t="s">
        <v>174</v>
      </c>
      <c r="AL149" s="6">
        <f t="shared" si="4"/>
        <v>247</v>
      </c>
    </row>
    <row r="150" spans="35:38" x14ac:dyDescent="0.35">
      <c r="AI150" s="5"/>
      <c r="AJ150" s="9">
        <v>147</v>
      </c>
      <c r="AK150" s="9" t="s">
        <v>175</v>
      </c>
      <c r="AL150" s="6">
        <f t="shared" si="4"/>
        <v>240</v>
      </c>
    </row>
    <row r="151" spans="35:38" x14ac:dyDescent="0.35">
      <c r="AI151" s="5"/>
      <c r="AJ151" s="9">
        <v>148</v>
      </c>
      <c r="AK151" s="9" t="s">
        <v>176</v>
      </c>
      <c r="AL151" s="6">
        <f t="shared" si="4"/>
        <v>229</v>
      </c>
    </row>
    <row r="152" spans="35:38" x14ac:dyDescent="0.35">
      <c r="AI152" s="5"/>
      <c r="AJ152" s="9">
        <v>149</v>
      </c>
      <c r="AK152" s="9" t="s">
        <v>177</v>
      </c>
      <c r="AL152" s="6">
        <f t="shared" si="4"/>
        <v>226</v>
      </c>
    </row>
    <row r="153" spans="35:38" x14ac:dyDescent="0.35">
      <c r="AI153" s="5"/>
      <c r="AJ153" s="9">
        <v>150</v>
      </c>
      <c r="AK153" s="9" t="s">
        <v>178</v>
      </c>
      <c r="AL153" s="6">
        <f t="shared" si="4"/>
        <v>235</v>
      </c>
    </row>
    <row r="154" spans="35:38" x14ac:dyDescent="0.35">
      <c r="AI154" s="5"/>
      <c r="AJ154" s="9">
        <v>151</v>
      </c>
      <c r="AK154" s="9" t="s">
        <v>179</v>
      </c>
      <c r="AL154" s="6">
        <f t="shared" si="4"/>
        <v>236</v>
      </c>
    </row>
    <row r="155" spans="35:38" x14ac:dyDescent="0.35">
      <c r="AI155" s="5"/>
      <c r="AJ155" s="9">
        <v>152</v>
      </c>
      <c r="AK155" s="9" t="s">
        <v>180</v>
      </c>
      <c r="AL155" s="6">
        <f t="shared" si="4"/>
        <v>193</v>
      </c>
    </row>
    <row r="156" spans="35:38" x14ac:dyDescent="0.35">
      <c r="AI156" s="5"/>
      <c r="AJ156" s="9">
        <v>153</v>
      </c>
      <c r="AK156" s="9" t="s">
        <v>181</v>
      </c>
      <c r="AL156" s="6">
        <f t="shared" si="4"/>
        <v>198</v>
      </c>
    </row>
    <row r="157" spans="35:38" x14ac:dyDescent="0.35">
      <c r="AI157" s="5"/>
      <c r="AJ157" s="9">
        <v>154</v>
      </c>
      <c r="AK157" s="9" t="s">
        <v>182</v>
      </c>
      <c r="AL157" s="6">
        <f t="shared" si="4"/>
        <v>207</v>
      </c>
    </row>
    <row r="158" spans="35:38" x14ac:dyDescent="0.35">
      <c r="AI158" s="5"/>
      <c r="AJ158" s="9">
        <v>155</v>
      </c>
      <c r="AK158" s="9" t="s">
        <v>183</v>
      </c>
      <c r="AL158" s="6">
        <f t="shared" si="4"/>
        <v>200</v>
      </c>
    </row>
    <row r="159" spans="35:38" x14ac:dyDescent="0.35">
      <c r="AI159" s="5"/>
      <c r="AJ159" s="9">
        <v>156</v>
      </c>
      <c r="AK159" s="9" t="s">
        <v>184</v>
      </c>
      <c r="AL159" s="6">
        <f t="shared" si="4"/>
        <v>221</v>
      </c>
    </row>
    <row r="160" spans="35:38" x14ac:dyDescent="0.35">
      <c r="AI160" s="5"/>
      <c r="AJ160" s="9">
        <v>157</v>
      </c>
      <c r="AK160" s="9" t="s">
        <v>185</v>
      </c>
      <c r="AL160" s="6">
        <f t="shared" si="4"/>
        <v>218</v>
      </c>
    </row>
    <row r="161" spans="35:38" x14ac:dyDescent="0.35">
      <c r="AI161" s="5"/>
      <c r="AJ161" s="9">
        <v>158</v>
      </c>
      <c r="AK161" s="9" t="s">
        <v>186</v>
      </c>
      <c r="AL161" s="6">
        <f t="shared" si="4"/>
        <v>211</v>
      </c>
    </row>
    <row r="162" spans="35:38" x14ac:dyDescent="0.35">
      <c r="AI162" s="5"/>
      <c r="AJ162" s="9">
        <v>159</v>
      </c>
      <c r="AK162" s="9" t="s">
        <v>187</v>
      </c>
      <c r="AL162" s="6">
        <f t="shared" si="4"/>
        <v>212</v>
      </c>
    </row>
    <row r="163" spans="35:38" x14ac:dyDescent="0.35">
      <c r="AI163" s="5"/>
      <c r="AJ163" s="9">
        <v>160</v>
      </c>
      <c r="AK163" s="9" t="s">
        <v>188</v>
      </c>
      <c r="AL163" s="6">
        <f t="shared" si="4"/>
        <v>105</v>
      </c>
    </row>
    <row r="164" spans="35:38" x14ac:dyDescent="0.35">
      <c r="AI164" s="5"/>
      <c r="AJ164" s="9">
        <v>161</v>
      </c>
      <c r="AK164" s="9" t="s">
        <v>189</v>
      </c>
      <c r="AL164" s="6">
        <f t="shared" si="4"/>
        <v>110</v>
      </c>
    </row>
    <row r="165" spans="35:38" x14ac:dyDescent="0.35">
      <c r="AI165" s="5"/>
      <c r="AJ165" s="9">
        <v>162</v>
      </c>
      <c r="AK165" s="9" t="s">
        <v>190</v>
      </c>
      <c r="AL165" s="6">
        <f t="shared" si="4"/>
        <v>103</v>
      </c>
    </row>
    <row r="166" spans="35:38" x14ac:dyDescent="0.35">
      <c r="AI166" s="5"/>
      <c r="AJ166" s="9">
        <v>163</v>
      </c>
      <c r="AK166" s="9" t="s">
        <v>191</v>
      </c>
      <c r="AL166" s="6">
        <f t="shared" si="4"/>
        <v>96</v>
      </c>
    </row>
    <row r="167" spans="35:38" x14ac:dyDescent="0.35">
      <c r="AI167" s="5"/>
      <c r="AJ167" s="9">
        <v>164</v>
      </c>
      <c r="AK167" s="9" t="s">
        <v>192</v>
      </c>
      <c r="AL167" s="6">
        <f t="shared" si="4"/>
        <v>117</v>
      </c>
    </row>
    <row r="168" spans="35:38" x14ac:dyDescent="0.35">
      <c r="AI168" s="5"/>
      <c r="AJ168" s="9">
        <v>165</v>
      </c>
      <c r="AK168" s="9" t="s">
        <v>193</v>
      </c>
      <c r="AL168" s="6">
        <f t="shared" si="4"/>
        <v>114</v>
      </c>
    </row>
    <row r="169" spans="35:38" x14ac:dyDescent="0.35">
      <c r="AI169" s="5"/>
      <c r="AJ169" s="9">
        <v>166</v>
      </c>
      <c r="AK169" s="9" t="s">
        <v>194</v>
      </c>
      <c r="AL169" s="6">
        <f t="shared" si="4"/>
        <v>123</v>
      </c>
    </row>
    <row r="170" spans="35:38" x14ac:dyDescent="0.35">
      <c r="AI170" s="5"/>
      <c r="AJ170" s="9">
        <v>167</v>
      </c>
      <c r="AK170" s="9" t="s">
        <v>195</v>
      </c>
      <c r="AL170" s="6">
        <f t="shared" si="4"/>
        <v>124</v>
      </c>
    </row>
    <row r="171" spans="35:38" x14ac:dyDescent="0.35">
      <c r="AI171" s="5"/>
      <c r="AJ171" s="9">
        <v>168</v>
      </c>
      <c r="AK171" s="9" t="s">
        <v>196</v>
      </c>
      <c r="AL171" s="6">
        <f t="shared" si="4"/>
        <v>81</v>
      </c>
    </row>
    <row r="172" spans="35:38" x14ac:dyDescent="0.35">
      <c r="AI172" s="5"/>
      <c r="AJ172" s="9">
        <v>169</v>
      </c>
      <c r="AK172" s="9" t="s">
        <v>197</v>
      </c>
      <c r="AL172" s="6">
        <f t="shared" si="4"/>
        <v>86</v>
      </c>
    </row>
    <row r="173" spans="35:38" x14ac:dyDescent="0.35">
      <c r="AI173" s="5"/>
      <c r="AJ173" s="9">
        <v>170</v>
      </c>
      <c r="AK173" s="9" t="s">
        <v>198</v>
      </c>
      <c r="AL173" s="6">
        <f t="shared" si="4"/>
        <v>95</v>
      </c>
    </row>
    <row r="174" spans="35:38" x14ac:dyDescent="0.35">
      <c r="AI174" s="5"/>
      <c r="AJ174" s="9">
        <v>171</v>
      </c>
      <c r="AK174" s="9" t="s">
        <v>199</v>
      </c>
      <c r="AL174" s="6">
        <f t="shared" si="4"/>
        <v>88</v>
      </c>
    </row>
    <row r="175" spans="35:38" x14ac:dyDescent="0.35">
      <c r="AI175" s="5"/>
      <c r="AJ175" s="9">
        <v>172</v>
      </c>
      <c r="AK175" s="9" t="s">
        <v>200</v>
      </c>
      <c r="AL175" s="6">
        <f t="shared" si="4"/>
        <v>77</v>
      </c>
    </row>
    <row r="176" spans="35:38" x14ac:dyDescent="0.35">
      <c r="AI176" s="5"/>
      <c r="AJ176" s="9">
        <v>173</v>
      </c>
      <c r="AK176" s="9" t="s">
        <v>201</v>
      </c>
      <c r="AL176" s="6">
        <f t="shared" si="4"/>
        <v>74</v>
      </c>
    </row>
    <row r="177" spans="35:38" x14ac:dyDescent="0.35">
      <c r="AI177" s="5"/>
      <c r="AJ177" s="9">
        <v>174</v>
      </c>
      <c r="AK177" s="9" t="s">
        <v>202</v>
      </c>
      <c r="AL177" s="6">
        <f t="shared" si="4"/>
        <v>67</v>
      </c>
    </row>
    <row r="178" spans="35:38" x14ac:dyDescent="0.35">
      <c r="AI178" s="5"/>
      <c r="AJ178" s="9">
        <v>175</v>
      </c>
      <c r="AK178" s="9" t="s">
        <v>203</v>
      </c>
      <c r="AL178" s="6">
        <f t="shared" si="4"/>
        <v>68</v>
      </c>
    </row>
    <row r="179" spans="35:38" x14ac:dyDescent="0.35">
      <c r="AI179" s="5"/>
      <c r="AJ179" s="9">
        <v>176</v>
      </c>
      <c r="AK179" s="9" t="s">
        <v>204</v>
      </c>
      <c r="AL179" s="6">
        <f t="shared" si="4"/>
        <v>25</v>
      </c>
    </row>
    <row r="180" spans="35:38" x14ac:dyDescent="0.35">
      <c r="AI180" s="5"/>
      <c r="AJ180" s="9">
        <v>177</v>
      </c>
      <c r="AK180" s="9" t="s">
        <v>205</v>
      </c>
      <c r="AL180" s="6">
        <f t="shared" si="4"/>
        <v>30</v>
      </c>
    </row>
    <row r="181" spans="35:38" x14ac:dyDescent="0.35">
      <c r="AI181" s="5"/>
      <c r="AJ181" s="9">
        <v>178</v>
      </c>
      <c r="AK181" s="9" t="s">
        <v>206</v>
      </c>
      <c r="AL181" s="6">
        <f t="shared" si="4"/>
        <v>23</v>
      </c>
    </row>
    <row r="182" spans="35:38" x14ac:dyDescent="0.35">
      <c r="AI182" s="5"/>
      <c r="AJ182" s="9">
        <v>179</v>
      </c>
      <c r="AK182" s="9" t="s">
        <v>207</v>
      </c>
      <c r="AL182" s="6">
        <f t="shared" si="4"/>
        <v>16</v>
      </c>
    </row>
    <row r="183" spans="35:38" x14ac:dyDescent="0.35">
      <c r="AI183" s="5"/>
      <c r="AJ183" s="9">
        <v>180</v>
      </c>
      <c r="AK183" s="9" t="s">
        <v>208</v>
      </c>
      <c r="AL183" s="6">
        <f t="shared" si="4"/>
        <v>5</v>
      </c>
    </row>
    <row r="184" spans="35:38" x14ac:dyDescent="0.35">
      <c r="AI184" s="5"/>
      <c r="AJ184" s="9">
        <v>181</v>
      </c>
      <c r="AK184" s="9" t="s">
        <v>209</v>
      </c>
      <c r="AL184" s="6">
        <f t="shared" si="4"/>
        <v>2</v>
      </c>
    </row>
    <row r="185" spans="35:38" x14ac:dyDescent="0.35">
      <c r="AI185" s="5"/>
      <c r="AJ185" s="9">
        <v>182</v>
      </c>
      <c r="AK185" s="9" t="s">
        <v>210</v>
      </c>
      <c r="AL185" s="6">
        <f t="shared" si="4"/>
        <v>11</v>
      </c>
    </row>
    <row r="186" spans="35:38" x14ac:dyDescent="0.35">
      <c r="AI186" s="5"/>
      <c r="AJ186" s="9">
        <v>183</v>
      </c>
      <c r="AK186" s="9" t="s">
        <v>211</v>
      </c>
      <c r="AL186" s="6">
        <f t="shared" si="4"/>
        <v>12</v>
      </c>
    </row>
    <row r="187" spans="35:38" x14ac:dyDescent="0.35">
      <c r="AI187" s="5"/>
      <c r="AJ187" s="9">
        <v>184</v>
      </c>
      <c r="AK187" s="9" t="s">
        <v>212</v>
      </c>
      <c r="AL187" s="6">
        <f t="shared" si="4"/>
        <v>33</v>
      </c>
    </row>
    <row r="188" spans="35:38" x14ac:dyDescent="0.35">
      <c r="AI188" s="5"/>
      <c r="AJ188" s="9">
        <v>185</v>
      </c>
      <c r="AK188" s="9" t="s">
        <v>213</v>
      </c>
      <c r="AL188" s="6">
        <f t="shared" si="4"/>
        <v>38</v>
      </c>
    </row>
    <row r="189" spans="35:38" x14ac:dyDescent="0.35">
      <c r="AI189" s="5"/>
      <c r="AJ189" s="9">
        <v>186</v>
      </c>
      <c r="AK189" s="9" t="s">
        <v>214</v>
      </c>
      <c r="AL189" s="6">
        <f t="shared" si="4"/>
        <v>47</v>
      </c>
    </row>
    <row r="190" spans="35:38" x14ac:dyDescent="0.35">
      <c r="AI190" s="5"/>
      <c r="AJ190" s="9">
        <v>187</v>
      </c>
      <c r="AK190" s="9" t="s">
        <v>215</v>
      </c>
      <c r="AL190" s="6">
        <f t="shared" si="4"/>
        <v>40</v>
      </c>
    </row>
    <row r="191" spans="35:38" x14ac:dyDescent="0.35">
      <c r="AI191" s="5"/>
      <c r="AJ191" s="9">
        <v>188</v>
      </c>
      <c r="AK191" s="9" t="s">
        <v>216</v>
      </c>
      <c r="AL191" s="6">
        <f t="shared" si="4"/>
        <v>61</v>
      </c>
    </row>
    <row r="192" spans="35:38" x14ac:dyDescent="0.35">
      <c r="AI192" s="5"/>
      <c r="AJ192" s="9">
        <v>189</v>
      </c>
      <c r="AK192" s="9" t="s">
        <v>217</v>
      </c>
      <c r="AL192" s="6">
        <f t="shared" si="4"/>
        <v>58</v>
      </c>
    </row>
    <row r="193" spans="35:38" x14ac:dyDescent="0.35">
      <c r="AI193" s="5"/>
      <c r="AJ193" s="9">
        <v>190</v>
      </c>
      <c r="AK193" s="9" t="s">
        <v>218</v>
      </c>
      <c r="AL193" s="6">
        <f t="shared" si="4"/>
        <v>51</v>
      </c>
    </row>
    <row r="194" spans="35:38" x14ac:dyDescent="0.35">
      <c r="AI194" s="5"/>
      <c r="AJ194" s="9">
        <v>191</v>
      </c>
      <c r="AK194" s="9" t="s">
        <v>219</v>
      </c>
      <c r="AL194" s="6">
        <f t="shared" si="4"/>
        <v>52</v>
      </c>
    </row>
    <row r="195" spans="35:38" x14ac:dyDescent="0.35">
      <c r="AI195" s="5"/>
      <c r="AJ195" s="9">
        <v>192</v>
      </c>
      <c r="AK195" s="9" t="s">
        <v>220</v>
      </c>
      <c r="AL195" s="6">
        <f t="shared" si="4"/>
        <v>78</v>
      </c>
    </row>
    <row r="196" spans="35:38" x14ac:dyDescent="0.35">
      <c r="AI196" s="5"/>
      <c r="AJ196" s="9">
        <v>193</v>
      </c>
      <c r="AK196" s="9" t="s">
        <v>221</v>
      </c>
      <c r="AL196" s="6">
        <f t="shared" ref="AL196:AL258" si="5">HEX2DEC(RIGHT(AK196,2))</f>
        <v>73</v>
      </c>
    </row>
    <row r="197" spans="35:38" x14ac:dyDescent="0.35">
      <c r="AI197" s="5"/>
      <c r="AJ197" s="9">
        <v>194</v>
      </c>
      <c r="AK197" s="9" t="s">
        <v>222</v>
      </c>
      <c r="AL197" s="6">
        <f t="shared" si="5"/>
        <v>64</v>
      </c>
    </row>
    <row r="198" spans="35:38" x14ac:dyDescent="0.35">
      <c r="AI198" s="5"/>
      <c r="AJ198" s="9">
        <v>195</v>
      </c>
      <c r="AK198" s="9" t="s">
        <v>223</v>
      </c>
      <c r="AL198" s="6">
        <f t="shared" si="5"/>
        <v>71</v>
      </c>
    </row>
    <row r="199" spans="35:38" x14ac:dyDescent="0.35">
      <c r="AI199" s="5"/>
      <c r="AJ199" s="9">
        <v>196</v>
      </c>
      <c r="AK199" s="9" t="s">
        <v>224</v>
      </c>
      <c r="AL199" s="6">
        <f t="shared" si="5"/>
        <v>82</v>
      </c>
    </row>
    <row r="200" spans="35:38" x14ac:dyDescent="0.35">
      <c r="AI200" s="5"/>
      <c r="AJ200" s="9">
        <v>197</v>
      </c>
      <c r="AK200" s="9" t="s">
        <v>225</v>
      </c>
      <c r="AL200" s="6">
        <f t="shared" si="5"/>
        <v>85</v>
      </c>
    </row>
    <row r="201" spans="35:38" x14ac:dyDescent="0.35">
      <c r="AI201" s="5"/>
      <c r="AJ201" s="9">
        <v>198</v>
      </c>
      <c r="AK201" s="9" t="s">
        <v>226</v>
      </c>
      <c r="AL201" s="6">
        <f t="shared" si="5"/>
        <v>92</v>
      </c>
    </row>
    <row r="202" spans="35:38" x14ac:dyDescent="0.35">
      <c r="AI202" s="5"/>
      <c r="AJ202" s="9">
        <v>199</v>
      </c>
      <c r="AK202" s="9" t="s">
        <v>227</v>
      </c>
      <c r="AL202" s="6">
        <f t="shared" si="5"/>
        <v>91</v>
      </c>
    </row>
    <row r="203" spans="35:38" x14ac:dyDescent="0.35">
      <c r="AI203" s="5"/>
      <c r="AJ203" s="9">
        <v>200</v>
      </c>
      <c r="AK203" s="9" t="s">
        <v>228</v>
      </c>
      <c r="AL203" s="6">
        <f t="shared" si="5"/>
        <v>118</v>
      </c>
    </row>
    <row r="204" spans="35:38" x14ac:dyDescent="0.35">
      <c r="AI204" s="5"/>
      <c r="AJ204" s="9">
        <v>201</v>
      </c>
      <c r="AK204" s="9" t="s">
        <v>229</v>
      </c>
      <c r="AL204" s="6">
        <f t="shared" si="5"/>
        <v>113</v>
      </c>
    </row>
    <row r="205" spans="35:38" x14ac:dyDescent="0.35">
      <c r="AI205" s="5"/>
      <c r="AJ205" s="9">
        <v>202</v>
      </c>
      <c r="AK205" s="9" t="s">
        <v>230</v>
      </c>
      <c r="AL205" s="6">
        <f t="shared" si="5"/>
        <v>120</v>
      </c>
    </row>
    <row r="206" spans="35:38" x14ac:dyDescent="0.35">
      <c r="AI206" s="5"/>
      <c r="AJ206" s="9">
        <v>203</v>
      </c>
      <c r="AK206" s="9" t="s">
        <v>231</v>
      </c>
      <c r="AL206" s="6">
        <f t="shared" si="5"/>
        <v>127</v>
      </c>
    </row>
    <row r="207" spans="35:38" x14ac:dyDescent="0.35">
      <c r="AI207" s="5"/>
      <c r="AJ207" s="9">
        <v>204</v>
      </c>
      <c r="AK207" s="9" t="s">
        <v>232</v>
      </c>
      <c r="AL207" s="6">
        <f t="shared" si="5"/>
        <v>106</v>
      </c>
    </row>
    <row r="208" spans="35:38" x14ac:dyDescent="0.35">
      <c r="AI208" s="5"/>
      <c r="AJ208" s="9">
        <v>205</v>
      </c>
      <c r="AK208" s="9" t="s">
        <v>233</v>
      </c>
      <c r="AL208" s="6">
        <f t="shared" si="5"/>
        <v>109</v>
      </c>
    </row>
    <row r="209" spans="35:38" x14ac:dyDescent="0.35">
      <c r="AI209" s="5"/>
      <c r="AJ209" s="9">
        <v>206</v>
      </c>
      <c r="AK209" s="9" t="s">
        <v>234</v>
      </c>
      <c r="AL209" s="6">
        <f t="shared" si="5"/>
        <v>100</v>
      </c>
    </row>
    <row r="210" spans="35:38" x14ac:dyDescent="0.35">
      <c r="AI210" s="5"/>
      <c r="AJ210" s="9">
        <v>207</v>
      </c>
      <c r="AK210" s="9" t="s">
        <v>235</v>
      </c>
      <c r="AL210" s="6">
        <f t="shared" si="5"/>
        <v>99</v>
      </c>
    </row>
    <row r="211" spans="35:38" x14ac:dyDescent="0.35">
      <c r="AI211" s="5"/>
      <c r="AJ211" s="9">
        <v>208</v>
      </c>
      <c r="AK211" s="9" t="s">
        <v>236</v>
      </c>
      <c r="AL211" s="6">
        <f t="shared" si="5"/>
        <v>62</v>
      </c>
    </row>
    <row r="212" spans="35:38" x14ac:dyDescent="0.35">
      <c r="AI212" s="5"/>
      <c r="AJ212" s="9">
        <v>209</v>
      </c>
      <c r="AK212" s="9" t="s">
        <v>237</v>
      </c>
      <c r="AL212" s="6">
        <f t="shared" si="5"/>
        <v>57</v>
      </c>
    </row>
    <row r="213" spans="35:38" x14ac:dyDescent="0.35">
      <c r="AI213" s="5"/>
      <c r="AJ213" s="9">
        <v>210</v>
      </c>
      <c r="AK213" s="9" t="s">
        <v>238</v>
      </c>
      <c r="AL213" s="6">
        <f t="shared" si="5"/>
        <v>48</v>
      </c>
    </row>
    <row r="214" spans="35:38" x14ac:dyDescent="0.35">
      <c r="AI214" s="5"/>
      <c r="AJ214" s="9">
        <v>211</v>
      </c>
      <c r="AK214" s="9" t="s">
        <v>239</v>
      </c>
      <c r="AL214" s="6">
        <f t="shared" si="5"/>
        <v>55</v>
      </c>
    </row>
    <row r="215" spans="35:38" x14ac:dyDescent="0.35">
      <c r="AI215" s="5"/>
      <c r="AJ215" s="9">
        <v>212</v>
      </c>
      <c r="AK215" s="9" t="s">
        <v>240</v>
      </c>
      <c r="AL215" s="6">
        <f t="shared" si="5"/>
        <v>34</v>
      </c>
    </row>
    <row r="216" spans="35:38" x14ac:dyDescent="0.35">
      <c r="AI216" s="5"/>
      <c r="AJ216" s="9">
        <v>213</v>
      </c>
      <c r="AK216" s="9" t="s">
        <v>241</v>
      </c>
      <c r="AL216" s="6">
        <f t="shared" si="5"/>
        <v>37</v>
      </c>
    </row>
    <row r="217" spans="35:38" x14ac:dyDescent="0.35">
      <c r="AI217" s="5"/>
      <c r="AJ217" s="9">
        <v>214</v>
      </c>
      <c r="AK217" s="9" t="s">
        <v>242</v>
      </c>
      <c r="AL217" s="6">
        <f t="shared" si="5"/>
        <v>44</v>
      </c>
    </row>
    <row r="218" spans="35:38" x14ac:dyDescent="0.35">
      <c r="AI218" s="5"/>
      <c r="AJ218" s="9">
        <v>215</v>
      </c>
      <c r="AK218" s="9" t="s">
        <v>243</v>
      </c>
      <c r="AL218" s="6">
        <f t="shared" si="5"/>
        <v>43</v>
      </c>
    </row>
    <row r="219" spans="35:38" x14ac:dyDescent="0.35">
      <c r="AI219" s="5"/>
      <c r="AJ219" s="9">
        <v>216</v>
      </c>
      <c r="AK219" s="9" t="s">
        <v>244</v>
      </c>
      <c r="AL219" s="6">
        <f t="shared" si="5"/>
        <v>6</v>
      </c>
    </row>
    <row r="220" spans="35:38" x14ac:dyDescent="0.35">
      <c r="AI220" s="5"/>
      <c r="AJ220" s="9">
        <v>217</v>
      </c>
      <c r="AK220" s="9" t="s">
        <v>245</v>
      </c>
      <c r="AL220" s="6">
        <f t="shared" si="5"/>
        <v>1</v>
      </c>
    </row>
    <row r="221" spans="35:38" x14ac:dyDescent="0.35">
      <c r="AI221" s="5"/>
      <c r="AJ221" s="9">
        <v>218</v>
      </c>
      <c r="AK221" s="9" t="s">
        <v>246</v>
      </c>
      <c r="AL221" s="6">
        <f t="shared" si="5"/>
        <v>8</v>
      </c>
    </row>
    <row r="222" spans="35:38" x14ac:dyDescent="0.35">
      <c r="AI222" s="5"/>
      <c r="AJ222" s="9">
        <v>219</v>
      </c>
      <c r="AK222" s="9" t="s">
        <v>247</v>
      </c>
      <c r="AL222" s="6">
        <f t="shared" si="5"/>
        <v>15</v>
      </c>
    </row>
    <row r="223" spans="35:38" x14ac:dyDescent="0.35">
      <c r="AI223" s="5"/>
      <c r="AJ223" s="9">
        <v>220</v>
      </c>
      <c r="AK223" s="9" t="s">
        <v>248</v>
      </c>
      <c r="AL223" s="6">
        <f t="shared" si="5"/>
        <v>26</v>
      </c>
    </row>
    <row r="224" spans="35:38" x14ac:dyDescent="0.35">
      <c r="AI224" s="5"/>
      <c r="AJ224" s="9">
        <v>221</v>
      </c>
      <c r="AK224" s="9" t="s">
        <v>249</v>
      </c>
      <c r="AL224" s="6">
        <f t="shared" si="5"/>
        <v>29</v>
      </c>
    </row>
    <row r="225" spans="35:38" x14ac:dyDescent="0.35">
      <c r="AI225" s="5"/>
      <c r="AJ225" s="9">
        <v>222</v>
      </c>
      <c r="AK225" s="9" t="s">
        <v>250</v>
      </c>
      <c r="AL225" s="6">
        <f t="shared" si="5"/>
        <v>20</v>
      </c>
    </row>
    <row r="226" spans="35:38" x14ac:dyDescent="0.35">
      <c r="AI226" s="5"/>
      <c r="AJ226" s="9">
        <v>223</v>
      </c>
      <c r="AK226" s="9" t="s">
        <v>251</v>
      </c>
      <c r="AL226" s="6">
        <f t="shared" si="5"/>
        <v>19</v>
      </c>
    </row>
    <row r="227" spans="35:38" x14ac:dyDescent="0.35">
      <c r="AI227" s="5"/>
      <c r="AJ227" s="9">
        <v>224</v>
      </c>
      <c r="AK227" s="9" t="s">
        <v>252</v>
      </c>
      <c r="AL227" s="6">
        <f t="shared" si="5"/>
        <v>174</v>
      </c>
    </row>
    <row r="228" spans="35:38" x14ac:dyDescent="0.35">
      <c r="AI228" s="5"/>
      <c r="AJ228" s="9">
        <v>225</v>
      </c>
      <c r="AK228" s="9" t="s">
        <v>253</v>
      </c>
      <c r="AL228" s="6">
        <f t="shared" si="5"/>
        <v>169</v>
      </c>
    </row>
    <row r="229" spans="35:38" x14ac:dyDescent="0.35">
      <c r="AI229" s="5"/>
      <c r="AJ229" s="9">
        <v>226</v>
      </c>
      <c r="AK229" s="9" t="s">
        <v>254</v>
      </c>
      <c r="AL229" s="6">
        <f t="shared" si="5"/>
        <v>160</v>
      </c>
    </row>
    <row r="230" spans="35:38" x14ac:dyDescent="0.35">
      <c r="AI230" s="5"/>
      <c r="AJ230" s="9">
        <v>227</v>
      </c>
      <c r="AK230" s="9" t="s">
        <v>255</v>
      </c>
      <c r="AL230" s="6">
        <f t="shared" si="5"/>
        <v>167</v>
      </c>
    </row>
    <row r="231" spans="35:38" x14ac:dyDescent="0.35">
      <c r="AI231" s="5"/>
      <c r="AJ231" s="9">
        <v>228</v>
      </c>
      <c r="AK231" s="9" t="s">
        <v>256</v>
      </c>
      <c r="AL231" s="6">
        <f t="shared" si="5"/>
        <v>178</v>
      </c>
    </row>
    <row r="232" spans="35:38" x14ac:dyDescent="0.35">
      <c r="AI232" s="5"/>
      <c r="AJ232" s="9">
        <v>229</v>
      </c>
      <c r="AK232" s="9" t="s">
        <v>257</v>
      </c>
      <c r="AL232" s="6">
        <f t="shared" si="5"/>
        <v>181</v>
      </c>
    </row>
    <row r="233" spans="35:38" x14ac:dyDescent="0.35">
      <c r="AI233" s="5"/>
      <c r="AJ233" s="9">
        <v>230</v>
      </c>
      <c r="AK233" s="9" t="s">
        <v>258</v>
      </c>
      <c r="AL233" s="6">
        <f t="shared" si="5"/>
        <v>188</v>
      </c>
    </row>
    <row r="234" spans="35:38" x14ac:dyDescent="0.35">
      <c r="AI234" s="5"/>
      <c r="AJ234" s="9">
        <v>231</v>
      </c>
      <c r="AK234" s="9" t="s">
        <v>259</v>
      </c>
      <c r="AL234" s="6">
        <f t="shared" si="5"/>
        <v>187</v>
      </c>
    </row>
    <row r="235" spans="35:38" x14ac:dyDescent="0.35">
      <c r="AI235" s="5"/>
      <c r="AJ235" s="9">
        <v>232</v>
      </c>
      <c r="AK235" s="9" t="s">
        <v>260</v>
      </c>
      <c r="AL235" s="6">
        <f t="shared" si="5"/>
        <v>150</v>
      </c>
    </row>
    <row r="236" spans="35:38" x14ac:dyDescent="0.35">
      <c r="AI236" s="5"/>
      <c r="AJ236" s="9">
        <v>233</v>
      </c>
      <c r="AK236" s="9" t="s">
        <v>261</v>
      </c>
      <c r="AL236" s="6">
        <f t="shared" si="5"/>
        <v>145</v>
      </c>
    </row>
    <row r="237" spans="35:38" x14ac:dyDescent="0.35">
      <c r="AI237" s="5"/>
      <c r="AJ237" s="9">
        <v>234</v>
      </c>
      <c r="AK237" s="9" t="s">
        <v>262</v>
      </c>
      <c r="AL237" s="6">
        <f t="shared" si="5"/>
        <v>152</v>
      </c>
    </row>
    <row r="238" spans="35:38" x14ac:dyDescent="0.35">
      <c r="AI238" s="5"/>
      <c r="AJ238" s="9">
        <v>235</v>
      </c>
      <c r="AK238" s="9" t="s">
        <v>263</v>
      </c>
      <c r="AL238" s="6">
        <f t="shared" si="5"/>
        <v>159</v>
      </c>
    </row>
    <row r="239" spans="35:38" x14ac:dyDescent="0.35">
      <c r="AI239" s="5"/>
      <c r="AJ239" s="9">
        <v>236</v>
      </c>
      <c r="AK239" s="9" t="s">
        <v>264</v>
      </c>
      <c r="AL239" s="6">
        <f t="shared" si="5"/>
        <v>138</v>
      </c>
    </row>
    <row r="240" spans="35:38" x14ac:dyDescent="0.35">
      <c r="AI240" s="5"/>
      <c r="AJ240" s="9">
        <v>237</v>
      </c>
      <c r="AK240" s="9" t="s">
        <v>265</v>
      </c>
      <c r="AL240" s="6">
        <f t="shared" si="5"/>
        <v>141</v>
      </c>
    </row>
    <row r="241" spans="35:38" x14ac:dyDescent="0.35">
      <c r="AI241" s="5"/>
      <c r="AJ241" s="9">
        <v>238</v>
      </c>
      <c r="AK241" s="9" t="s">
        <v>266</v>
      </c>
      <c r="AL241" s="6">
        <f t="shared" si="5"/>
        <v>132</v>
      </c>
    </row>
    <row r="242" spans="35:38" x14ac:dyDescent="0.35">
      <c r="AI242" s="5"/>
      <c r="AJ242" s="9">
        <v>239</v>
      </c>
      <c r="AK242" s="9" t="s">
        <v>267</v>
      </c>
      <c r="AL242" s="6">
        <f t="shared" si="5"/>
        <v>131</v>
      </c>
    </row>
    <row r="243" spans="35:38" x14ac:dyDescent="0.35">
      <c r="AI243" s="5"/>
      <c r="AJ243" s="9">
        <v>240</v>
      </c>
      <c r="AK243" s="9" t="s">
        <v>268</v>
      </c>
      <c r="AL243" s="6">
        <f t="shared" si="5"/>
        <v>222</v>
      </c>
    </row>
    <row r="244" spans="35:38" x14ac:dyDescent="0.35">
      <c r="AI244" s="5"/>
      <c r="AJ244" s="9">
        <v>241</v>
      </c>
      <c r="AK244" s="9" t="s">
        <v>269</v>
      </c>
      <c r="AL244" s="6">
        <f t="shared" si="5"/>
        <v>217</v>
      </c>
    </row>
    <row r="245" spans="35:38" x14ac:dyDescent="0.35">
      <c r="AI245" s="5"/>
      <c r="AJ245" s="9">
        <v>242</v>
      </c>
      <c r="AK245" s="9" t="s">
        <v>270</v>
      </c>
      <c r="AL245" s="6">
        <f t="shared" si="5"/>
        <v>208</v>
      </c>
    </row>
    <row r="246" spans="35:38" x14ac:dyDescent="0.35">
      <c r="AI246" s="5"/>
      <c r="AJ246" s="9">
        <v>243</v>
      </c>
      <c r="AK246" s="9" t="s">
        <v>271</v>
      </c>
      <c r="AL246" s="6">
        <f t="shared" si="5"/>
        <v>215</v>
      </c>
    </row>
    <row r="247" spans="35:38" x14ac:dyDescent="0.35">
      <c r="AI247" s="5"/>
      <c r="AJ247" s="9">
        <v>244</v>
      </c>
      <c r="AK247" s="9" t="s">
        <v>272</v>
      </c>
      <c r="AL247" s="6">
        <f t="shared" si="5"/>
        <v>194</v>
      </c>
    </row>
    <row r="248" spans="35:38" x14ac:dyDescent="0.35">
      <c r="AI248" s="5"/>
      <c r="AJ248" s="9">
        <v>245</v>
      </c>
      <c r="AK248" s="9" t="s">
        <v>273</v>
      </c>
      <c r="AL248" s="6">
        <f t="shared" si="5"/>
        <v>197</v>
      </c>
    </row>
    <row r="249" spans="35:38" x14ac:dyDescent="0.35">
      <c r="AI249" s="5"/>
      <c r="AJ249" s="9">
        <v>246</v>
      </c>
      <c r="AK249" s="9" t="s">
        <v>274</v>
      </c>
      <c r="AL249" s="6">
        <f t="shared" si="5"/>
        <v>204</v>
      </c>
    </row>
    <row r="250" spans="35:38" x14ac:dyDescent="0.35">
      <c r="AI250" s="5"/>
      <c r="AJ250" s="9">
        <v>247</v>
      </c>
      <c r="AK250" s="9" t="s">
        <v>275</v>
      </c>
      <c r="AL250" s="6">
        <f t="shared" si="5"/>
        <v>203</v>
      </c>
    </row>
    <row r="251" spans="35:38" x14ac:dyDescent="0.35">
      <c r="AI251" s="5"/>
      <c r="AJ251" s="9">
        <v>248</v>
      </c>
      <c r="AK251" s="9" t="s">
        <v>276</v>
      </c>
      <c r="AL251" s="6">
        <f t="shared" si="5"/>
        <v>230</v>
      </c>
    </row>
    <row r="252" spans="35:38" x14ac:dyDescent="0.35">
      <c r="AI252" s="5"/>
      <c r="AJ252" s="9">
        <v>249</v>
      </c>
      <c r="AK252" s="9" t="s">
        <v>277</v>
      </c>
      <c r="AL252" s="6">
        <f t="shared" si="5"/>
        <v>225</v>
      </c>
    </row>
    <row r="253" spans="35:38" x14ac:dyDescent="0.35">
      <c r="AI253" s="5"/>
      <c r="AJ253" s="9">
        <v>250</v>
      </c>
      <c r="AK253" s="9" t="s">
        <v>278</v>
      </c>
      <c r="AL253" s="6">
        <f t="shared" si="5"/>
        <v>232</v>
      </c>
    </row>
    <row r="254" spans="35:38" x14ac:dyDescent="0.35">
      <c r="AI254" s="5"/>
      <c r="AJ254" s="9">
        <v>251</v>
      </c>
      <c r="AK254" s="9" t="s">
        <v>279</v>
      </c>
      <c r="AL254" s="6">
        <f t="shared" si="5"/>
        <v>239</v>
      </c>
    </row>
    <row r="255" spans="35:38" x14ac:dyDescent="0.35">
      <c r="AI255" s="5"/>
      <c r="AJ255" s="9">
        <v>252</v>
      </c>
      <c r="AK255" s="9" t="s">
        <v>280</v>
      </c>
      <c r="AL255" s="6">
        <f t="shared" si="5"/>
        <v>250</v>
      </c>
    </row>
    <row r="256" spans="35:38" x14ac:dyDescent="0.35">
      <c r="AI256" s="5"/>
      <c r="AJ256" s="9">
        <v>253</v>
      </c>
      <c r="AK256" s="9" t="s">
        <v>281</v>
      </c>
      <c r="AL256" s="6">
        <f t="shared" si="5"/>
        <v>253</v>
      </c>
    </row>
    <row r="257" spans="35:38" x14ac:dyDescent="0.35">
      <c r="AI257" s="5"/>
      <c r="AJ257" s="9">
        <v>254</v>
      </c>
      <c r="AK257" s="9" t="s">
        <v>282</v>
      </c>
      <c r="AL257" s="6">
        <f t="shared" si="5"/>
        <v>244</v>
      </c>
    </row>
    <row r="258" spans="35:38" ht="15" thickBot="1" x14ac:dyDescent="0.4">
      <c r="AI258" s="7"/>
      <c r="AJ258" s="10">
        <v>255</v>
      </c>
      <c r="AK258" s="10" t="s">
        <v>283</v>
      </c>
      <c r="AL258" s="8">
        <f t="shared" si="5"/>
        <v>243</v>
      </c>
    </row>
  </sheetData>
  <mergeCells count="11">
    <mergeCell ref="Z6:AA6"/>
    <mergeCell ref="AF2:AG2"/>
    <mergeCell ref="AF28:AG28"/>
    <mergeCell ref="AI2:AL2"/>
    <mergeCell ref="A2:B2"/>
    <mergeCell ref="D2:E2"/>
    <mergeCell ref="M2:N2"/>
    <mergeCell ref="P2:R2"/>
    <mergeCell ref="T2:U2"/>
    <mergeCell ref="W2:X2"/>
    <mergeCell ref="Z2:AA2"/>
  </mergeCells>
  <phoneticPr fontId="2" type="noConversion"/>
  <pageMargins left="0.7" right="0.7" top="0.75" bottom="0.75" header="0.3" footer="0.3"/>
  <pageSetup orientation="portrait" r:id="rId1"/>
  <ignoredErrors>
    <ignoredError sqref="K4:K19 K20:K21 K22:K23 K24:K27 K29 K31" formula="1"/>
  </ignoredErrors>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56</vt:i4>
      </vt:variant>
    </vt:vector>
  </HeadingPairs>
  <TitlesOfParts>
    <vt:vector size="65" baseType="lpstr">
      <vt:lpstr>PEC_Calc</vt:lpstr>
      <vt:lpstr>PEC=00</vt:lpstr>
      <vt:lpstr>Voltage_Threshold_Instruction</vt:lpstr>
      <vt:lpstr>Voltage_Threshold_Tool</vt:lpstr>
      <vt:lpstr>PEC_CALC_Tool</vt:lpstr>
      <vt:lpstr>ADC_Tool</vt:lpstr>
      <vt:lpstr>Seq_Time_Stap</vt:lpstr>
      <vt:lpstr>Threshold_Calculation</vt:lpstr>
      <vt:lpstr>Lists</vt:lpstr>
      <vt:lpstr>addr_nvm_i2c</vt:lpstr>
      <vt:lpstr>addr_strap_i2c</vt:lpstr>
      <vt:lpstr>amsk_ch_en</vt:lpstr>
      <vt:lpstr>bank_sel</vt:lpstr>
      <vt:lpstr>bist_at_por</vt:lpstr>
      <vt:lpstr>bist_at_shdn</vt:lpstr>
      <vt:lpstr>cfg_regs</vt:lpstr>
      <vt:lpstr>chmon_regs</vt:lpstr>
      <vt:lpstr>crc8_table_12</vt:lpstr>
      <vt:lpstr>device_model_12</vt:lpstr>
      <vt:lpstr>fc_lf_3db</vt:lpstr>
      <vt:lpstr>flt_hf_ovdeb</vt:lpstr>
      <vt:lpstr>flt_hf_uvdeb</vt:lpstr>
      <vt:lpstr>ien_bist</vt:lpstr>
      <vt:lpstr>ien_bist_c</vt:lpstr>
      <vt:lpstr>ien_ecc_sec</vt:lpstr>
      <vt:lpstr>ien_ovhf</vt:lpstr>
      <vt:lpstr>ien_ovlf</vt:lpstr>
      <vt:lpstr>ien_pec</vt:lpstr>
      <vt:lpstr>ien_regs</vt:lpstr>
      <vt:lpstr>ien_rt_crc</vt:lpstr>
      <vt:lpstr>ien_seq_ens</vt:lpstr>
      <vt:lpstr>ien_seq_exs</vt:lpstr>
      <vt:lpstr>ien_seq_off</vt:lpstr>
      <vt:lpstr>ien_seq_on</vt:lpstr>
      <vt:lpstr>ien_sync</vt:lpstr>
      <vt:lpstr>ien_tsd</vt:lpstr>
      <vt:lpstr>ien_uvhf</vt:lpstr>
      <vt:lpstr>ien_uvlf</vt:lpstr>
      <vt:lpstr>mon_regs</vt:lpstr>
      <vt:lpstr>seq_ctl_ensack</vt:lpstr>
      <vt:lpstr>seq_ctl_exsack</vt:lpstr>
      <vt:lpstr>seq_ctl_offack</vt:lpstr>
      <vt:lpstr>seq_ctl_onack</vt:lpstr>
      <vt:lpstr>seq_ctl_recstart</vt:lpstr>
      <vt:lpstr>seq_ctl_seq</vt:lpstr>
      <vt:lpstr>seq_ctl_tsack</vt:lpstr>
      <vt:lpstr>seq_regs</vt:lpstr>
      <vt:lpstr>seq_updn_thld</vt:lpstr>
      <vt:lpstr>silicon_rev_12</vt:lpstr>
      <vt:lpstr>soc_if</vt:lpstr>
      <vt:lpstr>vendor_id_12</vt:lpstr>
      <vt:lpstr>vin_ch_en</vt:lpstr>
      <vt:lpstr>vin_ch_scale</vt:lpstr>
      <vt:lpstr>vmon_ctrl_comp_ofsc</vt:lpstr>
      <vt:lpstr>vmon_ctrl_nirq</vt:lpstr>
      <vt:lpstr>vmon_ctrl_reset</vt:lpstr>
      <vt:lpstr>vmon_ctrl_sleep_pwr</vt:lpstr>
      <vt:lpstr>vmon_ctrl_sync</vt:lpstr>
      <vt:lpstr>vmon_ctrl_sync_rst</vt:lpstr>
      <vt:lpstr>vmon_misc_enpec</vt:lpstr>
      <vt:lpstr>vmon_misc_enseqow</vt:lpstr>
      <vt:lpstr>vmon_misc_entsow</vt:lpstr>
      <vt:lpstr>vmon_misc_reqpec</vt:lpstr>
      <vt:lpstr>wrkc_regs</vt:lpstr>
      <vt:lpstr>wrks_regs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Mathew</dc:creator>
  <cp:lastModifiedBy>Ambriz, Oscar</cp:lastModifiedBy>
  <dcterms:created xsi:type="dcterms:W3CDTF">2015-06-05T18:17:20Z</dcterms:created>
  <dcterms:modified xsi:type="dcterms:W3CDTF">2025-04-22T21:23:39Z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558183-044c-4105-8d9c-cea02a2a3d86_Enabled">
    <vt:lpwstr>True</vt:lpwstr>
  </property>
  <property fmtid="{D5CDD505-2E9C-101B-9397-08002B2CF9AE}" pid="3" name="MSIP_Label_6b558183-044c-4105-8d9c-cea02a2a3d86_SiteId">
    <vt:lpwstr>43083d15-7273-40c1-b7db-39efd9ccc17a</vt:lpwstr>
  </property>
  <property fmtid="{D5CDD505-2E9C-101B-9397-08002B2CF9AE}" pid="4" name="MSIP_Label_6b558183-044c-4105-8d9c-cea02a2a3d86_Owner">
    <vt:lpwstr>dradaelli@nvidia.com</vt:lpwstr>
  </property>
  <property fmtid="{D5CDD505-2E9C-101B-9397-08002B2CF9AE}" pid="5" name="MSIP_Label_6b558183-044c-4105-8d9c-cea02a2a3d86_SetDate">
    <vt:lpwstr>2020-09-30T00:06:28.2184209Z</vt:lpwstr>
  </property>
  <property fmtid="{D5CDD505-2E9C-101B-9397-08002B2CF9AE}" pid="6" name="MSIP_Label_6b558183-044c-4105-8d9c-cea02a2a3d86_Name">
    <vt:lpwstr>Unrestricted</vt:lpwstr>
  </property>
  <property fmtid="{D5CDD505-2E9C-101B-9397-08002B2CF9AE}" pid="7" name="MSIP_Label_6b558183-044c-4105-8d9c-cea02a2a3d86_Application">
    <vt:lpwstr>Microsoft Azure Information Protection</vt:lpwstr>
  </property>
  <property fmtid="{D5CDD505-2E9C-101B-9397-08002B2CF9AE}" pid="8" name="MSIP_Label_6b558183-044c-4105-8d9c-cea02a2a3d86_ActionId">
    <vt:lpwstr>916c0226-d19f-4eb0-be86-d9cfb731f5c2</vt:lpwstr>
  </property>
  <property fmtid="{D5CDD505-2E9C-101B-9397-08002B2CF9AE}" pid="9" name="MSIP_Label_6b558183-044c-4105-8d9c-cea02a2a3d86_Extended_MSFT_Method">
    <vt:lpwstr>Automatic</vt:lpwstr>
  </property>
  <property fmtid="{D5CDD505-2E9C-101B-9397-08002B2CF9AE}" pid="10" name="Sensitivity">
    <vt:lpwstr>Unrestricted</vt:lpwstr>
  </property>
</Properties>
</file>